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2\00200.013470-2022-09 - Adequação da infra dos closets de rede\"/>
    </mc:Choice>
  </mc:AlternateContent>
  <bookViews>
    <workbookView xWindow="-105" yWindow="-105" windowWidth="23250" windowHeight="12450" tabRatio="851" activeTab="3"/>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xlnm._FilterDatabase" localSheetId="1" hidden="1">'Comp.Aux1'!$A$5:$I$641</definedName>
    <definedName name="_xlnm._FilterDatabase" localSheetId="2" hidden="1">'Comp.Aux2'!$A$5:$I$134</definedName>
    <definedName name="_xlnm._FilterDatabase" localSheetId="0" hidden="1">Composições!$A$5:$J$7218</definedName>
    <definedName name="_xlnm._FilterDatabase" localSheetId="3" hidden="1">Orçamentária!$A$5:$I$3142</definedName>
    <definedName name="_xlnm.Print_Area" localSheetId="1">'Comp.Aux1'!$A$1:$G$641</definedName>
    <definedName name="_xlnm.Print_Area" localSheetId="2">'Comp.Aux2'!$A$1:$G$134</definedName>
    <definedName name="_xlnm.Print_Area" localSheetId="0">Composições!$A$1:$H$7077</definedName>
    <definedName name="_xlnm.Print_Area" localSheetId="3">Orçamentária!$A$1:$I$3143</definedName>
    <definedName name="Arial">#REF!</definedName>
    <definedName name="BDI">[1]Fatores!$B$3</definedName>
    <definedName name="codigo2">#REF!</definedName>
    <definedName name="FatorRedux">[1]Fatores!$D$3</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9" l="1"/>
  <c r="G297" i="8"/>
  <c r="G296" i="8"/>
  <c r="B17" i="9"/>
  <c r="G3132" i="8"/>
  <c r="G2708" i="8"/>
  <c r="G2697" i="8"/>
  <c r="G2696" i="8"/>
  <c r="G2339" i="8"/>
  <c r="G1382" i="8"/>
  <c r="G1366" i="8"/>
  <c r="G1352" i="8"/>
  <c r="G353" i="8"/>
  <c r="G352" i="8"/>
  <c r="G350" i="8"/>
  <c r="G349" i="8"/>
  <c r="G338" i="8"/>
  <c r="G337" i="8"/>
  <c r="G335" i="8"/>
  <c r="G334" i="8"/>
  <c r="G333" i="8"/>
  <c r="G331" i="8"/>
  <c r="G327" i="8"/>
  <c r="G325" i="8"/>
  <c r="G323" i="8"/>
  <c r="G322" i="8"/>
  <c r="G321" i="8"/>
  <c r="G320" i="8"/>
  <c r="G318" i="8"/>
  <c r="G317" i="8"/>
  <c r="G315" i="8"/>
  <c r="G314" i="8"/>
  <c r="G313" i="8"/>
  <c r="G307" i="8"/>
  <c r="G302" i="8"/>
  <c r="G289" i="8"/>
  <c r="G288" i="8"/>
  <c r="G285" i="8"/>
  <c r="G284" i="8"/>
  <c r="G283" i="8"/>
  <c r="G279" i="8"/>
  <c r="G275" i="8"/>
  <c r="G262" i="8"/>
  <c r="G256" i="8"/>
  <c r="G251" i="8"/>
  <c r="G249" i="8"/>
  <c r="G241" i="8"/>
  <c r="G176" i="8"/>
  <c r="G154" i="8"/>
  <c r="G150" i="8"/>
  <c r="G149" i="8"/>
  <c r="G148" i="8"/>
  <c r="G146" i="8"/>
  <c r="G108" i="8"/>
  <c r="G105" i="8"/>
  <c r="G104" i="8"/>
  <c r="G98" i="8"/>
  <c r="G90" i="8"/>
  <c r="G89" i="8"/>
  <c r="G80" i="8"/>
  <c r="G79" i="8"/>
  <c r="G43" i="8"/>
  <c r="G27" i="8"/>
  <c r="G20" i="8"/>
  <c r="G14" i="8"/>
  <c r="G13" i="8"/>
  <c r="G10" i="8"/>
  <c r="G9" i="8"/>
  <c r="G8" i="8"/>
  <c r="G6" i="8"/>
  <c r="G3133" i="8"/>
  <c r="G3131" i="8"/>
  <c r="G2713" i="8"/>
  <c r="A1" i="5"/>
  <c r="A3" i="5"/>
  <c r="G7214" i="5"/>
  <c r="G7215" i="5"/>
  <c r="G7216" i="5"/>
  <c r="G7217" i="5"/>
  <c r="H7214" i="5"/>
  <c r="E3137" i="8"/>
  <c r="G7208" i="5"/>
  <c r="G7209" i="5"/>
  <c r="G7210" i="5"/>
  <c r="H7208" i="5"/>
  <c r="E3136" i="8"/>
  <c r="G7202" i="5"/>
  <c r="G7203" i="5"/>
  <c r="G7204" i="5"/>
  <c r="H7202" i="5"/>
  <c r="E3132" i="8"/>
  <c r="G7198" i="5"/>
  <c r="H7198" i="5"/>
  <c r="E3117" i="8"/>
  <c r="G7194" i="5"/>
  <c r="H7194" i="5"/>
  <c r="E3116" i="8"/>
  <c r="G7190" i="5"/>
  <c r="H7190" i="5"/>
  <c r="E3101" i="8"/>
  <c r="G7186" i="5"/>
  <c r="H7186" i="5"/>
  <c r="E3100" i="8"/>
  <c r="E7180" i="5"/>
  <c r="G7180" i="5"/>
  <c r="H7180" i="5"/>
  <c r="E3098" i="8"/>
  <c r="E7174" i="5"/>
  <c r="G7174" i="5"/>
  <c r="H7174" i="5"/>
  <c r="E3097" i="8"/>
  <c r="E7168" i="5"/>
  <c r="G7168" i="5"/>
  <c r="H7168" i="5"/>
  <c r="E3096" i="8"/>
  <c r="E7162" i="5"/>
  <c r="G7162" i="5"/>
  <c r="H7162" i="5"/>
  <c r="E3095" i="8"/>
  <c r="E7156" i="5"/>
  <c r="G7156" i="5"/>
  <c r="H7156" i="5"/>
  <c r="E3094" i="8"/>
  <c r="E7150" i="5"/>
  <c r="G7150" i="5"/>
  <c r="H7150" i="5"/>
  <c r="E3093" i="8"/>
  <c r="E7144" i="5"/>
  <c r="G7144" i="5"/>
  <c r="H7144" i="5"/>
  <c r="E3092" i="8"/>
  <c r="E7138" i="5"/>
  <c r="G7138" i="5"/>
  <c r="H7138" i="5"/>
  <c r="E3091" i="8"/>
  <c r="E7132" i="5"/>
  <c r="G7132" i="5"/>
  <c r="H7132" i="5"/>
  <c r="E3090" i="8"/>
  <c r="E7126" i="5"/>
  <c r="G7126" i="5"/>
  <c r="H7126" i="5"/>
  <c r="E3089" i="8"/>
  <c r="G7122" i="5"/>
  <c r="H7122" i="5"/>
  <c r="E3053" i="8"/>
  <c r="G7118" i="5"/>
  <c r="H7118" i="5"/>
  <c r="E3052" i="8"/>
  <c r="G7114" i="5"/>
  <c r="H7114" i="5"/>
  <c r="E3051" i="8"/>
  <c r="G7110" i="5"/>
  <c r="H7110" i="5"/>
  <c r="E3050" i="8"/>
  <c r="G7106" i="5"/>
  <c r="H7106" i="5"/>
  <c r="E3049" i="8"/>
  <c r="G7102" i="5"/>
  <c r="H7102" i="5"/>
  <c r="E3048" i="8"/>
  <c r="G7098" i="5"/>
  <c r="H7098" i="5"/>
  <c r="E3047" i="8"/>
  <c r="G7094" i="5"/>
  <c r="H7094" i="5"/>
  <c r="E3046" i="8"/>
  <c r="G7090" i="5"/>
  <c r="H7090" i="5"/>
  <c r="E3045" i="8"/>
  <c r="G7086" i="5"/>
  <c r="H7086" i="5"/>
  <c r="E3044" i="8"/>
  <c r="G7082" i="5"/>
  <c r="H7082" i="5"/>
  <c r="E3043" i="8"/>
  <c r="G7078" i="5"/>
  <c r="H7078" i="5"/>
  <c r="E3042" i="8"/>
  <c r="G7074" i="5"/>
  <c r="H7074" i="5"/>
  <c r="E3041" i="8"/>
  <c r="G7070" i="5"/>
  <c r="H7070" i="5"/>
  <c r="E3040" i="8"/>
  <c r="G7066" i="5"/>
  <c r="H7066" i="5"/>
  <c r="E3039" i="8"/>
  <c r="G7062" i="5"/>
  <c r="H7062" i="5"/>
  <c r="E3038" i="8"/>
  <c r="G7058" i="5"/>
  <c r="H7058" i="5"/>
  <c r="E3037" i="8"/>
  <c r="G7054" i="5"/>
  <c r="H7054" i="5"/>
  <c r="E3036" i="8"/>
  <c r="G7050" i="5"/>
  <c r="H7050" i="5"/>
  <c r="E3035" i="8"/>
  <c r="G7046" i="5"/>
  <c r="H7046" i="5"/>
  <c r="E3034" i="8"/>
  <c r="G7042" i="5"/>
  <c r="H7042" i="5"/>
  <c r="E3033" i="8"/>
  <c r="G7038" i="5"/>
  <c r="H7038" i="5"/>
  <c r="E3032" i="8"/>
  <c r="G7034" i="5"/>
  <c r="H7034" i="5"/>
  <c r="E3031" i="8"/>
  <c r="G7030" i="5"/>
  <c r="H7030" i="5"/>
  <c r="E3030" i="8"/>
  <c r="G7026" i="5"/>
  <c r="H7026" i="5"/>
  <c r="E3029" i="8"/>
  <c r="G7022" i="5"/>
  <c r="H7022" i="5"/>
  <c r="E3028" i="8"/>
  <c r="G7018" i="5"/>
  <c r="H7018" i="5"/>
  <c r="E3027" i="8"/>
  <c r="G7014" i="5"/>
  <c r="H7014" i="5"/>
  <c r="E3026" i="8"/>
  <c r="G7010" i="5"/>
  <c r="H7010" i="5"/>
  <c r="E3025" i="8"/>
  <c r="G7006" i="5"/>
  <c r="H7006" i="5"/>
  <c r="E3024" i="8"/>
  <c r="G7002" i="5"/>
  <c r="H7002" i="5"/>
  <c r="E3022" i="8"/>
  <c r="G6998" i="5"/>
  <c r="H6998" i="5"/>
  <c r="E3020" i="8"/>
  <c r="G6994" i="5"/>
  <c r="H6994" i="5"/>
  <c r="E3019" i="8"/>
  <c r="G6990" i="5"/>
  <c r="H6990" i="5"/>
  <c r="E3018" i="8"/>
  <c r="G6986" i="5"/>
  <c r="H6986" i="5"/>
  <c r="E3014" i="8"/>
  <c r="G6982" i="5"/>
  <c r="H6982" i="5"/>
  <c r="E3013" i="8"/>
  <c r="G6978" i="5"/>
  <c r="H6978" i="5"/>
  <c r="E3012" i="8"/>
  <c r="G6974" i="5"/>
  <c r="H6974" i="5"/>
  <c r="E3011" i="8"/>
  <c r="G6970" i="5"/>
  <c r="H6970" i="5"/>
  <c r="E3004" i="8"/>
  <c r="G6966" i="5"/>
  <c r="H6966" i="5"/>
  <c r="E3003" i="8"/>
  <c r="G6962" i="5"/>
  <c r="H6962" i="5"/>
  <c r="E3002" i="8"/>
  <c r="G6958" i="5"/>
  <c r="H6958" i="5"/>
  <c r="E3001" i="8"/>
  <c r="G6954" i="5"/>
  <c r="H6954" i="5"/>
  <c r="E2996" i="8"/>
  <c r="G6950" i="5"/>
  <c r="H6950" i="5"/>
  <c r="E2995" i="8"/>
  <c r="G6946" i="5"/>
  <c r="H6946" i="5"/>
  <c r="E2994" i="8"/>
  <c r="G6942" i="5"/>
  <c r="H6942" i="5"/>
  <c r="E2993" i="8"/>
  <c r="G6938" i="5"/>
  <c r="H6938" i="5"/>
  <c r="E2992" i="8"/>
  <c r="G6934" i="5"/>
  <c r="H6934" i="5"/>
  <c r="E2991" i="8"/>
  <c r="G6930" i="5"/>
  <c r="H6930" i="5"/>
  <c r="E2990" i="8"/>
  <c r="G6926" i="5"/>
  <c r="H6926" i="5"/>
  <c r="E2985" i="8"/>
  <c r="G6922" i="5"/>
  <c r="H6922" i="5"/>
  <c r="E2984" i="8"/>
  <c r="G6918" i="5"/>
  <c r="H6918" i="5"/>
  <c r="E2982" i="8"/>
  <c r="G6914" i="5"/>
  <c r="H6914" i="5"/>
  <c r="E2981" i="8"/>
  <c r="G6910" i="5"/>
  <c r="H6910" i="5"/>
  <c r="E2980" i="8"/>
  <c r="G6906" i="5"/>
  <c r="H6906" i="5"/>
  <c r="E2979" i="8"/>
  <c r="G6902" i="5"/>
  <c r="H6902" i="5"/>
  <c r="E2978" i="8"/>
  <c r="G6898" i="5"/>
  <c r="H6898" i="5"/>
  <c r="E2975" i="8"/>
  <c r="G6894" i="5"/>
  <c r="H6894" i="5"/>
  <c r="E2948" i="8"/>
  <c r="G6890" i="5"/>
  <c r="H6890" i="5"/>
  <c r="E2946" i="8"/>
  <c r="G6886" i="5"/>
  <c r="H6886" i="5"/>
  <c r="E2945" i="8"/>
  <c r="G6882" i="5"/>
  <c r="H6882" i="5"/>
  <c r="E2940" i="8"/>
  <c r="G6878" i="5"/>
  <c r="H6878" i="5"/>
  <c r="E2939" i="8"/>
  <c r="G6874" i="5"/>
  <c r="H6874" i="5"/>
  <c r="E2938" i="8"/>
  <c r="G6870" i="5"/>
  <c r="H6870" i="5"/>
  <c r="E2937" i="8"/>
  <c r="G6866" i="5"/>
  <c r="H6866" i="5"/>
  <c r="E2936" i="8"/>
  <c r="G6862" i="5"/>
  <c r="H6862" i="5"/>
  <c r="E2934" i="8"/>
  <c r="G6858" i="5"/>
  <c r="H6858" i="5"/>
  <c r="E2933" i="8"/>
  <c r="G6854" i="5"/>
  <c r="H6854" i="5"/>
  <c r="E2932" i="8"/>
  <c r="G6850" i="5"/>
  <c r="H6850" i="5"/>
  <c r="E2931" i="8"/>
  <c r="G6846" i="5"/>
  <c r="H6846" i="5"/>
  <c r="E2930" i="8"/>
  <c r="G6842" i="5"/>
  <c r="H6842" i="5"/>
  <c r="E2929" i="8"/>
  <c r="G6838" i="5"/>
  <c r="H6838" i="5"/>
  <c r="E2927" i="8"/>
  <c r="G6834" i="5"/>
  <c r="H6834" i="5"/>
  <c r="E2926" i="8"/>
  <c r="G6830" i="5"/>
  <c r="H6830" i="5"/>
  <c r="E2924" i="8"/>
  <c r="G6826" i="5"/>
  <c r="H6826" i="5"/>
  <c r="E2923" i="8"/>
  <c r="G6822" i="5"/>
  <c r="H6822" i="5"/>
  <c r="E2912" i="8"/>
  <c r="G6818" i="5"/>
  <c r="H6818" i="5"/>
  <c r="E2911" i="8"/>
  <c r="G6814" i="5"/>
  <c r="H6814" i="5"/>
  <c r="E2910" i="8"/>
  <c r="G6810" i="5"/>
  <c r="H6810" i="5"/>
  <c r="E2909" i="8"/>
  <c r="G6806" i="5"/>
  <c r="H6806" i="5"/>
  <c r="E2908" i="8"/>
  <c r="G6802" i="5"/>
  <c r="H6802" i="5"/>
  <c r="E2907" i="8"/>
  <c r="G6798" i="5"/>
  <c r="H6798" i="5"/>
  <c r="E2906" i="8"/>
  <c r="G6794" i="5"/>
  <c r="H6794" i="5"/>
  <c r="E2905" i="8"/>
  <c r="G6790" i="5"/>
  <c r="H6790" i="5"/>
  <c r="E2904" i="8"/>
  <c r="G6786" i="5"/>
  <c r="H6786" i="5"/>
  <c r="E2903" i="8"/>
  <c r="G6782" i="5"/>
  <c r="H6782" i="5"/>
  <c r="E2902" i="8"/>
  <c r="G6778" i="5"/>
  <c r="H6778" i="5"/>
  <c r="E2901" i="8"/>
  <c r="G6774" i="5"/>
  <c r="H6774" i="5"/>
  <c r="E2900" i="8"/>
  <c r="G6770" i="5"/>
  <c r="H6770" i="5"/>
  <c r="E2899" i="8"/>
  <c r="G6766" i="5"/>
  <c r="H6766" i="5"/>
  <c r="E2898" i="8"/>
  <c r="G6762" i="5"/>
  <c r="H6762" i="5"/>
  <c r="E2897" i="8"/>
  <c r="G6758" i="5"/>
  <c r="H6758" i="5"/>
  <c r="E2896" i="8"/>
  <c r="G6754" i="5"/>
  <c r="H6754" i="5"/>
  <c r="E2895" i="8"/>
  <c r="G6750" i="5"/>
  <c r="H6750" i="5"/>
  <c r="E2894" i="8"/>
  <c r="G6746" i="5"/>
  <c r="H6746" i="5"/>
  <c r="E2893" i="8"/>
  <c r="G6742" i="5"/>
  <c r="H6742" i="5"/>
  <c r="E2892" i="8"/>
  <c r="G6738" i="5"/>
  <c r="H6738" i="5"/>
  <c r="E2891" i="8"/>
  <c r="G6734" i="5"/>
  <c r="H6734" i="5"/>
  <c r="E2890" i="8"/>
  <c r="G6730" i="5"/>
  <c r="H6730" i="5"/>
  <c r="E2887" i="8"/>
  <c r="G6726" i="5"/>
  <c r="H6726" i="5"/>
  <c r="E2886" i="8"/>
  <c r="G6722" i="5"/>
  <c r="H6722" i="5"/>
  <c r="E2885" i="8"/>
  <c r="G6718" i="5"/>
  <c r="H6718" i="5"/>
  <c r="E2884" i="8"/>
  <c r="G6714" i="5"/>
  <c r="H6714" i="5"/>
  <c r="E2883" i="8"/>
  <c r="G6710" i="5"/>
  <c r="H6710" i="5"/>
  <c r="E2882" i="8"/>
  <c r="G6706" i="5"/>
  <c r="H6706" i="5"/>
  <c r="E2881" i="8"/>
  <c r="G6702" i="5"/>
  <c r="H6702" i="5"/>
  <c r="E2880" i="8"/>
  <c r="G6698" i="5"/>
  <c r="H6698" i="5"/>
  <c r="E2879" i="8"/>
  <c r="G6694" i="5"/>
  <c r="H6694" i="5"/>
  <c r="E2878" i="8"/>
  <c r="G6690" i="5"/>
  <c r="H6690" i="5"/>
  <c r="E2877" i="8"/>
  <c r="G6686" i="5"/>
  <c r="H6686" i="5"/>
  <c r="E2876" i="8"/>
  <c r="G6682" i="5"/>
  <c r="H6682" i="5"/>
  <c r="E2875" i="8"/>
  <c r="G6678" i="5"/>
  <c r="H6678" i="5"/>
  <c r="E2874" i="8"/>
  <c r="G6674" i="5"/>
  <c r="H6674" i="5"/>
  <c r="E2873" i="8"/>
  <c r="G6670" i="5"/>
  <c r="H6670" i="5"/>
  <c r="E2872" i="8"/>
  <c r="G6666" i="5"/>
  <c r="H6666" i="5"/>
  <c r="E2871" i="8"/>
  <c r="G6662" i="5"/>
  <c r="H6662" i="5"/>
  <c r="E2870" i="8"/>
  <c r="G6658" i="5"/>
  <c r="H6658" i="5"/>
  <c r="E2869" i="8"/>
  <c r="G6654" i="5"/>
  <c r="H6654" i="5"/>
  <c r="E2868" i="8"/>
  <c r="G6650" i="5"/>
  <c r="H6650" i="5"/>
  <c r="E2861" i="8"/>
  <c r="G6646" i="5"/>
  <c r="H6646" i="5"/>
  <c r="E2860" i="8"/>
  <c r="G6642" i="5"/>
  <c r="H6642" i="5"/>
  <c r="E2859" i="8"/>
  <c r="G6638" i="5"/>
  <c r="H6638" i="5"/>
  <c r="E2858" i="8"/>
  <c r="G6634" i="5"/>
  <c r="H6634" i="5"/>
  <c r="E2857" i="8"/>
  <c r="G6630" i="5"/>
  <c r="H6630" i="5"/>
  <c r="E2855" i="8"/>
  <c r="G6626" i="5"/>
  <c r="H6626" i="5"/>
  <c r="E2854" i="8"/>
  <c r="G6622" i="5"/>
  <c r="H6622" i="5"/>
  <c r="E2853" i="8"/>
  <c r="G6618" i="5"/>
  <c r="H6618" i="5"/>
  <c r="E2833" i="8"/>
  <c r="G6614" i="5"/>
  <c r="H6614" i="5"/>
  <c r="E2832" i="8"/>
  <c r="G6610" i="5"/>
  <c r="H6610" i="5"/>
  <c r="E2831" i="8"/>
  <c r="G6606" i="5"/>
  <c r="H6606" i="5"/>
  <c r="E2830" i="8"/>
  <c r="G6602" i="5"/>
  <c r="H6602" i="5"/>
  <c r="E2829" i="8"/>
  <c r="G6598" i="5"/>
  <c r="H6598" i="5"/>
  <c r="E2828" i="8"/>
  <c r="G6594" i="5"/>
  <c r="H6594" i="5"/>
  <c r="E2825" i="8"/>
  <c r="G6590" i="5"/>
  <c r="H6590" i="5"/>
  <c r="E2824" i="8"/>
  <c r="G6586" i="5"/>
  <c r="H6586" i="5"/>
  <c r="E2823" i="8"/>
  <c r="G6582" i="5"/>
  <c r="H6582" i="5"/>
  <c r="E2822" i="8"/>
  <c r="G6578" i="5"/>
  <c r="H6578" i="5"/>
  <c r="E2821" i="8"/>
  <c r="G6574" i="5"/>
  <c r="H6574" i="5"/>
  <c r="E2820" i="8"/>
  <c r="G6570" i="5"/>
  <c r="H6570" i="5"/>
  <c r="E2819" i="8"/>
  <c r="G6566" i="5"/>
  <c r="H6566" i="5"/>
  <c r="E2818" i="8"/>
  <c r="G6562" i="5"/>
  <c r="H6562" i="5"/>
  <c r="E2817" i="8"/>
  <c r="G6558" i="5"/>
  <c r="H6558" i="5"/>
  <c r="E2816" i="8"/>
  <c r="G6554" i="5"/>
  <c r="H6554" i="5"/>
  <c r="E2815" i="8"/>
  <c r="G6550" i="5"/>
  <c r="H6550" i="5"/>
  <c r="E2814" i="8"/>
  <c r="G6546" i="5"/>
  <c r="H6546" i="5"/>
  <c r="E2813" i="8"/>
  <c r="G6542" i="5"/>
  <c r="H6542" i="5"/>
  <c r="E2812" i="8"/>
  <c r="G6538" i="5"/>
  <c r="H6538" i="5"/>
  <c r="E2806" i="8"/>
  <c r="G6534" i="5"/>
  <c r="H6534" i="5"/>
  <c r="E2789" i="8"/>
  <c r="G6530" i="5"/>
  <c r="H6530" i="5"/>
  <c r="E2783" i="8"/>
  <c r="G6526" i="5"/>
  <c r="H6526" i="5"/>
  <c r="E2765" i="8"/>
  <c r="G6522" i="5"/>
  <c r="H6522" i="5"/>
  <c r="E2757" i="8"/>
  <c r="G6518" i="5"/>
  <c r="H6518" i="5"/>
  <c r="E2753" i="8"/>
  <c r="G6514" i="5"/>
  <c r="H6514" i="5"/>
  <c r="E2752" i="8"/>
  <c r="G6510" i="5"/>
  <c r="H6510" i="5"/>
  <c r="E2750" i="8"/>
  <c r="G6506" i="5"/>
  <c r="H6506" i="5"/>
  <c r="E2748" i="8"/>
  <c r="G6502" i="5"/>
  <c r="H6502" i="5"/>
  <c r="E2747" i="8"/>
  <c r="G6498" i="5"/>
  <c r="H6498" i="5"/>
  <c r="E2744" i="8"/>
  <c r="G6494" i="5"/>
  <c r="H6494" i="5"/>
  <c r="E2742" i="8"/>
  <c r="G6490" i="5"/>
  <c r="H6490" i="5"/>
  <c r="E2740" i="8"/>
  <c r="G6486" i="5"/>
  <c r="H6486" i="5"/>
  <c r="E2736" i="8"/>
  <c r="G6482" i="5"/>
  <c r="H6482" i="5"/>
  <c r="E2735" i="8"/>
  <c r="G6478" i="5"/>
  <c r="H6478" i="5"/>
  <c r="E2729" i="8"/>
  <c r="G6474" i="5"/>
  <c r="H6474" i="5"/>
  <c r="E2725" i="8"/>
  <c r="G6470" i="5"/>
  <c r="H6470" i="5"/>
  <c r="E2724" i="8"/>
  <c r="G6466" i="5"/>
  <c r="H6466" i="5"/>
  <c r="E2722" i="8"/>
  <c r="G6459" i="5"/>
  <c r="G6460" i="5"/>
  <c r="G6461" i="5"/>
  <c r="G6462" i="5"/>
  <c r="H6459" i="5"/>
  <c r="E2710" i="8"/>
  <c r="G6452" i="5"/>
  <c r="G6453" i="5"/>
  <c r="G6454" i="5"/>
  <c r="G6455" i="5"/>
  <c r="H6452" i="5"/>
  <c r="E2709" i="8"/>
  <c r="G6445" i="5"/>
  <c r="G6446" i="5"/>
  <c r="G6447" i="5"/>
  <c r="G6448" i="5"/>
  <c r="H6445" i="5"/>
  <c r="E2708" i="8"/>
  <c r="G6436" i="5"/>
  <c r="G6437" i="5"/>
  <c r="G6438" i="5"/>
  <c r="G6439" i="5"/>
  <c r="G6440" i="5"/>
  <c r="G6441" i="5"/>
  <c r="H6436" i="5"/>
  <c r="E2707" i="8"/>
  <c r="G6431" i="5"/>
  <c r="G6432" i="5"/>
  <c r="H6431" i="5"/>
  <c r="E2706" i="8"/>
  <c r="G6424" i="5"/>
  <c r="G6425" i="5"/>
  <c r="G6426" i="5"/>
  <c r="G6427" i="5"/>
  <c r="H6424" i="5"/>
  <c r="E2697" i="8"/>
  <c r="G6419" i="5"/>
  <c r="G6420" i="5"/>
  <c r="H6419" i="5"/>
  <c r="E2696" i="8"/>
  <c r="G6414" i="5"/>
  <c r="G6415" i="5"/>
  <c r="H6414" i="5"/>
  <c r="E2695" i="8"/>
  <c r="G6409" i="5"/>
  <c r="G6410" i="5"/>
  <c r="H6409" i="5"/>
  <c r="E2694" i="8"/>
  <c r="E6405" i="5"/>
  <c r="G6405" i="5"/>
  <c r="H6405" i="5"/>
  <c r="E2687" i="8"/>
  <c r="G6401" i="5"/>
  <c r="H6401" i="5"/>
  <c r="E2686" i="8"/>
  <c r="G6396" i="5"/>
  <c r="G6397" i="5"/>
  <c r="H6396" i="5"/>
  <c r="E2685" i="8"/>
  <c r="G6392" i="5"/>
  <c r="H6392" i="5"/>
  <c r="E2684" i="8"/>
  <c r="G6385" i="5"/>
  <c r="G6386" i="5"/>
  <c r="G6387" i="5"/>
  <c r="G6388" i="5"/>
  <c r="H6385" i="5"/>
  <c r="E2683" i="8"/>
  <c r="G6379" i="5"/>
  <c r="G6380" i="5"/>
  <c r="G6381" i="5"/>
  <c r="H6379" i="5"/>
  <c r="E2623" i="8"/>
  <c r="G6372" i="5"/>
  <c r="G6373" i="5"/>
  <c r="E6374" i="5"/>
  <c r="G6374" i="5"/>
  <c r="E6375" i="5"/>
  <c r="G6375" i="5"/>
  <c r="H6372" i="5"/>
  <c r="E2622" i="8"/>
  <c r="G6357" i="5"/>
  <c r="G6358" i="5"/>
  <c r="G6359" i="5"/>
  <c r="G6360" i="5"/>
  <c r="E6361" i="5"/>
  <c r="G6361" i="5"/>
  <c r="G6362" i="5"/>
  <c r="G6363" i="5"/>
  <c r="G6364" i="5"/>
  <c r="E6365" i="5"/>
  <c r="G6365" i="5"/>
  <c r="E6366" i="5"/>
  <c r="G6366" i="5"/>
  <c r="H6357" i="5"/>
  <c r="E2620" i="8"/>
  <c r="G6343" i="5"/>
  <c r="G6344" i="5"/>
  <c r="G6345" i="5"/>
  <c r="G6346" i="5"/>
  <c r="G6347" i="5"/>
  <c r="G6348" i="5"/>
  <c r="G6349" i="5"/>
  <c r="G6350" i="5"/>
  <c r="G6351" i="5"/>
  <c r="G6352" i="5"/>
  <c r="G6353" i="5"/>
  <c r="H6343" i="5"/>
  <c r="E2619" i="8"/>
  <c r="G6338" i="5"/>
  <c r="G6339" i="5"/>
  <c r="H6338" i="5"/>
  <c r="E2618" i="8"/>
  <c r="G6329" i="5"/>
  <c r="G6330" i="5"/>
  <c r="G6331" i="5"/>
  <c r="G6332" i="5"/>
  <c r="G6333" i="5"/>
  <c r="G6334" i="5"/>
  <c r="H6329" i="5"/>
  <c r="E2617" i="8"/>
  <c r="G6319" i="5"/>
  <c r="G6320" i="5"/>
  <c r="G6321" i="5"/>
  <c r="G6322" i="5"/>
  <c r="G6323" i="5"/>
  <c r="G6324" i="5"/>
  <c r="G6325" i="5"/>
  <c r="H6319" i="5"/>
  <c r="E2616" i="8"/>
  <c r="G6295" i="5"/>
  <c r="G6296" i="5"/>
  <c r="G6297" i="5"/>
  <c r="G6298" i="5"/>
  <c r="G6299" i="5"/>
  <c r="G6300" i="5"/>
  <c r="G6301" i="5"/>
  <c r="G6302" i="5"/>
  <c r="G6303" i="5"/>
  <c r="G6304" i="5"/>
  <c r="G6305" i="5"/>
  <c r="G6306" i="5"/>
  <c r="G6307" i="5"/>
  <c r="G6308" i="5"/>
  <c r="G6309" i="5"/>
  <c r="G6310" i="5"/>
  <c r="G6311" i="5"/>
  <c r="G6312" i="5"/>
  <c r="G6313" i="5"/>
  <c r="G6314" i="5"/>
  <c r="G6315" i="5"/>
  <c r="H6295" i="5"/>
  <c r="E2615" i="8"/>
  <c r="G6284" i="5"/>
  <c r="G6285" i="5"/>
  <c r="G6286" i="5"/>
  <c r="G6287" i="5"/>
  <c r="G6288" i="5"/>
  <c r="G6289" i="5"/>
  <c r="G6290" i="5"/>
  <c r="G6291" i="5"/>
  <c r="H6284" i="5"/>
  <c r="E2614" i="8"/>
  <c r="G6275" i="5"/>
  <c r="G6276" i="5"/>
  <c r="G6277" i="5"/>
  <c r="G6278" i="5"/>
  <c r="G6279" i="5"/>
  <c r="G6280" i="5"/>
  <c r="H6275" i="5"/>
  <c r="E2613" i="8"/>
  <c r="G6267" i="5"/>
  <c r="G6268" i="5"/>
  <c r="G6269" i="5"/>
  <c r="G6270" i="5"/>
  <c r="G6271" i="5"/>
  <c r="H6267" i="5"/>
  <c r="E2612" i="8"/>
  <c r="G6259" i="5"/>
  <c r="G6260" i="5"/>
  <c r="G6261" i="5"/>
  <c r="G6262" i="5"/>
  <c r="G6263" i="5"/>
  <c r="H6259" i="5"/>
  <c r="E2611" i="8"/>
  <c r="G6248" i="5"/>
  <c r="G6249" i="5"/>
  <c r="G6250" i="5"/>
  <c r="G6251" i="5"/>
  <c r="G6252" i="5"/>
  <c r="G6253" i="5"/>
  <c r="G6254" i="5"/>
  <c r="G6255" i="5"/>
  <c r="H6248" i="5"/>
  <c r="E2609" i="8"/>
  <c r="G6239" i="5"/>
  <c r="G6240" i="5"/>
  <c r="G6241" i="5"/>
  <c r="G6242" i="5"/>
  <c r="G6243" i="5"/>
  <c r="G6244" i="5"/>
  <c r="H6239" i="5"/>
  <c r="E2608" i="8"/>
  <c r="G6233" i="5"/>
  <c r="G6234" i="5"/>
  <c r="G6235" i="5"/>
  <c r="H6233" i="5"/>
  <c r="E2607" i="8"/>
  <c r="G6227" i="5"/>
  <c r="G6228" i="5"/>
  <c r="G6229" i="5"/>
  <c r="H6227" i="5"/>
  <c r="E2606" i="8"/>
  <c r="G6220" i="5"/>
  <c r="G6221" i="5"/>
  <c r="G6222" i="5"/>
  <c r="G6223" i="5"/>
  <c r="H6220" i="5"/>
  <c r="E2605" i="8"/>
  <c r="G6214" i="5"/>
  <c r="G6215" i="5"/>
  <c r="G6216" i="5"/>
  <c r="H6214" i="5"/>
  <c r="E2604" i="8"/>
  <c r="G6207" i="5"/>
  <c r="G6208" i="5"/>
  <c r="G6209" i="5"/>
  <c r="G6210" i="5"/>
  <c r="H6207" i="5"/>
  <c r="E2603" i="8"/>
  <c r="G6198" i="5"/>
  <c r="G6199" i="5"/>
  <c r="G6200" i="5"/>
  <c r="G6201" i="5"/>
  <c r="G6202" i="5"/>
  <c r="G6203" i="5"/>
  <c r="H6198" i="5"/>
  <c r="E2602" i="8"/>
  <c r="G6190" i="5"/>
  <c r="G6191" i="5"/>
  <c r="G6192" i="5"/>
  <c r="G6193" i="5"/>
  <c r="G6194" i="5"/>
  <c r="H6190" i="5"/>
  <c r="E2601" i="8"/>
  <c r="G6182" i="5"/>
  <c r="G6183" i="5"/>
  <c r="G6184" i="5"/>
  <c r="H6182" i="5"/>
  <c r="E2600" i="8"/>
  <c r="G6177" i="5"/>
  <c r="G6178" i="5"/>
  <c r="H6177" i="5"/>
  <c r="E2599" i="8"/>
  <c r="G6172" i="5"/>
  <c r="G6173" i="5"/>
  <c r="H6172" i="5"/>
  <c r="E2598" i="8"/>
  <c r="G6165" i="5"/>
  <c r="G6166" i="5"/>
  <c r="G6167" i="5"/>
  <c r="G6168" i="5"/>
  <c r="H6165" i="5"/>
  <c r="E2597" i="8"/>
  <c r="G6154" i="5"/>
  <c r="G6155" i="5"/>
  <c r="G6156" i="5"/>
  <c r="G6157" i="5"/>
  <c r="G6158" i="5"/>
  <c r="G6159" i="5"/>
  <c r="G6160" i="5"/>
  <c r="G6161" i="5"/>
  <c r="H6154" i="5"/>
  <c r="E2596" i="8"/>
  <c r="E6143" i="5"/>
  <c r="G6143" i="5"/>
  <c r="E6144" i="5"/>
  <c r="G6144" i="5"/>
  <c r="G6145" i="5"/>
  <c r="G6146" i="5"/>
  <c r="G6147" i="5"/>
  <c r="G6148" i="5"/>
  <c r="G6149" i="5"/>
  <c r="G6150" i="5"/>
  <c r="H6143" i="5"/>
  <c r="E2595" i="8"/>
  <c r="G6139" i="5"/>
  <c r="H6139" i="5"/>
  <c r="E2593" i="8"/>
  <c r="G6135" i="5"/>
  <c r="H6135" i="5"/>
  <c r="E2504" i="8"/>
  <c r="G6131" i="5"/>
  <c r="H6131" i="5"/>
  <c r="E2394" i="8"/>
  <c r="G6123" i="5"/>
  <c r="G6124" i="5"/>
  <c r="G6125" i="5"/>
  <c r="G6126" i="5"/>
  <c r="G6127" i="5"/>
  <c r="H6123" i="5"/>
  <c r="E2384" i="8"/>
  <c r="E6119" i="5"/>
  <c r="G6119" i="5"/>
  <c r="H6119" i="5"/>
  <c r="E2368" i="8"/>
  <c r="G6115" i="5"/>
  <c r="H6115" i="5"/>
  <c r="E2335" i="8"/>
  <c r="G6111" i="5"/>
  <c r="H6111" i="5"/>
  <c r="E2334" i="8"/>
  <c r="G6107" i="5"/>
  <c r="H6107" i="5"/>
  <c r="E2333" i="8"/>
  <c r="G6103" i="5"/>
  <c r="H6103" i="5"/>
  <c r="E2315" i="8"/>
  <c r="G6099" i="5"/>
  <c r="H6099" i="5"/>
  <c r="E2299" i="8"/>
  <c r="G6095" i="5"/>
  <c r="H6095" i="5"/>
  <c r="E2295" i="8"/>
  <c r="G6091" i="5"/>
  <c r="H6091" i="5"/>
  <c r="E2290" i="8"/>
  <c r="G6087" i="5"/>
  <c r="H6087" i="5"/>
  <c r="E2255" i="8"/>
  <c r="G6083" i="5"/>
  <c r="H6083" i="5"/>
  <c r="E2219" i="8"/>
  <c r="G6079" i="5"/>
  <c r="H6079" i="5"/>
  <c r="E2218" i="8"/>
  <c r="G6075" i="5"/>
  <c r="H6075" i="5"/>
  <c r="E2217" i="8"/>
  <c r="G6071" i="5"/>
  <c r="H6071" i="5"/>
  <c r="E2104" i="8"/>
  <c r="G6067" i="5"/>
  <c r="H6067" i="5"/>
  <c r="E2100" i="8"/>
  <c r="G6063" i="5"/>
  <c r="H6063" i="5"/>
  <c r="E2099" i="8"/>
  <c r="G6059" i="5"/>
  <c r="H6059" i="5"/>
  <c r="E2096" i="8"/>
  <c r="G6047" i="5"/>
  <c r="H6047" i="5"/>
  <c r="E2088" i="8"/>
  <c r="G6051" i="5"/>
  <c r="H6051" i="5"/>
  <c r="E2087" i="8"/>
  <c r="G6043" i="5"/>
  <c r="H6043" i="5"/>
  <c r="E2081" i="8"/>
  <c r="G6039" i="5"/>
  <c r="H6039" i="5"/>
  <c r="E1954" i="8"/>
  <c r="G6035" i="5"/>
  <c r="H6035" i="5"/>
  <c r="E1953" i="8"/>
  <c r="G6031" i="5"/>
  <c r="H6031" i="5"/>
  <c r="E1951" i="8"/>
  <c r="G6027" i="5"/>
  <c r="H6027" i="5"/>
  <c r="E1949" i="8"/>
  <c r="G6023" i="5"/>
  <c r="H6023" i="5"/>
  <c r="E1933" i="8"/>
  <c r="G6019" i="5"/>
  <c r="H6019" i="5"/>
  <c r="E1930" i="8"/>
  <c r="G6015" i="5"/>
  <c r="H6015" i="5"/>
  <c r="E1928" i="8"/>
  <c r="G6011" i="5"/>
  <c r="H6011" i="5"/>
  <c r="E1926" i="8"/>
  <c r="G6007" i="5"/>
  <c r="H6007" i="5"/>
  <c r="E1924" i="8"/>
  <c r="G6003" i="5"/>
  <c r="H6003" i="5"/>
  <c r="E1923" i="8"/>
  <c r="G5999" i="5"/>
  <c r="H5999" i="5"/>
  <c r="E1922" i="8"/>
  <c r="G5995" i="5"/>
  <c r="H5995" i="5"/>
  <c r="E1921" i="8"/>
  <c r="G5991" i="5"/>
  <c r="H5991" i="5"/>
  <c r="E1920" i="8"/>
  <c r="G5987" i="5"/>
  <c r="H5987" i="5"/>
  <c r="E1907" i="8"/>
  <c r="G5983" i="5"/>
  <c r="H5983" i="5"/>
  <c r="E1906" i="8"/>
  <c r="G5979" i="5"/>
  <c r="H5979" i="5"/>
  <c r="E1905" i="8"/>
  <c r="G5975" i="5"/>
  <c r="H5975" i="5"/>
  <c r="E1904" i="8"/>
  <c r="G5971" i="5"/>
  <c r="H5971" i="5"/>
  <c r="E1903" i="8"/>
  <c r="G5967" i="5"/>
  <c r="H5967" i="5"/>
  <c r="E1902" i="8"/>
  <c r="G5963" i="5"/>
  <c r="H5963" i="5"/>
  <c r="E1901" i="8"/>
  <c r="G5959" i="5"/>
  <c r="H5959" i="5"/>
  <c r="E1900" i="8"/>
  <c r="G5955" i="5"/>
  <c r="H5955" i="5"/>
  <c r="E1899" i="8"/>
  <c r="G5951" i="5"/>
  <c r="H5951" i="5"/>
  <c r="E1898" i="8"/>
  <c r="G5947" i="5"/>
  <c r="H5947" i="5"/>
  <c r="E1897" i="8"/>
  <c r="G5943" i="5"/>
  <c r="H5943" i="5"/>
  <c r="E1896" i="8"/>
  <c r="G5939" i="5"/>
  <c r="H5939" i="5"/>
  <c r="E1895" i="8"/>
  <c r="G5935" i="5"/>
  <c r="H5935" i="5"/>
  <c r="E1894" i="8"/>
  <c r="G5931" i="5"/>
  <c r="H5931" i="5"/>
  <c r="E1893" i="8"/>
  <c r="G5927" i="5"/>
  <c r="H5927" i="5"/>
  <c r="E1892" i="8"/>
  <c r="G5923" i="5"/>
  <c r="H5923" i="5"/>
  <c r="E1891" i="8"/>
  <c r="G5919" i="5"/>
  <c r="H5919" i="5"/>
  <c r="E1890" i="8"/>
  <c r="G5915" i="5"/>
  <c r="H5915" i="5"/>
  <c r="E1889" i="8"/>
  <c r="G5911" i="5"/>
  <c r="H5911" i="5"/>
  <c r="E1888" i="8"/>
  <c r="G5907" i="5"/>
  <c r="H5907" i="5"/>
  <c r="E1887" i="8"/>
  <c r="G5903" i="5"/>
  <c r="H5903" i="5"/>
  <c r="E1886" i="8"/>
  <c r="G5899" i="5"/>
  <c r="H5899" i="5"/>
  <c r="E1885" i="8"/>
  <c r="G5895" i="5"/>
  <c r="H5895" i="5"/>
  <c r="E1884" i="8"/>
  <c r="G5891" i="5"/>
  <c r="H5891" i="5"/>
  <c r="E1882" i="8"/>
  <c r="G5887" i="5"/>
  <c r="H5887" i="5"/>
  <c r="E1880" i="8"/>
  <c r="G5883" i="5"/>
  <c r="H5883" i="5"/>
  <c r="E1878" i="8"/>
  <c r="G5879" i="5"/>
  <c r="H5879" i="5"/>
  <c r="E1876" i="8"/>
  <c r="G5875" i="5"/>
  <c r="H5875" i="5"/>
  <c r="E1874" i="8"/>
  <c r="G5871" i="5"/>
  <c r="H5871" i="5"/>
  <c r="E1873" i="8"/>
  <c r="G5867" i="5"/>
  <c r="H5867" i="5"/>
  <c r="E1872" i="8"/>
  <c r="G5863" i="5"/>
  <c r="H5863" i="5"/>
  <c r="E1871" i="8"/>
  <c r="G5859" i="5"/>
  <c r="H5859" i="5"/>
  <c r="E1869" i="8"/>
  <c r="G5855" i="5"/>
  <c r="H5855" i="5"/>
  <c r="E1868" i="8"/>
  <c r="G5851" i="5"/>
  <c r="H5851" i="5"/>
  <c r="E1867" i="8"/>
  <c r="G5847" i="5"/>
  <c r="H5847" i="5"/>
  <c r="E1866" i="8"/>
  <c r="G5843" i="5"/>
  <c r="H5843" i="5"/>
  <c r="E1864" i="8"/>
  <c r="G5839" i="5"/>
  <c r="H5839" i="5"/>
  <c r="E1863" i="8"/>
  <c r="G5835" i="5"/>
  <c r="H5835" i="5"/>
  <c r="E1862" i="8"/>
  <c r="G5831" i="5"/>
  <c r="H5831" i="5"/>
  <c r="E1861" i="8"/>
  <c r="G5827" i="5"/>
  <c r="H5827" i="5"/>
  <c r="E1859" i="8"/>
  <c r="G5823" i="5"/>
  <c r="H5823" i="5"/>
  <c r="E1858" i="8"/>
  <c r="G5819" i="5"/>
  <c r="H5819" i="5"/>
  <c r="E1856" i="8"/>
  <c r="G5815" i="5"/>
  <c r="H5815" i="5"/>
  <c r="E1854" i="8"/>
  <c r="G5811" i="5"/>
  <c r="H5811" i="5"/>
  <c r="E1853" i="8"/>
  <c r="G5807" i="5"/>
  <c r="H5807" i="5"/>
  <c r="E1852" i="8"/>
  <c r="G5803" i="5"/>
  <c r="H5803" i="5"/>
  <c r="E1851" i="8"/>
  <c r="G5799" i="5"/>
  <c r="H5799" i="5"/>
  <c r="E1849" i="8"/>
  <c r="G5795" i="5"/>
  <c r="H5795" i="5"/>
  <c r="E1848" i="8"/>
  <c r="G5791" i="5"/>
  <c r="H5791" i="5"/>
  <c r="E1847" i="8"/>
  <c r="G5787" i="5"/>
  <c r="H5787" i="5"/>
  <c r="E1846" i="8"/>
  <c r="G5783" i="5"/>
  <c r="H5783" i="5"/>
  <c r="E1844" i="8"/>
  <c r="G5779" i="5"/>
  <c r="H5779" i="5"/>
  <c r="E1843" i="8"/>
  <c r="G5775" i="5"/>
  <c r="H5775" i="5"/>
  <c r="E1842" i="8"/>
  <c r="G5771" i="5"/>
  <c r="H5771" i="5"/>
  <c r="E1841" i="8"/>
  <c r="G5767" i="5"/>
  <c r="H5767" i="5"/>
  <c r="E1839" i="8"/>
  <c r="G5763" i="5"/>
  <c r="H5763" i="5"/>
  <c r="E1838" i="8"/>
  <c r="G5759" i="5"/>
  <c r="H5759" i="5"/>
  <c r="E1837" i="8"/>
  <c r="G5755" i="5"/>
  <c r="H5755" i="5"/>
  <c r="E1836" i="8"/>
  <c r="G5751" i="5"/>
  <c r="H5751" i="5"/>
  <c r="E1834" i="8"/>
  <c r="G5747" i="5"/>
  <c r="H5747" i="5"/>
  <c r="E1833" i="8"/>
  <c r="G5743" i="5"/>
  <c r="H5743" i="5"/>
  <c r="E1832" i="8"/>
  <c r="G5739" i="5"/>
  <c r="H5739" i="5"/>
  <c r="E1831" i="8"/>
  <c r="G5735" i="5"/>
  <c r="H5735" i="5"/>
  <c r="E1829" i="8"/>
  <c r="G5731" i="5"/>
  <c r="H5731" i="5"/>
  <c r="E1819" i="8"/>
  <c r="G5727" i="5"/>
  <c r="H5727" i="5"/>
  <c r="E1818" i="8"/>
  <c r="G5723" i="5"/>
  <c r="H5723" i="5"/>
  <c r="E1817" i="8"/>
  <c r="G5719" i="5"/>
  <c r="H5719" i="5"/>
  <c r="E1816" i="8"/>
  <c r="G5715" i="5"/>
  <c r="H5715" i="5"/>
  <c r="E1815" i="8"/>
  <c r="G5711" i="5"/>
  <c r="H5711" i="5"/>
  <c r="E1814" i="8"/>
  <c r="G5707" i="5"/>
  <c r="H5707" i="5"/>
  <c r="E1813" i="8"/>
  <c r="G5703" i="5"/>
  <c r="H5703" i="5"/>
  <c r="E1812" i="8"/>
  <c r="G5699" i="5"/>
  <c r="H5699" i="5"/>
  <c r="E1608" i="8"/>
  <c r="G5695" i="5"/>
  <c r="H5695" i="5"/>
  <c r="E1607" i="8"/>
  <c r="G5691" i="5"/>
  <c r="H5691" i="5"/>
  <c r="E1606" i="8"/>
  <c r="G5687" i="5"/>
  <c r="H5687" i="5"/>
  <c r="E1605" i="8"/>
  <c r="G5683" i="5"/>
  <c r="H5683" i="5"/>
  <c r="E1604" i="8"/>
  <c r="G5679" i="5"/>
  <c r="H5679" i="5"/>
  <c r="E1577" i="8"/>
  <c r="G5675" i="5"/>
  <c r="H5675" i="5"/>
  <c r="E1576" i="8"/>
  <c r="G5671" i="5"/>
  <c r="H5671" i="5"/>
  <c r="E1575" i="8"/>
  <c r="G5667" i="5"/>
  <c r="H5667" i="5"/>
  <c r="E1574" i="8"/>
  <c r="G5663" i="5"/>
  <c r="H5663" i="5"/>
  <c r="E1573" i="8"/>
  <c r="G5659" i="5"/>
  <c r="H5659" i="5"/>
  <c r="E1572" i="8"/>
  <c r="G5655" i="5"/>
  <c r="H5655" i="5"/>
  <c r="E1571" i="8"/>
  <c r="G5651" i="5"/>
  <c r="H5651" i="5"/>
  <c r="E1570" i="8"/>
  <c r="G5647" i="5"/>
  <c r="H5647" i="5"/>
  <c r="E1569" i="8"/>
  <c r="G5643" i="5"/>
  <c r="H5643" i="5"/>
  <c r="E1568" i="8"/>
  <c r="G5639" i="5"/>
  <c r="H5639" i="5"/>
  <c r="E1566" i="8"/>
  <c r="G5635" i="5"/>
  <c r="H5635" i="5"/>
  <c r="E1552" i="8"/>
  <c r="G5631" i="5"/>
  <c r="H5631" i="5"/>
  <c r="E1551" i="8"/>
  <c r="G5627" i="5"/>
  <c r="H5627" i="5"/>
  <c r="E1549" i="8"/>
  <c r="G5623" i="5"/>
  <c r="H5623" i="5"/>
  <c r="E1548" i="8"/>
  <c r="G5619" i="5"/>
  <c r="H5619" i="5"/>
  <c r="E1547" i="8"/>
  <c r="G5615" i="5"/>
  <c r="H5615" i="5"/>
  <c r="E1546" i="8"/>
  <c r="G5611" i="5"/>
  <c r="H5611" i="5"/>
  <c r="E1545" i="8"/>
  <c r="G5607" i="5"/>
  <c r="H5607" i="5"/>
  <c r="E1499" i="8"/>
  <c r="G5603" i="5"/>
  <c r="H5603" i="5"/>
  <c r="E1493" i="8"/>
  <c r="E5597" i="5"/>
  <c r="G5597" i="5"/>
  <c r="H5597" i="5"/>
  <c r="E1427" i="8"/>
  <c r="E5591" i="5"/>
  <c r="G5591" i="5"/>
  <c r="H5591" i="5"/>
  <c r="E1426" i="8"/>
  <c r="E5585" i="5"/>
  <c r="G5585" i="5"/>
  <c r="H5585" i="5"/>
  <c r="E1425" i="8"/>
  <c r="E5579" i="5"/>
  <c r="G5579" i="5"/>
  <c r="H5579" i="5"/>
  <c r="E1424" i="8"/>
  <c r="E5573" i="5"/>
  <c r="G5573" i="5"/>
  <c r="H5573" i="5"/>
  <c r="E1423" i="8"/>
  <c r="E5567" i="5"/>
  <c r="G5567" i="5"/>
  <c r="H5567" i="5"/>
  <c r="E1422" i="8"/>
  <c r="E5561" i="5"/>
  <c r="G5561" i="5"/>
  <c r="H5561" i="5"/>
  <c r="E1421" i="8"/>
  <c r="E5555" i="5"/>
  <c r="G5555" i="5"/>
  <c r="H5555" i="5"/>
  <c r="E1420" i="8"/>
  <c r="E5549" i="5"/>
  <c r="G5549" i="5"/>
  <c r="H5549" i="5"/>
  <c r="E1419" i="8"/>
  <c r="E5543" i="5"/>
  <c r="G5543" i="5"/>
  <c r="H5543" i="5"/>
  <c r="E1418" i="8"/>
  <c r="E5537" i="5"/>
  <c r="G5537" i="5"/>
  <c r="H5537" i="5"/>
  <c r="E1417" i="8"/>
  <c r="E5531" i="5"/>
  <c r="G5531" i="5"/>
  <c r="H5531" i="5"/>
  <c r="E1416" i="8"/>
  <c r="E5525" i="5"/>
  <c r="G5525" i="5"/>
  <c r="H5525" i="5"/>
  <c r="E1415" i="8"/>
  <c r="E5519" i="5"/>
  <c r="G5519" i="5"/>
  <c r="H5519" i="5"/>
  <c r="E1414" i="8"/>
  <c r="E5513" i="5"/>
  <c r="G5513" i="5"/>
  <c r="H5513" i="5"/>
  <c r="E1413" i="8"/>
  <c r="E5507" i="5"/>
  <c r="G5507" i="5"/>
  <c r="H5507" i="5"/>
  <c r="E1412" i="8"/>
  <c r="E5501" i="5"/>
  <c r="G5501" i="5"/>
  <c r="H5501" i="5"/>
  <c r="E1411" i="8"/>
  <c r="E5495" i="5"/>
  <c r="G5495" i="5"/>
  <c r="H5495" i="5"/>
  <c r="E1410" i="8"/>
  <c r="E5489" i="5"/>
  <c r="G5489" i="5"/>
  <c r="H5489" i="5"/>
  <c r="E1409" i="8"/>
  <c r="E5483" i="5"/>
  <c r="G5483" i="5"/>
  <c r="H5483" i="5"/>
  <c r="E1408" i="8"/>
  <c r="G5479" i="5"/>
  <c r="H5479" i="5"/>
  <c r="E1396" i="8"/>
  <c r="G5472" i="5"/>
  <c r="G5473" i="5"/>
  <c r="G5474" i="5"/>
  <c r="G5475" i="5"/>
  <c r="H5472" i="5"/>
  <c r="E1395" i="8"/>
  <c r="G5468" i="5"/>
  <c r="H5468" i="5"/>
  <c r="E1393" i="8"/>
  <c r="G5462" i="5"/>
  <c r="G5463" i="5"/>
  <c r="G5464" i="5"/>
  <c r="H5462" i="5"/>
  <c r="E1392" i="8"/>
  <c r="G5456" i="5"/>
  <c r="G5457" i="5"/>
  <c r="G5458" i="5"/>
  <c r="H5456" i="5"/>
  <c r="E1391" i="8"/>
  <c r="G5450" i="5"/>
  <c r="G5451" i="5"/>
  <c r="G5452" i="5"/>
  <c r="H5450" i="5"/>
  <c r="E1389" i="8"/>
  <c r="G5443" i="5"/>
  <c r="G5444" i="5"/>
  <c r="G5445" i="5"/>
  <c r="G5446" i="5"/>
  <c r="H5443" i="5"/>
  <c r="E1382" i="8"/>
  <c r="G5437" i="5"/>
  <c r="G5438" i="5"/>
  <c r="G5439" i="5"/>
  <c r="H5437" i="5"/>
  <c r="E1381" i="8"/>
  <c r="G5431" i="5"/>
  <c r="G5432" i="5"/>
  <c r="G5433" i="5"/>
  <c r="H5431" i="5"/>
  <c r="E1380" i="8"/>
  <c r="E5419" i="5"/>
  <c r="G5419" i="5"/>
  <c r="E5420" i="5"/>
  <c r="G5420" i="5"/>
  <c r="E5421" i="5"/>
  <c r="G5421" i="5"/>
  <c r="E5422" i="5"/>
  <c r="G5422" i="5"/>
  <c r="E5423" i="5"/>
  <c r="G5423" i="5"/>
  <c r="E5424" i="5"/>
  <c r="G5424" i="5"/>
  <c r="E5425" i="5"/>
  <c r="G5425" i="5"/>
  <c r="G5426" i="5"/>
  <c r="G5427" i="5"/>
  <c r="H5419" i="5"/>
  <c r="E1378" i="8"/>
  <c r="E5409" i="5"/>
  <c r="G5409" i="5"/>
  <c r="E5410" i="5"/>
  <c r="G5410" i="5"/>
  <c r="E5411" i="5"/>
  <c r="G5411" i="5"/>
  <c r="E5412" i="5"/>
  <c r="G5412" i="5"/>
  <c r="E5413" i="5"/>
  <c r="G5413" i="5"/>
  <c r="E5414" i="5"/>
  <c r="G5414" i="5"/>
  <c r="E5415" i="5"/>
  <c r="G5415" i="5"/>
  <c r="H5409" i="5"/>
  <c r="E1375" i="8"/>
  <c r="G5402" i="5"/>
  <c r="G5403" i="5"/>
  <c r="E5404" i="5"/>
  <c r="G5404" i="5"/>
  <c r="E5405" i="5"/>
  <c r="G5405" i="5"/>
  <c r="H5402" i="5"/>
  <c r="E1374" i="8"/>
  <c r="G5394" i="5"/>
  <c r="G5395" i="5"/>
  <c r="G5396" i="5"/>
  <c r="G5397" i="5"/>
  <c r="G5398" i="5"/>
  <c r="H5394" i="5"/>
  <c r="E1368" i="8"/>
  <c r="G5386" i="5"/>
  <c r="G5387" i="5"/>
  <c r="G5388" i="5"/>
  <c r="G5389" i="5"/>
  <c r="G5390" i="5"/>
  <c r="H5386" i="5"/>
  <c r="E1367" i="8"/>
  <c r="G5378" i="5"/>
  <c r="G5379" i="5"/>
  <c r="G5380" i="5"/>
  <c r="G5381" i="5"/>
  <c r="G5382" i="5"/>
  <c r="H5378" i="5"/>
  <c r="E1366" i="8"/>
  <c r="G5372" i="5"/>
  <c r="G5373" i="5"/>
  <c r="G5374" i="5"/>
  <c r="H5372" i="5"/>
  <c r="E1365" i="8"/>
  <c r="G5366" i="5"/>
  <c r="G5367" i="5"/>
  <c r="G5368" i="5"/>
  <c r="H5366" i="5"/>
  <c r="E1364" i="8"/>
  <c r="E5359" i="5"/>
  <c r="G5359" i="5"/>
  <c r="E5360" i="5"/>
  <c r="G5360" i="5"/>
  <c r="G5361" i="5"/>
  <c r="G5362" i="5"/>
  <c r="H5359" i="5"/>
  <c r="E1363" i="8"/>
  <c r="G5353" i="5"/>
  <c r="G5354" i="5"/>
  <c r="G5355" i="5"/>
  <c r="H5353" i="5"/>
  <c r="E1361" i="8"/>
  <c r="G5347" i="5"/>
  <c r="G5348" i="5"/>
  <c r="G5349" i="5"/>
  <c r="H5347" i="5"/>
  <c r="E1360" i="8"/>
  <c r="G5340" i="5"/>
  <c r="G5341" i="5"/>
  <c r="G5342" i="5"/>
  <c r="G5343" i="5"/>
  <c r="H5340" i="5"/>
  <c r="E1359" i="8"/>
  <c r="G5333" i="5"/>
  <c r="G5334" i="5"/>
  <c r="G5335" i="5"/>
  <c r="G5336" i="5"/>
  <c r="H5333" i="5"/>
  <c r="E1358" i="8"/>
  <c r="G5326" i="5"/>
  <c r="G5327" i="5"/>
  <c r="G5328" i="5"/>
  <c r="G5329" i="5"/>
  <c r="H5326" i="5"/>
  <c r="E1357" i="8"/>
  <c r="G5320" i="5"/>
  <c r="G5321" i="5"/>
  <c r="G5322" i="5"/>
  <c r="H5320" i="5"/>
  <c r="E1356" i="8"/>
  <c r="G5314" i="5"/>
  <c r="G5315" i="5"/>
  <c r="G5316" i="5"/>
  <c r="H5314" i="5"/>
  <c r="E1355" i="8"/>
  <c r="G5308" i="5"/>
  <c r="G5309" i="5"/>
  <c r="G5310" i="5"/>
  <c r="H5308" i="5"/>
  <c r="E1354" i="8"/>
  <c r="G5302" i="5"/>
  <c r="G5303" i="5"/>
  <c r="G5304" i="5"/>
  <c r="H5302" i="5"/>
  <c r="E1353" i="8"/>
  <c r="G5296" i="5"/>
  <c r="G5297" i="5"/>
  <c r="G5298" i="5"/>
  <c r="H5296" i="5"/>
  <c r="E1352" i="8"/>
  <c r="G5290" i="5"/>
  <c r="G5291" i="5"/>
  <c r="G5292" i="5"/>
  <c r="H5290" i="5"/>
  <c r="E1348" i="8"/>
  <c r="G5284" i="5"/>
  <c r="G5285" i="5"/>
  <c r="G5286" i="5"/>
  <c r="H5284" i="5"/>
  <c r="E1347" i="8"/>
  <c r="G5277" i="5"/>
  <c r="G5278" i="5"/>
  <c r="G5279" i="5"/>
  <c r="G5280" i="5"/>
  <c r="H5277" i="5"/>
  <c r="E1344" i="8"/>
  <c r="G5271" i="5"/>
  <c r="G5272" i="5"/>
  <c r="G5273" i="5"/>
  <c r="H5271" i="5"/>
  <c r="E1341" i="8"/>
  <c r="G5263" i="5"/>
  <c r="G5264" i="5"/>
  <c r="G5265" i="5"/>
  <c r="G5266" i="5"/>
  <c r="G5267" i="5"/>
  <c r="H5263" i="5"/>
  <c r="E1340" i="8"/>
  <c r="E5251" i="5"/>
  <c r="G5251" i="5"/>
  <c r="E5252" i="5"/>
  <c r="G5252" i="5"/>
  <c r="E5253" i="5"/>
  <c r="G5253" i="5"/>
  <c r="E5254" i="5"/>
  <c r="G5254" i="5"/>
  <c r="E5255" i="5"/>
  <c r="G5255" i="5"/>
  <c r="E5256" i="5"/>
  <c r="G5256" i="5"/>
  <c r="E5257" i="5"/>
  <c r="G5257" i="5"/>
  <c r="E5258" i="5"/>
  <c r="G5258" i="5"/>
  <c r="E5259" i="5"/>
  <c r="G5259" i="5"/>
  <c r="H5251" i="5"/>
  <c r="E1339" i="8"/>
  <c r="G5244" i="5"/>
  <c r="G5245" i="5"/>
  <c r="G5246" i="5"/>
  <c r="G5247" i="5"/>
  <c r="H5244" i="5"/>
  <c r="E1338" i="8"/>
  <c r="G5238" i="5"/>
  <c r="G5239" i="5"/>
  <c r="G5240" i="5"/>
  <c r="H5238" i="5"/>
  <c r="E1337" i="8"/>
  <c r="G5232" i="5"/>
  <c r="G5233" i="5"/>
  <c r="G5234" i="5"/>
  <c r="H5232" i="5"/>
  <c r="E1336" i="8"/>
  <c r="G5225" i="5"/>
  <c r="G5226" i="5"/>
  <c r="G5227" i="5"/>
  <c r="G5228" i="5"/>
  <c r="H5225" i="5"/>
  <c r="E1334" i="8"/>
  <c r="G5218" i="5"/>
  <c r="G5219" i="5"/>
  <c r="G5220" i="5"/>
  <c r="G5221" i="5"/>
  <c r="H5218" i="5"/>
  <c r="E1333" i="8"/>
  <c r="G5203" i="5"/>
  <c r="G5204" i="5"/>
  <c r="G5205" i="5"/>
  <c r="G5206" i="5"/>
  <c r="G5207" i="5"/>
  <c r="G5208" i="5"/>
  <c r="G5209" i="5"/>
  <c r="G5210" i="5"/>
  <c r="G5211" i="5"/>
  <c r="G5212" i="5"/>
  <c r="G5214" i="5"/>
  <c r="H5203" i="5"/>
  <c r="E1332" i="8"/>
  <c r="G5188" i="5"/>
  <c r="G5189" i="5"/>
  <c r="G5190" i="5"/>
  <c r="G5191" i="5"/>
  <c r="G5192" i="5"/>
  <c r="G5193" i="5"/>
  <c r="G5194" i="5"/>
  <c r="G5195" i="5"/>
  <c r="G5196" i="5"/>
  <c r="G5197" i="5"/>
  <c r="H5188" i="5"/>
  <c r="E1331" i="8"/>
  <c r="E5180" i="5"/>
  <c r="G5180" i="5"/>
  <c r="G5181" i="5"/>
  <c r="E5182" i="5"/>
  <c r="G5182" i="5"/>
  <c r="E5183" i="5"/>
  <c r="G5183" i="5"/>
  <c r="E5184" i="5"/>
  <c r="G5184" i="5"/>
  <c r="H5180" i="5"/>
  <c r="E1330" i="8"/>
  <c r="E5172" i="5"/>
  <c r="G5172" i="5"/>
  <c r="G5173" i="5"/>
  <c r="E5174" i="5"/>
  <c r="G5174" i="5"/>
  <c r="E5175" i="5"/>
  <c r="G5175" i="5"/>
  <c r="E5176" i="5"/>
  <c r="G5176" i="5"/>
  <c r="H5172" i="5"/>
  <c r="E1324" i="8"/>
  <c r="G5164" i="5"/>
  <c r="G5165" i="5"/>
  <c r="G5166" i="5"/>
  <c r="G5167" i="5"/>
  <c r="G5168" i="5"/>
  <c r="H5164" i="5"/>
  <c r="E1323" i="8"/>
  <c r="G5158" i="5"/>
  <c r="E5159" i="5"/>
  <c r="G5159" i="5"/>
  <c r="E5160" i="5"/>
  <c r="G5160" i="5"/>
  <c r="H5158" i="5"/>
  <c r="E1322" i="8"/>
  <c r="E5150" i="5"/>
  <c r="G5150" i="5"/>
  <c r="G5151" i="5"/>
  <c r="E5152" i="5"/>
  <c r="G5152" i="5"/>
  <c r="E5153" i="5"/>
  <c r="G5153" i="5"/>
  <c r="E5154" i="5"/>
  <c r="G5154" i="5"/>
  <c r="H5150" i="5"/>
  <c r="E1321" i="8"/>
  <c r="G5144" i="5"/>
  <c r="G5145" i="5"/>
  <c r="G5146" i="5"/>
  <c r="H5144" i="5"/>
  <c r="E1320" i="8"/>
  <c r="E5136" i="5"/>
  <c r="G5136" i="5"/>
  <c r="G5137" i="5"/>
  <c r="E5138" i="5"/>
  <c r="G5138" i="5"/>
  <c r="E5139" i="5"/>
  <c r="G5139" i="5"/>
  <c r="E5140" i="5"/>
  <c r="G5140" i="5"/>
  <c r="H5136" i="5"/>
  <c r="E1319" i="8"/>
  <c r="E5128" i="5"/>
  <c r="G5128" i="5"/>
  <c r="G5129" i="5"/>
  <c r="E5130" i="5"/>
  <c r="G5130" i="5"/>
  <c r="E5131" i="5"/>
  <c r="G5131" i="5"/>
  <c r="E5132" i="5"/>
  <c r="G5132" i="5"/>
  <c r="H5128" i="5"/>
  <c r="E1318" i="8"/>
  <c r="E5120" i="5"/>
  <c r="G5120" i="5"/>
  <c r="G5121" i="5"/>
  <c r="E5122" i="5"/>
  <c r="G5122" i="5"/>
  <c r="E5123" i="5"/>
  <c r="G5123" i="5"/>
  <c r="E5124" i="5"/>
  <c r="G5124" i="5"/>
  <c r="H5120" i="5"/>
  <c r="E1317" i="8"/>
  <c r="E5112" i="5"/>
  <c r="G5112" i="5"/>
  <c r="G5113" i="5"/>
  <c r="E5114" i="5"/>
  <c r="G5114" i="5"/>
  <c r="E5115" i="5"/>
  <c r="G5115" i="5"/>
  <c r="E5116" i="5"/>
  <c r="G5116" i="5"/>
  <c r="H5112" i="5"/>
  <c r="E1316" i="8"/>
  <c r="G5106" i="5"/>
  <c r="G5107" i="5"/>
  <c r="G5108" i="5"/>
  <c r="H5106" i="5"/>
  <c r="E1315" i="8"/>
  <c r="E5095" i="5"/>
  <c r="G5095" i="5"/>
  <c r="E5096" i="5"/>
  <c r="G5096" i="5"/>
  <c r="E5097" i="5"/>
  <c r="G5097" i="5"/>
  <c r="E5098" i="5"/>
  <c r="G5098" i="5"/>
  <c r="G5099" i="5"/>
  <c r="G5100" i="5"/>
  <c r="H5095" i="5"/>
  <c r="E1301" i="8"/>
  <c r="E5088" i="5"/>
  <c r="G5088" i="5"/>
  <c r="E5089" i="5"/>
  <c r="G5089" i="5"/>
  <c r="E5090" i="5"/>
  <c r="G5090" i="5"/>
  <c r="E5091" i="5"/>
  <c r="G5091" i="5"/>
  <c r="H5088" i="5"/>
  <c r="E1300" i="8"/>
  <c r="G5081" i="5"/>
  <c r="G5082" i="5"/>
  <c r="G5083" i="5"/>
  <c r="G5084" i="5"/>
  <c r="H5081" i="5"/>
  <c r="E1294" i="8"/>
  <c r="G5075" i="5"/>
  <c r="G5076" i="5"/>
  <c r="G5077" i="5"/>
  <c r="H5075" i="5"/>
  <c r="E1293" i="8"/>
  <c r="G5069" i="5"/>
  <c r="G5070" i="5"/>
  <c r="G5071" i="5"/>
  <c r="H5069" i="5"/>
  <c r="E1292" i="8"/>
  <c r="G5063" i="5"/>
  <c r="G5064" i="5"/>
  <c r="G5065" i="5"/>
  <c r="H5063" i="5"/>
  <c r="E1291" i="8"/>
  <c r="G5057" i="5"/>
  <c r="G5058" i="5"/>
  <c r="G5059" i="5"/>
  <c r="H5057" i="5"/>
  <c r="E1290" i="8"/>
  <c r="G5049" i="5"/>
  <c r="G5050" i="5"/>
  <c r="G5051" i="5"/>
  <c r="G5052" i="5"/>
  <c r="E5053" i="5"/>
  <c r="G5053" i="5"/>
  <c r="H5049" i="5"/>
  <c r="E1289" i="8"/>
  <c r="G5042" i="5"/>
  <c r="G5043" i="5"/>
  <c r="G5044" i="5"/>
  <c r="G5045" i="5"/>
  <c r="H5042" i="5"/>
  <c r="E1288" i="8"/>
  <c r="G5035" i="5"/>
  <c r="G5036" i="5"/>
  <c r="E5037" i="5"/>
  <c r="G5037" i="5"/>
  <c r="G5038" i="5"/>
  <c r="H5035" i="5"/>
  <c r="E1287" i="8"/>
  <c r="G5027" i="5"/>
  <c r="G5028" i="5"/>
  <c r="G5029" i="5"/>
  <c r="G5030" i="5"/>
  <c r="G5031" i="5"/>
  <c r="H5027" i="5"/>
  <c r="E1286" i="8"/>
  <c r="G5021" i="5"/>
  <c r="G5022" i="5"/>
  <c r="G5023" i="5"/>
  <c r="H5021" i="5"/>
  <c r="E1285" i="8"/>
  <c r="G5015" i="5"/>
  <c r="G5016" i="5"/>
  <c r="G5017" i="5"/>
  <c r="H5015" i="5"/>
  <c r="E1284" i="8"/>
  <c r="G5011" i="5"/>
  <c r="H5011" i="5"/>
  <c r="E1283" i="8"/>
  <c r="G5005" i="5"/>
  <c r="G5006" i="5"/>
  <c r="G5007" i="5"/>
  <c r="H5005" i="5"/>
  <c r="E1278" i="8"/>
  <c r="G4997" i="5"/>
  <c r="G4998" i="5"/>
  <c r="G4999" i="5"/>
  <c r="G5000" i="5"/>
  <c r="G5001" i="5"/>
  <c r="H4997" i="5"/>
  <c r="E1277" i="8"/>
  <c r="G4992" i="5"/>
  <c r="G4993" i="5"/>
  <c r="H4992" i="5"/>
  <c r="E1276" i="8"/>
  <c r="E4985" i="5"/>
  <c r="G4985" i="5"/>
  <c r="E4986" i="5"/>
  <c r="G4986" i="5"/>
  <c r="E4987" i="5"/>
  <c r="G4987" i="5"/>
  <c r="E4988" i="5"/>
  <c r="G4988" i="5"/>
  <c r="H4985" i="5"/>
  <c r="E1275" i="8"/>
  <c r="G4979" i="5"/>
  <c r="E4980" i="5"/>
  <c r="G4980" i="5"/>
  <c r="E4981" i="5"/>
  <c r="G4981" i="5"/>
  <c r="H4979" i="5"/>
  <c r="E1274" i="8"/>
  <c r="G4973" i="5"/>
  <c r="E4974" i="5"/>
  <c r="G4974" i="5"/>
  <c r="E4975" i="5"/>
  <c r="G4975" i="5"/>
  <c r="H4973" i="5"/>
  <c r="E1273" i="8"/>
  <c r="G4967" i="5"/>
  <c r="E4968" i="5"/>
  <c r="G4968" i="5"/>
  <c r="E4969" i="5"/>
  <c r="G4969" i="5"/>
  <c r="H4967" i="5"/>
  <c r="E1272" i="8"/>
  <c r="G4961" i="5"/>
  <c r="E4962" i="5"/>
  <c r="G4962" i="5"/>
  <c r="E4963" i="5"/>
  <c r="G4963" i="5"/>
  <c r="H4961" i="5"/>
  <c r="E1271" i="8"/>
  <c r="G4956" i="5"/>
  <c r="G4957" i="5"/>
  <c r="H4956" i="5"/>
  <c r="E1270" i="8"/>
  <c r="G4949" i="5"/>
  <c r="G4950" i="5"/>
  <c r="E4951" i="5"/>
  <c r="G4951" i="5"/>
  <c r="E4952" i="5"/>
  <c r="G4952" i="5"/>
  <c r="H4949" i="5"/>
  <c r="E1269" i="8"/>
  <c r="G4942" i="5"/>
  <c r="G4943" i="5"/>
  <c r="E4944" i="5"/>
  <c r="G4944" i="5"/>
  <c r="E4945" i="5"/>
  <c r="G4945" i="5"/>
  <c r="H4942" i="5"/>
  <c r="E1268" i="8"/>
  <c r="G4935" i="5"/>
  <c r="G4936" i="5"/>
  <c r="G4937" i="5"/>
  <c r="G4938" i="5"/>
  <c r="H4935" i="5"/>
  <c r="E1267" i="8"/>
  <c r="G4928" i="5"/>
  <c r="G4929" i="5"/>
  <c r="G4930" i="5"/>
  <c r="G4931" i="5"/>
  <c r="H4928" i="5"/>
  <c r="E1266" i="8"/>
  <c r="G4923" i="5"/>
  <c r="G4924" i="5"/>
  <c r="H4923" i="5"/>
  <c r="E1265" i="8"/>
  <c r="G4916" i="5"/>
  <c r="G4917" i="5"/>
  <c r="G4918" i="5"/>
  <c r="G4919" i="5"/>
  <c r="H4916" i="5"/>
  <c r="E1264" i="8"/>
  <c r="G4909" i="5"/>
  <c r="G4910" i="5"/>
  <c r="G4911" i="5"/>
  <c r="G4912" i="5"/>
  <c r="H4909" i="5"/>
  <c r="E1263" i="8"/>
  <c r="G4902" i="5"/>
  <c r="G4903" i="5"/>
  <c r="G4904" i="5"/>
  <c r="G4905" i="5"/>
  <c r="H4902" i="5"/>
  <c r="E1262" i="8"/>
  <c r="G4895" i="5"/>
  <c r="G4896" i="5"/>
  <c r="G4897" i="5"/>
  <c r="G4898" i="5"/>
  <c r="H4895" i="5"/>
  <c r="E1261" i="8"/>
  <c r="G4888" i="5"/>
  <c r="G4889" i="5"/>
  <c r="G4890" i="5"/>
  <c r="G4891" i="5"/>
  <c r="H4888" i="5"/>
  <c r="E1260" i="8"/>
  <c r="G4879" i="5"/>
  <c r="G4880" i="5"/>
  <c r="G4881" i="5"/>
  <c r="G4882" i="5"/>
  <c r="G4883" i="5"/>
  <c r="G4884" i="5"/>
  <c r="H4879" i="5"/>
  <c r="E1257" i="8"/>
  <c r="G4869" i="5"/>
  <c r="G4870" i="5"/>
  <c r="G4871" i="5"/>
  <c r="G4872" i="5"/>
  <c r="G4873" i="5"/>
  <c r="G4874" i="5"/>
  <c r="G4875" i="5"/>
  <c r="H4869" i="5"/>
  <c r="E1256" i="8"/>
  <c r="G4861" i="5"/>
  <c r="G4862" i="5"/>
  <c r="H4861" i="5"/>
  <c r="E1255" i="8"/>
  <c r="G4853" i="5"/>
  <c r="G4854" i="5"/>
  <c r="H4853" i="5"/>
  <c r="E1254" i="8"/>
  <c r="G4845" i="5"/>
  <c r="G4846" i="5"/>
  <c r="H4845" i="5"/>
  <c r="E1253" i="8"/>
  <c r="G4837" i="5"/>
  <c r="G4838" i="5"/>
  <c r="H4837" i="5"/>
  <c r="E1252" i="8"/>
  <c r="G4829" i="5"/>
  <c r="G4830" i="5"/>
  <c r="H4829" i="5"/>
  <c r="E1251" i="8"/>
  <c r="G4821" i="5"/>
  <c r="G4822" i="5"/>
  <c r="H4821" i="5"/>
  <c r="E1250" i="8"/>
  <c r="G4813" i="5"/>
  <c r="G4814" i="5"/>
  <c r="H4813" i="5"/>
  <c r="E1249" i="8"/>
  <c r="G4805" i="5"/>
  <c r="G4806" i="5"/>
  <c r="H4805" i="5"/>
  <c r="E1248" i="8"/>
  <c r="G4800" i="5"/>
  <c r="G4801" i="5"/>
  <c r="H4800" i="5"/>
  <c r="E1247" i="8"/>
  <c r="G4795" i="5"/>
  <c r="G4796" i="5"/>
  <c r="H4795" i="5"/>
  <c r="E1246" i="8"/>
  <c r="G4790" i="5"/>
  <c r="G4791" i="5"/>
  <c r="H4790" i="5"/>
  <c r="E1245" i="8"/>
  <c r="E4780" i="5"/>
  <c r="G4780" i="5"/>
  <c r="G4781" i="5"/>
  <c r="E4782" i="5"/>
  <c r="G4782" i="5"/>
  <c r="E4783" i="5"/>
  <c r="G4783" i="5"/>
  <c r="G4784" i="5"/>
  <c r="G4785" i="5"/>
  <c r="G4786" i="5"/>
  <c r="H4780" i="5"/>
  <c r="E1241" i="8"/>
  <c r="E4770" i="5"/>
  <c r="G4770" i="5"/>
  <c r="G4771" i="5"/>
  <c r="E4772" i="5"/>
  <c r="G4772" i="5"/>
  <c r="E4773" i="5"/>
  <c r="G4773" i="5"/>
  <c r="G4774" i="5"/>
  <c r="G4775" i="5"/>
  <c r="G4776" i="5"/>
  <c r="H4770" i="5"/>
  <c r="E1240" i="8"/>
  <c r="G4765" i="5"/>
  <c r="G4766" i="5"/>
  <c r="H4765" i="5"/>
  <c r="E1238" i="8"/>
  <c r="G4754" i="5"/>
  <c r="G4755" i="5"/>
  <c r="G4756" i="5"/>
  <c r="G4757" i="5"/>
  <c r="G4758" i="5"/>
  <c r="G4759" i="5"/>
  <c r="G4760" i="5"/>
  <c r="G4761" i="5"/>
  <c r="H4754" i="5"/>
  <c r="E1237" i="8"/>
  <c r="G4750" i="5"/>
  <c r="H4750" i="5"/>
  <c r="E1224" i="8"/>
  <c r="G4746" i="5"/>
  <c r="H4746" i="5"/>
  <c r="E1219" i="8"/>
  <c r="G4742" i="5"/>
  <c r="H4742" i="5"/>
  <c r="E1211" i="8"/>
  <c r="G4738" i="5"/>
  <c r="H4738" i="5"/>
  <c r="E1210" i="8"/>
  <c r="G4734" i="5"/>
  <c r="H4734" i="5"/>
  <c r="E1206" i="8"/>
  <c r="G4726" i="5"/>
  <c r="E4727" i="5"/>
  <c r="G4727" i="5"/>
  <c r="E4728" i="5"/>
  <c r="G4728" i="5"/>
  <c r="H4726" i="5"/>
  <c r="E1185" i="8"/>
  <c r="G4720" i="5"/>
  <c r="H4720" i="5"/>
  <c r="E1184" i="8"/>
  <c r="G4708" i="5"/>
  <c r="G4709" i="5"/>
  <c r="G4710" i="5"/>
  <c r="G4711" i="5"/>
  <c r="E4712" i="5"/>
  <c r="G4712" i="5"/>
  <c r="G4713" i="5"/>
  <c r="H4708" i="5"/>
  <c r="E1182" i="8"/>
  <c r="G4699" i="5"/>
  <c r="G4700" i="5"/>
  <c r="G4701" i="5"/>
  <c r="G4702" i="5"/>
  <c r="G4703" i="5"/>
  <c r="G4704" i="5"/>
  <c r="H4699" i="5"/>
  <c r="E1181" i="8"/>
  <c r="G4691" i="5"/>
  <c r="G4692" i="5"/>
  <c r="H4691" i="5"/>
  <c r="E1180" i="8"/>
  <c r="G4685" i="5"/>
  <c r="G4686" i="5"/>
  <c r="G4687" i="5"/>
  <c r="H4685" i="5"/>
  <c r="E1179" i="8"/>
  <c r="G4675" i="5"/>
  <c r="G4676" i="5"/>
  <c r="G4677" i="5"/>
  <c r="G4678" i="5"/>
  <c r="G4679" i="5"/>
  <c r="G4680" i="5"/>
  <c r="G4681" i="5"/>
  <c r="H4675" i="5"/>
  <c r="E1178" i="8"/>
  <c r="G4667" i="5"/>
  <c r="G4668" i="5"/>
  <c r="G4669" i="5"/>
  <c r="G4670" i="5"/>
  <c r="G4671" i="5"/>
  <c r="H4667" i="5"/>
  <c r="E1177" i="8"/>
  <c r="G4659" i="5"/>
  <c r="G4660" i="5"/>
  <c r="G4661" i="5"/>
  <c r="G4662" i="5"/>
  <c r="G4663" i="5"/>
  <c r="H4659" i="5"/>
  <c r="E1176" i="8"/>
  <c r="G4653" i="5"/>
  <c r="G4654" i="5"/>
  <c r="G4655" i="5"/>
  <c r="H4653" i="5"/>
  <c r="E1175" i="8"/>
  <c r="G4645" i="5"/>
  <c r="G4646" i="5"/>
  <c r="H4645" i="5"/>
  <c r="E1174" i="8"/>
  <c r="G4633" i="5"/>
  <c r="G4634" i="5"/>
  <c r="G4635" i="5"/>
  <c r="G4636" i="5"/>
  <c r="G4637" i="5"/>
  <c r="E4638" i="5"/>
  <c r="G4638" i="5"/>
  <c r="E4639" i="5"/>
  <c r="G4639" i="5"/>
  <c r="H4633" i="5"/>
  <c r="E1173" i="8"/>
  <c r="G4627" i="5"/>
  <c r="G4628" i="5"/>
  <c r="G4629" i="5"/>
  <c r="H4627" i="5"/>
  <c r="E1172" i="8"/>
  <c r="G4619" i="5"/>
  <c r="G4620" i="5"/>
  <c r="G4621" i="5"/>
  <c r="H4619" i="5"/>
  <c r="E1171" i="8"/>
  <c r="G4610" i="5"/>
  <c r="G4611" i="5"/>
  <c r="G4612" i="5"/>
  <c r="G4613" i="5"/>
  <c r="G4614" i="5"/>
  <c r="G4615" i="5"/>
  <c r="H4610" i="5"/>
  <c r="E1170" i="8"/>
  <c r="E4602" i="5"/>
  <c r="G4602" i="5"/>
  <c r="E4603" i="5"/>
  <c r="G4603" i="5"/>
  <c r="E4604" i="5"/>
  <c r="G4604" i="5"/>
  <c r="E4605" i="5"/>
  <c r="G4605" i="5"/>
  <c r="E4606" i="5"/>
  <c r="G4606" i="5"/>
  <c r="H4602" i="5"/>
  <c r="E1169" i="8"/>
  <c r="G4583" i="5"/>
  <c r="G4584" i="5"/>
  <c r="G4585" i="5"/>
  <c r="G4586" i="5"/>
  <c r="G4587" i="5"/>
  <c r="G4588" i="5"/>
  <c r="G4589" i="5"/>
  <c r="G4590" i="5"/>
  <c r="G4591" i="5"/>
  <c r="G4592" i="5"/>
  <c r="G4593" i="5"/>
  <c r="G4594" i="5"/>
  <c r="E4595" i="5"/>
  <c r="G4595" i="5"/>
  <c r="E4596" i="5"/>
  <c r="G4596" i="5"/>
  <c r="H4583" i="5"/>
  <c r="E1168" i="8"/>
  <c r="E4571" i="5"/>
  <c r="G4571" i="5"/>
  <c r="E4572" i="5"/>
  <c r="G4572" i="5"/>
  <c r="E4573" i="5"/>
  <c r="G4573" i="5"/>
  <c r="E4574" i="5"/>
  <c r="G4574" i="5"/>
  <c r="E4575" i="5"/>
  <c r="G4575" i="5"/>
  <c r="E4576" i="5"/>
  <c r="G4576" i="5"/>
  <c r="E4577" i="5"/>
  <c r="G4577" i="5"/>
  <c r="E4578" i="5"/>
  <c r="G4578" i="5"/>
  <c r="E4579" i="5"/>
  <c r="G4579" i="5"/>
  <c r="H4571" i="5"/>
  <c r="E1166" i="8"/>
  <c r="G4559" i="5"/>
  <c r="G4560" i="5"/>
  <c r="G4561" i="5"/>
  <c r="G4562" i="5"/>
  <c r="G4563" i="5"/>
  <c r="G4564" i="5"/>
  <c r="G4565" i="5"/>
  <c r="G4566" i="5"/>
  <c r="G4567" i="5"/>
  <c r="H4559" i="5"/>
  <c r="E1165" i="8"/>
  <c r="G4553" i="5"/>
  <c r="G4554" i="5"/>
  <c r="G4555" i="5"/>
  <c r="H4553" i="5"/>
  <c r="E1164" i="8"/>
  <c r="G4548" i="5"/>
  <c r="G4549" i="5"/>
  <c r="H4548" i="5"/>
  <c r="E1163" i="8"/>
  <c r="G4540" i="5"/>
  <c r="G4541" i="5"/>
  <c r="G4542" i="5"/>
  <c r="G4543" i="5"/>
  <c r="E4544" i="5"/>
  <c r="G4544" i="5"/>
  <c r="H4540" i="5"/>
  <c r="E1162" i="8"/>
  <c r="G4532" i="5"/>
  <c r="G4533" i="5"/>
  <c r="G4534" i="5"/>
  <c r="G4535" i="5"/>
  <c r="G4536" i="5"/>
  <c r="H4532" i="5"/>
  <c r="E1161" i="8"/>
  <c r="G4527" i="5"/>
  <c r="G4528" i="5"/>
  <c r="H4527" i="5"/>
  <c r="E1160" i="8"/>
  <c r="G4522" i="5"/>
  <c r="G4523" i="5"/>
  <c r="H4522" i="5"/>
  <c r="E1159" i="8"/>
  <c r="G4516" i="5"/>
  <c r="G4517" i="5"/>
  <c r="G4518" i="5"/>
  <c r="H4516" i="5"/>
  <c r="E1158" i="8"/>
  <c r="G4508" i="5"/>
  <c r="G4509" i="5"/>
  <c r="G4510" i="5"/>
  <c r="G4511" i="5"/>
  <c r="G4512" i="5"/>
  <c r="H4508" i="5"/>
  <c r="E1157" i="8"/>
  <c r="G4500" i="5"/>
  <c r="E4501" i="5"/>
  <c r="G4501" i="5"/>
  <c r="G4502" i="5"/>
  <c r="H4500" i="5"/>
  <c r="E1156" i="8"/>
  <c r="G4480" i="5"/>
  <c r="G4481" i="5"/>
  <c r="G4482" i="5"/>
  <c r="G4483" i="5"/>
  <c r="G4484" i="5"/>
  <c r="G4485" i="5"/>
  <c r="E4486" i="5"/>
  <c r="G4486" i="5"/>
  <c r="G4487" i="5"/>
  <c r="G4488" i="5"/>
  <c r="G4489" i="5"/>
  <c r="G4490" i="5"/>
  <c r="G4491" i="5"/>
  <c r="E4492" i="5"/>
  <c r="G4492" i="5"/>
  <c r="G4493" i="5"/>
  <c r="G4494" i="5"/>
  <c r="H4480" i="5"/>
  <c r="E1155" i="8"/>
  <c r="G4474" i="5"/>
  <c r="G4475" i="5"/>
  <c r="G4476" i="5"/>
  <c r="H4474" i="5"/>
  <c r="E1154" i="8"/>
  <c r="G4462" i="5"/>
  <c r="G4463" i="5"/>
  <c r="G4464" i="5"/>
  <c r="G4465" i="5"/>
  <c r="G4466" i="5"/>
  <c r="G4467" i="5"/>
  <c r="G4468" i="5"/>
  <c r="G4469" i="5"/>
  <c r="G4470" i="5"/>
  <c r="H4462" i="5"/>
  <c r="E1153" i="8"/>
  <c r="G4450" i="5"/>
  <c r="G4451" i="5"/>
  <c r="G4452" i="5"/>
  <c r="G4453" i="5"/>
  <c r="G4454" i="5"/>
  <c r="G4455" i="5"/>
  <c r="G4456" i="5"/>
  <c r="G4457" i="5"/>
  <c r="G4458" i="5"/>
  <c r="H4450" i="5"/>
  <c r="E1152" i="8"/>
  <c r="G4442" i="5"/>
  <c r="G4443" i="5"/>
  <c r="G4444" i="5"/>
  <c r="G4445" i="5"/>
  <c r="G4446" i="5"/>
  <c r="H4442" i="5"/>
  <c r="E1148" i="8"/>
  <c r="G4432" i="5"/>
  <c r="G4433" i="5"/>
  <c r="G4434" i="5"/>
  <c r="G4435" i="5"/>
  <c r="G4436" i="5"/>
  <c r="G4437" i="5"/>
  <c r="G4438" i="5"/>
  <c r="H4432" i="5"/>
  <c r="E1147" i="8"/>
  <c r="G4422" i="5"/>
  <c r="G4423" i="5"/>
  <c r="G4424" i="5"/>
  <c r="G4425" i="5"/>
  <c r="G4426" i="5"/>
  <c r="G4427" i="5"/>
  <c r="G4428" i="5"/>
  <c r="H4422" i="5"/>
  <c r="E1146" i="8"/>
  <c r="G4412" i="5"/>
  <c r="G4413" i="5"/>
  <c r="G4414" i="5"/>
  <c r="G4415" i="5"/>
  <c r="G4416" i="5"/>
  <c r="G4417" i="5"/>
  <c r="G4418" i="5"/>
  <c r="H4412" i="5"/>
  <c r="E1145" i="8"/>
  <c r="E4404" i="5"/>
  <c r="G4404" i="5"/>
  <c r="E4405" i="5"/>
  <c r="G4405" i="5"/>
  <c r="E4406" i="5"/>
  <c r="G4406" i="5"/>
  <c r="G4407" i="5"/>
  <c r="E4408" i="5"/>
  <c r="G4408" i="5"/>
  <c r="H4404" i="5"/>
  <c r="E1144" i="8"/>
  <c r="E4396" i="5"/>
  <c r="G4396" i="5"/>
  <c r="E4397" i="5"/>
  <c r="G4397" i="5"/>
  <c r="E4398" i="5"/>
  <c r="G4398" i="5"/>
  <c r="G4399" i="5"/>
  <c r="E4400" i="5"/>
  <c r="G4400" i="5"/>
  <c r="H4396" i="5"/>
  <c r="E1143" i="8"/>
  <c r="G4386" i="5"/>
  <c r="G4387" i="5"/>
  <c r="G4388" i="5"/>
  <c r="G4389" i="5"/>
  <c r="G4390" i="5"/>
  <c r="G4391" i="5"/>
  <c r="G4392" i="5"/>
  <c r="H4386" i="5"/>
  <c r="E1142" i="8"/>
  <c r="G4377" i="5"/>
  <c r="G4378" i="5"/>
  <c r="G4379" i="5"/>
  <c r="G4380" i="5"/>
  <c r="G4381" i="5"/>
  <c r="G4382" i="5"/>
  <c r="H4377" i="5"/>
  <c r="E1141" i="8"/>
  <c r="G4368" i="5"/>
  <c r="G4369" i="5"/>
  <c r="G4370" i="5"/>
  <c r="G4371" i="5"/>
  <c r="G4372" i="5"/>
  <c r="G4373" i="5"/>
  <c r="H4368" i="5"/>
  <c r="E1140" i="8"/>
  <c r="G4359" i="5"/>
  <c r="G4360" i="5"/>
  <c r="G4361" i="5"/>
  <c r="G4362" i="5"/>
  <c r="G4363" i="5"/>
  <c r="G4364" i="5"/>
  <c r="H4359" i="5"/>
  <c r="E1139" i="8"/>
  <c r="G4350" i="5"/>
  <c r="G4351" i="5"/>
  <c r="G4352" i="5"/>
  <c r="G4353" i="5"/>
  <c r="G4354" i="5"/>
  <c r="G4355" i="5"/>
  <c r="H4350" i="5"/>
  <c r="E1138" i="8"/>
  <c r="G4339" i="5"/>
  <c r="G4340" i="5"/>
  <c r="G4341" i="5"/>
  <c r="G4342" i="5"/>
  <c r="G4343" i="5"/>
  <c r="G4344" i="5"/>
  <c r="G4345" i="5"/>
  <c r="G4346" i="5"/>
  <c r="H4339" i="5"/>
  <c r="E1137" i="8"/>
  <c r="E4332" i="5"/>
  <c r="G4332" i="5"/>
  <c r="E4333" i="5"/>
  <c r="G4333" i="5"/>
  <c r="E4334" i="5"/>
  <c r="G4334" i="5"/>
  <c r="G4335" i="5"/>
  <c r="H4332" i="5"/>
  <c r="E1136" i="8"/>
  <c r="G4305" i="5"/>
  <c r="G4306" i="5"/>
  <c r="G4307" i="5"/>
  <c r="G4308" i="5"/>
  <c r="G4309" i="5"/>
  <c r="G4310" i="5"/>
  <c r="G4311" i="5"/>
  <c r="G4312" i="5"/>
  <c r="G4313" i="5"/>
  <c r="G4314" i="5"/>
  <c r="G4315" i="5"/>
  <c r="G4316" i="5"/>
  <c r="G4317" i="5"/>
  <c r="G4318" i="5"/>
  <c r="G4319" i="5"/>
  <c r="G4320" i="5"/>
  <c r="G4321" i="5"/>
  <c r="G4322" i="5"/>
  <c r="G4323" i="5"/>
  <c r="G4324" i="5"/>
  <c r="E4325" i="5"/>
  <c r="G4325" i="5"/>
  <c r="E4326" i="5"/>
  <c r="G4326" i="5"/>
  <c r="H4305" i="5"/>
  <c r="E1135" i="8"/>
  <c r="G4289" i="5"/>
  <c r="G4290" i="5"/>
  <c r="G4291" i="5"/>
  <c r="G4292" i="5"/>
  <c r="G4293" i="5"/>
  <c r="G4294" i="5"/>
  <c r="G4295" i="5"/>
  <c r="G4296" i="5"/>
  <c r="G4297" i="5"/>
  <c r="E4298" i="5"/>
  <c r="G4298" i="5"/>
  <c r="E4299" i="5"/>
  <c r="G4299" i="5"/>
  <c r="H4289" i="5"/>
  <c r="E1134" i="8"/>
  <c r="E4280" i="5"/>
  <c r="G4280" i="5"/>
  <c r="E4281" i="5"/>
  <c r="G4281" i="5"/>
  <c r="E4282" i="5"/>
  <c r="G4282" i="5"/>
  <c r="G4283" i="5"/>
  <c r="G4284" i="5"/>
  <c r="G4285" i="5"/>
  <c r="H4280" i="5"/>
  <c r="E1133" i="8"/>
  <c r="G4272" i="5"/>
  <c r="G4273" i="5"/>
  <c r="G4274" i="5"/>
  <c r="G4275" i="5"/>
  <c r="G4276" i="5"/>
  <c r="H4272" i="5"/>
  <c r="E1132" i="8"/>
  <c r="G4267" i="5"/>
  <c r="G4268" i="5"/>
  <c r="H4267" i="5"/>
  <c r="E1131" i="8"/>
  <c r="G4260" i="5"/>
  <c r="G4261" i="5"/>
  <c r="G4262" i="5"/>
  <c r="G4263" i="5"/>
  <c r="H4260" i="5"/>
  <c r="E1130" i="8"/>
  <c r="G4251" i="5"/>
  <c r="G4252" i="5"/>
  <c r="G4253" i="5"/>
  <c r="G4254" i="5"/>
  <c r="G4255" i="5"/>
  <c r="G4256" i="5"/>
  <c r="H4251" i="5"/>
  <c r="E1129" i="8"/>
  <c r="G4243" i="5"/>
  <c r="G4244" i="5"/>
  <c r="G4245" i="5"/>
  <c r="G4246" i="5"/>
  <c r="G4247" i="5"/>
  <c r="H4243" i="5"/>
  <c r="E1128" i="8"/>
  <c r="E4235" i="5"/>
  <c r="G4235" i="5"/>
  <c r="G4236" i="5"/>
  <c r="G4237" i="5"/>
  <c r="H4235" i="5"/>
  <c r="E1126" i="8"/>
  <c r="G4229" i="5"/>
  <c r="G4230" i="5"/>
  <c r="G4231" i="5"/>
  <c r="H4229" i="5"/>
  <c r="E1125" i="8"/>
  <c r="G4219" i="5"/>
  <c r="G4220" i="5"/>
  <c r="G4221" i="5"/>
  <c r="G4222" i="5"/>
  <c r="G4223" i="5"/>
  <c r="G4224" i="5"/>
  <c r="G4225" i="5"/>
  <c r="H4219" i="5"/>
  <c r="E1124" i="8"/>
  <c r="G4213" i="5"/>
  <c r="G4214" i="5"/>
  <c r="G4215" i="5"/>
  <c r="H4213" i="5"/>
  <c r="E1123" i="8"/>
  <c r="G4207" i="5"/>
  <c r="G4208" i="5"/>
  <c r="G4209" i="5"/>
  <c r="H4207" i="5"/>
  <c r="E1122" i="8"/>
  <c r="G4201" i="5"/>
  <c r="G4202" i="5"/>
  <c r="E4203" i="5"/>
  <c r="G4203" i="5"/>
  <c r="H4201" i="5"/>
  <c r="E1121" i="8"/>
  <c r="G4194" i="5"/>
  <c r="G4195" i="5"/>
  <c r="G4196" i="5"/>
  <c r="G4197" i="5"/>
  <c r="H4194" i="5"/>
  <c r="E1120" i="8"/>
  <c r="G4187" i="5"/>
  <c r="G4188" i="5"/>
  <c r="G4189" i="5"/>
  <c r="G4190" i="5"/>
  <c r="H4187" i="5"/>
  <c r="E1119" i="8"/>
  <c r="G4183" i="5"/>
  <c r="H4183" i="5"/>
  <c r="E1118" i="8"/>
  <c r="G4172" i="5"/>
  <c r="E4173" i="5"/>
  <c r="G4173" i="5"/>
  <c r="G4174" i="5"/>
  <c r="G4175" i="5"/>
  <c r="G4176" i="5"/>
  <c r="G4177" i="5"/>
  <c r="H4172" i="5"/>
  <c r="E1117" i="8"/>
  <c r="G4161" i="5"/>
  <c r="G4162" i="5"/>
  <c r="G4163" i="5"/>
  <c r="G4164" i="5"/>
  <c r="E4165" i="5"/>
  <c r="G4165" i="5"/>
  <c r="H4161" i="5"/>
  <c r="E1116" i="8"/>
  <c r="G4154" i="5"/>
  <c r="G4155" i="5"/>
  <c r="G4156" i="5"/>
  <c r="G4157" i="5"/>
  <c r="H4154" i="5"/>
  <c r="E1115" i="8"/>
  <c r="G4150" i="5"/>
  <c r="H4150" i="5"/>
  <c r="E1114" i="8"/>
  <c r="G4142" i="5"/>
  <c r="G4143" i="5"/>
  <c r="G4144" i="5"/>
  <c r="G4145" i="5"/>
  <c r="G4146" i="5"/>
  <c r="H4142" i="5"/>
  <c r="E1113" i="8"/>
  <c r="G4134" i="5"/>
  <c r="G4135" i="5"/>
  <c r="G4136" i="5"/>
  <c r="G4137" i="5"/>
  <c r="G4138" i="5"/>
  <c r="H4134" i="5"/>
  <c r="E1112" i="8"/>
  <c r="G4126" i="5"/>
  <c r="G4127" i="5"/>
  <c r="G4128" i="5"/>
  <c r="G4129" i="5"/>
  <c r="G4130" i="5"/>
  <c r="H4126" i="5"/>
  <c r="E1111" i="8"/>
  <c r="G4119" i="5"/>
  <c r="G4120" i="5"/>
  <c r="G4121" i="5"/>
  <c r="G4122" i="5"/>
  <c r="H4119" i="5"/>
  <c r="E1110" i="8"/>
  <c r="E4115" i="5"/>
  <c r="G4115" i="5"/>
  <c r="H4115" i="5"/>
  <c r="E1109" i="8"/>
  <c r="E4109" i="5"/>
  <c r="G4109" i="5"/>
  <c r="H4109" i="5"/>
  <c r="E1107" i="8"/>
  <c r="G4102" i="5"/>
  <c r="G4103" i="5"/>
  <c r="G4104" i="5"/>
  <c r="G4105" i="5"/>
  <c r="H4102" i="5"/>
  <c r="E1106" i="8"/>
  <c r="G4096" i="5"/>
  <c r="G4097" i="5"/>
  <c r="G4098" i="5"/>
  <c r="H4096" i="5"/>
  <c r="E1103" i="8"/>
  <c r="G4090" i="5"/>
  <c r="G4091" i="5"/>
  <c r="G4092" i="5"/>
  <c r="H4090" i="5"/>
  <c r="E1102" i="8"/>
  <c r="G4081" i="5"/>
  <c r="G4082" i="5"/>
  <c r="G4083" i="5"/>
  <c r="G4084" i="5"/>
  <c r="G4085" i="5"/>
  <c r="G4086" i="5"/>
  <c r="H4081" i="5"/>
  <c r="E1099" i="8"/>
  <c r="G4072" i="5"/>
  <c r="G4073" i="5"/>
  <c r="G4074" i="5"/>
  <c r="G4075" i="5"/>
  <c r="G4076" i="5"/>
  <c r="G4077" i="5"/>
  <c r="H4072" i="5"/>
  <c r="E1098" i="8"/>
  <c r="G4063" i="5"/>
  <c r="G4064" i="5"/>
  <c r="G4065" i="5"/>
  <c r="G4066" i="5"/>
  <c r="G4067" i="5"/>
  <c r="G4068" i="5"/>
  <c r="H4063" i="5"/>
  <c r="E1097" i="8"/>
  <c r="G4054" i="5"/>
  <c r="G4055" i="5"/>
  <c r="G4056" i="5"/>
  <c r="G4057" i="5"/>
  <c r="G4058" i="5"/>
  <c r="G4059" i="5"/>
  <c r="H4054" i="5"/>
  <c r="E1095" i="8"/>
  <c r="G4045" i="5"/>
  <c r="G4046" i="5"/>
  <c r="G4047" i="5"/>
  <c r="G4048" i="5"/>
  <c r="G4049" i="5"/>
  <c r="G4050" i="5"/>
  <c r="H4045" i="5"/>
  <c r="E1094" i="8"/>
  <c r="G4036" i="5"/>
  <c r="G4037" i="5"/>
  <c r="G4038" i="5"/>
  <c r="G4039" i="5"/>
  <c r="G4040" i="5"/>
  <c r="G4041" i="5"/>
  <c r="H4036" i="5"/>
  <c r="E1093" i="8"/>
  <c r="G4032" i="5"/>
  <c r="H4032" i="5"/>
  <c r="E1088" i="8"/>
  <c r="G4028" i="5"/>
  <c r="H4028" i="5"/>
  <c r="E1087" i="8"/>
  <c r="E4023" i="5"/>
  <c r="G4023" i="5"/>
  <c r="G4024" i="5"/>
  <c r="H4023" i="5"/>
  <c r="E1085" i="8"/>
  <c r="G4010" i="5"/>
  <c r="G4011" i="5"/>
  <c r="G4012" i="5"/>
  <c r="G4013" i="5"/>
  <c r="G4014" i="5"/>
  <c r="G4015" i="5"/>
  <c r="G4016" i="5"/>
  <c r="G4017" i="5"/>
  <c r="G4018" i="5"/>
  <c r="G4019" i="5"/>
  <c r="H4010" i="5"/>
  <c r="E1083" i="8"/>
  <c r="G3997" i="5"/>
  <c r="G3998" i="5"/>
  <c r="G3999" i="5"/>
  <c r="G4000" i="5"/>
  <c r="G4001" i="5"/>
  <c r="G4002" i="5"/>
  <c r="E4003" i="5"/>
  <c r="G4003" i="5"/>
  <c r="E4004" i="5"/>
  <c r="G4004" i="5"/>
  <c r="H3997" i="5"/>
  <c r="E1082" i="8"/>
  <c r="G3989" i="5"/>
  <c r="G3990" i="5"/>
  <c r="G3991" i="5"/>
  <c r="G3992" i="5"/>
  <c r="G3993" i="5"/>
  <c r="H3989" i="5"/>
  <c r="E1081" i="8"/>
  <c r="G3982" i="5"/>
  <c r="G3983" i="5"/>
  <c r="G3984" i="5"/>
  <c r="G3985" i="5"/>
  <c r="H3982" i="5"/>
  <c r="E1079" i="8"/>
  <c r="G3972" i="5"/>
  <c r="G3973" i="5"/>
  <c r="G3974" i="5"/>
  <c r="G3975" i="5"/>
  <c r="G3976" i="5"/>
  <c r="G3977" i="5"/>
  <c r="G3978" i="5"/>
  <c r="H3972" i="5"/>
  <c r="E1078" i="8"/>
  <c r="G3964" i="5"/>
  <c r="G3965" i="5"/>
  <c r="G3966" i="5"/>
  <c r="G3967" i="5"/>
  <c r="G3968" i="5"/>
  <c r="H3964" i="5"/>
  <c r="E1077" i="8"/>
  <c r="G3955" i="5"/>
  <c r="G3956" i="5"/>
  <c r="G3957" i="5"/>
  <c r="G3958" i="5"/>
  <c r="G3959" i="5"/>
  <c r="G3960" i="5"/>
  <c r="H3955" i="5"/>
  <c r="E1076" i="8"/>
  <c r="G3948" i="5"/>
  <c r="E3949" i="5"/>
  <c r="G3949" i="5"/>
  <c r="E3950" i="5"/>
  <c r="G3950" i="5"/>
  <c r="E3951" i="5"/>
  <c r="G3951" i="5"/>
  <c r="H3948" i="5"/>
  <c r="E1075" i="8"/>
  <c r="G3942" i="5"/>
  <c r="G3943" i="5"/>
  <c r="G3944" i="5"/>
  <c r="H3942" i="5"/>
  <c r="E1074" i="8"/>
  <c r="G3936" i="5"/>
  <c r="G3937" i="5"/>
  <c r="G3938" i="5"/>
  <c r="H3936" i="5"/>
  <c r="E1073" i="8"/>
  <c r="G3930" i="5"/>
  <c r="G3931" i="5"/>
  <c r="G3932" i="5"/>
  <c r="H3930" i="5"/>
  <c r="E1071" i="8"/>
  <c r="G3912" i="5"/>
  <c r="G3913" i="5"/>
  <c r="G3914" i="5"/>
  <c r="G3915" i="5"/>
  <c r="G3916" i="5"/>
  <c r="G3917" i="5"/>
  <c r="G3918" i="5"/>
  <c r="G3919" i="5"/>
  <c r="G3920" i="5"/>
  <c r="G3921" i="5"/>
  <c r="G3922" i="5"/>
  <c r="G3923" i="5"/>
  <c r="G3924" i="5"/>
  <c r="G3925" i="5"/>
  <c r="G3926" i="5"/>
  <c r="H3912" i="5"/>
  <c r="E1070" i="8"/>
  <c r="G3905" i="5"/>
  <c r="G3906" i="5"/>
  <c r="G3907" i="5"/>
  <c r="G3908" i="5"/>
  <c r="H3905" i="5"/>
  <c r="E1069" i="8"/>
  <c r="G3890" i="5"/>
  <c r="G3891" i="5"/>
  <c r="G3892" i="5"/>
  <c r="G3893" i="5"/>
  <c r="G3894" i="5"/>
  <c r="G3895" i="5"/>
  <c r="G3896" i="5"/>
  <c r="G3897" i="5"/>
  <c r="G3898" i="5"/>
  <c r="G3899" i="5"/>
  <c r="G3900" i="5"/>
  <c r="G3901" i="5"/>
  <c r="H3890" i="5"/>
  <c r="E1068" i="8"/>
  <c r="G3878" i="5"/>
  <c r="G3879" i="5"/>
  <c r="G3880" i="5"/>
  <c r="G3881" i="5"/>
  <c r="G3882" i="5"/>
  <c r="E3883" i="5"/>
  <c r="G3883" i="5"/>
  <c r="E3884" i="5"/>
  <c r="G3884" i="5"/>
  <c r="H3878" i="5"/>
  <c r="E1067" i="8"/>
  <c r="G3870" i="5"/>
  <c r="G3871" i="5"/>
  <c r="G3872" i="5"/>
  <c r="G3873" i="5"/>
  <c r="G3874" i="5"/>
  <c r="H3870" i="5"/>
  <c r="E1066" i="8"/>
  <c r="G3861" i="5"/>
  <c r="G3862" i="5"/>
  <c r="G3863" i="5"/>
  <c r="G3864" i="5"/>
  <c r="G3865" i="5"/>
  <c r="G3866" i="5"/>
  <c r="H3861" i="5"/>
  <c r="E1065" i="8"/>
  <c r="E3851" i="5"/>
  <c r="G3851" i="5"/>
  <c r="E3852" i="5"/>
  <c r="G3852" i="5"/>
  <c r="G3853" i="5"/>
  <c r="E3854" i="5"/>
  <c r="G3854" i="5"/>
  <c r="E3855" i="5"/>
  <c r="G3855" i="5"/>
  <c r="E3856" i="5"/>
  <c r="G3856" i="5"/>
  <c r="E3857" i="5"/>
  <c r="G3857" i="5"/>
  <c r="H3851" i="5"/>
  <c r="E1064" i="8"/>
  <c r="G3840" i="5"/>
  <c r="G3841" i="5"/>
  <c r="G3842" i="5"/>
  <c r="G3843" i="5"/>
  <c r="G3844" i="5"/>
  <c r="E3845" i="5"/>
  <c r="G3845" i="5"/>
  <c r="H3840" i="5"/>
  <c r="E1059" i="8"/>
  <c r="E3835" i="5"/>
  <c r="G3835" i="5"/>
  <c r="G3836" i="5"/>
  <c r="H3835" i="5"/>
  <c r="E1058" i="8"/>
  <c r="E3829" i="5"/>
  <c r="G3829" i="5"/>
  <c r="G3830" i="5"/>
  <c r="G3831" i="5"/>
  <c r="G3832" i="5"/>
  <c r="H3829" i="5"/>
  <c r="E1046" i="8"/>
  <c r="E3823" i="5"/>
  <c r="G3823" i="5"/>
  <c r="G3824" i="5"/>
  <c r="G3825" i="5"/>
  <c r="G3826" i="5"/>
  <c r="H3823" i="5"/>
  <c r="E1045" i="8"/>
  <c r="E3817" i="5"/>
  <c r="G3817" i="5"/>
  <c r="G3818" i="5"/>
  <c r="G3819" i="5"/>
  <c r="G3820" i="5"/>
  <c r="H3817" i="5"/>
  <c r="E1044" i="8"/>
  <c r="E3811" i="5"/>
  <c r="G3811" i="5"/>
  <c r="G3812" i="5"/>
  <c r="G3813" i="5"/>
  <c r="G3814" i="5"/>
  <c r="H3811" i="5"/>
  <c r="E1043" i="8"/>
  <c r="E3805" i="5"/>
  <c r="G3805" i="5"/>
  <c r="G3806" i="5"/>
  <c r="G3807" i="5"/>
  <c r="G3808" i="5"/>
  <c r="H3805" i="5"/>
  <c r="E1042" i="8"/>
  <c r="E3799" i="5"/>
  <c r="G3799" i="5"/>
  <c r="G3800" i="5"/>
  <c r="G3801" i="5"/>
  <c r="G3802" i="5"/>
  <c r="H3799" i="5"/>
  <c r="E1041" i="8"/>
  <c r="E3793" i="5"/>
  <c r="G3793" i="5"/>
  <c r="G3794" i="5"/>
  <c r="G3795" i="5"/>
  <c r="G3796" i="5"/>
  <c r="H3793" i="5"/>
  <c r="E1040" i="8"/>
  <c r="E3787" i="5"/>
  <c r="G3787" i="5"/>
  <c r="G3788" i="5"/>
  <c r="G3789" i="5"/>
  <c r="G3790" i="5"/>
  <c r="H3787" i="5"/>
  <c r="E1039" i="8"/>
  <c r="E3781" i="5"/>
  <c r="G3781" i="5"/>
  <c r="G3782" i="5"/>
  <c r="G3783" i="5"/>
  <c r="G3784" i="5"/>
  <c r="H3781" i="5"/>
  <c r="E1038" i="8"/>
  <c r="E3775" i="5"/>
  <c r="G3775" i="5"/>
  <c r="G3776" i="5"/>
  <c r="G3777" i="5"/>
  <c r="G3778" i="5"/>
  <c r="H3775" i="5"/>
  <c r="E1037" i="8"/>
  <c r="G3771" i="5"/>
  <c r="G3772" i="5"/>
  <c r="H3771" i="5"/>
  <c r="E1036" i="8"/>
  <c r="G3767" i="5"/>
  <c r="H3767" i="5"/>
  <c r="E1035" i="8"/>
  <c r="G3763" i="5"/>
  <c r="H3763" i="5"/>
  <c r="E1034" i="8"/>
  <c r="G3756" i="5"/>
  <c r="G3757" i="5"/>
  <c r="G3758" i="5"/>
  <c r="G3759" i="5"/>
  <c r="H3756" i="5"/>
  <c r="E1019" i="8"/>
  <c r="G3747" i="5"/>
  <c r="E3748" i="5"/>
  <c r="G3748" i="5"/>
  <c r="E3749" i="5"/>
  <c r="G3749" i="5"/>
  <c r="H3747" i="5"/>
  <c r="E1018" i="8"/>
  <c r="G3742" i="5"/>
  <c r="E3743" i="5"/>
  <c r="G3743" i="5"/>
  <c r="H3742" i="5"/>
  <c r="E1017" i="8"/>
  <c r="G3732" i="5"/>
  <c r="G3733" i="5"/>
  <c r="G3734" i="5"/>
  <c r="G3735" i="5"/>
  <c r="G3736" i="5"/>
  <c r="G3737" i="5"/>
  <c r="G3738" i="5"/>
  <c r="H3732" i="5"/>
  <c r="E1016" i="8"/>
  <c r="G3728" i="5"/>
  <c r="H3728" i="5"/>
  <c r="E1006" i="8"/>
  <c r="E3717" i="5"/>
  <c r="G3717" i="5"/>
  <c r="E3718" i="5"/>
  <c r="G3718" i="5"/>
  <c r="E3719" i="5"/>
  <c r="G3719" i="5"/>
  <c r="E3720" i="5"/>
  <c r="G3720" i="5"/>
  <c r="G3721" i="5"/>
  <c r="E3722" i="5"/>
  <c r="G3722" i="5"/>
  <c r="H3717" i="5"/>
  <c r="E999" i="8"/>
  <c r="G3704" i="5"/>
  <c r="G3705" i="5"/>
  <c r="G3706" i="5"/>
  <c r="G3707" i="5"/>
  <c r="G3708" i="5"/>
  <c r="G3709" i="5"/>
  <c r="E3710" i="5"/>
  <c r="G3710" i="5"/>
  <c r="E3711" i="5"/>
  <c r="G3711" i="5"/>
  <c r="G3712" i="5"/>
  <c r="G3713" i="5"/>
  <c r="G3714" i="5"/>
  <c r="H3704" i="5"/>
  <c r="E997" i="8"/>
  <c r="G3692" i="5"/>
  <c r="G3693" i="5"/>
  <c r="G3694" i="5"/>
  <c r="G3695" i="5"/>
  <c r="G3696" i="5"/>
  <c r="E3697" i="5"/>
  <c r="G3697" i="5"/>
  <c r="E3698" i="5"/>
  <c r="G3698" i="5"/>
  <c r="G3699" i="5"/>
  <c r="G3700" i="5"/>
  <c r="H3692" i="5"/>
  <c r="E996" i="8"/>
  <c r="E3684" i="5"/>
  <c r="G3684" i="5"/>
  <c r="E3685" i="5"/>
  <c r="G3685" i="5"/>
  <c r="E3686" i="5"/>
  <c r="G3686" i="5"/>
  <c r="H3684" i="5"/>
  <c r="E995" i="8"/>
  <c r="G3669" i="5"/>
  <c r="G3670" i="5"/>
  <c r="G3671" i="5"/>
  <c r="E3672" i="5"/>
  <c r="G3672" i="5"/>
  <c r="E3673" i="5"/>
  <c r="G3673" i="5"/>
  <c r="E3674" i="5"/>
  <c r="G3674" i="5"/>
  <c r="E3675" i="5"/>
  <c r="G3675" i="5"/>
  <c r="E3676" i="5"/>
  <c r="G3676" i="5"/>
  <c r="E3677" i="5"/>
  <c r="G3677" i="5"/>
  <c r="E3678" i="5"/>
  <c r="G3678" i="5"/>
  <c r="G3679" i="5"/>
  <c r="H3669" i="5"/>
  <c r="E994" i="8"/>
  <c r="G3663" i="5"/>
  <c r="G3664" i="5"/>
  <c r="G3665" i="5"/>
  <c r="H3663" i="5"/>
  <c r="E993" i="8"/>
  <c r="G3659" i="5"/>
  <c r="H3659" i="5"/>
  <c r="E992" i="8"/>
  <c r="G3651" i="5"/>
  <c r="G3652" i="5"/>
  <c r="E3653" i="5"/>
  <c r="G3653" i="5"/>
  <c r="G3654" i="5"/>
  <c r="G3655" i="5"/>
  <c r="H3651" i="5"/>
  <c r="E991" i="8"/>
  <c r="G3646" i="5"/>
  <c r="G3647" i="5"/>
  <c r="H3646" i="5"/>
  <c r="E989" i="8"/>
  <c r="G3641" i="5"/>
  <c r="G3642" i="5"/>
  <c r="H3641" i="5"/>
  <c r="E988" i="8"/>
  <c r="G3631" i="5"/>
  <c r="G3632" i="5"/>
  <c r="G3633" i="5"/>
  <c r="G3634" i="5"/>
  <c r="G3635" i="5"/>
  <c r="G3636" i="5"/>
  <c r="G3637" i="5"/>
  <c r="H3631" i="5"/>
  <c r="E987" i="8"/>
  <c r="G3625" i="5"/>
  <c r="G3626" i="5"/>
  <c r="G3627" i="5"/>
  <c r="H3625" i="5"/>
  <c r="E986" i="8"/>
  <c r="G3618" i="5"/>
  <c r="G3619" i="5"/>
  <c r="G3620" i="5"/>
  <c r="G3621" i="5"/>
  <c r="H3618" i="5"/>
  <c r="E985" i="8"/>
  <c r="G3612" i="5"/>
  <c r="G3613" i="5"/>
  <c r="E3614" i="5"/>
  <c r="G3614" i="5"/>
  <c r="H3612" i="5"/>
  <c r="E983" i="8"/>
  <c r="G3604" i="5"/>
  <c r="G3605" i="5"/>
  <c r="G3606" i="5"/>
  <c r="G3607" i="5"/>
  <c r="E3608" i="5"/>
  <c r="G3608" i="5"/>
  <c r="H3604" i="5"/>
  <c r="E982" i="8"/>
  <c r="G3599" i="5"/>
  <c r="G3600" i="5"/>
  <c r="H3599" i="5"/>
  <c r="E981" i="8"/>
  <c r="G3592" i="5"/>
  <c r="E3593" i="5"/>
  <c r="G3593" i="5"/>
  <c r="G3594" i="5"/>
  <c r="G3595" i="5"/>
  <c r="H3592" i="5"/>
  <c r="E980" i="8"/>
  <c r="G3584" i="5"/>
  <c r="E3585" i="5"/>
  <c r="G3585" i="5"/>
  <c r="E3586" i="5"/>
  <c r="G3586" i="5"/>
  <c r="E3587" i="5"/>
  <c r="G3587" i="5"/>
  <c r="E3588" i="5"/>
  <c r="G3588" i="5"/>
  <c r="H3584" i="5"/>
  <c r="E979" i="8"/>
  <c r="G3578" i="5"/>
  <c r="G3579" i="5"/>
  <c r="G3580" i="5"/>
  <c r="H3578" i="5"/>
  <c r="E978" i="8"/>
  <c r="G3572" i="5"/>
  <c r="G3573" i="5"/>
  <c r="G3574" i="5"/>
  <c r="H3572" i="5"/>
  <c r="E977" i="8"/>
  <c r="E3556" i="5"/>
  <c r="G3556" i="5"/>
  <c r="G3557" i="5"/>
  <c r="E3558" i="5"/>
  <c r="G3558" i="5"/>
  <c r="G3559" i="5"/>
  <c r="G3560" i="5"/>
  <c r="E3561" i="5"/>
  <c r="G3561" i="5"/>
  <c r="E3562" i="5"/>
  <c r="G3562" i="5"/>
  <c r="E3563" i="5"/>
  <c r="G3563" i="5"/>
  <c r="G3564" i="5"/>
  <c r="G3565" i="5"/>
  <c r="H3556" i="5"/>
  <c r="E976" i="8"/>
  <c r="G3549" i="5"/>
  <c r="G3550" i="5"/>
  <c r="G3551" i="5"/>
  <c r="G3552" i="5"/>
  <c r="H3549" i="5"/>
  <c r="E975" i="8"/>
  <c r="G3540" i="5"/>
  <c r="G3541" i="5"/>
  <c r="E3542" i="5"/>
  <c r="G3542" i="5"/>
  <c r="E3543" i="5"/>
  <c r="G3543" i="5"/>
  <c r="H3540" i="5"/>
  <c r="E974" i="8"/>
  <c r="G3530" i="5"/>
  <c r="G3531" i="5"/>
  <c r="G3532" i="5"/>
  <c r="E3533" i="5"/>
  <c r="G3533" i="5"/>
  <c r="E3534" i="5"/>
  <c r="G3534" i="5"/>
  <c r="H3530" i="5"/>
  <c r="E973" i="8"/>
  <c r="G3513" i="5"/>
  <c r="E3514" i="5"/>
  <c r="G3514" i="5"/>
  <c r="G3515" i="5"/>
  <c r="E3516" i="5"/>
  <c r="G3516" i="5"/>
  <c r="G3517" i="5"/>
  <c r="G3518" i="5"/>
  <c r="E3519" i="5"/>
  <c r="G3519" i="5"/>
  <c r="E3520" i="5"/>
  <c r="G3520" i="5"/>
  <c r="E3521" i="5"/>
  <c r="G3521" i="5"/>
  <c r="G3522" i="5"/>
  <c r="G3523" i="5"/>
  <c r="H3513" i="5"/>
  <c r="E972" i="8"/>
  <c r="G3505" i="5"/>
  <c r="G3506" i="5"/>
  <c r="G3507" i="5"/>
  <c r="G3508" i="5"/>
  <c r="G3509" i="5"/>
  <c r="H3505" i="5"/>
  <c r="E971" i="8"/>
  <c r="G3488" i="5"/>
  <c r="E3489" i="5"/>
  <c r="G3489" i="5"/>
  <c r="G3490" i="5"/>
  <c r="E3491" i="5"/>
  <c r="G3491" i="5"/>
  <c r="G3492" i="5"/>
  <c r="G3493" i="5"/>
  <c r="E3494" i="5"/>
  <c r="G3494" i="5"/>
  <c r="E3495" i="5"/>
  <c r="G3495" i="5"/>
  <c r="E3496" i="5"/>
  <c r="G3496" i="5"/>
  <c r="G3497" i="5"/>
  <c r="G3498" i="5"/>
  <c r="H3488" i="5"/>
  <c r="E970" i="8"/>
  <c r="G3480" i="5"/>
  <c r="G3481" i="5"/>
  <c r="G3482" i="5"/>
  <c r="G3483" i="5"/>
  <c r="G3484" i="5"/>
  <c r="H3480" i="5"/>
  <c r="E969" i="8"/>
  <c r="E3469" i="5"/>
  <c r="G3469" i="5"/>
  <c r="E3470" i="5"/>
  <c r="G3470" i="5"/>
  <c r="E3471" i="5"/>
  <c r="G3471" i="5"/>
  <c r="E3472" i="5"/>
  <c r="G3472" i="5"/>
  <c r="G3473" i="5"/>
  <c r="E3474" i="5"/>
  <c r="G3474" i="5"/>
  <c r="H3469" i="5"/>
  <c r="E968" i="8"/>
  <c r="E3458" i="5"/>
  <c r="G3458" i="5"/>
  <c r="E3459" i="5"/>
  <c r="G3459" i="5"/>
  <c r="E3460" i="5"/>
  <c r="G3460" i="5"/>
  <c r="E3461" i="5"/>
  <c r="G3461" i="5"/>
  <c r="G3462" i="5"/>
  <c r="E3463" i="5"/>
  <c r="G3463" i="5"/>
  <c r="H3458" i="5"/>
  <c r="E967" i="8"/>
  <c r="E3448" i="5"/>
  <c r="G3448" i="5"/>
  <c r="E3449" i="5"/>
  <c r="G3449" i="5"/>
  <c r="E3450" i="5"/>
  <c r="G3450" i="5"/>
  <c r="E3451" i="5"/>
  <c r="G3451" i="5"/>
  <c r="E3452" i="5"/>
  <c r="G3452" i="5"/>
  <c r="H3448" i="5"/>
  <c r="E966" i="8"/>
  <c r="G3444" i="5"/>
  <c r="H3444" i="5"/>
  <c r="E965" i="8"/>
  <c r="G3440" i="5"/>
  <c r="H3440" i="5"/>
  <c r="E964" i="8"/>
  <c r="G3435" i="5"/>
  <c r="G3436" i="5"/>
  <c r="H3435" i="5"/>
  <c r="E963" i="8"/>
  <c r="G3430" i="5"/>
  <c r="G3431" i="5"/>
  <c r="H3430" i="5"/>
  <c r="E962" i="8"/>
  <c r="G3425" i="5"/>
  <c r="G3426" i="5"/>
  <c r="H3425" i="5"/>
  <c r="E961" i="8"/>
  <c r="G3418" i="5"/>
  <c r="G3419" i="5"/>
  <c r="G3420" i="5"/>
  <c r="G3421" i="5"/>
  <c r="H3418" i="5"/>
  <c r="E960" i="8"/>
  <c r="G3411" i="5"/>
  <c r="G3412" i="5"/>
  <c r="G3413" i="5"/>
  <c r="G3414" i="5"/>
  <c r="H3411" i="5"/>
  <c r="E959" i="8"/>
  <c r="G3404" i="5"/>
  <c r="G3405" i="5"/>
  <c r="G3406" i="5"/>
  <c r="G3407" i="5"/>
  <c r="H3404" i="5"/>
  <c r="E958" i="8"/>
  <c r="G3400" i="5"/>
  <c r="H3400" i="5"/>
  <c r="E957" i="8"/>
  <c r="G3396" i="5"/>
  <c r="G3397" i="5"/>
  <c r="H3396" i="5"/>
  <c r="E956" i="8"/>
  <c r="G3391" i="5"/>
  <c r="G3392" i="5"/>
  <c r="H3391" i="5"/>
  <c r="E955" i="8"/>
  <c r="G3387" i="5"/>
  <c r="H3387" i="5"/>
  <c r="E953" i="8"/>
  <c r="G3383" i="5"/>
  <c r="H3383" i="5"/>
  <c r="E952" i="8"/>
  <c r="G3376" i="5"/>
  <c r="G3377" i="5"/>
  <c r="G3378" i="5"/>
  <c r="G3379" i="5"/>
  <c r="H3376" i="5"/>
  <c r="E951" i="8"/>
  <c r="G3369" i="5"/>
  <c r="G3370" i="5"/>
  <c r="G3371" i="5"/>
  <c r="G3372" i="5"/>
  <c r="H3369" i="5"/>
  <c r="E949" i="8"/>
  <c r="G3362" i="5"/>
  <c r="G3363" i="5"/>
  <c r="G3364" i="5"/>
  <c r="G3365" i="5"/>
  <c r="H3362" i="5"/>
  <c r="E948" i="8"/>
  <c r="G3357" i="5"/>
  <c r="G3358" i="5"/>
  <c r="H3357" i="5"/>
  <c r="E947" i="8"/>
  <c r="G3348" i="5"/>
  <c r="E3349" i="5"/>
  <c r="G3349" i="5"/>
  <c r="G3350" i="5"/>
  <c r="G3351" i="5"/>
  <c r="H3348" i="5"/>
  <c r="E945" i="8"/>
  <c r="G3342" i="5"/>
  <c r="G3343" i="5"/>
  <c r="G3344" i="5"/>
  <c r="H3342" i="5"/>
  <c r="E943" i="8"/>
  <c r="G3336" i="5"/>
  <c r="G3337" i="5"/>
  <c r="G3338" i="5"/>
  <c r="H3336" i="5"/>
  <c r="E942" i="8"/>
  <c r="G3329" i="5"/>
  <c r="G3330" i="5"/>
  <c r="G3331" i="5"/>
  <c r="G3332" i="5"/>
  <c r="H3329" i="5"/>
  <c r="E941" i="8"/>
  <c r="G3322" i="5"/>
  <c r="G3323" i="5"/>
  <c r="G3324" i="5"/>
  <c r="G3325" i="5"/>
  <c r="H3322" i="5"/>
  <c r="E940" i="8"/>
  <c r="G3315" i="5"/>
  <c r="G3316" i="5"/>
  <c r="G3317" i="5"/>
  <c r="G3318" i="5"/>
  <c r="H3315" i="5"/>
  <c r="E939" i="8"/>
  <c r="G3308" i="5"/>
  <c r="G3309" i="5"/>
  <c r="G3310" i="5"/>
  <c r="G3311" i="5"/>
  <c r="H3308" i="5"/>
  <c r="E938" i="8"/>
  <c r="G3301" i="5"/>
  <c r="G3302" i="5"/>
  <c r="G3303" i="5"/>
  <c r="G3304" i="5"/>
  <c r="H3301" i="5"/>
  <c r="E937" i="8"/>
  <c r="G3294" i="5"/>
  <c r="G3295" i="5"/>
  <c r="G3296" i="5"/>
  <c r="G3297" i="5"/>
  <c r="H3294" i="5"/>
  <c r="E936" i="8"/>
  <c r="G3287" i="5"/>
  <c r="G3288" i="5"/>
  <c r="G3289" i="5"/>
  <c r="G3290" i="5"/>
  <c r="H3287" i="5"/>
  <c r="E935" i="8"/>
  <c r="G3280" i="5"/>
  <c r="G3281" i="5"/>
  <c r="G3282" i="5"/>
  <c r="G3283" i="5"/>
  <c r="H3280" i="5"/>
  <c r="E934" i="8"/>
  <c r="G3273" i="5"/>
  <c r="G3274" i="5"/>
  <c r="G3275" i="5"/>
  <c r="G3276" i="5"/>
  <c r="H3273" i="5"/>
  <c r="E933" i="8"/>
  <c r="G3266" i="5"/>
  <c r="G3267" i="5"/>
  <c r="G3268" i="5"/>
  <c r="G3269" i="5"/>
  <c r="H3266" i="5"/>
  <c r="E932" i="8"/>
  <c r="G3261" i="5"/>
  <c r="G3262" i="5"/>
  <c r="H3261" i="5"/>
  <c r="E931" i="8"/>
  <c r="G3251" i="5"/>
  <c r="G3252" i="5"/>
  <c r="G3253" i="5"/>
  <c r="G3254" i="5"/>
  <c r="G3255" i="5"/>
  <c r="G3256" i="5"/>
  <c r="G3257" i="5"/>
  <c r="H3251" i="5"/>
  <c r="E930" i="8"/>
  <c r="G3245" i="5"/>
  <c r="G3246" i="5"/>
  <c r="G3247" i="5"/>
  <c r="H3245" i="5"/>
  <c r="E929" i="8"/>
  <c r="G3239" i="5"/>
  <c r="G3240" i="5"/>
  <c r="G3241" i="5"/>
  <c r="H3239" i="5"/>
  <c r="E928" i="8"/>
  <c r="G3233" i="5"/>
  <c r="G3234" i="5"/>
  <c r="G3235" i="5"/>
  <c r="H3233" i="5"/>
  <c r="E927" i="8"/>
  <c r="G3220" i="5"/>
  <c r="G3221" i="5"/>
  <c r="G3222" i="5"/>
  <c r="G3223" i="5"/>
  <c r="G3224" i="5"/>
  <c r="G3225" i="5"/>
  <c r="E3226" i="5"/>
  <c r="G3226" i="5"/>
  <c r="E3227" i="5"/>
  <c r="G3227" i="5"/>
  <c r="H3220" i="5"/>
  <c r="E926" i="8"/>
  <c r="G3213" i="5"/>
  <c r="G3214" i="5"/>
  <c r="G3215" i="5"/>
  <c r="G3216" i="5"/>
  <c r="H3213" i="5"/>
  <c r="E925" i="8"/>
  <c r="G3209" i="5"/>
  <c r="H3209" i="5"/>
  <c r="E924" i="8"/>
  <c r="G3204" i="5"/>
  <c r="G3205" i="5"/>
  <c r="H3204" i="5"/>
  <c r="E923" i="8"/>
  <c r="G3196" i="5"/>
  <c r="G3197" i="5"/>
  <c r="G3198" i="5"/>
  <c r="G3199" i="5"/>
  <c r="G3200" i="5"/>
  <c r="H3196" i="5"/>
  <c r="E922" i="8"/>
  <c r="G3188" i="5"/>
  <c r="G3189" i="5"/>
  <c r="G3190" i="5"/>
  <c r="G3191" i="5"/>
  <c r="G3192" i="5"/>
  <c r="H3188" i="5"/>
  <c r="E921" i="8"/>
  <c r="G3179" i="5"/>
  <c r="G3180" i="5"/>
  <c r="G3181" i="5"/>
  <c r="H3179" i="5"/>
  <c r="E920" i="8"/>
  <c r="G3174" i="5"/>
  <c r="G3175" i="5"/>
  <c r="H3174" i="5"/>
  <c r="E919" i="8"/>
  <c r="G3168" i="5"/>
  <c r="G3169" i="5"/>
  <c r="G3170" i="5"/>
  <c r="H3168" i="5"/>
  <c r="E918" i="8"/>
  <c r="G3163" i="5"/>
  <c r="G3164" i="5"/>
  <c r="H3163" i="5"/>
  <c r="E917" i="8"/>
  <c r="G3157" i="5"/>
  <c r="G3158" i="5"/>
  <c r="G3159" i="5"/>
  <c r="H3157" i="5"/>
  <c r="E916" i="8"/>
  <c r="G3151" i="5"/>
  <c r="G3152" i="5"/>
  <c r="G3153" i="5"/>
  <c r="H3151" i="5"/>
  <c r="E915" i="8"/>
  <c r="G3145" i="5"/>
  <c r="G3146" i="5"/>
  <c r="G3147" i="5"/>
  <c r="H3145" i="5"/>
  <c r="E914" i="8"/>
  <c r="G3139" i="5"/>
  <c r="H3139" i="5"/>
  <c r="E913" i="8"/>
  <c r="G3134" i="5"/>
  <c r="G3135" i="5"/>
  <c r="H3134" i="5"/>
  <c r="E912" i="8"/>
  <c r="G3129" i="5"/>
  <c r="G3130" i="5"/>
  <c r="H3129" i="5"/>
  <c r="E911" i="8"/>
  <c r="G3124" i="5"/>
  <c r="G3125" i="5"/>
  <c r="H3124" i="5"/>
  <c r="E910" i="8"/>
  <c r="G3119" i="5"/>
  <c r="G3120" i="5"/>
  <c r="H3119" i="5"/>
  <c r="E909" i="8"/>
  <c r="G3114" i="5"/>
  <c r="G3115" i="5"/>
  <c r="H3114" i="5"/>
  <c r="E908" i="8"/>
  <c r="G3109" i="5"/>
  <c r="G3110" i="5"/>
  <c r="H3109" i="5"/>
  <c r="E907" i="8"/>
  <c r="G3104" i="5"/>
  <c r="G3105" i="5"/>
  <c r="H3104" i="5"/>
  <c r="E906" i="8"/>
  <c r="G3099" i="5"/>
  <c r="G3100" i="5"/>
  <c r="H3099" i="5"/>
  <c r="E905" i="8"/>
  <c r="G3094" i="5"/>
  <c r="G3095" i="5"/>
  <c r="H3094" i="5"/>
  <c r="E904" i="8"/>
  <c r="G3086" i="5"/>
  <c r="G3087" i="5"/>
  <c r="G3088" i="5"/>
  <c r="G3089" i="5"/>
  <c r="G3090" i="5"/>
  <c r="H3086" i="5"/>
  <c r="E903" i="8"/>
  <c r="G3081" i="5"/>
  <c r="G3082" i="5"/>
  <c r="H3081" i="5"/>
  <c r="E902" i="8"/>
  <c r="G3073" i="5"/>
  <c r="G3074" i="5"/>
  <c r="G3075" i="5"/>
  <c r="G3076" i="5"/>
  <c r="G3077" i="5"/>
  <c r="H3073" i="5"/>
  <c r="E901" i="8"/>
  <c r="G3069" i="5"/>
  <c r="H3069" i="5"/>
  <c r="E900" i="8"/>
  <c r="G3061" i="5"/>
  <c r="G3062" i="5"/>
  <c r="H3061" i="5"/>
  <c r="E899" i="8"/>
  <c r="G3056" i="5"/>
  <c r="G3057" i="5"/>
  <c r="H3056" i="5"/>
  <c r="E898" i="8"/>
  <c r="G3048" i="5"/>
  <c r="G3049" i="5"/>
  <c r="H3048" i="5"/>
  <c r="E897" i="8"/>
  <c r="G3043" i="5"/>
  <c r="G3044" i="5"/>
  <c r="H3043" i="5"/>
  <c r="E896" i="8"/>
  <c r="G3038" i="5"/>
  <c r="G3039" i="5"/>
  <c r="H3038" i="5"/>
  <c r="E895" i="8"/>
  <c r="G3033" i="5"/>
  <c r="G3034" i="5"/>
  <c r="H3033" i="5"/>
  <c r="E894" i="8"/>
  <c r="G3028" i="5"/>
  <c r="G3029" i="5"/>
  <c r="H3028" i="5"/>
  <c r="E893" i="8"/>
  <c r="G3023" i="5"/>
  <c r="G3024" i="5"/>
  <c r="H3023" i="5"/>
  <c r="E892" i="8"/>
  <c r="G3018" i="5"/>
  <c r="G3019" i="5"/>
  <c r="H3018" i="5"/>
  <c r="E891" i="8"/>
  <c r="G3013" i="5"/>
  <c r="G3014" i="5"/>
  <c r="H3013" i="5"/>
  <c r="E890" i="8"/>
  <c r="G3008" i="5"/>
  <c r="G3009" i="5"/>
  <c r="H3008" i="5"/>
  <c r="E889" i="8"/>
  <c r="G3003" i="5"/>
  <c r="G3004" i="5"/>
  <c r="H3003" i="5"/>
  <c r="E888" i="8"/>
  <c r="G2993" i="5"/>
  <c r="G2994" i="5"/>
  <c r="G2995" i="5"/>
  <c r="G2996" i="5"/>
  <c r="G2997" i="5"/>
  <c r="G2998" i="5"/>
  <c r="G2999" i="5"/>
  <c r="H2993" i="5"/>
  <c r="E886" i="8"/>
  <c r="G2988" i="5"/>
  <c r="G2989" i="5"/>
  <c r="H2988" i="5"/>
  <c r="E885" i="8"/>
  <c r="G2983" i="5"/>
  <c r="G2984" i="5"/>
  <c r="H2983" i="5"/>
  <c r="E884" i="8"/>
  <c r="G2978" i="5"/>
  <c r="G2979" i="5"/>
  <c r="H2978" i="5"/>
  <c r="E883" i="8"/>
  <c r="G2973" i="5"/>
  <c r="G2974" i="5"/>
  <c r="H2973" i="5"/>
  <c r="E882" i="8"/>
  <c r="G2968" i="5"/>
  <c r="G2969" i="5"/>
  <c r="H2968" i="5"/>
  <c r="E881" i="8"/>
  <c r="G2963" i="5"/>
  <c r="G2964" i="5"/>
  <c r="H2963" i="5"/>
  <c r="E880" i="8"/>
  <c r="G2958" i="5"/>
  <c r="G2959" i="5"/>
  <c r="H2958" i="5"/>
  <c r="E879" i="8"/>
  <c r="G2953" i="5"/>
  <c r="G2954" i="5"/>
  <c r="H2953" i="5"/>
  <c r="E878" i="8"/>
  <c r="G2948" i="5"/>
  <c r="G2949" i="5"/>
  <c r="H2948" i="5"/>
  <c r="E877" i="8"/>
  <c r="G2943" i="5"/>
  <c r="G2944" i="5"/>
  <c r="H2943" i="5"/>
  <c r="E876" i="8"/>
  <c r="G2935" i="5"/>
  <c r="G2936" i="5"/>
  <c r="H2935" i="5"/>
  <c r="E875" i="8"/>
  <c r="G2927" i="5"/>
  <c r="G2928" i="5"/>
  <c r="H2927" i="5"/>
  <c r="E874" i="8"/>
  <c r="G2919" i="5"/>
  <c r="G2920" i="5"/>
  <c r="H2919" i="5"/>
  <c r="E873" i="8"/>
  <c r="G2911" i="5"/>
  <c r="G2912" i="5"/>
  <c r="H2911" i="5"/>
  <c r="E872" i="8"/>
  <c r="G2903" i="5"/>
  <c r="G2904" i="5"/>
  <c r="H2903" i="5"/>
  <c r="E871" i="8"/>
  <c r="G2898" i="5"/>
  <c r="G2899" i="5"/>
  <c r="H2898" i="5"/>
  <c r="E870" i="8"/>
  <c r="G2893" i="5"/>
  <c r="G2894" i="5"/>
  <c r="H2893" i="5"/>
  <c r="E869" i="8"/>
  <c r="G2888" i="5"/>
  <c r="G2889" i="5"/>
  <c r="H2888" i="5"/>
  <c r="E868" i="8"/>
  <c r="G2881" i="5"/>
  <c r="G2882" i="5"/>
  <c r="G2883" i="5"/>
  <c r="G2884" i="5"/>
  <c r="H2881" i="5"/>
  <c r="E867" i="8"/>
  <c r="G2876" i="5"/>
  <c r="G2877" i="5"/>
  <c r="H2876" i="5"/>
  <c r="E866" i="8"/>
  <c r="G2871" i="5"/>
  <c r="G2872" i="5"/>
  <c r="H2871" i="5"/>
  <c r="E865" i="8"/>
  <c r="G2866" i="5"/>
  <c r="G2867" i="5"/>
  <c r="H2866" i="5"/>
  <c r="E864" i="8"/>
  <c r="G2861" i="5"/>
  <c r="G2862" i="5"/>
  <c r="H2861" i="5"/>
  <c r="E863" i="8"/>
  <c r="G2856" i="5"/>
  <c r="G2857" i="5"/>
  <c r="H2856" i="5"/>
  <c r="E862" i="8"/>
  <c r="G2851" i="5"/>
  <c r="G2852" i="5"/>
  <c r="H2851" i="5"/>
  <c r="E861" i="8"/>
  <c r="G2846" i="5"/>
  <c r="G2847" i="5"/>
  <c r="H2846" i="5"/>
  <c r="E860" i="8"/>
  <c r="G2841" i="5"/>
  <c r="G2842" i="5"/>
  <c r="H2841" i="5"/>
  <c r="E859" i="8"/>
  <c r="G2834" i="5"/>
  <c r="G2835" i="5"/>
  <c r="H2834" i="5"/>
  <c r="E858" i="8"/>
  <c r="G2829" i="5"/>
  <c r="G2830" i="5"/>
  <c r="H2829" i="5"/>
  <c r="E857" i="8"/>
  <c r="G2824" i="5"/>
  <c r="G2825" i="5"/>
  <c r="H2824" i="5"/>
  <c r="E856" i="8"/>
  <c r="G2819" i="5"/>
  <c r="G2820" i="5"/>
  <c r="H2819" i="5"/>
  <c r="E855" i="8"/>
  <c r="G2809" i="5"/>
  <c r="G2810" i="5"/>
  <c r="G2811" i="5"/>
  <c r="G2812" i="5"/>
  <c r="G2813" i="5"/>
  <c r="G2814" i="5"/>
  <c r="G2815" i="5"/>
  <c r="H2809" i="5"/>
  <c r="E854" i="8"/>
  <c r="G2804" i="5"/>
  <c r="G2805" i="5"/>
  <c r="H2804" i="5"/>
  <c r="E853" i="8"/>
  <c r="G2799" i="5"/>
  <c r="G2800" i="5"/>
  <c r="H2799" i="5"/>
  <c r="E852" i="8"/>
  <c r="G2793" i="5"/>
  <c r="G2794" i="5"/>
  <c r="G2795" i="5"/>
  <c r="H2793" i="5"/>
  <c r="E851" i="8"/>
  <c r="G2783" i="5"/>
  <c r="G2784" i="5"/>
  <c r="G2785" i="5"/>
  <c r="G2786" i="5"/>
  <c r="G2787" i="5"/>
  <c r="G2788" i="5"/>
  <c r="G2789" i="5"/>
  <c r="H2783" i="5"/>
  <c r="E850" i="8"/>
  <c r="G2778" i="5"/>
  <c r="G2779" i="5"/>
  <c r="H2778" i="5"/>
  <c r="E849" i="8"/>
  <c r="G2774" i="5"/>
  <c r="H2774" i="5"/>
  <c r="E846" i="8"/>
  <c r="G2770" i="5"/>
  <c r="H2770" i="5"/>
  <c r="E845" i="8"/>
  <c r="G2766" i="5"/>
  <c r="H2766" i="5"/>
  <c r="E834" i="8"/>
  <c r="G2762" i="5"/>
  <c r="H2762" i="5"/>
  <c r="E833" i="8"/>
  <c r="G2758" i="5"/>
  <c r="H2758" i="5"/>
  <c r="E820" i="8"/>
  <c r="G2754" i="5"/>
  <c r="H2754" i="5"/>
  <c r="E819" i="8"/>
  <c r="G2750" i="5"/>
  <c r="H2750" i="5"/>
  <c r="E777" i="8"/>
  <c r="G2746" i="5"/>
  <c r="H2746" i="5"/>
  <c r="E775" i="8"/>
  <c r="G2742" i="5"/>
  <c r="H2742" i="5"/>
  <c r="E774" i="8"/>
  <c r="G2738" i="5"/>
  <c r="H2738" i="5"/>
  <c r="E751" i="8"/>
  <c r="G2734" i="5"/>
  <c r="H2734" i="5"/>
  <c r="E750" i="8"/>
  <c r="G2730" i="5"/>
  <c r="H2730" i="5"/>
  <c r="E742" i="8"/>
  <c r="G2726" i="5"/>
  <c r="H2726" i="5"/>
  <c r="E733" i="8"/>
  <c r="G2722" i="5"/>
  <c r="H2722" i="5"/>
  <c r="E723" i="8"/>
  <c r="E2716" i="5"/>
  <c r="G2716" i="5"/>
  <c r="H2716" i="5"/>
  <c r="E722" i="8"/>
  <c r="E2710" i="5"/>
  <c r="G2710" i="5"/>
  <c r="H2710" i="5"/>
  <c r="E721" i="8"/>
  <c r="E2704" i="5"/>
  <c r="G2704" i="5"/>
  <c r="H2704" i="5"/>
  <c r="E720" i="8"/>
  <c r="E2698" i="5"/>
  <c r="G2698" i="5"/>
  <c r="H2698" i="5"/>
  <c r="E719" i="8"/>
  <c r="E2692" i="5"/>
  <c r="G2692" i="5"/>
  <c r="H2692" i="5"/>
  <c r="E718" i="8"/>
  <c r="E2686" i="5"/>
  <c r="G2686" i="5"/>
  <c r="H2686" i="5"/>
  <c r="E717" i="8"/>
  <c r="E2680" i="5"/>
  <c r="G2680" i="5"/>
  <c r="H2680" i="5"/>
  <c r="E716" i="8"/>
  <c r="E2674" i="5"/>
  <c r="G2674" i="5"/>
  <c r="H2674" i="5"/>
  <c r="E715" i="8"/>
  <c r="E2668" i="5"/>
  <c r="G2668" i="5"/>
  <c r="H2668" i="5"/>
  <c r="E714" i="8"/>
  <c r="E2662" i="5"/>
  <c r="G2662" i="5"/>
  <c r="H2662" i="5"/>
  <c r="E713" i="8"/>
  <c r="G2658" i="5"/>
  <c r="H2658" i="5"/>
  <c r="E597" i="8"/>
  <c r="G2654" i="5"/>
  <c r="H2654" i="5"/>
  <c r="E593" i="8"/>
  <c r="G2650" i="5"/>
  <c r="H2650" i="5"/>
  <c r="E588" i="8"/>
  <c r="G2646" i="5"/>
  <c r="H2646" i="5"/>
  <c r="E586" i="8"/>
  <c r="G2642" i="5"/>
  <c r="H2642" i="5"/>
  <c r="E585" i="8"/>
  <c r="G2638" i="5"/>
  <c r="H2638" i="5"/>
  <c r="E584" i="8"/>
  <c r="G2634" i="5"/>
  <c r="H2634" i="5"/>
  <c r="E583" i="8"/>
  <c r="G2630" i="5"/>
  <c r="H2630" i="5"/>
  <c r="E582" i="8"/>
  <c r="G2626" i="5"/>
  <c r="H2626" i="5"/>
  <c r="E581" i="8"/>
  <c r="G2622" i="5"/>
  <c r="H2622" i="5"/>
  <c r="E580" i="8"/>
  <c r="G2618" i="5"/>
  <c r="H2618" i="5"/>
  <c r="E579" i="8"/>
  <c r="G2614" i="5"/>
  <c r="H2614" i="5"/>
  <c r="E578" i="8"/>
  <c r="G2610" i="5"/>
  <c r="H2610" i="5"/>
  <c r="E577" i="8"/>
  <c r="G2606" i="5"/>
  <c r="H2606" i="5"/>
  <c r="E576" i="8"/>
  <c r="G2598" i="5"/>
  <c r="E2599" i="5"/>
  <c r="G2599" i="5"/>
  <c r="E2600" i="5"/>
  <c r="G2600" i="5"/>
  <c r="H2598" i="5"/>
  <c r="E575" i="8"/>
  <c r="G2590" i="5"/>
  <c r="E2591" i="5"/>
  <c r="G2591" i="5"/>
  <c r="E2592" i="5"/>
  <c r="G2592" i="5"/>
  <c r="H2590" i="5"/>
  <c r="E574" i="8"/>
  <c r="G2582" i="5"/>
  <c r="E2583" i="5"/>
  <c r="G2583" i="5"/>
  <c r="E2584" i="5"/>
  <c r="G2584" i="5"/>
  <c r="H2582" i="5"/>
  <c r="E573" i="8"/>
  <c r="G2578" i="5"/>
  <c r="H2578" i="5"/>
  <c r="E572" i="8"/>
  <c r="G2574" i="5"/>
  <c r="H2574" i="5"/>
  <c r="E571" i="8"/>
  <c r="G2570" i="5"/>
  <c r="H2570" i="5"/>
  <c r="E570" i="8"/>
  <c r="G2566" i="5"/>
  <c r="H2566" i="5"/>
  <c r="E569" i="8"/>
  <c r="G2562" i="5"/>
  <c r="H2562" i="5"/>
  <c r="E568" i="8"/>
  <c r="G2558" i="5"/>
  <c r="H2558" i="5"/>
  <c r="E567" i="8"/>
  <c r="G2554" i="5"/>
  <c r="H2554" i="5"/>
  <c r="E566" i="8"/>
  <c r="G2550" i="5"/>
  <c r="H2550" i="5"/>
  <c r="E564" i="8"/>
  <c r="G2546" i="5"/>
  <c r="H2546" i="5"/>
  <c r="E562" i="8"/>
  <c r="G2542" i="5"/>
  <c r="H2542" i="5"/>
  <c r="E519" i="8"/>
  <c r="G2538" i="5"/>
  <c r="H2538" i="5"/>
  <c r="E518" i="8"/>
  <c r="G2534" i="5"/>
  <c r="H2534" i="5"/>
  <c r="E517" i="8"/>
  <c r="G2530" i="5"/>
  <c r="H2530" i="5"/>
  <c r="E516" i="8"/>
  <c r="G2526" i="5"/>
  <c r="H2526" i="5"/>
  <c r="E515" i="8"/>
  <c r="G2522" i="5"/>
  <c r="H2522" i="5"/>
  <c r="E514" i="8"/>
  <c r="G2518" i="5"/>
  <c r="H2518" i="5"/>
  <c r="E513" i="8"/>
  <c r="G2514" i="5"/>
  <c r="H2514" i="5"/>
  <c r="E512" i="8"/>
  <c r="G2510" i="5"/>
  <c r="H2510" i="5"/>
  <c r="E511" i="8"/>
  <c r="G2506" i="5"/>
  <c r="H2506" i="5"/>
  <c r="E510" i="8"/>
  <c r="G2502" i="5"/>
  <c r="H2502" i="5"/>
  <c r="E509" i="8"/>
  <c r="G2498" i="5"/>
  <c r="H2498" i="5"/>
  <c r="E508" i="8"/>
  <c r="G2494" i="5"/>
  <c r="H2494" i="5"/>
  <c r="E507" i="8"/>
  <c r="G2490" i="5"/>
  <c r="H2490" i="5"/>
  <c r="E506" i="8"/>
  <c r="G2486" i="5"/>
  <c r="H2486" i="5"/>
  <c r="E505" i="8"/>
  <c r="G2482" i="5"/>
  <c r="H2482" i="5"/>
  <c r="E503" i="8"/>
  <c r="G2478" i="5"/>
  <c r="H2478" i="5"/>
  <c r="E501" i="8"/>
  <c r="G2474" i="5"/>
  <c r="H2474" i="5"/>
  <c r="E499" i="8"/>
  <c r="G2470" i="5"/>
  <c r="H2470" i="5"/>
  <c r="E496" i="8"/>
  <c r="G2466" i="5"/>
  <c r="H2466" i="5"/>
  <c r="E495" i="8"/>
  <c r="E2462" i="5"/>
  <c r="G2462" i="5"/>
  <c r="H2462" i="5"/>
  <c r="E494" i="8"/>
  <c r="G2458" i="5"/>
  <c r="H2458" i="5"/>
  <c r="E477" i="8"/>
  <c r="G2454" i="5"/>
  <c r="H2454" i="5"/>
  <c r="E476" i="8"/>
  <c r="G2450" i="5"/>
  <c r="H2450" i="5"/>
  <c r="E475" i="8"/>
  <c r="G2446" i="5"/>
  <c r="H2446" i="5"/>
  <c r="E473" i="8"/>
  <c r="G2442" i="5"/>
  <c r="H2442" i="5"/>
  <c r="E472" i="8"/>
  <c r="G2438" i="5"/>
  <c r="H2438" i="5"/>
  <c r="E448" i="8"/>
  <c r="G2434" i="5"/>
  <c r="H2434" i="5"/>
  <c r="E421" i="8"/>
  <c r="G2430" i="5"/>
  <c r="H2430" i="5"/>
  <c r="E420" i="8"/>
  <c r="G2426" i="5"/>
  <c r="H2426" i="5"/>
  <c r="E419" i="8"/>
  <c r="G2422" i="5"/>
  <c r="H2422" i="5"/>
  <c r="E416" i="8"/>
  <c r="G2418" i="5"/>
  <c r="H2418" i="5"/>
  <c r="E414" i="8"/>
  <c r="G2414" i="5"/>
  <c r="H2414" i="5"/>
  <c r="E413" i="8"/>
  <c r="G2410" i="5"/>
  <c r="H2410" i="5"/>
  <c r="E412" i="8"/>
  <c r="G2406" i="5"/>
  <c r="H2406" i="5"/>
  <c r="E410" i="8"/>
  <c r="G2400" i="5"/>
  <c r="G2401" i="5"/>
  <c r="G2402" i="5"/>
  <c r="H2400" i="5"/>
  <c r="E385" i="8"/>
  <c r="G2393" i="5"/>
  <c r="G2394" i="5"/>
  <c r="G2395" i="5"/>
  <c r="G2396" i="5"/>
  <c r="H2393" i="5"/>
  <c r="E384" i="8"/>
  <c r="G2387" i="5"/>
  <c r="G2388" i="5"/>
  <c r="G2389" i="5"/>
  <c r="H2387" i="5"/>
  <c r="E383" i="8"/>
  <c r="E2380" i="5"/>
  <c r="G2380" i="5"/>
  <c r="E2381" i="5"/>
  <c r="G2381" i="5"/>
  <c r="G2382" i="5"/>
  <c r="G2383" i="5"/>
  <c r="H2380" i="5"/>
  <c r="E382" i="8"/>
  <c r="G2372" i="5"/>
  <c r="G2373" i="5"/>
  <c r="G2374" i="5"/>
  <c r="E2375" i="5"/>
  <c r="G2375" i="5"/>
  <c r="E2376" i="5"/>
  <c r="G2376" i="5"/>
  <c r="H2372" i="5"/>
  <c r="E381" i="8"/>
  <c r="G2366" i="5"/>
  <c r="G2367" i="5"/>
  <c r="G2368" i="5"/>
  <c r="H2366" i="5"/>
  <c r="E380" i="8"/>
  <c r="E2361" i="5"/>
  <c r="G2361" i="5"/>
  <c r="G2362" i="5"/>
  <c r="H2361" i="5"/>
  <c r="E379" i="8"/>
  <c r="G2356" i="5"/>
  <c r="G2357" i="5"/>
  <c r="H2356" i="5"/>
  <c r="E378" i="8"/>
  <c r="G2351" i="5"/>
  <c r="G2352" i="5"/>
  <c r="H2351" i="5"/>
  <c r="E377" i="8"/>
  <c r="G2345" i="5"/>
  <c r="G2346" i="5"/>
  <c r="G2347" i="5"/>
  <c r="H2345" i="5"/>
  <c r="E376" i="8"/>
  <c r="G2339" i="5"/>
  <c r="G2340" i="5"/>
  <c r="G2341" i="5"/>
  <c r="H2339" i="5"/>
  <c r="E375" i="8"/>
  <c r="G2333" i="5"/>
  <c r="G2334" i="5"/>
  <c r="G2335" i="5"/>
  <c r="H2333" i="5"/>
  <c r="E374" i="8"/>
  <c r="G2327" i="5"/>
  <c r="G2328" i="5"/>
  <c r="G2329" i="5"/>
  <c r="H2327" i="5"/>
  <c r="E373" i="8"/>
  <c r="G2320" i="5"/>
  <c r="G2321" i="5"/>
  <c r="G2322" i="5"/>
  <c r="G2323" i="5"/>
  <c r="H2320" i="5"/>
  <c r="E372" i="8"/>
  <c r="G2313" i="5"/>
  <c r="G2314" i="5"/>
  <c r="G2315" i="5"/>
  <c r="G2316" i="5"/>
  <c r="H2313" i="5"/>
  <c r="E371" i="8"/>
  <c r="G2303" i="5"/>
  <c r="E2304" i="5"/>
  <c r="G2304" i="5"/>
  <c r="E2305" i="5"/>
  <c r="G2305" i="5"/>
  <c r="E2306" i="5"/>
  <c r="G2306" i="5"/>
  <c r="E2307" i="5"/>
  <c r="G2307" i="5"/>
  <c r="H2303" i="5"/>
  <c r="E370" i="8"/>
  <c r="G2293" i="5"/>
  <c r="E2294" i="5"/>
  <c r="G2294" i="5"/>
  <c r="E2295" i="5"/>
  <c r="G2295" i="5"/>
  <c r="E2296" i="5"/>
  <c r="G2296" i="5"/>
  <c r="E2297" i="5"/>
  <c r="G2297" i="5"/>
  <c r="H2293" i="5"/>
  <c r="E369" i="8"/>
  <c r="G2283" i="5"/>
  <c r="E2284" i="5"/>
  <c r="G2284" i="5"/>
  <c r="E2285" i="5"/>
  <c r="G2285" i="5"/>
  <c r="E2286" i="5"/>
  <c r="G2286" i="5"/>
  <c r="E2287" i="5"/>
  <c r="G2287" i="5"/>
  <c r="H2283" i="5"/>
  <c r="E368" i="8"/>
  <c r="G2273" i="5"/>
  <c r="E2274" i="5"/>
  <c r="G2274" i="5"/>
  <c r="E2275" i="5"/>
  <c r="G2275" i="5"/>
  <c r="E2276" i="5"/>
  <c r="G2276" i="5"/>
  <c r="E2277" i="5"/>
  <c r="G2277" i="5"/>
  <c r="H2273" i="5"/>
  <c r="E367" i="8"/>
  <c r="G2263" i="5"/>
  <c r="E2264" i="5"/>
  <c r="G2264" i="5"/>
  <c r="E2265" i="5"/>
  <c r="G2265" i="5"/>
  <c r="E2266" i="5"/>
  <c r="G2266" i="5"/>
  <c r="E2267" i="5"/>
  <c r="G2267" i="5"/>
  <c r="H2263" i="5"/>
  <c r="E366" i="8"/>
  <c r="G2257" i="5"/>
  <c r="G2258" i="5"/>
  <c r="G2259" i="5"/>
  <c r="H2257" i="5"/>
  <c r="E365" i="8"/>
  <c r="G2243" i="5"/>
  <c r="G2244" i="5"/>
  <c r="G2245" i="5"/>
  <c r="E2246" i="5"/>
  <c r="G2246" i="5"/>
  <c r="E2247" i="5"/>
  <c r="G2247" i="5"/>
  <c r="G2248" i="5"/>
  <c r="E2249" i="5"/>
  <c r="G2249" i="5"/>
  <c r="E2250" i="5"/>
  <c r="G2250" i="5"/>
  <c r="E2251" i="5"/>
  <c r="G2251" i="5"/>
  <c r="H2243" i="5"/>
  <c r="E364" i="8"/>
  <c r="G2237" i="5"/>
  <c r="G2238" i="5"/>
  <c r="G2239" i="5"/>
  <c r="H2237" i="5"/>
  <c r="E363" i="8"/>
  <c r="G2231" i="5"/>
  <c r="G2232" i="5"/>
  <c r="G2233" i="5"/>
  <c r="H2231" i="5"/>
  <c r="E362" i="8"/>
  <c r="G2224" i="5"/>
  <c r="G2225" i="5"/>
  <c r="G2226" i="5"/>
  <c r="G2227" i="5"/>
  <c r="H2224" i="5"/>
  <c r="E361" i="8"/>
  <c r="G2217" i="5"/>
  <c r="E2218" i="5"/>
  <c r="G2218" i="5"/>
  <c r="G2219" i="5"/>
  <c r="G2220" i="5"/>
  <c r="H2217" i="5"/>
  <c r="E360" i="8"/>
  <c r="G2212" i="5"/>
  <c r="G2213" i="5"/>
  <c r="H2212" i="5"/>
  <c r="E359" i="8"/>
  <c r="G2204" i="5"/>
  <c r="E2205" i="5"/>
  <c r="G2205" i="5"/>
  <c r="E2206" i="5"/>
  <c r="G2206" i="5"/>
  <c r="H2204" i="5"/>
  <c r="E356" i="8"/>
  <c r="G2196" i="5"/>
  <c r="E2197" i="5"/>
  <c r="G2197" i="5"/>
  <c r="E2198" i="5"/>
  <c r="G2198" i="5"/>
  <c r="H2196" i="5"/>
  <c r="E355" i="8"/>
  <c r="G2188" i="5"/>
  <c r="E2189" i="5"/>
  <c r="G2189" i="5"/>
  <c r="E2190" i="5"/>
  <c r="G2190" i="5"/>
  <c r="H2188" i="5"/>
  <c r="E354" i="8"/>
  <c r="G2180" i="5"/>
  <c r="E2181" i="5"/>
  <c r="G2181" i="5"/>
  <c r="E2182" i="5"/>
  <c r="G2182" i="5"/>
  <c r="H2180" i="5"/>
  <c r="E353" i="8"/>
  <c r="G2172" i="5"/>
  <c r="E2173" i="5"/>
  <c r="G2173" i="5"/>
  <c r="E2174" i="5"/>
  <c r="G2174" i="5"/>
  <c r="H2172" i="5"/>
  <c r="E352" i="8"/>
  <c r="G2164" i="5"/>
  <c r="E2165" i="5"/>
  <c r="G2165" i="5"/>
  <c r="E2166" i="5"/>
  <c r="G2166" i="5"/>
  <c r="H2164" i="5"/>
  <c r="E351" i="8"/>
  <c r="G2156" i="5"/>
  <c r="E2157" i="5"/>
  <c r="G2157" i="5"/>
  <c r="E2158" i="5"/>
  <c r="G2158" i="5"/>
  <c r="H2156" i="5"/>
  <c r="E350" i="8"/>
  <c r="G2148" i="5"/>
  <c r="E2149" i="5"/>
  <c r="G2149" i="5"/>
  <c r="E2150" i="5"/>
  <c r="G2150" i="5"/>
  <c r="H2148" i="5"/>
  <c r="E349" i="8"/>
  <c r="G2142" i="5"/>
  <c r="G2143" i="5"/>
  <c r="G2144" i="5"/>
  <c r="H2142" i="5"/>
  <c r="E348" i="8"/>
  <c r="G2136" i="5"/>
  <c r="G2137" i="5"/>
  <c r="G2138" i="5"/>
  <c r="H2136" i="5"/>
  <c r="E347" i="8"/>
  <c r="G2130" i="5"/>
  <c r="G2131" i="5"/>
  <c r="G2132" i="5"/>
  <c r="H2130" i="5"/>
  <c r="E346" i="8"/>
  <c r="G2124" i="5"/>
  <c r="G2125" i="5"/>
  <c r="G2126" i="5"/>
  <c r="H2124" i="5"/>
  <c r="E345" i="8"/>
  <c r="G2118" i="5"/>
  <c r="G2119" i="5"/>
  <c r="G2120" i="5"/>
  <c r="H2118" i="5"/>
  <c r="E344" i="8"/>
  <c r="G2110" i="5"/>
  <c r="E2111" i="5"/>
  <c r="G2111" i="5"/>
  <c r="E2112" i="5"/>
  <c r="G2112" i="5"/>
  <c r="H2110" i="5"/>
  <c r="E343" i="8"/>
  <c r="G2102" i="5"/>
  <c r="E2103" i="5"/>
  <c r="G2103" i="5"/>
  <c r="E2104" i="5"/>
  <c r="G2104" i="5"/>
  <c r="H2102" i="5"/>
  <c r="E342" i="8"/>
  <c r="G2094" i="5"/>
  <c r="E2095" i="5"/>
  <c r="G2095" i="5"/>
  <c r="E2096" i="5"/>
  <c r="G2096" i="5"/>
  <c r="H2094" i="5"/>
  <c r="E341" i="8"/>
  <c r="G2086" i="5"/>
  <c r="E2087" i="5"/>
  <c r="G2087" i="5"/>
  <c r="E2088" i="5"/>
  <c r="G2088" i="5"/>
  <c r="H2086" i="5"/>
  <c r="E340" i="8"/>
  <c r="G2078" i="5"/>
  <c r="E2079" i="5"/>
  <c r="G2079" i="5"/>
  <c r="E2080" i="5"/>
  <c r="G2080" i="5"/>
  <c r="H2078" i="5"/>
  <c r="E339" i="8"/>
  <c r="G2070" i="5"/>
  <c r="E2071" i="5"/>
  <c r="G2071" i="5"/>
  <c r="E2072" i="5"/>
  <c r="G2072" i="5"/>
  <c r="H2070" i="5"/>
  <c r="E338" i="8"/>
  <c r="G2062" i="5"/>
  <c r="E2063" i="5"/>
  <c r="G2063" i="5"/>
  <c r="E2064" i="5"/>
  <c r="G2064" i="5"/>
  <c r="H2062" i="5"/>
  <c r="E337" i="8"/>
  <c r="G2054" i="5"/>
  <c r="E2055" i="5"/>
  <c r="G2055" i="5"/>
  <c r="E2056" i="5"/>
  <c r="G2056" i="5"/>
  <c r="H2054" i="5"/>
  <c r="E336" i="8"/>
  <c r="G2046" i="5"/>
  <c r="E2047" i="5"/>
  <c r="G2047" i="5"/>
  <c r="E2048" i="5"/>
  <c r="G2048" i="5"/>
  <c r="H2046" i="5"/>
  <c r="E335" i="8"/>
  <c r="G2038" i="5"/>
  <c r="E2039" i="5"/>
  <c r="G2039" i="5"/>
  <c r="E2040" i="5"/>
  <c r="G2040" i="5"/>
  <c r="H2038" i="5"/>
  <c r="E334" i="8"/>
  <c r="G2030" i="5"/>
  <c r="E2031" i="5"/>
  <c r="G2031" i="5"/>
  <c r="E2032" i="5"/>
  <c r="G2032" i="5"/>
  <c r="H2030" i="5"/>
  <c r="E333" i="8"/>
  <c r="G2024" i="5"/>
  <c r="G2025" i="5"/>
  <c r="G2026" i="5"/>
  <c r="H2024" i="5"/>
  <c r="E332" i="8"/>
  <c r="G2017" i="5"/>
  <c r="G2018" i="5"/>
  <c r="G2019" i="5"/>
  <c r="G2020" i="5"/>
  <c r="H2017" i="5"/>
  <c r="E331" i="8"/>
  <c r="G2010" i="5"/>
  <c r="G2011" i="5"/>
  <c r="G2012" i="5"/>
  <c r="G2013" i="5"/>
  <c r="H2010" i="5"/>
  <c r="E330" i="8"/>
  <c r="G2003" i="5"/>
  <c r="G2004" i="5"/>
  <c r="G2005" i="5"/>
  <c r="G2006" i="5"/>
  <c r="H2003" i="5"/>
  <c r="E329" i="8"/>
  <c r="G1996" i="5"/>
  <c r="G1997" i="5"/>
  <c r="G1998" i="5"/>
  <c r="G1999" i="5"/>
  <c r="H1996" i="5"/>
  <c r="E328" i="8"/>
  <c r="G1988" i="5"/>
  <c r="G1989" i="5"/>
  <c r="G1990" i="5"/>
  <c r="G1991" i="5"/>
  <c r="G1992" i="5"/>
  <c r="H1988" i="5"/>
  <c r="E327" i="8"/>
  <c r="G1980" i="5"/>
  <c r="G1981" i="5"/>
  <c r="G1982" i="5"/>
  <c r="G1983" i="5"/>
  <c r="G1984" i="5"/>
  <c r="H1980" i="5"/>
  <c r="E326" i="8"/>
  <c r="G1973" i="5"/>
  <c r="G1974" i="5"/>
  <c r="G1975" i="5"/>
  <c r="G1976" i="5"/>
  <c r="H1973" i="5"/>
  <c r="E325" i="8"/>
  <c r="G1966" i="5"/>
  <c r="G1967" i="5"/>
  <c r="G1968" i="5"/>
  <c r="G1969" i="5"/>
  <c r="H1966" i="5"/>
  <c r="E324" i="8"/>
  <c r="G1960" i="5"/>
  <c r="G1961" i="5"/>
  <c r="G1962" i="5"/>
  <c r="H1960" i="5"/>
  <c r="E323" i="8"/>
  <c r="G1954" i="5"/>
  <c r="G1955" i="5"/>
  <c r="G1956" i="5"/>
  <c r="H1954" i="5"/>
  <c r="E322" i="8"/>
  <c r="G1947" i="5"/>
  <c r="G1948" i="5"/>
  <c r="G1949" i="5"/>
  <c r="G1950" i="5"/>
  <c r="H1947" i="5"/>
  <c r="E321" i="8"/>
  <c r="G1942" i="5"/>
  <c r="G1943" i="5"/>
  <c r="H1942" i="5"/>
  <c r="E320" i="8"/>
  <c r="G1937" i="5"/>
  <c r="G1938" i="5"/>
  <c r="H1937" i="5"/>
  <c r="E319" i="8"/>
  <c r="G1931" i="5"/>
  <c r="G1932" i="5"/>
  <c r="G1933" i="5"/>
  <c r="H1931" i="5"/>
  <c r="E318" i="8"/>
  <c r="G1926" i="5"/>
  <c r="G1927" i="5"/>
  <c r="H1926" i="5"/>
  <c r="E317" i="8"/>
  <c r="G1921" i="5"/>
  <c r="G1922" i="5"/>
  <c r="H1921" i="5"/>
  <c r="E316" i="8"/>
  <c r="G1916" i="5"/>
  <c r="G1917" i="5"/>
  <c r="H1916" i="5"/>
  <c r="E315" i="8"/>
  <c r="G1910" i="5"/>
  <c r="G1911" i="5"/>
  <c r="G1912" i="5"/>
  <c r="H1910" i="5"/>
  <c r="E314" i="8"/>
  <c r="G1904" i="5"/>
  <c r="G1905" i="5"/>
  <c r="G1906" i="5"/>
  <c r="H1904" i="5"/>
  <c r="E313" i="8"/>
  <c r="G1898" i="5"/>
  <c r="G1899" i="5"/>
  <c r="G1900" i="5"/>
  <c r="H1898" i="5"/>
  <c r="E312" i="8"/>
  <c r="G1892" i="5"/>
  <c r="G1893" i="5"/>
  <c r="G1894" i="5"/>
  <c r="H1892" i="5"/>
  <c r="E311" i="8"/>
  <c r="G1886" i="5"/>
  <c r="G1887" i="5"/>
  <c r="G1888" i="5"/>
  <c r="H1886" i="5"/>
  <c r="E310" i="8"/>
  <c r="G1880" i="5"/>
  <c r="G1881" i="5"/>
  <c r="G1882" i="5"/>
  <c r="H1880" i="5"/>
  <c r="E309" i="8"/>
  <c r="G1874" i="5"/>
  <c r="G1875" i="5"/>
  <c r="G1876" i="5"/>
  <c r="H1874" i="5"/>
  <c r="E308" i="8"/>
  <c r="G1868" i="5"/>
  <c r="G1869" i="5"/>
  <c r="G1870" i="5"/>
  <c r="H1868" i="5"/>
  <c r="E307" i="8"/>
  <c r="G1862" i="5"/>
  <c r="G1863" i="5"/>
  <c r="G1864" i="5"/>
  <c r="H1862" i="5"/>
  <c r="E306" i="8"/>
  <c r="G1856" i="5"/>
  <c r="G1857" i="5"/>
  <c r="G1858" i="5"/>
  <c r="H1856" i="5"/>
  <c r="E305" i="8"/>
  <c r="G1850" i="5"/>
  <c r="G1851" i="5"/>
  <c r="G1852" i="5"/>
  <c r="H1850" i="5"/>
  <c r="E304" i="8"/>
  <c r="G1844" i="5"/>
  <c r="G1845" i="5"/>
  <c r="G1846" i="5"/>
  <c r="H1844" i="5"/>
  <c r="E303" i="8"/>
  <c r="G1837" i="5"/>
  <c r="G1838" i="5"/>
  <c r="G1839" i="5"/>
  <c r="G1840" i="5"/>
  <c r="H1837" i="5"/>
  <c r="E302" i="8"/>
  <c r="G1831" i="5"/>
  <c r="G1832" i="5"/>
  <c r="G1833" i="5"/>
  <c r="H1831" i="5"/>
  <c r="E301" i="8"/>
  <c r="G1825" i="5"/>
  <c r="G1826" i="5"/>
  <c r="G1827" i="5"/>
  <c r="H1825" i="5"/>
  <c r="E300" i="8"/>
  <c r="G1820" i="5"/>
  <c r="G1821" i="5"/>
  <c r="H1820" i="5"/>
  <c r="E299" i="8"/>
  <c r="G1815" i="5"/>
  <c r="G1816" i="5"/>
  <c r="H1815" i="5"/>
  <c r="E298" i="8"/>
  <c r="G1808" i="5"/>
  <c r="G1809" i="5"/>
  <c r="G1810" i="5"/>
  <c r="G1811" i="5"/>
  <c r="H1808" i="5"/>
  <c r="E290" i="8"/>
  <c r="G1801" i="5"/>
  <c r="G1802" i="5"/>
  <c r="G1803" i="5"/>
  <c r="G1804" i="5"/>
  <c r="H1801" i="5"/>
  <c r="E289" i="8"/>
  <c r="G1794" i="5"/>
  <c r="G1795" i="5"/>
  <c r="G1796" i="5"/>
  <c r="G1797" i="5"/>
  <c r="H1794" i="5"/>
  <c r="E288" i="8"/>
  <c r="G1787" i="5"/>
  <c r="G1788" i="5"/>
  <c r="G1789" i="5"/>
  <c r="G1790" i="5"/>
  <c r="H1787" i="5"/>
  <c r="E287" i="8"/>
  <c r="G1780" i="5"/>
  <c r="G1781" i="5"/>
  <c r="G1782" i="5"/>
  <c r="G1783" i="5"/>
  <c r="H1780" i="5"/>
  <c r="E286" i="8"/>
  <c r="G1773" i="5"/>
  <c r="G1774" i="5"/>
  <c r="G1775" i="5"/>
  <c r="G1776" i="5"/>
  <c r="H1773" i="5"/>
  <c r="E285" i="8"/>
  <c r="G1766" i="5"/>
  <c r="G1767" i="5"/>
  <c r="G1768" i="5"/>
  <c r="G1769" i="5"/>
  <c r="H1766" i="5"/>
  <c r="E284" i="8"/>
  <c r="G1759" i="5"/>
  <c r="G1760" i="5"/>
  <c r="G1761" i="5"/>
  <c r="G1762" i="5"/>
  <c r="H1759" i="5"/>
  <c r="E283" i="8"/>
  <c r="G1748" i="5"/>
  <c r="G1749" i="5"/>
  <c r="G1750" i="5"/>
  <c r="G1751" i="5"/>
  <c r="G1752" i="5"/>
  <c r="G1753" i="5"/>
  <c r="G1754" i="5"/>
  <c r="G1755" i="5"/>
  <c r="H1748" i="5"/>
  <c r="E282" i="8"/>
  <c r="G1737" i="5"/>
  <c r="G1738" i="5"/>
  <c r="G1739" i="5"/>
  <c r="G1740" i="5"/>
  <c r="G1741" i="5"/>
  <c r="G1742" i="5"/>
  <c r="G1743" i="5"/>
  <c r="G1744" i="5"/>
  <c r="H1737" i="5"/>
  <c r="E281" i="8"/>
  <c r="G1726" i="5"/>
  <c r="G1727" i="5"/>
  <c r="G1728" i="5"/>
  <c r="G1729" i="5"/>
  <c r="G1730" i="5"/>
  <c r="G1731" i="5"/>
  <c r="G1732" i="5"/>
  <c r="G1733" i="5"/>
  <c r="H1726" i="5"/>
  <c r="E280" i="8"/>
  <c r="G1715" i="5"/>
  <c r="G1716" i="5"/>
  <c r="G1717" i="5"/>
  <c r="G1718" i="5"/>
  <c r="G1719" i="5"/>
  <c r="G1720" i="5"/>
  <c r="G1721" i="5"/>
  <c r="G1722" i="5"/>
  <c r="H1715" i="5"/>
  <c r="E279" i="8"/>
  <c r="G1707" i="5"/>
  <c r="G1708" i="5"/>
  <c r="G1709" i="5"/>
  <c r="G1710" i="5"/>
  <c r="G1711" i="5"/>
  <c r="H1707" i="5"/>
  <c r="E278" i="8"/>
  <c r="G1701" i="5"/>
  <c r="G1702" i="5"/>
  <c r="G1703" i="5"/>
  <c r="H1701" i="5"/>
  <c r="E277" i="8"/>
  <c r="G1694" i="5"/>
  <c r="G1695" i="5"/>
  <c r="G1696" i="5"/>
  <c r="G1697" i="5"/>
  <c r="H1694" i="5"/>
  <c r="E276" i="8"/>
  <c r="G1687" i="5"/>
  <c r="G1688" i="5"/>
  <c r="G1689" i="5"/>
  <c r="G1690" i="5"/>
  <c r="H1687" i="5"/>
  <c r="E275" i="8"/>
  <c r="G1681" i="5"/>
  <c r="G1682" i="5"/>
  <c r="G1683" i="5"/>
  <c r="H1681" i="5"/>
  <c r="E274" i="8"/>
  <c r="G1676" i="5"/>
  <c r="G1677" i="5"/>
  <c r="H1676" i="5"/>
  <c r="E273" i="8"/>
  <c r="G1671" i="5"/>
  <c r="G1672" i="5"/>
  <c r="H1671" i="5"/>
  <c r="E272" i="8"/>
  <c r="G1666" i="5"/>
  <c r="G1667" i="5"/>
  <c r="H1666" i="5"/>
  <c r="E271" i="8"/>
  <c r="E1660" i="5"/>
  <c r="G1660" i="5"/>
  <c r="E1661" i="5"/>
  <c r="G1661" i="5"/>
  <c r="G1662" i="5"/>
  <c r="H1660" i="5"/>
  <c r="E270" i="8"/>
  <c r="G1654" i="5"/>
  <c r="G1655" i="5"/>
  <c r="G1656" i="5"/>
  <c r="H1654" i="5"/>
  <c r="E269" i="8"/>
  <c r="G1648" i="5"/>
  <c r="G1649" i="5"/>
  <c r="G1650" i="5"/>
  <c r="H1648" i="5"/>
  <c r="E268" i="8"/>
  <c r="G1642" i="5"/>
  <c r="G1643" i="5"/>
  <c r="G1644" i="5"/>
  <c r="H1642" i="5"/>
  <c r="E267" i="8"/>
  <c r="G1637" i="5"/>
  <c r="G1638" i="5"/>
  <c r="H1637" i="5"/>
  <c r="E266" i="8"/>
  <c r="G1631" i="5"/>
  <c r="G1632" i="5"/>
  <c r="G1633" i="5"/>
  <c r="H1631" i="5"/>
  <c r="E265" i="8"/>
  <c r="G1625" i="5"/>
  <c r="G1626" i="5"/>
  <c r="G1627" i="5"/>
  <c r="H1625" i="5"/>
  <c r="E264" i="8"/>
  <c r="G1620" i="5"/>
  <c r="G1621" i="5"/>
  <c r="H1620" i="5"/>
  <c r="E263" i="8"/>
  <c r="E1613" i="5"/>
  <c r="G1613" i="5"/>
  <c r="E1614" i="5"/>
  <c r="G1614" i="5"/>
  <c r="G1615" i="5"/>
  <c r="G1616" i="5"/>
  <c r="H1613" i="5"/>
  <c r="E262" i="8"/>
  <c r="G1607" i="5"/>
  <c r="G1608" i="5"/>
  <c r="G1609" i="5"/>
  <c r="H1607" i="5"/>
  <c r="E261" i="8"/>
  <c r="G1601" i="5"/>
  <c r="G1602" i="5"/>
  <c r="G1603" i="5"/>
  <c r="H1601" i="5"/>
  <c r="E260" i="8"/>
  <c r="G1595" i="5"/>
  <c r="G1596" i="5"/>
  <c r="G1597" i="5"/>
  <c r="H1595" i="5"/>
  <c r="E259" i="8"/>
  <c r="G1580" i="5"/>
  <c r="G1581" i="5"/>
  <c r="G1582" i="5"/>
  <c r="G1583" i="5"/>
  <c r="G1584" i="5"/>
  <c r="G1585" i="5"/>
  <c r="G1586" i="5"/>
  <c r="G1587" i="5"/>
  <c r="G1588" i="5"/>
  <c r="G1589" i="5"/>
  <c r="G1590" i="5"/>
  <c r="G1591" i="5"/>
  <c r="H1580" i="5"/>
  <c r="E258" i="8"/>
  <c r="G1573" i="5"/>
  <c r="G1574" i="5"/>
  <c r="G1575" i="5"/>
  <c r="G1576" i="5"/>
  <c r="H1573" i="5"/>
  <c r="E257" i="8"/>
  <c r="G1566" i="5"/>
  <c r="G1567" i="5"/>
  <c r="G1568" i="5"/>
  <c r="G1569" i="5"/>
  <c r="H1566" i="5"/>
  <c r="E256" i="8"/>
  <c r="G1559" i="5"/>
  <c r="G1560" i="5"/>
  <c r="G1561" i="5"/>
  <c r="G1562" i="5"/>
  <c r="H1559" i="5"/>
  <c r="E255" i="8"/>
  <c r="G1552" i="5"/>
  <c r="G1553" i="5"/>
  <c r="G1554" i="5"/>
  <c r="G1555" i="5"/>
  <c r="H1552" i="5"/>
  <c r="E254" i="8"/>
  <c r="G1544" i="5"/>
  <c r="G1545" i="5"/>
  <c r="G1546" i="5"/>
  <c r="G1547" i="5"/>
  <c r="G1548" i="5"/>
  <c r="H1544" i="5"/>
  <c r="E253" i="8"/>
  <c r="G1536" i="5"/>
  <c r="G1537" i="5"/>
  <c r="G1538" i="5"/>
  <c r="G1539" i="5"/>
  <c r="G1540" i="5"/>
  <c r="H1536" i="5"/>
  <c r="E252" i="8"/>
  <c r="G1528" i="5"/>
  <c r="G1529" i="5"/>
  <c r="G1530" i="5"/>
  <c r="G1531" i="5"/>
  <c r="G1532" i="5"/>
  <c r="H1528" i="5"/>
  <c r="E251" i="8"/>
  <c r="G1520" i="5"/>
  <c r="G1521" i="5"/>
  <c r="G1522" i="5"/>
  <c r="G1523" i="5"/>
  <c r="G1524" i="5"/>
  <c r="H1520" i="5"/>
  <c r="E250" i="8"/>
  <c r="G1512" i="5"/>
  <c r="G1513" i="5"/>
  <c r="G1514" i="5"/>
  <c r="G1515" i="5"/>
  <c r="G1516" i="5"/>
  <c r="H1512" i="5"/>
  <c r="E249" i="8"/>
  <c r="G1497" i="5"/>
  <c r="G1498" i="5"/>
  <c r="G1499" i="5"/>
  <c r="G1500" i="5"/>
  <c r="G1501" i="5"/>
  <c r="G1502" i="5"/>
  <c r="G1503" i="5"/>
  <c r="G1504" i="5"/>
  <c r="G1505" i="5"/>
  <c r="G1506" i="5"/>
  <c r="G1507" i="5"/>
  <c r="G1508" i="5"/>
  <c r="H1497" i="5"/>
  <c r="E248" i="8"/>
  <c r="G1482" i="5"/>
  <c r="G1483" i="5"/>
  <c r="G1484" i="5"/>
  <c r="G1485" i="5"/>
  <c r="G1486" i="5"/>
  <c r="G1487" i="5"/>
  <c r="G1488" i="5"/>
  <c r="G1489" i="5"/>
  <c r="G1490" i="5"/>
  <c r="G1491" i="5"/>
  <c r="G1492" i="5"/>
  <c r="G1493" i="5"/>
  <c r="H1482" i="5"/>
  <c r="E247" i="8"/>
  <c r="G1467" i="5"/>
  <c r="G1468" i="5"/>
  <c r="G1469" i="5"/>
  <c r="G1470" i="5"/>
  <c r="G1471" i="5"/>
  <c r="G1472" i="5"/>
  <c r="G1473" i="5"/>
  <c r="G1474" i="5"/>
  <c r="G1475" i="5"/>
  <c r="G1476" i="5"/>
  <c r="G1477" i="5"/>
  <c r="G1478" i="5"/>
  <c r="H1467" i="5"/>
  <c r="E246" i="8"/>
  <c r="G1452" i="5"/>
  <c r="G1453" i="5"/>
  <c r="G1454" i="5"/>
  <c r="G1455" i="5"/>
  <c r="G1456" i="5"/>
  <c r="G1457" i="5"/>
  <c r="G1458" i="5"/>
  <c r="G1459" i="5"/>
  <c r="G1460" i="5"/>
  <c r="G1461" i="5"/>
  <c r="G1462" i="5"/>
  <c r="G1463" i="5"/>
  <c r="H1452" i="5"/>
  <c r="E245" i="8"/>
  <c r="G1437" i="5"/>
  <c r="G1438" i="5"/>
  <c r="G1439" i="5"/>
  <c r="G1440" i="5"/>
  <c r="G1441" i="5"/>
  <c r="G1442" i="5"/>
  <c r="G1443" i="5"/>
  <c r="G1444" i="5"/>
  <c r="G1445" i="5"/>
  <c r="G1446" i="5"/>
  <c r="G1447" i="5"/>
  <c r="G1448" i="5"/>
  <c r="H1437" i="5"/>
  <c r="E244" i="8"/>
  <c r="G1422" i="5"/>
  <c r="G1423" i="5"/>
  <c r="G1424" i="5"/>
  <c r="G1425" i="5"/>
  <c r="G1426" i="5"/>
  <c r="G1427" i="5"/>
  <c r="G1428" i="5"/>
  <c r="G1429" i="5"/>
  <c r="G1430" i="5"/>
  <c r="G1431" i="5"/>
  <c r="G1432" i="5"/>
  <c r="G1433" i="5"/>
  <c r="H1422" i="5"/>
  <c r="E243" i="8"/>
  <c r="G1407" i="5"/>
  <c r="G1408" i="5"/>
  <c r="G1409" i="5"/>
  <c r="G1410" i="5"/>
  <c r="G1411" i="5"/>
  <c r="G1412" i="5"/>
  <c r="G1413" i="5"/>
  <c r="G1414" i="5"/>
  <c r="G1415" i="5"/>
  <c r="G1416" i="5"/>
  <c r="G1417" i="5"/>
  <c r="G1418" i="5"/>
  <c r="H1407" i="5"/>
  <c r="E242" i="8"/>
  <c r="G1400" i="5"/>
  <c r="G1401" i="5"/>
  <c r="G1402" i="5"/>
  <c r="G1403" i="5"/>
  <c r="H1400" i="5"/>
  <c r="E241" i="8"/>
  <c r="G1394" i="5"/>
  <c r="G1395" i="5"/>
  <c r="G1396" i="5"/>
  <c r="H1394" i="5"/>
  <c r="E240" i="8"/>
  <c r="G1388" i="5"/>
  <c r="G1389" i="5"/>
  <c r="G1390" i="5"/>
  <c r="H1388" i="5"/>
  <c r="E239" i="8"/>
  <c r="G1382" i="5"/>
  <c r="G1383" i="5"/>
  <c r="G1384" i="5"/>
  <c r="H1382" i="5"/>
  <c r="E238" i="8"/>
  <c r="G1375" i="5"/>
  <c r="G1376" i="5"/>
  <c r="G1377" i="5"/>
  <c r="G1378" i="5"/>
  <c r="H1375" i="5"/>
  <c r="E237" i="8"/>
  <c r="G1369" i="5"/>
  <c r="G1370" i="5"/>
  <c r="G1371" i="5"/>
  <c r="H1369" i="5"/>
  <c r="E236" i="8"/>
  <c r="G1363" i="5"/>
  <c r="G1364" i="5"/>
  <c r="G1365" i="5"/>
  <c r="H1363" i="5"/>
  <c r="E235" i="8"/>
  <c r="G1356" i="5"/>
  <c r="G1357" i="5"/>
  <c r="G1358" i="5"/>
  <c r="G1359" i="5"/>
  <c r="H1356" i="5"/>
  <c r="E234" i="8"/>
  <c r="G1350" i="5"/>
  <c r="G1351" i="5"/>
  <c r="G1352" i="5"/>
  <c r="H1350" i="5"/>
  <c r="E233" i="8"/>
  <c r="G1343" i="5"/>
  <c r="G1344" i="5"/>
  <c r="G1345" i="5"/>
  <c r="G1346" i="5"/>
  <c r="H1343" i="5"/>
  <c r="E232" i="8"/>
  <c r="G1337" i="5"/>
  <c r="G1338" i="5"/>
  <c r="G1339" i="5"/>
  <c r="H1337" i="5"/>
  <c r="E231" i="8"/>
  <c r="G1331" i="5"/>
  <c r="G1332" i="5"/>
  <c r="G1333" i="5"/>
  <c r="H1331" i="5"/>
  <c r="E230" i="8"/>
  <c r="G1325" i="5"/>
  <c r="G1326" i="5"/>
  <c r="G1327" i="5"/>
  <c r="H1325" i="5"/>
  <c r="E229" i="8"/>
  <c r="G1319" i="5"/>
  <c r="G1320" i="5"/>
  <c r="G1321" i="5"/>
  <c r="H1319" i="5"/>
  <c r="E228" i="8"/>
  <c r="G1310" i="5"/>
  <c r="G1311" i="5"/>
  <c r="G1312" i="5"/>
  <c r="G1313" i="5"/>
  <c r="G1314" i="5"/>
  <c r="G1315" i="5"/>
  <c r="H1310" i="5"/>
  <c r="E227" i="8"/>
  <c r="G1302" i="5"/>
  <c r="G1303" i="5"/>
  <c r="G1304" i="5"/>
  <c r="G1305" i="5"/>
  <c r="G1306" i="5"/>
  <c r="H1302" i="5"/>
  <c r="E226" i="8"/>
  <c r="G1295" i="5"/>
  <c r="G1296" i="5"/>
  <c r="G1297" i="5"/>
  <c r="G1298" i="5"/>
  <c r="H1295" i="5"/>
  <c r="E225" i="8"/>
  <c r="G1288" i="5"/>
  <c r="G1289" i="5"/>
  <c r="G1290" i="5"/>
  <c r="G1291" i="5"/>
  <c r="H1288" i="5"/>
  <c r="E224" i="8"/>
  <c r="G1281" i="5"/>
  <c r="G1282" i="5"/>
  <c r="G1283" i="5"/>
  <c r="G1284" i="5"/>
  <c r="H1281" i="5"/>
  <c r="E223" i="8"/>
  <c r="G1274" i="5"/>
  <c r="G1275" i="5"/>
  <c r="G1276" i="5"/>
  <c r="G1277" i="5"/>
  <c r="H1274" i="5"/>
  <c r="E222" i="8"/>
  <c r="G1268" i="5"/>
  <c r="G1269" i="5"/>
  <c r="G1270" i="5"/>
  <c r="H1268" i="5"/>
  <c r="E221" i="8"/>
  <c r="G1261" i="5"/>
  <c r="G1262" i="5"/>
  <c r="G1263" i="5"/>
  <c r="G1264" i="5"/>
  <c r="H1261" i="5"/>
  <c r="E220" i="8"/>
  <c r="G1254" i="5"/>
  <c r="G1255" i="5"/>
  <c r="G1256" i="5"/>
  <c r="G1257" i="5"/>
  <c r="H1254" i="5"/>
  <c r="E219" i="8"/>
  <c r="G1247" i="5"/>
  <c r="G1248" i="5"/>
  <c r="G1249" i="5"/>
  <c r="G1250" i="5"/>
  <c r="H1247" i="5"/>
  <c r="E218" i="8"/>
  <c r="G1241" i="5"/>
  <c r="G1242" i="5"/>
  <c r="G1243" i="5"/>
  <c r="H1241" i="5"/>
  <c r="E217" i="8"/>
  <c r="G1235" i="5"/>
  <c r="G1236" i="5"/>
  <c r="G1237" i="5"/>
  <c r="H1235" i="5"/>
  <c r="E216" i="8"/>
  <c r="G1229" i="5"/>
  <c r="G1230" i="5"/>
  <c r="G1231" i="5"/>
  <c r="H1229" i="5"/>
  <c r="E215" i="8"/>
  <c r="G1223" i="5"/>
  <c r="G1224" i="5"/>
  <c r="G1225" i="5"/>
  <c r="H1223" i="5"/>
  <c r="E214" i="8"/>
  <c r="G1216" i="5"/>
  <c r="G1217" i="5"/>
  <c r="G1218" i="5"/>
  <c r="G1219" i="5"/>
  <c r="H1216" i="5"/>
  <c r="E213" i="8"/>
  <c r="G1209" i="5"/>
  <c r="G1210" i="5"/>
  <c r="G1211" i="5"/>
  <c r="G1212" i="5"/>
  <c r="H1209" i="5"/>
  <c r="E212" i="8"/>
  <c r="G1202" i="5"/>
  <c r="G1203" i="5"/>
  <c r="G1204" i="5"/>
  <c r="G1205" i="5"/>
  <c r="H1202" i="5"/>
  <c r="E211" i="8"/>
  <c r="G1195" i="5"/>
  <c r="G1196" i="5"/>
  <c r="G1197" i="5"/>
  <c r="G1198" i="5"/>
  <c r="H1195" i="5"/>
  <c r="E210" i="8"/>
  <c r="G1188" i="5"/>
  <c r="G1189" i="5"/>
  <c r="G1190" i="5"/>
  <c r="G1191" i="5"/>
  <c r="H1188" i="5"/>
  <c r="E209" i="8"/>
  <c r="G1181" i="5"/>
  <c r="G1182" i="5"/>
  <c r="G1183" i="5"/>
  <c r="G1184" i="5"/>
  <c r="H1181" i="5"/>
  <c r="E208" i="8"/>
  <c r="G1174" i="5"/>
  <c r="G1175" i="5"/>
  <c r="G1176" i="5"/>
  <c r="G1177" i="5"/>
  <c r="H1174" i="5"/>
  <c r="E207" i="8"/>
  <c r="G1167" i="5"/>
  <c r="G1168" i="5"/>
  <c r="G1169" i="5"/>
  <c r="G1170" i="5"/>
  <c r="H1167" i="5"/>
  <c r="E206" i="8"/>
  <c r="G1160" i="5"/>
  <c r="G1161" i="5"/>
  <c r="G1162" i="5"/>
  <c r="G1163" i="5"/>
  <c r="H1160" i="5"/>
  <c r="E205" i="8"/>
  <c r="G1153" i="5"/>
  <c r="G1154" i="5"/>
  <c r="G1155" i="5"/>
  <c r="G1156" i="5"/>
  <c r="H1153" i="5"/>
  <c r="E204" i="8"/>
  <c r="G1146" i="5"/>
  <c r="G1147" i="5"/>
  <c r="G1148" i="5"/>
  <c r="G1149" i="5"/>
  <c r="H1146" i="5"/>
  <c r="E203" i="8"/>
  <c r="G1139" i="5"/>
  <c r="G1140" i="5"/>
  <c r="G1141" i="5"/>
  <c r="G1142" i="5"/>
  <c r="H1139" i="5"/>
  <c r="E202" i="8"/>
  <c r="G1134" i="5"/>
  <c r="G1135" i="5"/>
  <c r="H1134" i="5"/>
  <c r="E201" i="8"/>
  <c r="G1128" i="5"/>
  <c r="G1129" i="5"/>
  <c r="G1130" i="5"/>
  <c r="H1128" i="5"/>
  <c r="E200" i="8"/>
  <c r="G1123" i="5"/>
  <c r="G1124" i="5"/>
  <c r="H1123" i="5"/>
  <c r="E199" i="8"/>
  <c r="G1118" i="5"/>
  <c r="G1119" i="5"/>
  <c r="H1118" i="5"/>
  <c r="E198" i="8"/>
  <c r="G1110" i="5"/>
  <c r="G1111" i="5"/>
  <c r="G1112" i="5"/>
  <c r="G1113" i="5"/>
  <c r="G1114" i="5"/>
  <c r="H1110" i="5"/>
  <c r="E197" i="8"/>
  <c r="G1100" i="5"/>
  <c r="G1101" i="5"/>
  <c r="G1102" i="5"/>
  <c r="E1103" i="5"/>
  <c r="G1103" i="5"/>
  <c r="E1104" i="5"/>
  <c r="G1104" i="5"/>
  <c r="H1100" i="5"/>
  <c r="E196" i="8"/>
  <c r="G1092" i="5"/>
  <c r="G1093" i="5"/>
  <c r="G1094" i="5"/>
  <c r="G1095" i="5"/>
  <c r="G1096" i="5"/>
  <c r="H1092" i="5"/>
  <c r="E195" i="8"/>
  <c r="G1084" i="5"/>
  <c r="G1085" i="5"/>
  <c r="G1086" i="5"/>
  <c r="G1087" i="5"/>
  <c r="G1088" i="5"/>
  <c r="H1084" i="5"/>
  <c r="E194" i="8"/>
  <c r="G1075" i="5"/>
  <c r="G1076" i="5"/>
  <c r="E1077" i="5"/>
  <c r="G1077" i="5"/>
  <c r="E1078" i="5"/>
  <c r="G1078" i="5"/>
  <c r="H1075" i="5"/>
  <c r="E193" i="8"/>
  <c r="G1068" i="5"/>
  <c r="G1069" i="5"/>
  <c r="G1070" i="5"/>
  <c r="G1071" i="5"/>
  <c r="H1068" i="5"/>
  <c r="E192" i="8"/>
  <c r="G1061" i="5"/>
  <c r="G1062" i="5"/>
  <c r="G1063" i="5"/>
  <c r="G1064" i="5"/>
  <c r="H1061" i="5"/>
  <c r="E191" i="8"/>
  <c r="G1054" i="5"/>
  <c r="G1055" i="5"/>
  <c r="G1056" i="5"/>
  <c r="G1057" i="5"/>
  <c r="H1054" i="5"/>
  <c r="E190" i="8"/>
  <c r="G1047" i="5"/>
  <c r="G1048" i="5"/>
  <c r="G1049" i="5"/>
  <c r="G1050" i="5"/>
  <c r="H1047" i="5"/>
  <c r="E189" i="8"/>
  <c r="G1038" i="5"/>
  <c r="G1039" i="5"/>
  <c r="G1040" i="5"/>
  <c r="G1041" i="5"/>
  <c r="G1042" i="5"/>
  <c r="G1043" i="5"/>
  <c r="H1038" i="5"/>
  <c r="E188" i="8"/>
  <c r="G1028" i="5"/>
  <c r="G1029" i="5"/>
  <c r="G1030" i="5"/>
  <c r="G1031" i="5"/>
  <c r="G1032" i="5"/>
  <c r="G1033" i="5"/>
  <c r="G1034" i="5"/>
  <c r="H1028" i="5"/>
  <c r="E187" i="8"/>
  <c r="G1023" i="5"/>
  <c r="G1024" i="5"/>
  <c r="H1023" i="5"/>
  <c r="E186" i="8"/>
  <c r="G1014" i="5"/>
  <c r="G1015" i="5"/>
  <c r="G1016" i="5"/>
  <c r="G1017" i="5"/>
  <c r="G1018" i="5"/>
  <c r="G1019" i="5"/>
  <c r="H1014" i="5"/>
  <c r="E185" i="8"/>
  <c r="G1009" i="5"/>
  <c r="G1010" i="5"/>
  <c r="H1009" i="5"/>
  <c r="E184" i="8"/>
  <c r="G1004" i="5"/>
  <c r="G1005" i="5"/>
  <c r="H1004" i="5"/>
  <c r="E183" i="8"/>
  <c r="G993" i="5"/>
  <c r="G994" i="5"/>
  <c r="G995" i="5"/>
  <c r="G996" i="5"/>
  <c r="G997" i="5"/>
  <c r="G998" i="5"/>
  <c r="G999" i="5"/>
  <c r="G1000" i="5"/>
  <c r="H993" i="5"/>
  <c r="E182" i="8"/>
  <c r="G982" i="5"/>
  <c r="G983" i="5"/>
  <c r="G984" i="5"/>
  <c r="G985" i="5"/>
  <c r="G986" i="5"/>
  <c r="G987" i="5"/>
  <c r="G988" i="5"/>
  <c r="G989" i="5"/>
  <c r="H982" i="5"/>
  <c r="E181" i="8"/>
  <c r="G975" i="5"/>
  <c r="G976" i="5"/>
  <c r="G977" i="5"/>
  <c r="G978" i="5"/>
  <c r="H975" i="5"/>
  <c r="E180" i="8"/>
  <c r="G968" i="5"/>
  <c r="G969" i="5"/>
  <c r="G970" i="5"/>
  <c r="G971" i="5"/>
  <c r="H968" i="5"/>
  <c r="E179" i="8"/>
  <c r="G961" i="5"/>
  <c r="G962" i="5"/>
  <c r="G963" i="5"/>
  <c r="G964" i="5"/>
  <c r="H961" i="5"/>
  <c r="E178" i="8"/>
  <c r="G955" i="5"/>
  <c r="G956" i="5"/>
  <c r="G957" i="5"/>
  <c r="H955" i="5"/>
  <c r="E177" i="8"/>
  <c r="G949" i="5"/>
  <c r="G950" i="5"/>
  <c r="G951" i="5"/>
  <c r="H949" i="5"/>
  <c r="E176" i="8"/>
  <c r="G940" i="5"/>
  <c r="G941" i="5"/>
  <c r="G942" i="5"/>
  <c r="G943" i="5"/>
  <c r="G944" i="5"/>
  <c r="G945" i="5"/>
  <c r="H940" i="5"/>
  <c r="E175" i="8"/>
  <c r="G931" i="5"/>
  <c r="G932" i="5"/>
  <c r="G933" i="5"/>
  <c r="G934" i="5"/>
  <c r="G935" i="5"/>
  <c r="G936" i="5"/>
  <c r="H931" i="5"/>
  <c r="E174" i="8"/>
  <c r="G924" i="5"/>
  <c r="G925" i="5"/>
  <c r="G926" i="5"/>
  <c r="G927" i="5"/>
  <c r="H924" i="5"/>
  <c r="E173" i="8"/>
  <c r="G915" i="5"/>
  <c r="G916" i="5"/>
  <c r="G917" i="5"/>
  <c r="G918" i="5"/>
  <c r="G919" i="5"/>
  <c r="G920" i="5"/>
  <c r="H915" i="5"/>
  <c r="E172" i="8"/>
  <c r="G909" i="5"/>
  <c r="G910" i="5"/>
  <c r="G911" i="5"/>
  <c r="H909" i="5"/>
  <c r="E171" i="8"/>
  <c r="E905" i="5"/>
  <c r="G905" i="5"/>
  <c r="H905" i="5"/>
  <c r="E166" i="8"/>
  <c r="G898" i="5"/>
  <c r="G899" i="5"/>
  <c r="G900" i="5"/>
  <c r="G901" i="5"/>
  <c r="H898" i="5"/>
  <c r="E165" i="8"/>
  <c r="E893" i="5"/>
  <c r="G893" i="5"/>
  <c r="E894" i="5"/>
  <c r="G894" i="5"/>
  <c r="H893" i="5"/>
  <c r="E164" i="8"/>
  <c r="G885" i="5"/>
  <c r="G886" i="5"/>
  <c r="G887" i="5"/>
  <c r="G888" i="5"/>
  <c r="G889" i="5"/>
  <c r="H885" i="5"/>
  <c r="E163" i="8"/>
  <c r="G877" i="5"/>
  <c r="G878" i="5"/>
  <c r="G879" i="5"/>
  <c r="G880" i="5"/>
  <c r="G881" i="5"/>
  <c r="H877" i="5"/>
  <c r="E162" i="8"/>
  <c r="G869" i="5"/>
  <c r="G870" i="5"/>
  <c r="E871" i="5"/>
  <c r="G871" i="5"/>
  <c r="H869" i="5"/>
  <c r="E161" i="8"/>
  <c r="G864" i="5"/>
  <c r="G865" i="5"/>
  <c r="H864" i="5"/>
  <c r="E160" i="8"/>
  <c r="G858" i="5"/>
  <c r="G859" i="5"/>
  <c r="G860" i="5"/>
  <c r="H858" i="5"/>
  <c r="E159" i="8"/>
  <c r="G852" i="5"/>
  <c r="E853" i="5"/>
  <c r="G853" i="5"/>
  <c r="G854" i="5"/>
  <c r="H852" i="5"/>
  <c r="E158" i="8"/>
  <c r="G847" i="5"/>
  <c r="G848" i="5"/>
  <c r="H847" i="5"/>
  <c r="E157" i="8"/>
  <c r="G841" i="5"/>
  <c r="G842" i="5"/>
  <c r="G843" i="5"/>
  <c r="H841" i="5"/>
  <c r="E156" i="8"/>
  <c r="G834" i="5"/>
  <c r="G835" i="5"/>
  <c r="G836" i="5"/>
  <c r="G837" i="5"/>
  <c r="H834" i="5"/>
  <c r="E155" i="8"/>
  <c r="G829" i="5"/>
  <c r="G830" i="5"/>
  <c r="H829" i="5"/>
  <c r="E154" i="8"/>
  <c r="E825" i="5"/>
  <c r="G825" i="5"/>
  <c r="H825" i="5"/>
  <c r="E153" i="8"/>
  <c r="E820" i="5"/>
  <c r="G820" i="5"/>
  <c r="G821" i="5"/>
  <c r="H820" i="5"/>
  <c r="E152" i="8"/>
  <c r="G816" i="5"/>
  <c r="H816" i="5"/>
  <c r="E151" i="8"/>
  <c r="G806" i="5"/>
  <c r="G807" i="5"/>
  <c r="G808" i="5"/>
  <c r="G809" i="5"/>
  <c r="G810" i="5"/>
  <c r="G811" i="5"/>
  <c r="G812" i="5"/>
  <c r="H806" i="5"/>
  <c r="E150" i="8"/>
  <c r="G792" i="5"/>
  <c r="G793" i="5"/>
  <c r="G794" i="5"/>
  <c r="G795" i="5"/>
  <c r="G796" i="5"/>
  <c r="G797" i="5"/>
  <c r="G798" i="5"/>
  <c r="G799" i="5"/>
  <c r="G800" i="5"/>
  <c r="G801" i="5"/>
  <c r="G802" i="5"/>
  <c r="H792" i="5"/>
  <c r="E149" i="8"/>
  <c r="G785" i="5"/>
  <c r="G786" i="5"/>
  <c r="G787" i="5"/>
  <c r="G788" i="5"/>
  <c r="H785" i="5"/>
  <c r="E148" i="8"/>
  <c r="G774" i="5"/>
  <c r="G775" i="5"/>
  <c r="G776" i="5"/>
  <c r="G777" i="5"/>
  <c r="G778" i="5"/>
  <c r="G779" i="5"/>
  <c r="G780" i="5"/>
  <c r="G781" i="5"/>
  <c r="H774" i="5"/>
  <c r="E147" i="8"/>
  <c r="G768" i="5"/>
  <c r="G769" i="5"/>
  <c r="E770" i="5"/>
  <c r="G770" i="5"/>
  <c r="H768" i="5"/>
  <c r="E146" i="8"/>
  <c r="G757" i="5"/>
  <c r="G758" i="5"/>
  <c r="G759" i="5"/>
  <c r="G760" i="5"/>
  <c r="G761" i="5"/>
  <c r="G762" i="5"/>
  <c r="G763" i="5"/>
  <c r="G764" i="5"/>
  <c r="H757" i="5"/>
  <c r="E145" i="8"/>
  <c r="E750" i="5"/>
  <c r="G750" i="5"/>
  <c r="G751" i="5"/>
  <c r="G752" i="5"/>
  <c r="G753" i="5"/>
  <c r="H750" i="5"/>
  <c r="E144" i="8"/>
  <c r="G746" i="5"/>
  <c r="H746" i="5"/>
  <c r="E143" i="8"/>
  <c r="G738" i="5"/>
  <c r="G739" i="5"/>
  <c r="G740" i="5"/>
  <c r="G741" i="5"/>
  <c r="G742" i="5"/>
  <c r="H738" i="5"/>
  <c r="E136" i="8"/>
  <c r="G732" i="5"/>
  <c r="G733" i="5"/>
  <c r="G734" i="5"/>
  <c r="H732" i="5"/>
  <c r="E135" i="8"/>
  <c r="E725" i="5"/>
  <c r="G725" i="5"/>
  <c r="E726" i="5"/>
  <c r="G726" i="5"/>
  <c r="E727" i="5"/>
  <c r="G727" i="5"/>
  <c r="E728" i="5"/>
  <c r="G728" i="5"/>
  <c r="H725" i="5"/>
  <c r="E134" i="8"/>
  <c r="E716" i="5"/>
  <c r="G716" i="5"/>
  <c r="E717" i="5"/>
  <c r="G717" i="5"/>
  <c r="E718" i="5"/>
  <c r="G718" i="5"/>
  <c r="E719" i="5"/>
  <c r="G719" i="5"/>
  <c r="E720" i="5"/>
  <c r="G720" i="5"/>
  <c r="E721" i="5"/>
  <c r="G721" i="5"/>
  <c r="H716" i="5"/>
  <c r="E133" i="8"/>
  <c r="E706" i="5"/>
  <c r="G706" i="5"/>
  <c r="E707" i="5"/>
  <c r="G707" i="5"/>
  <c r="G708" i="5"/>
  <c r="E709" i="5"/>
  <c r="G709" i="5"/>
  <c r="E710" i="5"/>
  <c r="G710" i="5"/>
  <c r="E711" i="5"/>
  <c r="G711" i="5"/>
  <c r="E712" i="5"/>
  <c r="G712" i="5"/>
  <c r="H706" i="5"/>
  <c r="E132" i="8"/>
  <c r="G698" i="5"/>
  <c r="E699" i="5"/>
  <c r="G699" i="5"/>
  <c r="E700" i="5"/>
  <c r="G700" i="5"/>
  <c r="E701" i="5"/>
  <c r="G701" i="5"/>
  <c r="E702" i="5"/>
  <c r="G702" i="5"/>
  <c r="H698" i="5"/>
  <c r="E131" i="8"/>
  <c r="G688" i="5"/>
  <c r="G689" i="5"/>
  <c r="G690" i="5"/>
  <c r="G691" i="5"/>
  <c r="G692" i="5"/>
  <c r="G693" i="5"/>
  <c r="G694" i="5"/>
  <c r="H688" i="5"/>
  <c r="E130" i="8"/>
  <c r="E678" i="5"/>
  <c r="G678" i="5"/>
  <c r="E679" i="5"/>
  <c r="G679" i="5"/>
  <c r="G680" i="5"/>
  <c r="E681" i="5"/>
  <c r="G681" i="5"/>
  <c r="E682" i="5"/>
  <c r="G682" i="5"/>
  <c r="E683" i="5"/>
  <c r="G683" i="5"/>
  <c r="E684" i="5"/>
  <c r="G684" i="5"/>
  <c r="H678" i="5"/>
  <c r="E129" i="8"/>
  <c r="G670" i="5"/>
  <c r="E671" i="5"/>
  <c r="G671" i="5"/>
  <c r="E672" i="5"/>
  <c r="G672" i="5"/>
  <c r="E673" i="5"/>
  <c r="G673" i="5"/>
  <c r="E674" i="5"/>
  <c r="G674" i="5"/>
  <c r="H670" i="5"/>
  <c r="E128" i="8"/>
  <c r="G666" i="5"/>
  <c r="H666" i="5"/>
  <c r="E127" i="8"/>
  <c r="G662" i="5"/>
  <c r="H662" i="5"/>
  <c r="E126" i="8"/>
  <c r="G658" i="5"/>
  <c r="H658" i="5"/>
  <c r="E125" i="8"/>
  <c r="G654" i="5"/>
  <c r="H654" i="5"/>
  <c r="E124" i="8"/>
  <c r="G650" i="5"/>
  <c r="H650" i="5"/>
  <c r="E123" i="8"/>
  <c r="G646" i="5"/>
  <c r="H646" i="5"/>
  <c r="E122" i="8"/>
  <c r="G639" i="5"/>
  <c r="G640" i="5"/>
  <c r="G641" i="5"/>
  <c r="G642" i="5"/>
  <c r="H639" i="5"/>
  <c r="E121" i="8"/>
  <c r="G631" i="5"/>
  <c r="G632" i="5"/>
  <c r="G633" i="5"/>
  <c r="G634" i="5"/>
  <c r="G635" i="5"/>
  <c r="H631" i="5"/>
  <c r="E120" i="8"/>
  <c r="G623" i="5"/>
  <c r="G624" i="5"/>
  <c r="G625" i="5"/>
  <c r="G626" i="5"/>
  <c r="G627" i="5"/>
  <c r="H623" i="5"/>
  <c r="E119" i="8"/>
  <c r="G617" i="5"/>
  <c r="G618" i="5"/>
  <c r="G619" i="5"/>
  <c r="H617" i="5"/>
  <c r="E118" i="8"/>
  <c r="G608" i="5"/>
  <c r="E609" i="5"/>
  <c r="G609" i="5"/>
  <c r="E610" i="5"/>
  <c r="G610" i="5"/>
  <c r="E611" i="5"/>
  <c r="G611" i="5"/>
  <c r="H608" i="5"/>
  <c r="E117" i="8"/>
  <c r="G598" i="5"/>
  <c r="E599" i="5"/>
  <c r="G599" i="5"/>
  <c r="E600" i="5"/>
  <c r="G600" i="5"/>
  <c r="E601" i="5"/>
  <c r="G601" i="5"/>
  <c r="E602" i="5"/>
  <c r="G602" i="5"/>
  <c r="H598" i="5"/>
  <c r="E116" i="8"/>
  <c r="G590" i="5"/>
  <c r="G591" i="5"/>
  <c r="G592" i="5"/>
  <c r="G593" i="5"/>
  <c r="G594" i="5"/>
  <c r="H590" i="5"/>
  <c r="E115" i="8"/>
  <c r="G581" i="5"/>
  <c r="E582" i="5"/>
  <c r="G582" i="5"/>
  <c r="E583" i="5"/>
  <c r="G583" i="5"/>
  <c r="E584" i="5"/>
  <c r="G584" i="5"/>
  <c r="H581" i="5"/>
  <c r="E114" i="8"/>
  <c r="G571" i="5"/>
  <c r="E572" i="5"/>
  <c r="G572" i="5"/>
  <c r="E573" i="5"/>
  <c r="G573" i="5"/>
  <c r="E574" i="5"/>
  <c r="G574" i="5"/>
  <c r="E575" i="5"/>
  <c r="G575" i="5"/>
  <c r="H571" i="5"/>
  <c r="E113" i="8"/>
  <c r="G563" i="5"/>
  <c r="G564" i="5"/>
  <c r="G565" i="5"/>
  <c r="G566" i="5"/>
  <c r="G567" i="5"/>
  <c r="H563" i="5"/>
  <c r="E112" i="8"/>
  <c r="G555" i="5"/>
  <c r="G556" i="5"/>
  <c r="G557" i="5"/>
  <c r="G558" i="5"/>
  <c r="G559" i="5"/>
  <c r="H555" i="5"/>
  <c r="E111" i="8"/>
  <c r="G547" i="5"/>
  <c r="G548" i="5"/>
  <c r="G549" i="5"/>
  <c r="G550" i="5"/>
  <c r="G551" i="5"/>
  <c r="H547" i="5"/>
  <c r="E110" i="8"/>
  <c r="G539" i="5"/>
  <c r="G540" i="5"/>
  <c r="G541" i="5"/>
  <c r="G542" i="5"/>
  <c r="G543" i="5"/>
  <c r="H539" i="5"/>
  <c r="E109" i="8"/>
  <c r="G533" i="5"/>
  <c r="G534" i="5"/>
  <c r="G535" i="5"/>
  <c r="H533" i="5"/>
  <c r="E108" i="8"/>
  <c r="G526" i="5"/>
  <c r="E527" i="5"/>
  <c r="G527" i="5"/>
  <c r="H526" i="5"/>
  <c r="E107" i="8"/>
  <c r="E519" i="5"/>
  <c r="G519" i="5"/>
  <c r="G520" i="5"/>
  <c r="H519" i="5"/>
  <c r="E106" i="8"/>
  <c r="G513" i="5"/>
  <c r="G514" i="5"/>
  <c r="G515" i="5"/>
  <c r="H513" i="5"/>
  <c r="E105" i="8"/>
  <c r="G506" i="5"/>
  <c r="G507" i="5"/>
  <c r="G508" i="5"/>
  <c r="G509" i="5"/>
  <c r="H506" i="5"/>
  <c r="E104" i="8"/>
  <c r="G499" i="5"/>
  <c r="G500" i="5"/>
  <c r="G501" i="5"/>
  <c r="G502" i="5"/>
  <c r="H499" i="5"/>
  <c r="E103" i="8"/>
  <c r="E491" i="5"/>
  <c r="G491" i="5"/>
  <c r="G492" i="5"/>
  <c r="H491" i="5"/>
  <c r="E102" i="8"/>
  <c r="G485" i="5"/>
  <c r="G486" i="5"/>
  <c r="G487" i="5"/>
  <c r="H485" i="5"/>
  <c r="E101" i="8"/>
  <c r="G473" i="5"/>
  <c r="G474" i="5"/>
  <c r="G475" i="5"/>
  <c r="E476" i="5"/>
  <c r="G476" i="5"/>
  <c r="G477" i="5"/>
  <c r="H473" i="5"/>
  <c r="E100" i="8"/>
  <c r="E466" i="5"/>
  <c r="G466" i="5"/>
  <c r="E467" i="5"/>
  <c r="G467" i="5"/>
  <c r="E468" i="5"/>
  <c r="G468" i="5"/>
  <c r="E469" i="5"/>
  <c r="G469" i="5"/>
  <c r="H466" i="5"/>
  <c r="E99" i="8"/>
  <c r="E456" i="5"/>
  <c r="G456" i="5"/>
  <c r="E457" i="5"/>
  <c r="G457" i="5"/>
  <c r="G458" i="5"/>
  <c r="E459" i="5"/>
  <c r="G459" i="5"/>
  <c r="H456" i="5"/>
  <c r="E98" i="8"/>
  <c r="G448" i="5"/>
  <c r="G449" i="5"/>
  <c r="G450" i="5"/>
  <c r="H448" i="5"/>
  <c r="E97" i="8"/>
  <c r="G442" i="5"/>
  <c r="G443" i="5"/>
  <c r="G444" i="5"/>
  <c r="H442" i="5"/>
  <c r="E96" i="8"/>
  <c r="G436" i="5"/>
  <c r="G437" i="5"/>
  <c r="G438" i="5"/>
  <c r="H436" i="5"/>
  <c r="E95" i="8"/>
  <c r="G424" i="5"/>
  <c r="G425" i="5"/>
  <c r="G426" i="5"/>
  <c r="G427" i="5"/>
  <c r="G428" i="5"/>
  <c r="G429" i="5"/>
  <c r="G430" i="5"/>
  <c r="G431" i="5"/>
  <c r="G432" i="5"/>
  <c r="H424" i="5"/>
  <c r="E94" i="8"/>
  <c r="G417" i="5"/>
  <c r="G418" i="5"/>
  <c r="E419" i="5"/>
  <c r="G419" i="5"/>
  <c r="E420" i="5"/>
  <c r="G420" i="5"/>
  <c r="H417" i="5"/>
  <c r="E93" i="8"/>
  <c r="G403" i="5"/>
  <c r="G404" i="5"/>
  <c r="G405" i="5"/>
  <c r="G406" i="5"/>
  <c r="G407" i="5"/>
  <c r="G408" i="5"/>
  <c r="G409" i="5"/>
  <c r="G410" i="5"/>
  <c r="G411" i="5"/>
  <c r="G412" i="5"/>
  <c r="G413" i="5"/>
  <c r="H403" i="5"/>
  <c r="E92" i="8"/>
  <c r="G396" i="5"/>
  <c r="G397" i="5"/>
  <c r="G398" i="5"/>
  <c r="G399" i="5"/>
  <c r="H396" i="5"/>
  <c r="E91" i="8"/>
  <c r="G382" i="5"/>
  <c r="G383" i="5"/>
  <c r="G384" i="5"/>
  <c r="G385" i="5"/>
  <c r="G386" i="5"/>
  <c r="G387" i="5"/>
  <c r="G388" i="5"/>
  <c r="G389" i="5"/>
  <c r="G390" i="5"/>
  <c r="G391" i="5"/>
  <c r="G392" i="5"/>
  <c r="H382" i="5"/>
  <c r="E90" i="8"/>
  <c r="G373" i="5"/>
  <c r="G374" i="5"/>
  <c r="G375" i="5"/>
  <c r="G376" i="5"/>
  <c r="G377" i="5"/>
  <c r="G378" i="5"/>
  <c r="H373" i="5"/>
  <c r="E89" i="8"/>
  <c r="G367" i="5"/>
  <c r="G368" i="5"/>
  <c r="G369" i="5"/>
  <c r="H367" i="5"/>
  <c r="E88" i="8"/>
  <c r="G353" i="5"/>
  <c r="G354" i="5"/>
  <c r="G355" i="5"/>
  <c r="G356" i="5"/>
  <c r="G357" i="5"/>
  <c r="G358" i="5"/>
  <c r="G359" i="5"/>
  <c r="E360" i="5"/>
  <c r="G360" i="5"/>
  <c r="E361" i="5"/>
  <c r="G361" i="5"/>
  <c r="H353" i="5"/>
  <c r="E87" i="8"/>
  <c r="G343" i="5"/>
  <c r="G344" i="5"/>
  <c r="G345" i="5"/>
  <c r="G346" i="5"/>
  <c r="G347" i="5"/>
  <c r="G348" i="5"/>
  <c r="G349" i="5"/>
  <c r="H343" i="5"/>
  <c r="E86" i="8"/>
  <c r="G328" i="5"/>
  <c r="G329" i="5"/>
  <c r="G330" i="5"/>
  <c r="G331" i="5"/>
  <c r="G332" i="5"/>
  <c r="G333" i="5"/>
  <c r="E334" i="5"/>
  <c r="G334" i="5"/>
  <c r="G335" i="5"/>
  <c r="G336" i="5"/>
  <c r="G337" i="5"/>
  <c r="G338" i="5"/>
  <c r="G339" i="5"/>
  <c r="H328" i="5"/>
  <c r="E85" i="8"/>
  <c r="G322" i="5"/>
  <c r="G323" i="5"/>
  <c r="G324" i="5"/>
  <c r="H322" i="5"/>
  <c r="E84" i="8"/>
  <c r="G307" i="5"/>
  <c r="G308" i="5"/>
  <c r="G309" i="5"/>
  <c r="G310" i="5"/>
  <c r="G311" i="5"/>
  <c r="G312" i="5"/>
  <c r="G313" i="5"/>
  <c r="G314" i="5"/>
  <c r="E315" i="5"/>
  <c r="G315" i="5"/>
  <c r="E316" i="5"/>
  <c r="G316" i="5"/>
  <c r="H307" i="5"/>
  <c r="E83" i="8"/>
  <c r="G292" i="5"/>
  <c r="G293" i="5"/>
  <c r="G294" i="5"/>
  <c r="G295" i="5"/>
  <c r="G296" i="5"/>
  <c r="G297" i="5"/>
  <c r="G298" i="5"/>
  <c r="G299" i="5"/>
  <c r="E300" i="5"/>
  <c r="G300" i="5"/>
  <c r="E301" i="5"/>
  <c r="G301" i="5"/>
  <c r="H292" i="5"/>
  <c r="E82" i="8"/>
  <c r="G285" i="5"/>
  <c r="G286" i="5"/>
  <c r="G287" i="5"/>
  <c r="G288" i="5"/>
  <c r="H285" i="5"/>
  <c r="E81" i="8"/>
  <c r="G278" i="5"/>
  <c r="G279" i="5"/>
  <c r="G280" i="5"/>
  <c r="G281" i="5"/>
  <c r="H278" i="5"/>
  <c r="E80" i="8"/>
  <c r="G270" i="5"/>
  <c r="G271" i="5"/>
  <c r="G272" i="5"/>
  <c r="G273" i="5"/>
  <c r="G274" i="5"/>
  <c r="H270" i="5"/>
  <c r="E79" i="8"/>
  <c r="G265" i="5"/>
  <c r="G266" i="5"/>
  <c r="H265" i="5"/>
  <c r="E78" i="8"/>
  <c r="G250" i="5"/>
  <c r="G251" i="5"/>
  <c r="G252" i="5"/>
  <c r="G253" i="5"/>
  <c r="G254" i="5"/>
  <c r="G255" i="5"/>
  <c r="G256" i="5"/>
  <c r="G257" i="5"/>
  <c r="G258" i="5"/>
  <c r="G259" i="5"/>
  <c r="G260" i="5"/>
  <c r="G261" i="5"/>
  <c r="H250" i="5"/>
  <c r="E75" i="8"/>
  <c r="G242" i="5"/>
  <c r="G243" i="5"/>
  <c r="G244" i="5"/>
  <c r="G245" i="5"/>
  <c r="G246" i="5"/>
  <c r="H242" i="5"/>
  <c r="E62" i="8"/>
  <c r="G238" i="5"/>
  <c r="H238" i="5"/>
  <c r="E56" i="8"/>
  <c r="G234" i="5"/>
  <c r="H234" i="5"/>
  <c r="E54" i="8"/>
  <c r="G230" i="5"/>
  <c r="H230" i="5"/>
  <c r="E53" i="8"/>
  <c r="G226" i="5"/>
  <c r="H226" i="5"/>
  <c r="E51" i="8"/>
  <c r="G221" i="5"/>
  <c r="G222" i="5"/>
  <c r="H221" i="5"/>
  <c r="E50" i="8"/>
  <c r="G216" i="5"/>
  <c r="G217" i="5"/>
  <c r="H216" i="5"/>
  <c r="E49" i="8"/>
  <c r="G212" i="5"/>
  <c r="H212" i="5"/>
  <c r="E48" i="8"/>
  <c r="G207" i="5"/>
  <c r="G208" i="5"/>
  <c r="H207" i="5"/>
  <c r="E47" i="8"/>
  <c r="E203" i="5"/>
  <c r="G203" i="5"/>
  <c r="H203" i="5"/>
  <c r="E46" i="8"/>
  <c r="G199" i="5"/>
  <c r="H199" i="5"/>
  <c r="E45" i="8"/>
  <c r="G192" i="5"/>
  <c r="G193" i="5"/>
  <c r="G194" i="5"/>
  <c r="G195" i="5"/>
  <c r="H192" i="5"/>
  <c r="E44" i="8"/>
  <c r="E185" i="5"/>
  <c r="G185" i="5"/>
  <c r="E186" i="5"/>
  <c r="G186" i="5"/>
  <c r="H185" i="5"/>
  <c r="E43" i="8"/>
  <c r="G181" i="5"/>
  <c r="H181" i="5"/>
  <c r="E42" i="8"/>
  <c r="E177" i="5"/>
  <c r="G177" i="5"/>
  <c r="H177" i="5"/>
  <c r="E41" i="8"/>
  <c r="G173" i="5"/>
  <c r="H173" i="5"/>
  <c r="E40" i="8"/>
  <c r="G168" i="5"/>
  <c r="G169" i="5"/>
  <c r="H168" i="5"/>
  <c r="E39" i="8"/>
  <c r="G163" i="5"/>
  <c r="G164" i="5"/>
  <c r="H163" i="5"/>
  <c r="E38" i="8"/>
  <c r="E156" i="5"/>
  <c r="G156" i="5"/>
  <c r="E157" i="5"/>
  <c r="G157" i="5"/>
  <c r="H156" i="5"/>
  <c r="E37" i="8"/>
  <c r="G151" i="5"/>
  <c r="G152" i="5"/>
  <c r="H151" i="5"/>
  <c r="E36" i="8"/>
  <c r="G146" i="5"/>
  <c r="G147" i="5"/>
  <c r="H146" i="5"/>
  <c r="E35" i="8"/>
  <c r="G141" i="5"/>
  <c r="G142" i="5"/>
  <c r="H141" i="5"/>
  <c r="E34" i="8"/>
  <c r="E137" i="5"/>
  <c r="G137" i="5"/>
  <c r="H137" i="5"/>
  <c r="E33" i="8"/>
  <c r="G133" i="5"/>
  <c r="H133" i="5"/>
  <c r="E32" i="8"/>
  <c r="G128" i="5"/>
  <c r="G129" i="5"/>
  <c r="H128" i="5"/>
  <c r="E31" i="8"/>
  <c r="G123" i="5"/>
  <c r="G124" i="5"/>
  <c r="H123" i="5"/>
  <c r="E30" i="8"/>
  <c r="G118" i="5"/>
  <c r="G119" i="5"/>
  <c r="H118" i="5"/>
  <c r="E29" i="8"/>
  <c r="G113" i="5"/>
  <c r="G114" i="5"/>
  <c r="H113" i="5"/>
  <c r="E28" i="8"/>
  <c r="G108" i="5"/>
  <c r="G109" i="5"/>
  <c r="H108" i="5"/>
  <c r="E27" i="8"/>
  <c r="E104" i="5"/>
  <c r="G104" i="5"/>
  <c r="H104" i="5"/>
  <c r="E26" i="8"/>
  <c r="G99" i="5"/>
  <c r="G100" i="5"/>
  <c r="H99" i="5"/>
  <c r="E25" i="8"/>
  <c r="E94" i="5"/>
  <c r="G94" i="5"/>
  <c r="E95" i="5"/>
  <c r="G95" i="5"/>
  <c r="H94" i="5"/>
  <c r="E24" i="8"/>
  <c r="E89" i="5"/>
  <c r="G89" i="5"/>
  <c r="E90" i="5"/>
  <c r="G90" i="5"/>
  <c r="H89" i="5"/>
  <c r="E23" i="8"/>
  <c r="G84" i="5"/>
  <c r="G85" i="5"/>
  <c r="H84" i="5"/>
  <c r="E22" i="8"/>
  <c r="G79" i="5"/>
  <c r="G80" i="5"/>
  <c r="H79" i="5"/>
  <c r="E21" i="8"/>
  <c r="G71" i="5"/>
  <c r="G72" i="5"/>
  <c r="G73" i="5"/>
  <c r="G74" i="5"/>
  <c r="G75" i="5"/>
  <c r="H71" i="5"/>
  <c r="E19" i="8"/>
  <c r="G66" i="5"/>
  <c r="G67" i="5"/>
  <c r="H66" i="5"/>
  <c r="E18" i="8"/>
  <c r="G61" i="5"/>
  <c r="G62" i="5"/>
  <c r="H61" i="5"/>
  <c r="E17" i="8"/>
  <c r="G54" i="5"/>
  <c r="G55" i="5"/>
  <c r="G56" i="5"/>
  <c r="G57" i="5"/>
  <c r="H54" i="5"/>
  <c r="E16" i="8"/>
  <c r="E49" i="5"/>
  <c r="G49" i="5"/>
  <c r="E50" i="5"/>
  <c r="G50" i="5"/>
  <c r="H49" i="5"/>
  <c r="E15" i="8"/>
  <c r="G44" i="5"/>
  <c r="G45" i="5"/>
  <c r="H44" i="5"/>
  <c r="E14" i="8"/>
  <c r="G39" i="5"/>
  <c r="G40" i="5"/>
  <c r="H39" i="5"/>
  <c r="E13" i="8"/>
  <c r="G35" i="5"/>
  <c r="H35" i="5"/>
  <c r="E12" i="8"/>
  <c r="G30" i="5"/>
  <c r="G31" i="5"/>
  <c r="H30" i="5"/>
  <c r="E11" i="8"/>
  <c r="G25" i="5"/>
  <c r="G26" i="5"/>
  <c r="H25" i="5"/>
  <c r="E10" i="8"/>
  <c r="G20" i="5"/>
  <c r="G21" i="5"/>
  <c r="H20" i="5"/>
  <c r="E9" i="8"/>
  <c r="G16" i="5"/>
  <c r="H16" i="5"/>
  <c r="E8" i="8"/>
  <c r="G12" i="5"/>
  <c r="H12" i="5"/>
  <c r="E7" i="8"/>
  <c r="G8" i="5"/>
  <c r="H8" i="5"/>
  <c r="E6" i="8"/>
  <c r="E492" i="5"/>
  <c r="E571" i="5"/>
  <c r="E581" i="5"/>
  <c r="E598" i="5"/>
  <c r="E608" i="5"/>
  <c r="E670" i="5"/>
  <c r="E680" i="5"/>
  <c r="E698" i="5"/>
  <c r="E708" i="5"/>
  <c r="E738" i="5"/>
  <c r="E751" i="5"/>
  <c r="E2606" i="5"/>
  <c r="E3497" i="5"/>
  <c r="E3522" i="5"/>
  <c r="E3564" i="5"/>
  <c r="E3747" i="5"/>
  <c r="E3836" i="5"/>
  <c r="E3853" i="5"/>
  <c r="E3948" i="5"/>
  <c r="E4621" i="5"/>
  <c r="E4761" i="5"/>
  <c r="E6150" i="5"/>
  <c r="E6161" i="5"/>
  <c r="E6184" i="5"/>
  <c r="F23" i="6"/>
  <c r="F24" i="6"/>
  <c r="F25" i="6"/>
  <c r="G23" i="6"/>
  <c r="F19" i="7"/>
  <c r="F20" i="7"/>
  <c r="F21" i="7"/>
  <c r="F22" i="7"/>
  <c r="G19" i="7"/>
  <c r="F40" i="6"/>
  <c r="F41" i="6"/>
  <c r="F42" i="6"/>
  <c r="F43" i="6"/>
  <c r="F44" i="6"/>
  <c r="F45" i="6"/>
  <c r="F46" i="6"/>
  <c r="G40" i="6"/>
  <c r="F81" i="6"/>
  <c r="F82" i="6"/>
  <c r="F83" i="6"/>
  <c r="F84" i="6"/>
  <c r="G81" i="6"/>
  <c r="F144" i="6"/>
  <c r="F145" i="6"/>
  <c r="F146" i="6"/>
  <c r="G144" i="6"/>
  <c r="F150" i="6"/>
  <c r="F151" i="6"/>
  <c r="F152" i="6"/>
  <c r="G150" i="6"/>
  <c r="F200" i="6"/>
  <c r="F201" i="6"/>
  <c r="G200" i="6"/>
  <c r="F280" i="6"/>
  <c r="F281" i="6"/>
  <c r="F282" i="6"/>
  <c r="F283" i="6"/>
  <c r="F284" i="6"/>
  <c r="G280" i="6"/>
  <c r="F353" i="6"/>
  <c r="F354" i="6"/>
  <c r="F355" i="6"/>
  <c r="F356" i="6"/>
  <c r="G353" i="6"/>
  <c r="F609" i="6"/>
  <c r="F610" i="6"/>
  <c r="G609" i="6"/>
  <c r="F79" i="7"/>
  <c r="D32" i="7"/>
  <c r="F32" i="7"/>
  <c r="D31" i="7"/>
  <c r="F31" i="7"/>
  <c r="F623" i="6"/>
  <c r="F162" i="6"/>
  <c r="F51" i="6"/>
  <c r="F2713" i="8"/>
  <c r="F2715" i="8"/>
  <c r="F283" i="8"/>
  <c r="F3131" i="8"/>
  <c r="F249" i="8"/>
  <c r="F2712" i="8"/>
  <c r="F2714" i="8"/>
  <c r="F327" i="8"/>
  <c r="F251" i="8"/>
  <c r="F241" i="8"/>
  <c r="F296" i="8"/>
  <c r="F6" i="8"/>
  <c r="F297" i="8"/>
  <c r="F1352" i="8"/>
  <c r="F285" i="8"/>
  <c r="F2696" i="8"/>
  <c r="F321" i="8"/>
  <c r="F2697" i="8"/>
  <c r="F1366" i="8"/>
  <c r="F2339" i="8"/>
  <c r="F275" i="8"/>
  <c r="F3140" i="8"/>
  <c r="F2711" i="8"/>
  <c r="F105" i="8"/>
  <c r="F3132" i="8"/>
  <c r="F331" i="8"/>
  <c r="F353" i="8"/>
  <c r="F279" i="8"/>
  <c r="F2708" i="8"/>
  <c r="F349" i="8"/>
  <c r="F150" i="8"/>
  <c r="F325" i="8"/>
  <c r="F1382" i="8"/>
  <c r="F43" i="8"/>
  <c r="F352" i="8"/>
  <c r="F108" i="8"/>
  <c r="F333" i="8"/>
  <c r="F315" i="8"/>
  <c r="F289" i="8"/>
  <c r="F3133" i="8"/>
  <c r="F288" i="8"/>
  <c r="F90" i="8"/>
  <c r="F256" i="8"/>
  <c r="F350" i="8"/>
  <c r="F323" i="8"/>
  <c r="F149" i="8"/>
  <c r="F9" i="8"/>
  <c r="F148" i="8"/>
  <c r="F104" i="8"/>
  <c r="F338" i="8"/>
  <c r="F284" i="8"/>
  <c r="F262" i="8"/>
  <c r="F334" i="8"/>
  <c r="F20" i="8"/>
  <c r="F335" i="8"/>
  <c r="F8" i="8"/>
  <c r="F322" i="8"/>
  <c r="F302" i="8"/>
  <c r="F80" i="8"/>
  <c r="F320" i="8"/>
  <c r="F337" i="8"/>
  <c r="F176" i="8"/>
  <c r="D11" i="6"/>
  <c r="D12" i="6"/>
  <c r="F79" i="8"/>
  <c r="F27" i="8"/>
  <c r="F307" i="8"/>
  <c r="F154" i="8"/>
  <c r="F318" i="8"/>
  <c r="F314" i="8"/>
  <c r="F13" i="8"/>
  <c r="F313" i="8"/>
  <c r="D56" i="6"/>
  <c r="D57" i="6"/>
  <c r="F89" i="8"/>
  <c r="F317" i="8"/>
  <c r="F146" i="8"/>
  <c r="F14" i="8"/>
  <c r="F10" i="8"/>
  <c r="F98" i="8"/>
  <c r="F7" i="8"/>
  <c r="F11" i="8"/>
  <c r="F12" i="8"/>
  <c r="F15" i="8"/>
  <c r="F16" i="8"/>
  <c r="F17" i="8"/>
  <c r="F18" i="8"/>
  <c r="F19" i="8"/>
  <c r="F21" i="8"/>
  <c r="F22" i="8"/>
  <c r="F23" i="8"/>
  <c r="F24" i="8"/>
  <c r="F25" i="8"/>
  <c r="F26" i="8"/>
  <c r="F28" i="8"/>
  <c r="F29" i="8"/>
  <c r="F30" i="8"/>
  <c r="F31" i="8"/>
  <c r="F32" i="8"/>
  <c r="F33" i="8"/>
  <c r="F34" i="8"/>
  <c r="F35" i="8"/>
  <c r="F36" i="8"/>
  <c r="F37" i="8"/>
  <c r="F38" i="8"/>
  <c r="F39" i="8"/>
  <c r="F40" i="8"/>
  <c r="F41" i="8"/>
  <c r="F42"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81" i="8"/>
  <c r="F82" i="8"/>
  <c r="F83" i="8"/>
  <c r="F84" i="8"/>
  <c r="F85" i="8"/>
  <c r="F86" i="8"/>
  <c r="F87" i="8"/>
  <c r="F88" i="8"/>
  <c r="D163" i="6"/>
  <c r="D164" i="6"/>
  <c r="F91" i="8"/>
  <c r="F92" i="8"/>
  <c r="F93" i="8"/>
  <c r="F94" i="8"/>
  <c r="F95" i="8"/>
  <c r="D74" i="6"/>
  <c r="D75" i="6"/>
  <c r="F96" i="8"/>
  <c r="F97" i="8"/>
  <c r="F99" i="8"/>
  <c r="F100" i="8"/>
  <c r="F101" i="8"/>
  <c r="F102" i="8"/>
  <c r="F103" i="8"/>
  <c r="F106" i="8"/>
  <c r="F107" i="8"/>
  <c r="F109" i="8"/>
  <c r="D91" i="6"/>
  <c r="D92" i="6"/>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7" i="8"/>
  <c r="F151" i="8"/>
  <c r="F152" i="8"/>
  <c r="F153" i="8"/>
  <c r="F155" i="8"/>
  <c r="F156" i="8"/>
  <c r="F157" i="8"/>
  <c r="F158" i="8"/>
  <c r="F159" i="8"/>
  <c r="F160" i="8"/>
  <c r="F161" i="8"/>
  <c r="F162" i="8"/>
  <c r="F163" i="8"/>
  <c r="F164" i="8"/>
  <c r="F165" i="8"/>
  <c r="F166" i="8"/>
  <c r="F167" i="8"/>
  <c r="F168" i="8"/>
  <c r="F169" i="8"/>
  <c r="F170" i="8"/>
  <c r="F171" i="8"/>
  <c r="F172" i="8"/>
  <c r="F173" i="8"/>
  <c r="F174" i="8"/>
  <c r="F175"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2" i="8"/>
  <c r="F243" i="8"/>
  <c r="F244" i="8"/>
  <c r="F245" i="8"/>
  <c r="F246" i="8"/>
  <c r="F247" i="8"/>
  <c r="F248" i="8"/>
  <c r="F250" i="8"/>
  <c r="F252" i="8"/>
  <c r="F253" i="8"/>
  <c r="F254" i="8"/>
  <c r="F255" i="8"/>
  <c r="F257" i="8"/>
  <c r="F258" i="8"/>
  <c r="F259" i="8"/>
  <c r="F260" i="8"/>
  <c r="F261" i="8"/>
  <c r="F263" i="8"/>
  <c r="F264" i="8"/>
  <c r="F265" i="8"/>
  <c r="F266" i="8"/>
  <c r="F267" i="8"/>
  <c r="F268" i="8"/>
  <c r="F269" i="8"/>
  <c r="F270" i="8"/>
  <c r="F271" i="8"/>
  <c r="F272" i="8"/>
  <c r="F273" i="8"/>
  <c r="F274" i="8"/>
  <c r="F276" i="8"/>
  <c r="F277" i="8"/>
  <c r="F278" i="8"/>
  <c r="F280" i="8"/>
  <c r="F281" i="8"/>
  <c r="F282" i="8"/>
  <c r="F286" i="8"/>
  <c r="F287" i="8"/>
  <c r="D434" i="6"/>
  <c r="D435" i="6"/>
  <c r="F290" i="8"/>
  <c r="F291" i="8"/>
  <c r="F292" i="8"/>
  <c r="F293" i="8"/>
  <c r="F294" i="8"/>
  <c r="F295" i="8"/>
  <c r="F298" i="8"/>
  <c r="F299" i="8"/>
  <c r="F300" i="8"/>
  <c r="F301" i="8"/>
  <c r="F303" i="8"/>
  <c r="F304" i="8"/>
  <c r="F305" i="8"/>
  <c r="F306" i="8"/>
  <c r="F308" i="8"/>
  <c r="F309" i="8"/>
  <c r="F310" i="8"/>
  <c r="F311" i="8"/>
  <c r="F312" i="8"/>
  <c r="F316" i="8"/>
  <c r="F319" i="8"/>
  <c r="F324" i="8"/>
  <c r="F326" i="8"/>
  <c r="F328" i="8"/>
  <c r="F329" i="8"/>
  <c r="F330" i="8"/>
  <c r="F332" i="8"/>
  <c r="F336" i="8"/>
  <c r="F339" i="8"/>
  <c r="F340" i="8"/>
  <c r="F341" i="8"/>
  <c r="F342" i="8"/>
  <c r="F343" i="8"/>
  <c r="F344" i="8"/>
  <c r="F345" i="8"/>
  <c r="F346" i="8"/>
  <c r="F347" i="8"/>
  <c r="F348" i="8"/>
  <c r="F351"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6"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3" i="8"/>
  <c r="F904" i="8"/>
  <c r="F905" i="8"/>
  <c r="F906" i="8"/>
  <c r="F907" i="8"/>
  <c r="F908" i="8"/>
  <c r="F909" i="8"/>
  <c r="F910" i="8"/>
  <c r="F911" i="8"/>
  <c r="F912" i="8"/>
  <c r="F913" i="8"/>
  <c r="F914" i="8"/>
  <c r="F915" i="8"/>
  <c r="F916" i="8"/>
  <c r="F917" i="8"/>
  <c r="F918" i="8"/>
  <c r="F919" i="8"/>
  <c r="F920" i="8"/>
  <c r="F921" i="8"/>
  <c r="F922" i="8"/>
  <c r="F923" i="8"/>
  <c r="F924" i="8"/>
  <c r="F925" i="8"/>
  <c r="F926" i="8"/>
  <c r="F927" i="8"/>
  <c r="F928" i="8"/>
  <c r="F929" i="8"/>
  <c r="F930" i="8"/>
  <c r="F931" i="8"/>
  <c r="F932" i="8"/>
  <c r="F933" i="8"/>
  <c r="F934" i="8"/>
  <c r="F935" i="8"/>
  <c r="F936" i="8"/>
  <c r="F937" i="8"/>
  <c r="F938" i="8"/>
  <c r="F939" i="8"/>
  <c r="F940" i="8"/>
  <c r="F941" i="8"/>
  <c r="F942" i="8"/>
  <c r="F943" i="8"/>
  <c r="F944" i="8"/>
  <c r="F945" i="8"/>
  <c r="F946" i="8"/>
  <c r="F947" i="8"/>
  <c r="F948" i="8"/>
  <c r="F949" i="8"/>
  <c r="F950" i="8"/>
  <c r="D446" i="6"/>
  <c r="D447" i="6"/>
  <c r="F951" i="8"/>
  <c r="F952" i="8"/>
  <c r="F953" i="8"/>
  <c r="F954" i="8"/>
  <c r="F955" i="8"/>
  <c r="F956" i="8"/>
  <c r="F957" i="8"/>
  <c r="F958" i="8"/>
  <c r="D273" i="6"/>
  <c r="D274" i="6"/>
  <c r="F959" i="8"/>
  <c r="F960" i="8"/>
  <c r="F961" i="8"/>
  <c r="F962" i="8"/>
  <c r="F963" i="8"/>
  <c r="F964" i="8"/>
  <c r="F965" i="8"/>
  <c r="D263" i="6"/>
  <c r="D264" i="6"/>
  <c r="F966" i="8"/>
  <c r="F967" i="8"/>
  <c r="F968" i="8"/>
  <c r="F969" i="8"/>
  <c r="F970" i="8"/>
  <c r="F971" i="8"/>
  <c r="F972" i="8"/>
  <c r="F973" i="8"/>
  <c r="F974" i="8"/>
  <c r="F975" i="8"/>
  <c r="F976" i="8"/>
  <c r="F977" i="8"/>
  <c r="F978" i="8"/>
  <c r="F979" i="8"/>
  <c r="F980" i="8"/>
  <c r="F981" i="8"/>
  <c r="F982" i="8"/>
  <c r="F983" i="8"/>
  <c r="F984" i="8"/>
  <c r="F985" i="8"/>
  <c r="D334" i="6"/>
  <c r="D335" i="6"/>
  <c r="F986" i="8"/>
  <c r="F987" i="8"/>
  <c r="F988" i="8"/>
  <c r="F989" i="8"/>
  <c r="F990" i="8"/>
  <c r="F991" i="8"/>
  <c r="F992" i="8"/>
  <c r="F993" i="8"/>
  <c r="F994" i="8"/>
  <c r="F995" i="8"/>
  <c r="F996" i="8"/>
  <c r="F997" i="8"/>
  <c r="F998" i="8"/>
  <c r="F999" i="8"/>
  <c r="F1000" i="8"/>
  <c r="F1001" i="8"/>
  <c r="F1002" i="8"/>
  <c r="F1003" i="8"/>
  <c r="F1004" i="8"/>
  <c r="F1005" i="8"/>
  <c r="F1006" i="8"/>
  <c r="F1007" i="8"/>
  <c r="F1008" i="8"/>
  <c r="F1009" i="8"/>
  <c r="F1010" i="8"/>
  <c r="F1011" i="8"/>
  <c r="F1012" i="8"/>
  <c r="F1013" i="8"/>
  <c r="F1014" i="8"/>
  <c r="F1015" i="8"/>
  <c r="F1016" i="8"/>
  <c r="F1017" i="8"/>
  <c r="F1018" i="8"/>
  <c r="F1019" i="8"/>
  <c r="F1020" i="8"/>
  <c r="F1021" i="8"/>
  <c r="F1022" i="8"/>
  <c r="F1023" i="8"/>
  <c r="F1024" i="8"/>
  <c r="F1025" i="8"/>
  <c r="F1026" i="8"/>
  <c r="F1027" i="8"/>
  <c r="F1028" i="8"/>
  <c r="F1029" i="8"/>
  <c r="F1030" i="8"/>
  <c r="F1031" i="8"/>
  <c r="F1032" i="8"/>
  <c r="F1033" i="8"/>
  <c r="F1034" i="8"/>
  <c r="F1035" i="8"/>
  <c r="F1036" i="8"/>
  <c r="F1037" i="8"/>
  <c r="F1038" i="8"/>
  <c r="F1039" i="8"/>
  <c r="F1040" i="8"/>
  <c r="F1041" i="8"/>
  <c r="F1042" i="8"/>
  <c r="F1043" i="8"/>
  <c r="F1044" i="8"/>
  <c r="F1045" i="8"/>
  <c r="F1046" i="8"/>
  <c r="F1047" i="8"/>
  <c r="F1048" i="8"/>
  <c r="F1049" i="8"/>
  <c r="F1050" i="8"/>
  <c r="F1051" i="8"/>
  <c r="F1052" i="8"/>
  <c r="F1053" i="8"/>
  <c r="F1054" i="8"/>
  <c r="F1055" i="8"/>
  <c r="F1056" i="8"/>
  <c r="F1057" i="8"/>
  <c r="F1058" i="8"/>
  <c r="F1059" i="8"/>
  <c r="F1060" i="8"/>
  <c r="F1061" i="8"/>
  <c r="F1062" i="8"/>
  <c r="F1063" i="8"/>
  <c r="F1064" i="8"/>
  <c r="F1065" i="8"/>
  <c r="F1066" i="8"/>
  <c r="F1067" i="8"/>
  <c r="F1068" i="8"/>
  <c r="F1069" i="8"/>
  <c r="D320" i="6"/>
  <c r="D321" i="6"/>
  <c r="F1070" i="8"/>
  <c r="F1071" i="8"/>
  <c r="F1072" i="8"/>
  <c r="F1073" i="8"/>
  <c r="F1074" i="8"/>
  <c r="F1075" i="8"/>
  <c r="F1076" i="8"/>
  <c r="F1077" i="8"/>
  <c r="F1078" i="8"/>
  <c r="F1079" i="8"/>
  <c r="F1080" i="8"/>
  <c r="F1081" i="8"/>
  <c r="F1082" i="8"/>
  <c r="F1083" i="8"/>
  <c r="F1084" i="8"/>
  <c r="F1085" i="8"/>
  <c r="F1086" i="8"/>
  <c r="F1087" i="8"/>
  <c r="F1088" i="8"/>
  <c r="F1089" i="8"/>
  <c r="F1090" i="8"/>
  <c r="F1091" i="8"/>
  <c r="F1092" i="8"/>
  <c r="F1093" i="8"/>
  <c r="F1094" i="8"/>
  <c r="F1095" i="8"/>
  <c r="F1096" i="8"/>
  <c r="F1097" i="8"/>
  <c r="F1098" i="8"/>
  <c r="F1099" i="8"/>
  <c r="F1100" i="8"/>
  <c r="F1101" i="8"/>
  <c r="F1102" i="8"/>
  <c r="F1103" i="8"/>
  <c r="F1104" i="8"/>
  <c r="F1105" i="8"/>
  <c r="F1106" i="8"/>
  <c r="F1107" i="8"/>
  <c r="F1108" i="8"/>
  <c r="F1109" i="8"/>
  <c r="F1110" i="8"/>
  <c r="F1111" i="8"/>
  <c r="F1112" i="8"/>
  <c r="F1113" i="8"/>
  <c r="F1114" i="8"/>
  <c r="F1115" i="8"/>
  <c r="F1116" i="8"/>
  <c r="F1117" i="8"/>
  <c r="F1118" i="8"/>
  <c r="F1119" i="8"/>
  <c r="F1120" i="8"/>
  <c r="F1121" i="8"/>
  <c r="F1122" i="8"/>
  <c r="F1123" i="8"/>
  <c r="F1124" i="8"/>
  <c r="F1125" i="8"/>
  <c r="F1126" i="8"/>
  <c r="F1127" i="8"/>
  <c r="F1128" i="8"/>
  <c r="F1129" i="8"/>
  <c r="F1130" i="8"/>
  <c r="F1131" i="8"/>
  <c r="F1132" i="8"/>
  <c r="F1133" i="8"/>
  <c r="F1134" i="8"/>
  <c r="F1135" i="8"/>
  <c r="F1136" i="8"/>
  <c r="F1137" i="8"/>
  <c r="F1138" i="8"/>
  <c r="F1139" i="8"/>
  <c r="F1140" i="8"/>
  <c r="F1141" i="8"/>
  <c r="F1142" i="8"/>
  <c r="F1143" i="8"/>
  <c r="F1144" i="8"/>
  <c r="F1145" i="8"/>
  <c r="F1146" i="8"/>
  <c r="F1147" i="8"/>
  <c r="F1148" i="8"/>
  <c r="F1149" i="8"/>
  <c r="F1150" i="8"/>
  <c r="F1151" i="8"/>
  <c r="F1152" i="8"/>
  <c r="F1153" i="8"/>
  <c r="F1154" i="8"/>
  <c r="F1155" i="8"/>
  <c r="F1156" i="8"/>
  <c r="D175" i="6"/>
  <c r="D176" i="6"/>
  <c r="F1157" i="8"/>
  <c r="F1158" i="8"/>
  <c r="F1159" i="8"/>
  <c r="F1160" i="8"/>
  <c r="F1161" i="8"/>
  <c r="F1162" i="8"/>
  <c r="F1163" i="8"/>
  <c r="F1164" i="8"/>
  <c r="F1165" i="8"/>
  <c r="F1166" i="8"/>
  <c r="F1167" i="8"/>
  <c r="F1168" i="8"/>
  <c r="F1169" i="8"/>
  <c r="F1170" i="8"/>
  <c r="F1171" i="8"/>
  <c r="F1172" i="8"/>
  <c r="F1173" i="8"/>
  <c r="F1174" i="8"/>
  <c r="F1175" i="8"/>
  <c r="F1176" i="8"/>
  <c r="F1177" i="8"/>
  <c r="F1178" i="8"/>
  <c r="F1179" i="8"/>
  <c r="F1180" i="8"/>
  <c r="F1181" i="8"/>
  <c r="F1182" i="8"/>
  <c r="F1183" i="8"/>
  <c r="F1184" i="8"/>
  <c r="F1185" i="8"/>
  <c r="F1186" i="8"/>
  <c r="F1187" i="8"/>
  <c r="F1188" i="8"/>
  <c r="F1189" i="8"/>
  <c r="F1190" i="8"/>
  <c r="F1191" i="8"/>
  <c r="F1192" i="8"/>
  <c r="F1193" i="8"/>
  <c r="F1194" i="8"/>
  <c r="F1195" i="8"/>
  <c r="F1196" i="8"/>
  <c r="F1197" i="8"/>
  <c r="F1198" i="8"/>
  <c r="F1199" i="8"/>
  <c r="F1200" i="8"/>
  <c r="F1201" i="8"/>
  <c r="F1202" i="8"/>
  <c r="F1203" i="8"/>
  <c r="F1204" i="8"/>
  <c r="F1205" i="8"/>
  <c r="F1206" i="8"/>
  <c r="F1207" i="8"/>
  <c r="F1208" i="8"/>
  <c r="F1209" i="8"/>
  <c r="F1210" i="8"/>
  <c r="F1211" i="8"/>
  <c r="F1212" i="8"/>
  <c r="F1213" i="8"/>
  <c r="F1214" i="8"/>
  <c r="F1215" i="8"/>
  <c r="F1216" i="8"/>
  <c r="F1217" i="8"/>
  <c r="F1218" i="8"/>
  <c r="F1219" i="8"/>
  <c r="F1220" i="8"/>
  <c r="F1221" i="8"/>
  <c r="F1222" i="8"/>
  <c r="F1223" i="8"/>
  <c r="F1224" i="8"/>
  <c r="F1225" i="8"/>
  <c r="F1226" i="8"/>
  <c r="F1227" i="8"/>
  <c r="F1228" i="8"/>
  <c r="F1229" i="8"/>
  <c r="F1230" i="8"/>
  <c r="F1231" i="8"/>
  <c r="F1232" i="8"/>
  <c r="F1233" i="8"/>
  <c r="F1234" i="8"/>
  <c r="F1235" i="8"/>
  <c r="F1236" i="8"/>
  <c r="F1237" i="8"/>
  <c r="F1238" i="8"/>
  <c r="F1239" i="8"/>
  <c r="F1240" i="8"/>
  <c r="F1241" i="8"/>
  <c r="F1242" i="8"/>
  <c r="F1243" i="8"/>
  <c r="F1244" i="8"/>
  <c r="F1245" i="8"/>
  <c r="F1246" i="8"/>
  <c r="F1247" i="8"/>
  <c r="F1248" i="8"/>
  <c r="F1249" i="8"/>
  <c r="F1250" i="8"/>
  <c r="F1251" i="8"/>
  <c r="F1252" i="8"/>
  <c r="F1253" i="8"/>
  <c r="F1254" i="8"/>
  <c r="F1255" i="8"/>
  <c r="F1256" i="8"/>
  <c r="F1257" i="8"/>
  <c r="F1258" i="8"/>
  <c r="F1259" i="8"/>
  <c r="F1260" i="8"/>
  <c r="F1261" i="8"/>
  <c r="F1262" i="8"/>
  <c r="F1263" i="8"/>
  <c r="F1264" i="8"/>
  <c r="F1265" i="8"/>
  <c r="F1266" i="8"/>
  <c r="F1267" i="8"/>
  <c r="F1268" i="8"/>
  <c r="F1269" i="8"/>
  <c r="F1270" i="8"/>
  <c r="F1271" i="8"/>
  <c r="F1272" i="8"/>
  <c r="F1273" i="8"/>
  <c r="F1274" i="8"/>
  <c r="F1275" i="8"/>
  <c r="F1276" i="8"/>
  <c r="F1277" i="8"/>
  <c r="F1278" i="8"/>
  <c r="F1279" i="8"/>
  <c r="F1280" i="8"/>
  <c r="F1281" i="8"/>
  <c r="F1282" i="8"/>
  <c r="F1283" i="8"/>
  <c r="F1284" i="8"/>
  <c r="F1285" i="8"/>
  <c r="F1286" i="8"/>
  <c r="F1287" i="8"/>
  <c r="F1288" i="8"/>
  <c r="F1289" i="8"/>
  <c r="F1290" i="8"/>
  <c r="F1291" i="8"/>
  <c r="F1292" i="8"/>
  <c r="F1293" i="8"/>
  <c r="F1294" i="8"/>
  <c r="F1295" i="8"/>
  <c r="F1296" i="8"/>
  <c r="F1297" i="8"/>
  <c r="F1298" i="8"/>
  <c r="F1299" i="8"/>
  <c r="F1300" i="8"/>
  <c r="F1301" i="8"/>
  <c r="F1302" i="8"/>
  <c r="F1303" i="8"/>
  <c r="F1304" i="8"/>
  <c r="F1305" i="8"/>
  <c r="F1306" i="8"/>
  <c r="F1307" i="8"/>
  <c r="F1308" i="8"/>
  <c r="F1309" i="8"/>
  <c r="F1310" i="8"/>
  <c r="F1311" i="8"/>
  <c r="F1312" i="8"/>
  <c r="F1313" i="8"/>
  <c r="F1314" i="8"/>
  <c r="F1315" i="8"/>
  <c r="F1316" i="8"/>
  <c r="F1317" i="8"/>
  <c r="F1318" i="8"/>
  <c r="F1319" i="8"/>
  <c r="F1320" i="8"/>
  <c r="F1321" i="8"/>
  <c r="F1322" i="8"/>
  <c r="F1323" i="8"/>
  <c r="F1324" i="8"/>
  <c r="F1325" i="8"/>
  <c r="F1326" i="8"/>
  <c r="F1327" i="8"/>
  <c r="F1328" i="8"/>
  <c r="F1329" i="8"/>
  <c r="F1330" i="8"/>
  <c r="F1331" i="8"/>
  <c r="F1332" i="8"/>
  <c r="F1333" i="8"/>
  <c r="F1334" i="8"/>
  <c r="F1335" i="8"/>
  <c r="F1336" i="8"/>
  <c r="F1337" i="8"/>
  <c r="F1338" i="8"/>
  <c r="D346" i="6"/>
  <c r="D347" i="6"/>
  <c r="D90" i="7"/>
  <c r="D91" i="7"/>
  <c r="D479" i="6"/>
  <c r="D480" i="6"/>
  <c r="F1339" i="8"/>
  <c r="F1340" i="8"/>
  <c r="F1341" i="8"/>
  <c r="F1342" i="8"/>
  <c r="F1343" i="8"/>
  <c r="F1344" i="8"/>
  <c r="F1345" i="8"/>
  <c r="F1346" i="8"/>
  <c r="F1347" i="8"/>
  <c r="F1348" i="8"/>
  <c r="F1349" i="8"/>
  <c r="F1350" i="8"/>
  <c r="F1351" i="8"/>
  <c r="F1353" i="8"/>
  <c r="F1354" i="8"/>
  <c r="F1355" i="8"/>
  <c r="F1356" i="8"/>
  <c r="F1357" i="8"/>
  <c r="F1358" i="8"/>
  <c r="F1359" i="8"/>
  <c r="F1360" i="8"/>
  <c r="F1361" i="8"/>
  <c r="F1362" i="8"/>
  <c r="F1363" i="8"/>
  <c r="F1364" i="8"/>
  <c r="F1365" i="8"/>
  <c r="F1367" i="8"/>
  <c r="F1368" i="8"/>
  <c r="F1369" i="8"/>
  <c r="F1370" i="8"/>
  <c r="F1371" i="8"/>
  <c r="F1372" i="8"/>
  <c r="F1373" i="8"/>
  <c r="F1374" i="8"/>
  <c r="D104" i="7"/>
  <c r="D105" i="7"/>
  <c r="D510" i="6"/>
  <c r="D511" i="6"/>
  <c r="F1375" i="8"/>
  <c r="F1376" i="8"/>
  <c r="F1377" i="8"/>
  <c r="F1378" i="8"/>
  <c r="F1379" i="8"/>
  <c r="F1380" i="8"/>
  <c r="F1381" i="8"/>
  <c r="F1383" i="8"/>
  <c r="F1384" i="8"/>
  <c r="F1385" i="8"/>
  <c r="F1386" i="8"/>
  <c r="F1387" i="8"/>
  <c r="F1388" i="8"/>
  <c r="F1389" i="8"/>
  <c r="F1390" i="8"/>
  <c r="F1391" i="8"/>
  <c r="F1392" i="8"/>
  <c r="F1393" i="8"/>
  <c r="F1394" i="8"/>
  <c r="F1395" i="8"/>
  <c r="F1396" i="8"/>
  <c r="F1397" i="8"/>
  <c r="F1398" i="8"/>
  <c r="F1399" i="8"/>
  <c r="F1400" i="8"/>
  <c r="F1401" i="8"/>
  <c r="F1402" i="8"/>
  <c r="F1403" i="8"/>
  <c r="F1404" i="8"/>
  <c r="F1405" i="8"/>
  <c r="F1406" i="8"/>
  <c r="F1407" i="8"/>
  <c r="F1408" i="8"/>
  <c r="F1409" i="8"/>
  <c r="F1410" i="8"/>
  <c r="F1411" i="8"/>
  <c r="F1412" i="8"/>
  <c r="F1413" i="8"/>
  <c r="F1414" i="8"/>
  <c r="F1415" i="8"/>
  <c r="F1416" i="8"/>
  <c r="F1417" i="8"/>
  <c r="F1418" i="8"/>
  <c r="F1419" i="8"/>
  <c r="F1420" i="8"/>
  <c r="F1421" i="8"/>
  <c r="F1422" i="8"/>
  <c r="F1423" i="8"/>
  <c r="F1424" i="8"/>
  <c r="F1425" i="8"/>
  <c r="F1426" i="8"/>
  <c r="F1427" i="8"/>
  <c r="F1428" i="8"/>
  <c r="F1429" i="8"/>
  <c r="F1430" i="8"/>
  <c r="F1431" i="8"/>
  <c r="F1432" i="8"/>
  <c r="F1433" i="8"/>
  <c r="F1434" i="8"/>
  <c r="F1435" i="8"/>
  <c r="F1436" i="8"/>
  <c r="F1437" i="8"/>
  <c r="F1438" i="8"/>
  <c r="F1439" i="8"/>
  <c r="F1440" i="8"/>
  <c r="F1441" i="8"/>
  <c r="F1442" i="8"/>
  <c r="F1443" i="8"/>
  <c r="F1444" i="8"/>
  <c r="F1445" i="8"/>
  <c r="F1446" i="8"/>
  <c r="F1447" i="8"/>
  <c r="F1448" i="8"/>
  <c r="F1449" i="8"/>
  <c r="F1450" i="8"/>
  <c r="F1451" i="8"/>
  <c r="F1452" i="8"/>
  <c r="F1453" i="8"/>
  <c r="F1454" i="8"/>
  <c r="F1455" i="8"/>
  <c r="F1456" i="8"/>
  <c r="F1457" i="8"/>
  <c r="F1458" i="8"/>
  <c r="F1459" i="8"/>
  <c r="F1460" i="8"/>
  <c r="F1461" i="8"/>
  <c r="F1462" i="8"/>
  <c r="F1463" i="8"/>
  <c r="F1464" i="8"/>
  <c r="F1465" i="8"/>
  <c r="F1466" i="8"/>
  <c r="F1467" i="8"/>
  <c r="F1468" i="8"/>
  <c r="F1469" i="8"/>
  <c r="F1470" i="8"/>
  <c r="F1471" i="8"/>
  <c r="F1472" i="8"/>
  <c r="F1473" i="8"/>
  <c r="F1474" i="8"/>
  <c r="F1475" i="8"/>
  <c r="F1476" i="8"/>
  <c r="F1477" i="8"/>
  <c r="F1478" i="8"/>
  <c r="F1479" i="8"/>
  <c r="F1480" i="8"/>
  <c r="F1481" i="8"/>
  <c r="F1482" i="8"/>
  <c r="F1483" i="8"/>
  <c r="F1484" i="8"/>
  <c r="F1485" i="8"/>
  <c r="F1486" i="8"/>
  <c r="F1487" i="8"/>
  <c r="F1488" i="8"/>
  <c r="F1489" i="8"/>
  <c r="F1490" i="8"/>
  <c r="F1491" i="8"/>
  <c r="F1492" i="8"/>
  <c r="F1493" i="8"/>
  <c r="F1494" i="8"/>
  <c r="F1495" i="8"/>
  <c r="F1496" i="8"/>
  <c r="F1497" i="8"/>
  <c r="F1498" i="8"/>
  <c r="F1499" i="8"/>
  <c r="F1500" i="8"/>
  <c r="F1501" i="8"/>
  <c r="F1502" i="8"/>
  <c r="F1503" i="8"/>
  <c r="F1504" i="8"/>
  <c r="F1505" i="8"/>
  <c r="F1506" i="8"/>
  <c r="F1507" i="8"/>
  <c r="F1508" i="8"/>
  <c r="F1509" i="8"/>
  <c r="F1510" i="8"/>
  <c r="F1511" i="8"/>
  <c r="F1512" i="8"/>
  <c r="F1513" i="8"/>
  <c r="F1514" i="8"/>
  <c r="F1515" i="8"/>
  <c r="F1516" i="8"/>
  <c r="F1517" i="8"/>
  <c r="F1518" i="8"/>
  <c r="F1519" i="8"/>
  <c r="F1520" i="8"/>
  <c r="F1521" i="8"/>
  <c r="F1522" i="8"/>
  <c r="F1523" i="8"/>
  <c r="F1524" i="8"/>
  <c r="F1525" i="8"/>
  <c r="F1526" i="8"/>
  <c r="F1527" i="8"/>
  <c r="F1528" i="8"/>
  <c r="F1529" i="8"/>
  <c r="F1530" i="8"/>
  <c r="F1531" i="8"/>
  <c r="F1532" i="8"/>
  <c r="F1533" i="8"/>
  <c r="F1534" i="8"/>
  <c r="F1535" i="8"/>
  <c r="F1536" i="8"/>
  <c r="F1537" i="8"/>
  <c r="F1538" i="8"/>
  <c r="F1539" i="8"/>
  <c r="F1540" i="8"/>
  <c r="F1541" i="8"/>
  <c r="F1542" i="8"/>
  <c r="F1543" i="8"/>
  <c r="F1544" i="8"/>
  <c r="F1545" i="8"/>
  <c r="F1546" i="8"/>
  <c r="F1547" i="8"/>
  <c r="F1548" i="8"/>
  <c r="F1549" i="8"/>
  <c r="F1550" i="8"/>
  <c r="F1551" i="8"/>
  <c r="F1552" i="8"/>
  <c r="F1553" i="8"/>
  <c r="F1554" i="8"/>
  <c r="F1555" i="8"/>
  <c r="F1556" i="8"/>
  <c r="F1557" i="8"/>
  <c r="F1558" i="8"/>
  <c r="F1559" i="8"/>
  <c r="F1560" i="8"/>
  <c r="F1561" i="8"/>
  <c r="F1562" i="8"/>
  <c r="F1563" i="8"/>
  <c r="F1564" i="8"/>
  <c r="F1565" i="8"/>
  <c r="F1566" i="8"/>
  <c r="F1567" i="8"/>
  <c r="F1568" i="8"/>
  <c r="F1569" i="8"/>
  <c r="F1570" i="8"/>
  <c r="F1571" i="8"/>
  <c r="F1572" i="8"/>
  <c r="F1573" i="8"/>
  <c r="F1574" i="8"/>
  <c r="F1575" i="8"/>
  <c r="F1576" i="8"/>
  <c r="F1577" i="8"/>
  <c r="F1578" i="8"/>
  <c r="F1579" i="8"/>
  <c r="F1580" i="8"/>
  <c r="F1581" i="8"/>
  <c r="F1582" i="8"/>
  <c r="F1583" i="8"/>
  <c r="F1584" i="8"/>
  <c r="F1585" i="8"/>
  <c r="F1586" i="8"/>
  <c r="F1587" i="8"/>
  <c r="F1588" i="8"/>
  <c r="F1589" i="8"/>
  <c r="F1590" i="8"/>
  <c r="F1591" i="8"/>
  <c r="F1592" i="8"/>
  <c r="F1593" i="8"/>
  <c r="F1594" i="8"/>
  <c r="F1595" i="8"/>
  <c r="F1596" i="8"/>
  <c r="F1597" i="8"/>
  <c r="F1598" i="8"/>
  <c r="F1599" i="8"/>
  <c r="F1600" i="8"/>
  <c r="F1601" i="8"/>
  <c r="F1602" i="8"/>
  <c r="F1603" i="8"/>
  <c r="F1604" i="8"/>
  <c r="F1605" i="8"/>
  <c r="F1606" i="8"/>
  <c r="F1607" i="8"/>
  <c r="F1608" i="8"/>
  <c r="F1609" i="8"/>
  <c r="F1610" i="8"/>
  <c r="F1611" i="8"/>
  <c r="F1612" i="8"/>
  <c r="F1613" i="8"/>
  <c r="F1614" i="8"/>
  <c r="F1615" i="8"/>
  <c r="F1616" i="8"/>
  <c r="F1617" i="8"/>
  <c r="F1618" i="8"/>
  <c r="F1619" i="8"/>
  <c r="F1620" i="8"/>
  <c r="F1621" i="8"/>
  <c r="F1622" i="8"/>
  <c r="F1623" i="8"/>
  <c r="F1624" i="8"/>
  <c r="F1625" i="8"/>
  <c r="F1626" i="8"/>
  <c r="F1627" i="8"/>
  <c r="F1628" i="8"/>
  <c r="F1629" i="8"/>
  <c r="F1630" i="8"/>
  <c r="F1631" i="8"/>
  <c r="F1632" i="8"/>
  <c r="F1633" i="8"/>
  <c r="F1634" i="8"/>
  <c r="F1635" i="8"/>
  <c r="F1636" i="8"/>
  <c r="F1637" i="8"/>
  <c r="F1638" i="8"/>
  <c r="F1639" i="8"/>
  <c r="F1640" i="8"/>
  <c r="F1641" i="8"/>
  <c r="F1642" i="8"/>
  <c r="F1643" i="8"/>
  <c r="F1644" i="8"/>
  <c r="F1645" i="8"/>
  <c r="F1646" i="8"/>
  <c r="F1647" i="8"/>
  <c r="F1648" i="8"/>
  <c r="F1649" i="8"/>
  <c r="F1650" i="8"/>
  <c r="F1651" i="8"/>
  <c r="F1652" i="8"/>
  <c r="F1653" i="8"/>
  <c r="F1654" i="8"/>
  <c r="F1655" i="8"/>
  <c r="F1656" i="8"/>
  <c r="F1657" i="8"/>
  <c r="F1658" i="8"/>
  <c r="F1659" i="8"/>
  <c r="F1660" i="8"/>
  <c r="F1661" i="8"/>
  <c r="F1662" i="8"/>
  <c r="F1663" i="8"/>
  <c r="F1664" i="8"/>
  <c r="F1665" i="8"/>
  <c r="F1666" i="8"/>
  <c r="F1667" i="8"/>
  <c r="F1668" i="8"/>
  <c r="F1669" i="8"/>
  <c r="F1670" i="8"/>
  <c r="F1671" i="8"/>
  <c r="F1672" i="8"/>
  <c r="F1673" i="8"/>
  <c r="F1674" i="8"/>
  <c r="F1675" i="8"/>
  <c r="F1676" i="8"/>
  <c r="F1677" i="8"/>
  <c r="F1678" i="8"/>
  <c r="F1679" i="8"/>
  <c r="F1680" i="8"/>
  <c r="F1681" i="8"/>
  <c r="F1682" i="8"/>
  <c r="F1683" i="8"/>
  <c r="F1684" i="8"/>
  <c r="F1685" i="8"/>
  <c r="F1686" i="8"/>
  <c r="F1687" i="8"/>
  <c r="F1688" i="8"/>
  <c r="F1689" i="8"/>
  <c r="F1690" i="8"/>
  <c r="F1691" i="8"/>
  <c r="F1692" i="8"/>
  <c r="F1693" i="8"/>
  <c r="F1694" i="8"/>
  <c r="F1695" i="8"/>
  <c r="F1696" i="8"/>
  <c r="F1697" i="8"/>
  <c r="F1698" i="8"/>
  <c r="F1699" i="8"/>
  <c r="F1700" i="8"/>
  <c r="F1701" i="8"/>
  <c r="F1702" i="8"/>
  <c r="F1703" i="8"/>
  <c r="F1704" i="8"/>
  <c r="F1705" i="8"/>
  <c r="F1706" i="8"/>
  <c r="F1707" i="8"/>
  <c r="F1708" i="8"/>
  <c r="F1709" i="8"/>
  <c r="F1710" i="8"/>
  <c r="F1711" i="8"/>
  <c r="F1712" i="8"/>
  <c r="F1713" i="8"/>
  <c r="F1714" i="8"/>
  <c r="F1715" i="8"/>
  <c r="F1716" i="8"/>
  <c r="F1717" i="8"/>
  <c r="F1718" i="8"/>
  <c r="F1719" i="8"/>
  <c r="F1720" i="8"/>
  <c r="F1721" i="8"/>
  <c r="F1722" i="8"/>
  <c r="F1723" i="8"/>
  <c r="F1724" i="8"/>
  <c r="F1725" i="8"/>
  <c r="F1726" i="8"/>
  <c r="F1727" i="8"/>
  <c r="F1728" i="8"/>
  <c r="F1729" i="8"/>
  <c r="F1730" i="8"/>
  <c r="F1731" i="8"/>
  <c r="F1732" i="8"/>
  <c r="F1733" i="8"/>
  <c r="F1734" i="8"/>
  <c r="F1735" i="8"/>
  <c r="F1736" i="8"/>
  <c r="F1737" i="8"/>
  <c r="F1738" i="8"/>
  <c r="F1739" i="8"/>
  <c r="F1740" i="8"/>
  <c r="F1741" i="8"/>
  <c r="F1742" i="8"/>
  <c r="F1743" i="8"/>
  <c r="F1744" i="8"/>
  <c r="F1745" i="8"/>
  <c r="F1746" i="8"/>
  <c r="F1747" i="8"/>
  <c r="F1748" i="8"/>
  <c r="F1749" i="8"/>
  <c r="F1750" i="8"/>
  <c r="F1751" i="8"/>
  <c r="F1752" i="8"/>
  <c r="F1753" i="8"/>
  <c r="F1754" i="8"/>
  <c r="F1755" i="8"/>
  <c r="F1756" i="8"/>
  <c r="F1757" i="8"/>
  <c r="F1758" i="8"/>
  <c r="F1759" i="8"/>
  <c r="F1760" i="8"/>
  <c r="F1761" i="8"/>
  <c r="F1762" i="8"/>
  <c r="F1763" i="8"/>
  <c r="F1764" i="8"/>
  <c r="F1765" i="8"/>
  <c r="F1766" i="8"/>
  <c r="F1767" i="8"/>
  <c r="F1768" i="8"/>
  <c r="F1769" i="8"/>
  <c r="F1770" i="8"/>
  <c r="F1771" i="8"/>
  <c r="F1772" i="8"/>
  <c r="F1773" i="8"/>
  <c r="F1774" i="8"/>
  <c r="F1775" i="8"/>
  <c r="F1776" i="8"/>
  <c r="F1777" i="8"/>
  <c r="F1778" i="8"/>
  <c r="F1779" i="8"/>
  <c r="F1780" i="8"/>
  <c r="F1781" i="8"/>
  <c r="F1782" i="8"/>
  <c r="F1783" i="8"/>
  <c r="F1784" i="8"/>
  <c r="F1785" i="8"/>
  <c r="F1786" i="8"/>
  <c r="F1787" i="8"/>
  <c r="F1788" i="8"/>
  <c r="F1789" i="8"/>
  <c r="F1790" i="8"/>
  <c r="F1791" i="8"/>
  <c r="F1792" i="8"/>
  <c r="F1793" i="8"/>
  <c r="F1794" i="8"/>
  <c r="F1795" i="8"/>
  <c r="F1796" i="8"/>
  <c r="F1797" i="8"/>
  <c r="F1798" i="8"/>
  <c r="F1799" i="8"/>
  <c r="F1800" i="8"/>
  <c r="F1801" i="8"/>
  <c r="F1802" i="8"/>
  <c r="F1803" i="8"/>
  <c r="F1804" i="8"/>
  <c r="F1805" i="8"/>
  <c r="F1806" i="8"/>
  <c r="F1807" i="8"/>
  <c r="F1808" i="8"/>
  <c r="F1809" i="8"/>
  <c r="F1810" i="8"/>
  <c r="F1811" i="8"/>
  <c r="F1812" i="8"/>
  <c r="F1813" i="8"/>
  <c r="F1814" i="8"/>
  <c r="F1815" i="8"/>
  <c r="F1816" i="8"/>
  <c r="F1817" i="8"/>
  <c r="F1818" i="8"/>
  <c r="F1819" i="8"/>
  <c r="F1820" i="8"/>
  <c r="F1821" i="8"/>
  <c r="F1822" i="8"/>
  <c r="F1823" i="8"/>
  <c r="F1824" i="8"/>
  <c r="F1825" i="8"/>
  <c r="F1826" i="8"/>
  <c r="F1827" i="8"/>
  <c r="F1828" i="8"/>
  <c r="F1829" i="8"/>
  <c r="F1830" i="8"/>
  <c r="F1831" i="8"/>
  <c r="F1832" i="8"/>
  <c r="F1833" i="8"/>
  <c r="F1834" i="8"/>
  <c r="F1835" i="8"/>
  <c r="F1836" i="8"/>
  <c r="F1837" i="8"/>
  <c r="F1838" i="8"/>
  <c r="F1839" i="8"/>
  <c r="F1840" i="8"/>
  <c r="F1841" i="8"/>
  <c r="F1842" i="8"/>
  <c r="F1843" i="8"/>
  <c r="F1844" i="8"/>
  <c r="F1845" i="8"/>
  <c r="F1846" i="8"/>
  <c r="F1847" i="8"/>
  <c r="F1848" i="8"/>
  <c r="F1849" i="8"/>
  <c r="F1850" i="8"/>
  <c r="F1851" i="8"/>
  <c r="F1852" i="8"/>
  <c r="F1853" i="8"/>
  <c r="F1854" i="8"/>
  <c r="F1855" i="8"/>
  <c r="F1856" i="8"/>
  <c r="F1857" i="8"/>
  <c r="F1858" i="8"/>
  <c r="F1859" i="8"/>
  <c r="F1860" i="8"/>
  <c r="F1861" i="8"/>
  <c r="F1862" i="8"/>
  <c r="F1863" i="8"/>
  <c r="F1864" i="8"/>
  <c r="F1865" i="8"/>
  <c r="F1866" i="8"/>
  <c r="F1867" i="8"/>
  <c r="F1868" i="8"/>
  <c r="F1869" i="8"/>
  <c r="F1870" i="8"/>
  <c r="F1871" i="8"/>
  <c r="F1872" i="8"/>
  <c r="F1873" i="8"/>
  <c r="F1874" i="8"/>
  <c r="F1875" i="8"/>
  <c r="F1876" i="8"/>
  <c r="F1877" i="8"/>
  <c r="F1878" i="8"/>
  <c r="F1879" i="8"/>
  <c r="F1880" i="8"/>
  <c r="F1881" i="8"/>
  <c r="F1882" i="8"/>
  <c r="F1883" i="8"/>
  <c r="F1884" i="8"/>
  <c r="F1885" i="8"/>
  <c r="F1886" i="8"/>
  <c r="F1887" i="8"/>
  <c r="F1888" i="8"/>
  <c r="F1889" i="8"/>
  <c r="F1890" i="8"/>
  <c r="F1891" i="8"/>
  <c r="F1892" i="8"/>
  <c r="F1893" i="8"/>
  <c r="F1894" i="8"/>
  <c r="F1895" i="8"/>
  <c r="F1896" i="8"/>
  <c r="F1897" i="8"/>
  <c r="F1898" i="8"/>
  <c r="F1899" i="8"/>
  <c r="F1900" i="8"/>
  <c r="F1901" i="8"/>
  <c r="F1902" i="8"/>
  <c r="F1903" i="8"/>
  <c r="F1904" i="8"/>
  <c r="F1905" i="8"/>
  <c r="F1906" i="8"/>
  <c r="F1907" i="8"/>
  <c r="F1908" i="8"/>
  <c r="F1909" i="8"/>
  <c r="F1910" i="8"/>
  <c r="F1911" i="8"/>
  <c r="F1912" i="8"/>
  <c r="F1913" i="8"/>
  <c r="F1914" i="8"/>
  <c r="F1915" i="8"/>
  <c r="F1916" i="8"/>
  <c r="F1917" i="8"/>
  <c r="F1918" i="8"/>
  <c r="F1919" i="8"/>
  <c r="F1920" i="8"/>
  <c r="F1921" i="8"/>
  <c r="F1922" i="8"/>
  <c r="F1923" i="8"/>
  <c r="F1924" i="8"/>
  <c r="F1925" i="8"/>
  <c r="F1926" i="8"/>
  <c r="F1927" i="8"/>
  <c r="F1928" i="8"/>
  <c r="F1929" i="8"/>
  <c r="F1930" i="8"/>
  <c r="F1931" i="8"/>
  <c r="F1932" i="8"/>
  <c r="F1933" i="8"/>
  <c r="F1934" i="8"/>
  <c r="F1935" i="8"/>
  <c r="F1936" i="8"/>
  <c r="F1937" i="8"/>
  <c r="F1938" i="8"/>
  <c r="F1939" i="8"/>
  <c r="F1940" i="8"/>
  <c r="F1941" i="8"/>
  <c r="F1942" i="8"/>
  <c r="F1943" i="8"/>
  <c r="F1944" i="8"/>
  <c r="F1945" i="8"/>
  <c r="F1946" i="8"/>
  <c r="F1947" i="8"/>
  <c r="F1948" i="8"/>
  <c r="F1949" i="8"/>
  <c r="F1950" i="8"/>
  <c r="F1951" i="8"/>
  <c r="F1952" i="8"/>
  <c r="F1953" i="8"/>
  <c r="F1954" i="8"/>
  <c r="F1955" i="8"/>
  <c r="F1956" i="8"/>
  <c r="F1957" i="8"/>
  <c r="F1958" i="8"/>
  <c r="F1959" i="8"/>
  <c r="F1960" i="8"/>
  <c r="F1961" i="8"/>
  <c r="F1962" i="8"/>
  <c r="F1963" i="8"/>
  <c r="F1964" i="8"/>
  <c r="F1965" i="8"/>
  <c r="F1966" i="8"/>
  <c r="F1967" i="8"/>
  <c r="F1968" i="8"/>
  <c r="F1969" i="8"/>
  <c r="F1970" i="8"/>
  <c r="F1971" i="8"/>
  <c r="F1972" i="8"/>
  <c r="F1973" i="8"/>
  <c r="F1974" i="8"/>
  <c r="F1975" i="8"/>
  <c r="F1976" i="8"/>
  <c r="F1977" i="8"/>
  <c r="F1978" i="8"/>
  <c r="F1979" i="8"/>
  <c r="F1980" i="8"/>
  <c r="F1981" i="8"/>
  <c r="F1982" i="8"/>
  <c r="F1983" i="8"/>
  <c r="F1984" i="8"/>
  <c r="F1985" i="8"/>
  <c r="F1986" i="8"/>
  <c r="F1987" i="8"/>
  <c r="F1988" i="8"/>
  <c r="F1989" i="8"/>
  <c r="F1990" i="8"/>
  <c r="F1991" i="8"/>
  <c r="F1992" i="8"/>
  <c r="F1993" i="8"/>
  <c r="F1994" i="8"/>
  <c r="F1995" i="8"/>
  <c r="F1996" i="8"/>
  <c r="F1997" i="8"/>
  <c r="F1998" i="8"/>
  <c r="F1999" i="8"/>
  <c r="F2000" i="8"/>
  <c r="F2001" i="8"/>
  <c r="F2002" i="8"/>
  <c r="F2003" i="8"/>
  <c r="F2004" i="8"/>
  <c r="F2005" i="8"/>
  <c r="F2006" i="8"/>
  <c r="F2007" i="8"/>
  <c r="F2008" i="8"/>
  <c r="F2009" i="8"/>
  <c r="F2010" i="8"/>
  <c r="F2011" i="8"/>
  <c r="F2012" i="8"/>
  <c r="F2013" i="8"/>
  <c r="F2014" i="8"/>
  <c r="F2015" i="8"/>
  <c r="F2016" i="8"/>
  <c r="F2017" i="8"/>
  <c r="F2018" i="8"/>
  <c r="F2019" i="8"/>
  <c r="F2020" i="8"/>
  <c r="F2021" i="8"/>
  <c r="F2022" i="8"/>
  <c r="F2023" i="8"/>
  <c r="F2024" i="8"/>
  <c r="F2025" i="8"/>
  <c r="F2026" i="8"/>
  <c r="F2027" i="8"/>
  <c r="F2028" i="8"/>
  <c r="F2029" i="8"/>
  <c r="F2030" i="8"/>
  <c r="F2031" i="8"/>
  <c r="F2032" i="8"/>
  <c r="F2033" i="8"/>
  <c r="F2034" i="8"/>
  <c r="F2035" i="8"/>
  <c r="F2036" i="8"/>
  <c r="F2037" i="8"/>
  <c r="F2038" i="8"/>
  <c r="F2039" i="8"/>
  <c r="F2040" i="8"/>
  <c r="F2041" i="8"/>
  <c r="F2042" i="8"/>
  <c r="F2043" i="8"/>
  <c r="F2044" i="8"/>
  <c r="F2045" i="8"/>
  <c r="F2046" i="8"/>
  <c r="F2047" i="8"/>
  <c r="F2048" i="8"/>
  <c r="F2049" i="8"/>
  <c r="F2050" i="8"/>
  <c r="F2051" i="8"/>
  <c r="F2052" i="8"/>
  <c r="F2053" i="8"/>
  <c r="F2054" i="8"/>
  <c r="F2055" i="8"/>
  <c r="F2056" i="8"/>
  <c r="F2057" i="8"/>
  <c r="F2058" i="8"/>
  <c r="F2059" i="8"/>
  <c r="F2060" i="8"/>
  <c r="F2061" i="8"/>
  <c r="F2062" i="8"/>
  <c r="F2063" i="8"/>
  <c r="F2064" i="8"/>
  <c r="F2065" i="8"/>
  <c r="F2066" i="8"/>
  <c r="F2067" i="8"/>
  <c r="F2068" i="8"/>
  <c r="F2069" i="8"/>
  <c r="F2070" i="8"/>
  <c r="F2071" i="8"/>
  <c r="F2072" i="8"/>
  <c r="F2073" i="8"/>
  <c r="F2074" i="8"/>
  <c r="F2075" i="8"/>
  <c r="F2076" i="8"/>
  <c r="F2077" i="8"/>
  <c r="F2078" i="8"/>
  <c r="F2079" i="8"/>
  <c r="F2080" i="8"/>
  <c r="F2081" i="8"/>
  <c r="F2082" i="8"/>
  <c r="F2083" i="8"/>
  <c r="F2084" i="8"/>
  <c r="F2085" i="8"/>
  <c r="F2086" i="8"/>
  <c r="F2087" i="8"/>
  <c r="F2088" i="8"/>
  <c r="F2089" i="8"/>
  <c r="F2090" i="8"/>
  <c r="F2091" i="8"/>
  <c r="F2092" i="8"/>
  <c r="F2093" i="8"/>
  <c r="F2094" i="8"/>
  <c r="F2095" i="8"/>
  <c r="F2096" i="8"/>
  <c r="F2097" i="8"/>
  <c r="F2098" i="8"/>
  <c r="F2099" i="8"/>
  <c r="F2100" i="8"/>
  <c r="F2101" i="8"/>
  <c r="F2102" i="8"/>
  <c r="F2103" i="8"/>
  <c r="F2104" i="8"/>
  <c r="F2105" i="8"/>
  <c r="F2106" i="8"/>
  <c r="F2107" i="8"/>
  <c r="F2108" i="8"/>
  <c r="F2109" i="8"/>
  <c r="F2110" i="8"/>
  <c r="F2111" i="8"/>
  <c r="F2112" i="8"/>
  <c r="F2113" i="8"/>
  <c r="F2114" i="8"/>
  <c r="F2115" i="8"/>
  <c r="F2116" i="8"/>
  <c r="F2117" i="8"/>
  <c r="F2118" i="8"/>
  <c r="F2119" i="8"/>
  <c r="F2120" i="8"/>
  <c r="F2121" i="8"/>
  <c r="F2122" i="8"/>
  <c r="F2123" i="8"/>
  <c r="F2124" i="8"/>
  <c r="F2125" i="8"/>
  <c r="F2126" i="8"/>
  <c r="F2127" i="8"/>
  <c r="F2128" i="8"/>
  <c r="F2129" i="8"/>
  <c r="F2130" i="8"/>
  <c r="F2131" i="8"/>
  <c r="F2132" i="8"/>
  <c r="F2133" i="8"/>
  <c r="F2134" i="8"/>
  <c r="F2135" i="8"/>
  <c r="F2136" i="8"/>
  <c r="F2137" i="8"/>
  <c r="F2138" i="8"/>
  <c r="F2139" i="8"/>
  <c r="F2140" i="8"/>
  <c r="F2141" i="8"/>
  <c r="F2142" i="8"/>
  <c r="F2143" i="8"/>
  <c r="F2144" i="8"/>
  <c r="F2145" i="8"/>
  <c r="F2146" i="8"/>
  <c r="F2147" i="8"/>
  <c r="F2148" i="8"/>
  <c r="F2149" i="8"/>
  <c r="F2150" i="8"/>
  <c r="F2151" i="8"/>
  <c r="F2152" i="8"/>
  <c r="F2153" i="8"/>
  <c r="F2154" i="8"/>
  <c r="F2155" i="8"/>
  <c r="F2156" i="8"/>
  <c r="F2157" i="8"/>
  <c r="F2158" i="8"/>
  <c r="F2159" i="8"/>
  <c r="F2160" i="8"/>
  <c r="F2161" i="8"/>
  <c r="F2162" i="8"/>
  <c r="F2163" i="8"/>
  <c r="F2164" i="8"/>
  <c r="F2165" i="8"/>
  <c r="F2166" i="8"/>
  <c r="F2167" i="8"/>
  <c r="F2168" i="8"/>
  <c r="F2169" i="8"/>
  <c r="F2170" i="8"/>
  <c r="F2171" i="8"/>
  <c r="F2172" i="8"/>
  <c r="F2173" i="8"/>
  <c r="F2174" i="8"/>
  <c r="F2175" i="8"/>
  <c r="F2176" i="8"/>
  <c r="F2177" i="8"/>
  <c r="F2178" i="8"/>
  <c r="F2179" i="8"/>
  <c r="F2180" i="8"/>
  <c r="F2181" i="8"/>
  <c r="F2182" i="8"/>
  <c r="F2183" i="8"/>
  <c r="F2184" i="8"/>
  <c r="F2185" i="8"/>
  <c r="F2186" i="8"/>
  <c r="F2187" i="8"/>
  <c r="F2188" i="8"/>
  <c r="F2189" i="8"/>
  <c r="F2190" i="8"/>
  <c r="F2191" i="8"/>
  <c r="F2192" i="8"/>
  <c r="F2193" i="8"/>
  <c r="F2194" i="8"/>
  <c r="F2195" i="8"/>
  <c r="F2196" i="8"/>
  <c r="F2197" i="8"/>
  <c r="F2198" i="8"/>
  <c r="F2199" i="8"/>
  <c r="F2200" i="8"/>
  <c r="F2201" i="8"/>
  <c r="F2202" i="8"/>
  <c r="F2203" i="8"/>
  <c r="F2204" i="8"/>
  <c r="F2205" i="8"/>
  <c r="F2206" i="8"/>
  <c r="F2207" i="8"/>
  <c r="F2208" i="8"/>
  <c r="F2209" i="8"/>
  <c r="F2210" i="8"/>
  <c r="F2211" i="8"/>
  <c r="F2212" i="8"/>
  <c r="F2213" i="8"/>
  <c r="F2214" i="8"/>
  <c r="F2215" i="8"/>
  <c r="F2216" i="8"/>
  <c r="F2217" i="8"/>
  <c r="F2218" i="8"/>
  <c r="F2219" i="8"/>
  <c r="F2220" i="8"/>
  <c r="F2221" i="8"/>
  <c r="F2222" i="8"/>
  <c r="F2223" i="8"/>
  <c r="F2224" i="8"/>
  <c r="F2225" i="8"/>
  <c r="F2226" i="8"/>
  <c r="F2227" i="8"/>
  <c r="F2228" i="8"/>
  <c r="F2229" i="8"/>
  <c r="F2230" i="8"/>
  <c r="F2231" i="8"/>
  <c r="F2232" i="8"/>
  <c r="F2233" i="8"/>
  <c r="F2234" i="8"/>
  <c r="F2235" i="8"/>
  <c r="F2236" i="8"/>
  <c r="F2237" i="8"/>
  <c r="F2238" i="8"/>
  <c r="F2239" i="8"/>
  <c r="F2240" i="8"/>
  <c r="F2241" i="8"/>
  <c r="F2242" i="8"/>
  <c r="F2243" i="8"/>
  <c r="F2244" i="8"/>
  <c r="F2245" i="8"/>
  <c r="F2246" i="8"/>
  <c r="F2247" i="8"/>
  <c r="F2248" i="8"/>
  <c r="F2249" i="8"/>
  <c r="F2250" i="8"/>
  <c r="F2251" i="8"/>
  <c r="F2252" i="8"/>
  <c r="F2253" i="8"/>
  <c r="F2254" i="8"/>
  <c r="F2255" i="8"/>
  <c r="F2256" i="8"/>
  <c r="F2257" i="8"/>
  <c r="F2258" i="8"/>
  <c r="F2259" i="8"/>
  <c r="F2260" i="8"/>
  <c r="F2261" i="8"/>
  <c r="F2262" i="8"/>
  <c r="F2263" i="8"/>
  <c r="F2264" i="8"/>
  <c r="F2265" i="8"/>
  <c r="F2266" i="8"/>
  <c r="F2267" i="8"/>
  <c r="F2268" i="8"/>
  <c r="F2269" i="8"/>
  <c r="F2270" i="8"/>
  <c r="F2271" i="8"/>
  <c r="F2272" i="8"/>
  <c r="F2273" i="8"/>
  <c r="F2274" i="8"/>
  <c r="F2275" i="8"/>
  <c r="F2276" i="8"/>
  <c r="F2277" i="8"/>
  <c r="F2278" i="8"/>
  <c r="F2279" i="8"/>
  <c r="F2280" i="8"/>
  <c r="F2281" i="8"/>
  <c r="F2282" i="8"/>
  <c r="F2283" i="8"/>
  <c r="F2284" i="8"/>
  <c r="F2285" i="8"/>
  <c r="F2286" i="8"/>
  <c r="F2287" i="8"/>
  <c r="F2288" i="8"/>
  <c r="F2289" i="8"/>
  <c r="F2290" i="8"/>
  <c r="F2291" i="8"/>
  <c r="F2292" i="8"/>
  <c r="F2293" i="8"/>
  <c r="F2294" i="8"/>
  <c r="F2295" i="8"/>
  <c r="F2296" i="8"/>
  <c r="F2297" i="8"/>
  <c r="F2298" i="8"/>
  <c r="F2299" i="8"/>
  <c r="F2300" i="8"/>
  <c r="F2301" i="8"/>
  <c r="F2302" i="8"/>
  <c r="F2303" i="8"/>
  <c r="F2304" i="8"/>
  <c r="F2305" i="8"/>
  <c r="F2306" i="8"/>
  <c r="F2307" i="8"/>
  <c r="F2308" i="8"/>
  <c r="F2309" i="8"/>
  <c r="F2310" i="8"/>
  <c r="F2311" i="8"/>
  <c r="F2312" i="8"/>
  <c r="F2313" i="8"/>
  <c r="F2314" i="8"/>
  <c r="F2315" i="8"/>
  <c r="F2316" i="8"/>
  <c r="F2317" i="8"/>
  <c r="F2318" i="8"/>
  <c r="F2319" i="8"/>
  <c r="F2320" i="8"/>
  <c r="F2321" i="8"/>
  <c r="F2322" i="8"/>
  <c r="F2323" i="8"/>
  <c r="F2324" i="8"/>
  <c r="F2325" i="8"/>
  <c r="F2326" i="8"/>
  <c r="F2327" i="8"/>
  <c r="F2328" i="8"/>
  <c r="F2329" i="8"/>
  <c r="F2330" i="8"/>
  <c r="F2331" i="8"/>
  <c r="F2332" i="8"/>
  <c r="F2333" i="8"/>
  <c r="F2334" i="8"/>
  <c r="F2335" i="8"/>
  <c r="F2336" i="8"/>
  <c r="F2337" i="8"/>
  <c r="F2338" i="8"/>
  <c r="F2340" i="8"/>
  <c r="F2341" i="8"/>
  <c r="F2342" i="8"/>
  <c r="F2343" i="8"/>
  <c r="F2344" i="8"/>
  <c r="F2345" i="8"/>
  <c r="F2346" i="8"/>
  <c r="F2347" i="8"/>
  <c r="F2348" i="8"/>
  <c r="F2349" i="8"/>
  <c r="F2350" i="8"/>
  <c r="F2351" i="8"/>
  <c r="F2352" i="8"/>
  <c r="F2353" i="8"/>
  <c r="F2354" i="8"/>
  <c r="F2355" i="8"/>
  <c r="F2356" i="8"/>
  <c r="F2357" i="8"/>
  <c r="F2358" i="8"/>
  <c r="F2359" i="8"/>
  <c r="F2360" i="8"/>
  <c r="F2361" i="8"/>
  <c r="F2362" i="8"/>
  <c r="F2363" i="8"/>
  <c r="F2364" i="8"/>
  <c r="F2365" i="8"/>
  <c r="F2366" i="8"/>
  <c r="F2367" i="8"/>
  <c r="F2368" i="8"/>
  <c r="F2369" i="8"/>
  <c r="F2370" i="8"/>
  <c r="F2371" i="8"/>
  <c r="F2372" i="8"/>
  <c r="F2373" i="8"/>
  <c r="F2374" i="8"/>
  <c r="F2375" i="8"/>
  <c r="F2376" i="8"/>
  <c r="F2377" i="8"/>
  <c r="F2378" i="8"/>
  <c r="F2379" i="8"/>
  <c r="F2380" i="8"/>
  <c r="F2381" i="8"/>
  <c r="F2382" i="8"/>
  <c r="F2383" i="8"/>
  <c r="F2384" i="8"/>
  <c r="F2385" i="8"/>
  <c r="F2386" i="8"/>
  <c r="F2387" i="8"/>
  <c r="F2388" i="8"/>
  <c r="F2389" i="8"/>
  <c r="F2390" i="8"/>
  <c r="F2391" i="8"/>
  <c r="F2392" i="8"/>
  <c r="F2393" i="8"/>
  <c r="F2394" i="8"/>
  <c r="F2395" i="8"/>
  <c r="F2396" i="8"/>
  <c r="F2397" i="8"/>
  <c r="F2398" i="8"/>
  <c r="F2399" i="8"/>
  <c r="F2400" i="8"/>
  <c r="F2401" i="8"/>
  <c r="F2402" i="8"/>
  <c r="F2403" i="8"/>
  <c r="F2404" i="8"/>
  <c r="F2405" i="8"/>
  <c r="F2406" i="8"/>
  <c r="F2407" i="8"/>
  <c r="F2408" i="8"/>
  <c r="F2409" i="8"/>
  <c r="F2410" i="8"/>
  <c r="F2411" i="8"/>
  <c r="F2412" i="8"/>
  <c r="F2413" i="8"/>
  <c r="F2414" i="8"/>
  <c r="F2415" i="8"/>
  <c r="F2416" i="8"/>
  <c r="F2417" i="8"/>
  <c r="F2418" i="8"/>
  <c r="F2419" i="8"/>
  <c r="F2420" i="8"/>
  <c r="F2421" i="8"/>
  <c r="F2422" i="8"/>
  <c r="F2423" i="8"/>
  <c r="F2424" i="8"/>
  <c r="F2425" i="8"/>
  <c r="F2426" i="8"/>
  <c r="F2427" i="8"/>
  <c r="F2428" i="8"/>
  <c r="F2429" i="8"/>
  <c r="F2430" i="8"/>
  <c r="F2431" i="8"/>
  <c r="F2432" i="8"/>
  <c r="F2433" i="8"/>
  <c r="F2434" i="8"/>
  <c r="F2435" i="8"/>
  <c r="F2436" i="8"/>
  <c r="F2437" i="8"/>
  <c r="F2438" i="8"/>
  <c r="F2439" i="8"/>
  <c r="F2440" i="8"/>
  <c r="F2441" i="8"/>
  <c r="F2442" i="8"/>
  <c r="F2443" i="8"/>
  <c r="F2444" i="8"/>
  <c r="F2445" i="8"/>
  <c r="F2446" i="8"/>
  <c r="F2447" i="8"/>
  <c r="F2448" i="8"/>
  <c r="F2449" i="8"/>
  <c r="F2450" i="8"/>
  <c r="F2451" i="8"/>
  <c r="F2452" i="8"/>
  <c r="F2453" i="8"/>
  <c r="F2454" i="8"/>
  <c r="F2455" i="8"/>
  <c r="F2456" i="8"/>
  <c r="F2457" i="8"/>
  <c r="F2458" i="8"/>
  <c r="F2459" i="8"/>
  <c r="F2460" i="8"/>
  <c r="F2461" i="8"/>
  <c r="F2462" i="8"/>
  <c r="F2463" i="8"/>
  <c r="F2464" i="8"/>
  <c r="F2465" i="8"/>
  <c r="F2466" i="8"/>
  <c r="F2467" i="8"/>
  <c r="F2468" i="8"/>
  <c r="F2469" i="8"/>
  <c r="F2470" i="8"/>
  <c r="F2471" i="8"/>
  <c r="F2472" i="8"/>
  <c r="F2473" i="8"/>
  <c r="F2474" i="8"/>
  <c r="F2475" i="8"/>
  <c r="F2476" i="8"/>
  <c r="F2477" i="8"/>
  <c r="F2478" i="8"/>
  <c r="F2479" i="8"/>
  <c r="F2480" i="8"/>
  <c r="F2481" i="8"/>
  <c r="F2482" i="8"/>
  <c r="F2483" i="8"/>
  <c r="F2484" i="8"/>
  <c r="F2485" i="8"/>
  <c r="F2486" i="8"/>
  <c r="F2487" i="8"/>
  <c r="F2488" i="8"/>
  <c r="F2489" i="8"/>
  <c r="F2490" i="8"/>
  <c r="F2491" i="8"/>
  <c r="F2492" i="8"/>
  <c r="F2493" i="8"/>
  <c r="F2494" i="8"/>
  <c r="F2495" i="8"/>
  <c r="F2496" i="8"/>
  <c r="F2497" i="8"/>
  <c r="F2498" i="8"/>
  <c r="F2499" i="8"/>
  <c r="F2500" i="8"/>
  <c r="F2501" i="8"/>
  <c r="F2502" i="8"/>
  <c r="F2503" i="8"/>
  <c r="F2504" i="8"/>
  <c r="F2505" i="8"/>
  <c r="F2506" i="8"/>
  <c r="F2507" i="8"/>
  <c r="F2508" i="8"/>
  <c r="F2509" i="8"/>
  <c r="F2510" i="8"/>
  <c r="F2511" i="8"/>
  <c r="F2512" i="8"/>
  <c r="F2513" i="8"/>
  <c r="F2514" i="8"/>
  <c r="F2515" i="8"/>
  <c r="F2516" i="8"/>
  <c r="F2517" i="8"/>
  <c r="F2518" i="8"/>
  <c r="F2519" i="8"/>
  <c r="F2520" i="8"/>
  <c r="F2521" i="8"/>
  <c r="F2522" i="8"/>
  <c r="F2523" i="8"/>
  <c r="F2524" i="8"/>
  <c r="F2525" i="8"/>
  <c r="F2526" i="8"/>
  <c r="F2527" i="8"/>
  <c r="F2528" i="8"/>
  <c r="F2529" i="8"/>
  <c r="F2530" i="8"/>
  <c r="F2531" i="8"/>
  <c r="F2532" i="8"/>
  <c r="F2533" i="8"/>
  <c r="F2534" i="8"/>
  <c r="F2535" i="8"/>
  <c r="F2536" i="8"/>
  <c r="F2537" i="8"/>
  <c r="F2538" i="8"/>
  <c r="F2539" i="8"/>
  <c r="F2540" i="8"/>
  <c r="F2541" i="8"/>
  <c r="F2542" i="8"/>
  <c r="F2543" i="8"/>
  <c r="F2544" i="8"/>
  <c r="F2545" i="8"/>
  <c r="F2546" i="8"/>
  <c r="F2547" i="8"/>
  <c r="F2548" i="8"/>
  <c r="F2549" i="8"/>
  <c r="F2550" i="8"/>
  <c r="F2551" i="8"/>
  <c r="F2552" i="8"/>
  <c r="F2553" i="8"/>
  <c r="F2554" i="8"/>
  <c r="F2555" i="8"/>
  <c r="F2556" i="8"/>
  <c r="F2557" i="8"/>
  <c r="F2558" i="8"/>
  <c r="F2559" i="8"/>
  <c r="F2560" i="8"/>
  <c r="F2561" i="8"/>
  <c r="F2562" i="8"/>
  <c r="F2563" i="8"/>
  <c r="F2564" i="8"/>
  <c r="F2565" i="8"/>
  <c r="F2566" i="8"/>
  <c r="F2567" i="8"/>
  <c r="F2568" i="8"/>
  <c r="F2569" i="8"/>
  <c r="F2570" i="8"/>
  <c r="F2571" i="8"/>
  <c r="F2572" i="8"/>
  <c r="F2573" i="8"/>
  <c r="F2574" i="8"/>
  <c r="F2575" i="8"/>
  <c r="F2576" i="8"/>
  <c r="F2577" i="8"/>
  <c r="F2578" i="8"/>
  <c r="F2579" i="8"/>
  <c r="F2580" i="8"/>
  <c r="F2581" i="8"/>
  <c r="F2582" i="8"/>
  <c r="F2583" i="8"/>
  <c r="F2584" i="8"/>
  <c r="F2585" i="8"/>
  <c r="F2586" i="8"/>
  <c r="F2587" i="8"/>
  <c r="F2588" i="8"/>
  <c r="F2589" i="8"/>
  <c r="F2590" i="8"/>
  <c r="F2591" i="8"/>
  <c r="F2592" i="8"/>
  <c r="F2593" i="8"/>
  <c r="F2594" i="8"/>
  <c r="F2595" i="8"/>
  <c r="F2596" i="8"/>
  <c r="F2597" i="8"/>
  <c r="F2598" i="8"/>
  <c r="F2599" i="8"/>
  <c r="F2600" i="8"/>
  <c r="F2601" i="8"/>
  <c r="D234" i="6"/>
  <c r="D235" i="6"/>
  <c r="F2602" i="8"/>
  <c r="F2603" i="8"/>
  <c r="F2604" i="8"/>
  <c r="F2605" i="8"/>
  <c r="F2606" i="8"/>
  <c r="F2607" i="8"/>
  <c r="F2608" i="8"/>
  <c r="F2609" i="8"/>
  <c r="F2610" i="8"/>
  <c r="F2611" i="8"/>
  <c r="F2612" i="8"/>
  <c r="F2613" i="8"/>
  <c r="D602" i="6"/>
  <c r="D603" i="6"/>
  <c r="F2614" i="8"/>
  <c r="D119" i="7"/>
  <c r="D120" i="7"/>
  <c r="F2615" i="8"/>
  <c r="F2616" i="8"/>
  <c r="F2617" i="8"/>
  <c r="F2618" i="8"/>
  <c r="D521" i="6"/>
  <c r="D522" i="6"/>
  <c r="F2619" i="8"/>
  <c r="F2620" i="8"/>
  <c r="F2621" i="8"/>
  <c r="F2622" i="8"/>
  <c r="F2623" i="8"/>
  <c r="F2624" i="8"/>
  <c r="F2625" i="8"/>
  <c r="F2626" i="8"/>
  <c r="F2627" i="8"/>
  <c r="F2628" i="8"/>
  <c r="F2629" i="8"/>
  <c r="F2630" i="8"/>
  <c r="F2631" i="8"/>
  <c r="F2632" i="8"/>
  <c r="F2633" i="8"/>
  <c r="F2634" i="8"/>
  <c r="F2635" i="8"/>
  <c r="F2636" i="8"/>
  <c r="F2637" i="8"/>
  <c r="F2638" i="8"/>
  <c r="F2639" i="8"/>
  <c r="F2640" i="8"/>
  <c r="F2641" i="8"/>
  <c r="F2642" i="8"/>
  <c r="F2643" i="8"/>
  <c r="F2644" i="8"/>
  <c r="F2645" i="8"/>
  <c r="F2646" i="8"/>
  <c r="F2647" i="8"/>
  <c r="F2648" i="8"/>
  <c r="F2649" i="8"/>
  <c r="F2650" i="8"/>
  <c r="F2651" i="8"/>
  <c r="F2652" i="8"/>
  <c r="F2653" i="8"/>
  <c r="F2654" i="8"/>
  <c r="F2655" i="8"/>
  <c r="F2656" i="8"/>
  <c r="F2657" i="8"/>
  <c r="F2658" i="8"/>
  <c r="F2659" i="8"/>
  <c r="F2660" i="8"/>
  <c r="F2661" i="8"/>
  <c r="F2662" i="8"/>
  <c r="F2663" i="8"/>
  <c r="F2664" i="8"/>
  <c r="F2665" i="8"/>
  <c r="F2666" i="8"/>
  <c r="F2667" i="8"/>
  <c r="F2668" i="8"/>
  <c r="F2669" i="8"/>
  <c r="F2670" i="8"/>
  <c r="F2671" i="8"/>
  <c r="F2672" i="8"/>
  <c r="F2673" i="8"/>
  <c r="F2674" i="8"/>
  <c r="F2675" i="8"/>
  <c r="F2676" i="8"/>
  <c r="F2677" i="8"/>
  <c r="F2678" i="8"/>
  <c r="F2679" i="8"/>
  <c r="F2680" i="8"/>
  <c r="F2681" i="8"/>
  <c r="F2682" i="8"/>
  <c r="F2683" i="8"/>
  <c r="F2684" i="8"/>
  <c r="F2685" i="8"/>
  <c r="F2686" i="8"/>
  <c r="F2687" i="8"/>
  <c r="F2688" i="8"/>
  <c r="F2689" i="8"/>
  <c r="F2690" i="8"/>
  <c r="F2691" i="8"/>
  <c r="F2692" i="8"/>
  <c r="F2693" i="8"/>
  <c r="F2694" i="8"/>
  <c r="F2695" i="8"/>
  <c r="F2698" i="8"/>
  <c r="F2699" i="8"/>
  <c r="F2700" i="8"/>
  <c r="F2701" i="8"/>
  <c r="F2702" i="8"/>
  <c r="F2703" i="8"/>
  <c r="F2704" i="8"/>
  <c r="F2705" i="8"/>
  <c r="F2706" i="8"/>
  <c r="F2707" i="8"/>
  <c r="F2709" i="8"/>
  <c r="F2710" i="8"/>
  <c r="F2716" i="8"/>
  <c r="F2717" i="8"/>
  <c r="F2718" i="8"/>
  <c r="F2719" i="8"/>
  <c r="F2720" i="8"/>
  <c r="F2721" i="8"/>
  <c r="F2722" i="8"/>
  <c r="F2723" i="8"/>
  <c r="F2724" i="8"/>
  <c r="F2725" i="8"/>
  <c r="F2726" i="8"/>
  <c r="F2727" i="8"/>
  <c r="F2728" i="8"/>
  <c r="F2729" i="8"/>
  <c r="F2730" i="8"/>
  <c r="F2731" i="8"/>
  <c r="F2732" i="8"/>
  <c r="F2733" i="8"/>
  <c r="F2734" i="8"/>
  <c r="F2735" i="8"/>
  <c r="F2736" i="8"/>
  <c r="F2737" i="8"/>
  <c r="F2738" i="8"/>
  <c r="F2739" i="8"/>
  <c r="F2740" i="8"/>
  <c r="F2741" i="8"/>
  <c r="F2742" i="8"/>
  <c r="F2743" i="8"/>
  <c r="F2744" i="8"/>
  <c r="F2745" i="8"/>
  <c r="F2746" i="8"/>
  <c r="F2747" i="8"/>
  <c r="F2748" i="8"/>
  <c r="F2749" i="8"/>
  <c r="F2750" i="8"/>
  <c r="F2751" i="8"/>
  <c r="F2752" i="8"/>
  <c r="F2753" i="8"/>
  <c r="F2754" i="8"/>
  <c r="F2755" i="8"/>
  <c r="F2756" i="8"/>
  <c r="F2757" i="8"/>
  <c r="F2758" i="8"/>
  <c r="F2759" i="8"/>
  <c r="F2760" i="8"/>
  <c r="F2761" i="8"/>
  <c r="F2762" i="8"/>
  <c r="F2763" i="8"/>
  <c r="F2764" i="8"/>
  <c r="F2765" i="8"/>
  <c r="F2766" i="8"/>
  <c r="F2767" i="8"/>
  <c r="F2768" i="8"/>
  <c r="F2769" i="8"/>
  <c r="F2770" i="8"/>
  <c r="F2771" i="8"/>
  <c r="F2772" i="8"/>
  <c r="F2773" i="8"/>
  <c r="F2774" i="8"/>
  <c r="F2775" i="8"/>
  <c r="F2776" i="8"/>
  <c r="F2777" i="8"/>
  <c r="F2778" i="8"/>
  <c r="F2779" i="8"/>
  <c r="F2780" i="8"/>
  <c r="F2781" i="8"/>
  <c r="F2782" i="8"/>
  <c r="F2783" i="8"/>
  <c r="F2784" i="8"/>
  <c r="F2785" i="8"/>
  <c r="F2786" i="8"/>
  <c r="F2787" i="8"/>
  <c r="F2788" i="8"/>
  <c r="F2789" i="8"/>
  <c r="F2790" i="8"/>
  <c r="F2791" i="8"/>
  <c r="F2792" i="8"/>
  <c r="F2793" i="8"/>
  <c r="F2794" i="8"/>
  <c r="F2795" i="8"/>
  <c r="F2796" i="8"/>
  <c r="F2797" i="8"/>
  <c r="F2798" i="8"/>
  <c r="F2799" i="8"/>
  <c r="F2800" i="8"/>
  <c r="F2801" i="8"/>
  <c r="F2802" i="8"/>
  <c r="F2803" i="8"/>
  <c r="F2804" i="8"/>
  <c r="F2805" i="8"/>
  <c r="F2806" i="8"/>
  <c r="F2807" i="8"/>
  <c r="F2808" i="8"/>
  <c r="F2809" i="8"/>
  <c r="F2810" i="8"/>
  <c r="F2811" i="8"/>
  <c r="F2812" i="8"/>
  <c r="F2813" i="8"/>
  <c r="F2814" i="8"/>
  <c r="F2815" i="8"/>
  <c r="F2816" i="8"/>
  <c r="F2817" i="8"/>
  <c r="F2818" i="8"/>
  <c r="F2819" i="8"/>
  <c r="F2820" i="8"/>
  <c r="F2821" i="8"/>
  <c r="F2822" i="8"/>
  <c r="F2823" i="8"/>
  <c r="F2824" i="8"/>
  <c r="F2825" i="8"/>
  <c r="F2826" i="8"/>
  <c r="F2827" i="8"/>
  <c r="F2828" i="8"/>
  <c r="F2829" i="8"/>
  <c r="F2830" i="8"/>
  <c r="F2831" i="8"/>
  <c r="F2832" i="8"/>
  <c r="F2833" i="8"/>
  <c r="F2834" i="8"/>
  <c r="F2835" i="8"/>
  <c r="F2836" i="8"/>
  <c r="F2837" i="8"/>
  <c r="F2838" i="8"/>
  <c r="F2839" i="8"/>
  <c r="F2840" i="8"/>
  <c r="F2841" i="8"/>
  <c r="F2842" i="8"/>
  <c r="F2843" i="8"/>
  <c r="F2844" i="8"/>
  <c r="F2845" i="8"/>
  <c r="F2846" i="8"/>
  <c r="F2847" i="8"/>
  <c r="F2848" i="8"/>
  <c r="F2849" i="8"/>
  <c r="F2850" i="8"/>
  <c r="F2851" i="8"/>
  <c r="F2852" i="8"/>
  <c r="F2853" i="8"/>
  <c r="F2854" i="8"/>
  <c r="F2855" i="8"/>
  <c r="F2856" i="8"/>
  <c r="F2857" i="8"/>
  <c r="F2858" i="8"/>
  <c r="F2859" i="8"/>
  <c r="F2860" i="8"/>
  <c r="F2861" i="8"/>
  <c r="F2862" i="8"/>
  <c r="F2863" i="8"/>
  <c r="F2864" i="8"/>
  <c r="F2865" i="8"/>
  <c r="F2866" i="8"/>
  <c r="F2867" i="8"/>
  <c r="F2868" i="8"/>
  <c r="F2869" i="8"/>
  <c r="F2870" i="8"/>
  <c r="F2871" i="8"/>
  <c r="F2872" i="8"/>
  <c r="F2873" i="8"/>
  <c r="F2874" i="8"/>
  <c r="F2875" i="8"/>
  <c r="F2876" i="8"/>
  <c r="F2877" i="8"/>
  <c r="F2878" i="8"/>
  <c r="F2879" i="8"/>
  <c r="F2880" i="8"/>
  <c r="F2881" i="8"/>
  <c r="F2882" i="8"/>
  <c r="F2883" i="8"/>
  <c r="F2884" i="8"/>
  <c r="F2885" i="8"/>
  <c r="F2886" i="8"/>
  <c r="F2887" i="8"/>
  <c r="F2888" i="8"/>
  <c r="F2889" i="8"/>
  <c r="F2890" i="8"/>
  <c r="F2891" i="8"/>
  <c r="F2892" i="8"/>
  <c r="F2893" i="8"/>
  <c r="F2894" i="8"/>
  <c r="F2895" i="8"/>
  <c r="F2896" i="8"/>
  <c r="F2897" i="8"/>
  <c r="F2898" i="8"/>
  <c r="F2899" i="8"/>
  <c r="F2900" i="8"/>
  <c r="F2901" i="8"/>
  <c r="F2902" i="8"/>
  <c r="F2903" i="8"/>
  <c r="F2904" i="8"/>
  <c r="F2905" i="8"/>
  <c r="F2906" i="8"/>
  <c r="F2907" i="8"/>
  <c r="F2908" i="8"/>
  <c r="F2909" i="8"/>
  <c r="F2910" i="8"/>
  <c r="F2911" i="8"/>
  <c r="F2912" i="8"/>
  <c r="F2913" i="8"/>
  <c r="F2914" i="8"/>
  <c r="F2915" i="8"/>
  <c r="F2916" i="8"/>
  <c r="F2917" i="8"/>
  <c r="F2918" i="8"/>
  <c r="F2919" i="8"/>
  <c r="F2920" i="8"/>
  <c r="F2921" i="8"/>
  <c r="F2922" i="8"/>
  <c r="F2923" i="8"/>
  <c r="F2924" i="8"/>
  <c r="F2925" i="8"/>
  <c r="F2926" i="8"/>
  <c r="F2927" i="8"/>
  <c r="F2928" i="8"/>
  <c r="F2929" i="8"/>
  <c r="F2930" i="8"/>
  <c r="F2931" i="8"/>
  <c r="F2932" i="8"/>
  <c r="F2933" i="8"/>
  <c r="F2934" i="8"/>
  <c r="F2935" i="8"/>
  <c r="F2936" i="8"/>
  <c r="F2937" i="8"/>
  <c r="F2938" i="8"/>
  <c r="F2939" i="8"/>
  <c r="F2940" i="8"/>
  <c r="F2941" i="8"/>
  <c r="F2942" i="8"/>
  <c r="F2943" i="8"/>
  <c r="F2944" i="8"/>
  <c r="F2945" i="8"/>
  <c r="F2946" i="8"/>
  <c r="F2947" i="8"/>
  <c r="F2948" i="8"/>
  <c r="F2949" i="8"/>
  <c r="F2950" i="8"/>
  <c r="F2951" i="8"/>
  <c r="F2952" i="8"/>
  <c r="F2953" i="8"/>
  <c r="F2954" i="8"/>
  <c r="F2955" i="8"/>
  <c r="F2956" i="8"/>
  <c r="F2957" i="8"/>
  <c r="F2958" i="8"/>
  <c r="F2959" i="8"/>
  <c r="F2960" i="8"/>
  <c r="F2961" i="8"/>
  <c r="F2962" i="8"/>
  <c r="F2963" i="8"/>
  <c r="F2964" i="8"/>
  <c r="F2965" i="8"/>
  <c r="F2966" i="8"/>
  <c r="F2967" i="8"/>
  <c r="F2968" i="8"/>
  <c r="F2969" i="8"/>
  <c r="F2970" i="8"/>
  <c r="F2971" i="8"/>
  <c r="F2972" i="8"/>
  <c r="F2973" i="8"/>
  <c r="F2974" i="8"/>
  <c r="F2975" i="8"/>
  <c r="F2976" i="8"/>
  <c r="F2977" i="8"/>
  <c r="F2978" i="8"/>
  <c r="F2979" i="8"/>
  <c r="F2980" i="8"/>
  <c r="F2981" i="8"/>
  <c r="F2982" i="8"/>
  <c r="F2983" i="8"/>
  <c r="F2984" i="8"/>
  <c r="F2985" i="8"/>
  <c r="F2986" i="8"/>
  <c r="F2987" i="8"/>
  <c r="F2988" i="8"/>
  <c r="F2989" i="8"/>
  <c r="F2990" i="8"/>
  <c r="F2991" i="8"/>
  <c r="F2992" i="8"/>
  <c r="F2993" i="8"/>
  <c r="F2994" i="8"/>
  <c r="F2995" i="8"/>
  <c r="F2996" i="8"/>
  <c r="F2997" i="8"/>
  <c r="F2998" i="8"/>
  <c r="F2999" i="8"/>
  <c r="F3000" i="8"/>
  <c r="F3001" i="8"/>
  <c r="F3002" i="8"/>
  <c r="F3003" i="8"/>
  <c r="F3004" i="8"/>
  <c r="F3005" i="8"/>
  <c r="F3006" i="8"/>
  <c r="F3007" i="8"/>
  <c r="F3008" i="8"/>
  <c r="F3009" i="8"/>
  <c r="F3010" i="8"/>
  <c r="F3011" i="8"/>
  <c r="F3012" i="8"/>
  <c r="F3013" i="8"/>
  <c r="F3014" i="8"/>
  <c r="F3015" i="8"/>
  <c r="F3016" i="8"/>
  <c r="F3017" i="8"/>
  <c r="F3018" i="8"/>
  <c r="F3019" i="8"/>
  <c r="F3020" i="8"/>
  <c r="F3021" i="8"/>
  <c r="F3022" i="8"/>
  <c r="F3023" i="8"/>
  <c r="F3024" i="8"/>
  <c r="F3025" i="8"/>
  <c r="F3026" i="8"/>
  <c r="F3027" i="8"/>
  <c r="F3028" i="8"/>
  <c r="F3029" i="8"/>
  <c r="F3030" i="8"/>
  <c r="F3031" i="8"/>
  <c r="F3032" i="8"/>
  <c r="F3033" i="8"/>
  <c r="F3034" i="8"/>
  <c r="F3035" i="8"/>
  <c r="F3036" i="8"/>
  <c r="F3037" i="8"/>
  <c r="F3038" i="8"/>
  <c r="F3039" i="8"/>
  <c r="F3040" i="8"/>
  <c r="F3041" i="8"/>
  <c r="F3042" i="8"/>
  <c r="F3043" i="8"/>
  <c r="F3044" i="8"/>
  <c r="F3045" i="8"/>
  <c r="F3046" i="8"/>
  <c r="F3047" i="8"/>
  <c r="F3048" i="8"/>
  <c r="F3049" i="8"/>
  <c r="F3050" i="8"/>
  <c r="F3051" i="8"/>
  <c r="F3052" i="8"/>
  <c r="F3053" i="8"/>
  <c r="F3054" i="8"/>
  <c r="F3055" i="8"/>
  <c r="F3056" i="8"/>
  <c r="F3057" i="8"/>
  <c r="F3058" i="8"/>
  <c r="F3059" i="8"/>
  <c r="F3060" i="8"/>
  <c r="F3061" i="8"/>
  <c r="F3062" i="8"/>
  <c r="F3063" i="8"/>
  <c r="F3064" i="8"/>
  <c r="F3065" i="8"/>
  <c r="F3066" i="8"/>
  <c r="F3067" i="8"/>
  <c r="F3068" i="8"/>
  <c r="F3069" i="8"/>
  <c r="F3070" i="8"/>
  <c r="F3071" i="8"/>
  <c r="F3072" i="8"/>
  <c r="F3073" i="8"/>
  <c r="F3074" i="8"/>
  <c r="F3075" i="8"/>
  <c r="F3076" i="8"/>
  <c r="F3077" i="8"/>
  <c r="F3078" i="8"/>
  <c r="F3079" i="8"/>
  <c r="F3080" i="8"/>
  <c r="F3081" i="8"/>
  <c r="F3082" i="8"/>
  <c r="F3083" i="8"/>
  <c r="F3084" i="8"/>
  <c r="F3085" i="8"/>
  <c r="F3086" i="8"/>
  <c r="F3087" i="8"/>
  <c r="F3088" i="8"/>
  <c r="F3089" i="8"/>
  <c r="F3090" i="8"/>
  <c r="F3091" i="8"/>
  <c r="F3092" i="8"/>
  <c r="F3093" i="8"/>
  <c r="F3094" i="8"/>
  <c r="F3095" i="8"/>
  <c r="F3096" i="8"/>
  <c r="F3097" i="8"/>
  <c r="F3098" i="8"/>
  <c r="F3099" i="8"/>
  <c r="F3100" i="8"/>
  <c r="F3101" i="8"/>
  <c r="F3102" i="8"/>
  <c r="F3103" i="8"/>
  <c r="F3104" i="8"/>
  <c r="F3105" i="8"/>
  <c r="F3106" i="8"/>
  <c r="F3107" i="8"/>
  <c r="F3108" i="8"/>
  <c r="F3109" i="8"/>
  <c r="F3110" i="8"/>
  <c r="F3111" i="8"/>
  <c r="F3112" i="8"/>
  <c r="F3113" i="8"/>
  <c r="F3114" i="8"/>
  <c r="F3115" i="8"/>
  <c r="F3116" i="8"/>
  <c r="F3117" i="8"/>
  <c r="F3118" i="8"/>
  <c r="F3119" i="8"/>
  <c r="F3120" i="8"/>
  <c r="F3121" i="8"/>
  <c r="F3122" i="8"/>
  <c r="F3123" i="8"/>
  <c r="F3124" i="8"/>
  <c r="F3125" i="8"/>
  <c r="F3126" i="8"/>
  <c r="F3127" i="8"/>
  <c r="F3128" i="8"/>
  <c r="F3129" i="8"/>
  <c r="F3130" i="8"/>
  <c r="F3134" i="8"/>
  <c r="F3135" i="8"/>
  <c r="F3136" i="8"/>
  <c r="F3137" i="8"/>
  <c r="F3138" i="8"/>
  <c r="F3139" i="8"/>
  <c r="H349" i="8"/>
  <c r="I349" i="8"/>
  <c r="H350" i="8"/>
  <c r="I350" i="8"/>
  <c r="G351" i="8"/>
  <c r="H351" i="8"/>
  <c r="I351" i="8"/>
  <c r="H352" i="8"/>
  <c r="I352" i="8"/>
  <c r="H353" i="8"/>
  <c r="I353" i="8"/>
  <c r="G354" i="8"/>
  <c r="H354" i="8"/>
  <c r="I354" i="8"/>
  <c r="G355" i="8"/>
  <c r="H355" i="8"/>
  <c r="I355" i="8"/>
  <c r="G356" i="8"/>
  <c r="H356" i="8"/>
  <c r="I356" i="8"/>
  <c r="I357" i="8"/>
  <c r="I358" i="8"/>
  <c r="G359" i="8"/>
  <c r="H359" i="8"/>
  <c r="I359" i="8"/>
  <c r="G360" i="8"/>
  <c r="H360" i="8"/>
  <c r="I360" i="8"/>
  <c r="G361" i="8"/>
  <c r="H361" i="8"/>
  <c r="I361" i="8"/>
  <c r="G362" i="8"/>
  <c r="H362" i="8"/>
  <c r="I362" i="8"/>
  <c r="G363" i="8"/>
  <c r="H363" i="8"/>
  <c r="I363" i="8"/>
  <c r="G364" i="8"/>
  <c r="H364" i="8"/>
  <c r="I364" i="8"/>
  <c r="G365" i="8"/>
  <c r="H365" i="8"/>
  <c r="I365" i="8"/>
  <c r="G366" i="8"/>
  <c r="H366" i="8"/>
  <c r="I366" i="8"/>
  <c r="G367" i="8"/>
  <c r="H367" i="8"/>
  <c r="I367" i="8"/>
  <c r="G368" i="8"/>
  <c r="H368" i="8"/>
  <c r="I368" i="8"/>
  <c r="G369" i="8"/>
  <c r="H369" i="8"/>
  <c r="I369" i="8"/>
  <c r="G370" i="8"/>
  <c r="H370" i="8"/>
  <c r="I370" i="8"/>
  <c r="G371" i="8"/>
  <c r="H371" i="8"/>
  <c r="I371" i="8"/>
  <c r="G372" i="8"/>
  <c r="H372" i="8"/>
  <c r="I372" i="8"/>
  <c r="G373" i="8"/>
  <c r="H373" i="8"/>
  <c r="I373" i="8"/>
  <c r="G374" i="8"/>
  <c r="H374" i="8"/>
  <c r="I374" i="8"/>
  <c r="G375" i="8"/>
  <c r="H375" i="8"/>
  <c r="I375" i="8"/>
  <c r="G376" i="8"/>
  <c r="H376" i="8"/>
  <c r="I376" i="8"/>
  <c r="G377" i="8"/>
  <c r="H377" i="8"/>
  <c r="I377" i="8"/>
  <c r="G378" i="8"/>
  <c r="H378" i="8"/>
  <c r="I378" i="8"/>
  <c r="G379" i="8"/>
  <c r="H379" i="8"/>
  <c r="I379" i="8"/>
  <c r="G380" i="8"/>
  <c r="H380" i="8"/>
  <c r="I380" i="8"/>
  <c r="G381" i="8"/>
  <c r="H381" i="8"/>
  <c r="I381" i="8"/>
  <c r="G382" i="8"/>
  <c r="H382" i="8"/>
  <c r="I382" i="8"/>
  <c r="G383" i="8"/>
  <c r="H383" i="8"/>
  <c r="I383" i="8"/>
  <c r="G384" i="8"/>
  <c r="H384" i="8"/>
  <c r="I384" i="8"/>
  <c r="G385" i="8"/>
  <c r="H385" i="8"/>
  <c r="I385" i="8"/>
  <c r="I386" i="8"/>
  <c r="I387" i="8"/>
  <c r="I388" i="8"/>
  <c r="I389" i="8"/>
  <c r="I390" i="8"/>
  <c r="I391" i="8"/>
  <c r="I392" i="8"/>
  <c r="I393" i="8"/>
  <c r="I394" i="8"/>
  <c r="I395" i="8"/>
  <c r="I396" i="8"/>
  <c r="I397" i="8"/>
  <c r="I398" i="8"/>
  <c r="I399" i="8"/>
  <c r="I400" i="8"/>
  <c r="I401" i="8"/>
  <c r="I402" i="8"/>
  <c r="I403" i="8"/>
  <c r="I404" i="8"/>
  <c r="I405" i="8"/>
  <c r="I406" i="8"/>
  <c r="I407" i="8"/>
  <c r="I408" i="8"/>
  <c r="I409" i="8"/>
  <c r="G410" i="8"/>
  <c r="H410" i="8"/>
  <c r="I410" i="8"/>
  <c r="I411" i="8"/>
  <c r="G412" i="8"/>
  <c r="H412" i="8"/>
  <c r="I412" i="8"/>
  <c r="G413" i="8"/>
  <c r="H413" i="8"/>
  <c r="I413" i="8"/>
  <c r="G414" i="8"/>
  <c r="H414" i="8"/>
  <c r="I414" i="8"/>
  <c r="I415" i="8"/>
  <c r="G416" i="8"/>
  <c r="H416" i="8"/>
  <c r="I416" i="8"/>
  <c r="I417" i="8"/>
  <c r="I418" i="8"/>
  <c r="G419" i="8"/>
  <c r="H419" i="8"/>
  <c r="I419" i="8"/>
  <c r="G420" i="8"/>
  <c r="H420" i="8"/>
  <c r="I420" i="8"/>
  <c r="G421" i="8"/>
  <c r="H421" i="8"/>
  <c r="I421" i="8"/>
  <c r="I422" i="8"/>
  <c r="I423" i="8"/>
  <c r="I424" i="8"/>
  <c r="I425" i="8"/>
  <c r="I426" i="8"/>
  <c r="I427" i="8"/>
  <c r="I428" i="8"/>
  <c r="I429" i="8"/>
  <c r="I430" i="8"/>
  <c r="I431" i="8"/>
  <c r="I432" i="8"/>
  <c r="I433" i="8"/>
  <c r="I434" i="8"/>
  <c r="I435" i="8"/>
  <c r="I436" i="8"/>
  <c r="I437" i="8"/>
  <c r="I438" i="8"/>
  <c r="I439" i="8"/>
  <c r="I440" i="8"/>
  <c r="I441" i="8"/>
  <c r="I442" i="8"/>
  <c r="I443" i="8"/>
  <c r="I444" i="8"/>
  <c r="I445" i="8"/>
  <c r="I446" i="8"/>
  <c r="I447" i="8"/>
  <c r="G448" i="8"/>
  <c r="H448" i="8"/>
  <c r="I448" i="8"/>
  <c r="I449" i="8"/>
  <c r="I450" i="8"/>
  <c r="I451" i="8"/>
  <c r="I452" i="8"/>
  <c r="I453" i="8"/>
  <c r="I454" i="8"/>
  <c r="I455" i="8"/>
  <c r="I456" i="8"/>
  <c r="I457" i="8"/>
  <c r="I458" i="8"/>
  <c r="I459" i="8"/>
  <c r="I460" i="8"/>
  <c r="I461" i="8"/>
  <c r="I462" i="8"/>
  <c r="I463" i="8"/>
  <c r="I464" i="8"/>
  <c r="I465" i="8"/>
  <c r="I466" i="8"/>
  <c r="I467" i="8"/>
  <c r="I468" i="8"/>
  <c r="I469" i="8"/>
  <c r="I470" i="8"/>
  <c r="I471" i="8"/>
  <c r="G472" i="8"/>
  <c r="H472" i="8"/>
  <c r="I472" i="8"/>
  <c r="G473" i="8"/>
  <c r="H473" i="8"/>
  <c r="I473" i="8"/>
  <c r="I474" i="8"/>
  <c r="G475" i="8"/>
  <c r="H475" i="8"/>
  <c r="I475" i="8"/>
  <c r="G476" i="8"/>
  <c r="H476" i="8"/>
  <c r="I476" i="8"/>
  <c r="G477" i="8"/>
  <c r="H477" i="8"/>
  <c r="I477" i="8"/>
  <c r="I478" i="8"/>
  <c r="I479" i="8"/>
  <c r="I480" i="8"/>
  <c r="I481" i="8"/>
  <c r="I482" i="8"/>
  <c r="I483" i="8"/>
  <c r="I484" i="8"/>
  <c r="I485" i="8"/>
  <c r="I486" i="8"/>
  <c r="I487" i="8"/>
  <c r="I488" i="8"/>
  <c r="I489" i="8"/>
  <c r="I490" i="8"/>
  <c r="I491" i="8"/>
  <c r="I492" i="8"/>
  <c r="I493" i="8"/>
  <c r="G494" i="8"/>
  <c r="H494" i="8"/>
  <c r="I494" i="8"/>
  <c r="G495" i="8"/>
  <c r="H495" i="8"/>
  <c r="I495" i="8"/>
  <c r="G496" i="8"/>
  <c r="H496" i="8"/>
  <c r="I496" i="8"/>
  <c r="I497" i="8"/>
  <c r="I498" i="8"/>
  <c r="G499" i="8"/>
  <c r="H499" i="8"/>
  <c r="I499" i="8"/>
  <c r="I500" i="8"/>
  <c r="G501" i="8"/>
  <c r="H501" i="8"/>
  <c r="I501" i="8"/>
  <c r="I502" i="8"/>
  <c r="G503" i="8"/>
  <c r="H503" i="8"/>
  <c r="I503" i="8"/>
  <c r="I504" i="8"/>
  <c r="G505" i="8"/>
  <c r="H505" i="8"/>
  <c r="I505" i="8"/>
  <c r="G506" i="8"/>
  <c r="H506" i="8"/>
  <c r="I506" i="8"/>
  <c r="G507" i="8"/>
  <c r="H507" i="8"/>
  <c r="I507" i="8"/>
  <c r="G508" i="8"/>
  <c r="H508" i="8"/>
  <c r="I508" i="8"/>
  <c r="G509" i="8"/>
  <c r="H509" i="8"/>
  <c r="I509" i="8"/>
  <c r="G510" i="8"/>
  <c r="H510" i="8"/>
  <c r="I510" i="8"/>
  <c r="G511" i="8"/>
  <c r="H511" i="8"/>
  <c r="I511" i="8"/>
  <c r="G512" i="8"/>
  <c r="H512" i="8"/>
  <c r="I512" i="8"/>
  <c r="G513" i="8"/>
  <c r="H513" i="8"/>
  <c r="I513" i="8"/>
  <c r="G514" i="8"/>
  <c r="H514" i="8"/>
  <c r="I514" i="8"/>
  <c r="G515" i="8"/>
  <c r="H515" i="8"/>
  <c r="I515" i="8"/>
  <c r="G516" i="8"/>
  <c r="H516" i="8"/>
  <c r="I516" i="8"/>
  <c r="G517" i="8"/>
  <c r="H517" i="8"/>
  <c r="I517" i="8"/>
  <c r="G518" i="8"/>
  <c r="H518" i="8"/>
  <c r="I518" i="8"/>
  <c r="G519" i="8"/>
  <c r="H519" i="8"/>
  <c r="I519" i="8"/>
  <c r="I520" i="8"/>
  <c r="I521" i="8"/>
  <c r="I522" i="8"/>
  <c r="I523" i="8"/>
  <c r="I524" i="8"/>
  <c r="I525" i="8"/>
  <c r="I526" i="8"/>
  <c r="I527" i="8"/>
  <c r="I528" i="8"/>
  <c r="I529" i="8"/>
  <c r="I530" i="8"/>
  <c r="I531" i="8"/>
  <c r="I532" i="8"/>
  <c r="I533" i="8"/>
  <c r="I534" i="8"/>
  <c r="I535" i="8"/>
  <c r="I536" i="8"/>
  <c r="I537" i="8"/>
  <c r="I538" i="8"/>
  <c r="I539" i="8"/>
  <c r="I540" i="8"/>
  <c r="I541" i="8"/>
  <c r="I542" i="8"/>
  <c r="I543" i="8"/>
  <c r="I544" i="8"/>
  <c r="I545" i="8"/>
  <c r="I546" i="8"/>
  <c r="I547" i="8"/>
  <c r="I548" i="8"/>
  <c r="I549" i="8"/>
  <c r="I550" i="8"/>
  <c r="I551" i="8"/>
  <c r="I552" i="8"/>
  <c r="I553" i="8"/>
  <c r="I554" i="8"/>
  <c r="I555" i="8"/>
  <c r="I556" i="8"/>
  <c r="I557" i="8"/>
  <c r="I558" i="8"/>
  <c r="I559" i="8"/>
  <c r="I560" i="8"/>
  <c r="I561" i="8"/>
  <c r="G562" i="8"/>
  <c r="H562" i="8"/>
  <c r="I562" i="8"/>
  <c r="I563" i="8"/>
  <c r="G564" i="8"/>
  <c r="H564" i="8"/>
  <c r="I564" i="8"/>
  <c r="I565" i="8"/>
  <c r="G566" i="8"/>
  <c r="H566" i="8"/>
  <c r="I566" i="8"/>
  <c r="G567" i="8"/>
  <c r="H567" i="8"/>
  <c r="I567" i="8"/>
  <c r="G568" i="8"/>
  <c r="H568" i="8"/>
  <c r="I568" i="8"/>
  <c r="G569" i="8"/>
  <c r="H569" i="8"/>
  <c r="I569" i="8"/>
  <c r="G570" i="8"/>
  <c r="H570" i="8"/>
  <c r="I570" i="8"/>
  <c r="G571" i="8"/>
  <c r="H571" i="8"/>
  <c r="I571" i="8"/>
  <c r="G572" i="8"/>
  <c r="H572" i="8"/>
  <c r="I572" i="8"/>
  <c r="G573" i="8"/>
  <c r="H573" i="8"/>
  <c r="I573" i="8"/>
  <c r="G574" i="8"/>
  <c r="H574" i="8"/>
  <c r="I574" i="8"/>
  <c r="G575" i="8"/>
  <c r="H575" i="8"/>
  <c r="I575" i="8"/>
  <c r="G576" i="8"/>
  <c r="H576" i="8"/>
  <c r="I576" i="8"/>
  <c r="G577" i="8"/>
  <c r="H577" i="8"/>
  <c r="I577" i="8"/>
  <c r="G578" i="8"/>
  <c r="H578" i="8"/>
  <c r="I578" i="8"/>
  <c r="G579" i="8"/>
  <c r="H579" i="8"/>
  <c r="I579" i="8"/>
  <c r="G580" i="8"/>
  <c r="H580" i="8"/>
  <c r="I580" i="8"/>
  <c r="G581" i="8"/>
  <c r="H581" i="8"/>
  <c r="I581" i="8"/>
  <c r="G582" i="8"/>
  <c r="H582" i="8"/>
  <c r="I582" i="8"/>
  <c r="G583" i="8"/>
  <c r="H583" i="8"/>
  <c r="I583" i="8"/>
  <c r="G584" i="8"/>
  <c r="H584" i="8"/>
  <c r="I584" i="8"/>
  <c r="G585" i="8"/>
  <c r="H585" i="8"/>
  <c r="I585" i="8"/>
  <c r="G586" i="8"/>
  <c r="H586" i="8"/>
  <c r="I586" i="8"/>
  <c r="I587" i="8"/>
  <c r="G588" i="8"/>
  <c r="H588" i="8"/>
  <c r="I588" i="8"/>
  <c r="I589" i="8"/>
  <c r="I590" i="8"/>
  <c r="I591" i="8"/>
  <c r="I592" i="8"/>
  <c r="G593" i="8"/>
  <c r="H593" i="8"/>
  <c r="I593" i="8"/>
  <c r="I594" i="8"/>
  <c r="I595" i="8"/>
  <c r="I596" i="8"/>
  <c r="G597" i="8"/>
  <c r="H597" i="8"/>
  <c r="I597" i="8"/>
  <c r="I598" i="8"/>
  <c r="I599" i="8"/>
  <c r="I600" i="8"/>
  <c r="I601" i="8"/>
  <c r="I602" i="8"/>
  <c r="I603" i="8"/>
  <c r="I604" i="8"/>
  <c r="I605" i="8"/>
  <c r="I606" i="8"/>
  <c r="I607" i="8"/>
  <c r="I608" i="8"/>
  <c r="I609" i="8"/>
  <c r="I610" i="8"/>
  <c r="I611" i="8"/>
  <c r="I612" i="8"/>
  <c r="I613" i="8"/>
  <c r="I614" i="8"/>
  <c r="I615" i="8"/>
  <c r="I616" i="8"/>
  <c r="I617" i="8"/>
  <c r="I618" i="8"/>
  <c r="I619" i="8"/>
  <c r="I620" i="8"/>
  <c r="I621" i="8"/>
  <c r="I622" i="8"/>
  <c r="I623" i="8"/>
  <c r="I624" i="8"/>
  <c r="I625" i="8"/>
  <c r="I626" i="8"/>
  <c r="I627" i="8"/>
  <c r="I628" i="8"/>
  <c r="I629" i="8"/>
  <c r="I630" i="8"/>
  <c r="I631" i="8"/>
  <c r="I632" i="8"/>
  <c r="I633" i="8"/>
  <c r="I634" i="8"/>
  <c r="I635" i="8"/>
  <c r="I636" i="8"/>
  <c r="I637" i="8"/>
  <c r="I638" i="8"/>
  <c r="I639" i="8"/>
  <c r="I640" i="8"/>
  <c r="I641" i="8"/>
  <c r="I642" i="8"/>
  <c r="I643" i="8"/>
  <c r="I644" i="8"/>
  <c r="I645" i="8"/>
  <c r="I646" i="8"/>
  <c r="I647" i="8"/>
  <c r="I648" i="8"/>
  <c r="I649" i="8"/>
  <c r="I650" i="8"/>
  <c r="I651" i="8"/>
  <c r="I652" i="8"/>
  <c r="I653" i="8"/>
  <c r="I654" i="8"/>
  <c r="I655" i="8"/>
  <c r="I656" i="8"/>
  <c r="I657" i="8"/>
  <c r="I658" i="8"/>
  <c r="I659" i="8"/>
  <c r="I660" i="8"/>
  <c r="I661" i="8"/>
  <c r="I662" i="8"/>
  <c r="I663" i="8"/>
  <c r="I664" i="8"/>
  <c r="I665" i="8"/>
  <c r="I666" i="8"/>
  <c r="I667" i="8"/>
  <c r="I668" i="8"/>
  <c r="I669" i="8"/>
  <c r="I670" i="8"/>
  <c r="I671" i="8"/>
  <c r="I672" i="8"/>
  <c r="I673" i="8"/>
  <c r="I674" i="8"/>
  <c r="I675" i="8"/>
  <c r="I676" i="8"/>
  <c r="I677" i="8"/>
  <c r="I678" i="8"/>
  <c r="I679" i="8"/>
  <c r="I680" i="8"/>
  <c r="I681" i="8"/>
  <c r="I682" i="8"/>
  <c r="I683" i="8"/>
  <c r="I684" i="8"/>
  <c r="I685" i="8"/>
  <c r="I686" i="8"/>
  <c r="I687" i="8"/>
  <c r="I688" i="8"/>
  <c r="I689" i="8"/>
  <c r="I690" i="8"/>
  <c r="I691" i="8"/>
  <c r="I692" i="8"/>
  <c r="I693" i="8"/>
  <c r="I694" i="8"/>
  <c r="I695" i="8"/>
  <c r="I696" i="8"/>
  <c r="I697" i="8"/>
  <c r="I698" i="8"/>
  <c r="I699" i="8"/>
  <c r="I700" i="8"/>
  <c r="I701" i="8"/>
  <c r="I702" i="8"/>
  <c r="I703" i="8"/>
  <c r="I704" i="8"/>
  <c r="I705" i="8"/>
  <c r="I706" i="8"/>
  <c r="I707" i="8"/>
  <c r="I708" i="8"/>
  <c r="I709" i="8"/>
  <c r="I710" i="8"/>
  <c r="I711" i="8"/>
  <c r="I712" i="8"/>
  <c r="G713" i="8"/>
  <c r="H713" i="8"/>
  <c r="I713" i="8"/>
  <c r="G714" i="8"/>
  <c r="H714" i="8"/>
  <c r="I714" i="8"/>
  <c r="G715" i="8"/>
  <c r="H715" i="8"/>
  <c r="I715" i="8"/>
  <c r="G716" i="8"/>
  <c r="H716" i="8"/>
  <c r="I716" i="8"/>
  <c r="G717" i="8"/>
  <c r="H717" i="8"/>
  <c r="I717" i="8"/>
  <c r="G718" i="8"/>
  <c r="H718" i="8"/>
  <c r="I718" i="8"/>
  <c r="G719" i="8"/>
  <c r="H719" i="8"/>
  <c r="I719" i="8"/>
  <c r="G720" i="8"/>
  <c r="H720" i="8"/>
  <c r="I720" i="8"/>
  <c r="G721" i="8"/>
  <c r="H721" i="8"/>
  <c r="I721" i="8"/>
  <c r="G722" i="8"/>
  <c r="H722" i="8"/>
  <c r="I722" i="8"/>
  <c r="G723" i="8"/>
  <c r="H723" i="8"/>
  <c r="I723" i="8"/>
  <c r="I724" i="8"/>
  <c r="I725" i="8"/>
  <c r="I726" i="8"/>
  <c r="I727" i="8"/>
  <c r="I728" i="8"/>
  <c r="I729" i="8"/>
  <c r="I730" i="8"/>
  <c r="I731" i="8"/>
  <c r="I732" i="8"/>
  <c r="G733" i="8"/>
  <c r="H733" i="8"/>
  <c r="I733" i="8"/>
  <c r="I734" i="8"/>
  <c r="I735" i="8"/>
  <c r="I736" i="8"/>
  <c r="I737" i="8"/>
  <c r="I738" i="8"/>
  <c r="I739" i="8"/>
  <c r="I740" i="8"/>
  <c r="I741" i="8"/>
  <c r="G742" i="8"/>
  <c r="H742" i="8"/>
  <c r="I742" i="8"/>
  <c r="I743" i="8"/>
  <c r="I744" i="8"/>
  <c r="I745" i="8"/>
  <c r="I746" i="8"/>
  <c r="I747" i="8"/>
  <c r="I748" i="8"/>
  <c r="I749" i="8"/>
  <c r="G750" i="8"/>
  <c r="H750" i="8"/>
  <c r="I750" i="8"/>
  <c r="G751" i="8"/>
  <c r="H751" i="8"/>
  <c r="I751" i="8"/>
  <c r="I752" i="8"/>
  <c r="I753" i="8"/>
  <c r="I754" i="8"/>
  <c r="I755" i="8"/>
  <c r="I756" i="8"/>
  <c r="I757" i="8"/>
  <c r="I758" i="8"/>
  <c r="I759" i="8"/>
  <c r="I760" i="8"/>
  <c r="I761" i="8"/>
  <c r="I762" i="8"/>
  <c r="I763" i="8"/>
  <c r="I764" i="8"/>
  <c r="I765" i="8"/>
  <c r="I766" i="8"/>
  <c r="I767" i="8"/>
  <c r="I768" i="8"/>
  <c r="I769" i="8"/>
  <c r="I770" i="8"/>
  <c r="I771" i="8"/>
  <c r="I772" i="8"/>
  <c r="I773" i="8"/>
  <c r="G774" i="8"/>
  <c r="H774" i="8"/>
  <c r="I774" i="8"/>
  <c r="G775" i="8"/>
  <c r="H775" i="8"/>
  <c r="I775" i="8"/>
  <c r="I776" i="8"/>
  <c r="G777" i="8"/>
  <c r="H777" i="8"/>
  <c r="I777" i="8"/>
  <c r="I778" i="8"/>
  <c r="I779" i="8"/>
  <c r="I780" i="8"/>
  <c r="I781" i="8"/>
  <c r="I782" i="8"/>
  <c r="I783" i="8"/>
  <c r="I784" i="8"/>
  <c r="I785" i="8"/>
  <c r="I786" i="8"/>
  <c r="I787" i="8"/>
  <c r="I788" i="8"/>
  <c r="I789" i="8"/>
  <c r="I790" i="8"/>
  <c r="I791" i="8"/>
  <c r="I792" i="8"/>
  <c r="I793" i="8"/>
  <c r="I794" i="8"/>
  <c r="I795" i="8"/>
  <c r="I796" i="8"/>
  <c r="I797" i="8"/>
  <c r="I798" i="8"/>
  <c r="I799" i="8"/>
  <c r="I800" i="8"/>
  <c r="I801" i="8"/>
  <c r="I802" i="8"/>
  <c r="I803" i="8"/>
  <c r="I804" i="8"/>
  <c r="I805" i="8"/>
  <c r="I806" i="8"/>
  <c r="I807" i="8"/>
  <c r="I808" i="8"/>
  <c r="I809" i="8"/>
  <c r="I810" i="8"/>
  <c r="I811" i="8"/>
  <c r="I812" i="8"/>
  <c r="I813" i="8"/>
  <c r="I814" i="8"/>
  <c r="I815" i="8"/>
  <c r="I816" i="8"/>
  <c r="I817" i="8"/>
  <c r="I818" i="8"/>
  <c r="G819" i="8"/>
  <c r="H819" i="8"/>
  <c r="I819" i="8"/>
  <c r="G820" i="8"/>
  <c r="H820" i="8"/>
  <c r="I820" i="8"/>
  <c r="I821" i="8"/>
  <c r="I822" i="8"/>
  <c r="I823" i="8"/>
  <c r="I824" i="8"/>
  <c r="I825" i="8"/>
  <c r="I826" i="8"/>
  <c r="I827" i="8"/>
  <c r="I828" i="8"/>
  <c r="I829" i="8"/>
  <c r="I830" i="8"/>
  <c r="I831" i="8"/>
  <c r="I832" i="8"/>
  <c r="G833" i="8"/>
  <c r="H833" i="8"/>
  <c r="I833" i="8"/>
  <c r="G834" i="8"/>
  <c r="H834" i="8"/>
  <c r="I834" i="8"/>
  <c r="I835" i="8"/>
  <c r="I836" i="8"/>
  <c r="I837" i="8"/>
  <c r="I838" i="8"/>
  <c r="I839" i="8"/>
  <c r="I840" i="8"/>
  <c r="I841" i="8"/>
  <c r="I842" i="8"/>
  <c r="I843" i="8"/>
  <c r="I844" i="8"/>
  <c r="G845" i="8"/>
  <c r="H845" i="8"/>
  <c r="I845" i="8"/>
  <c r="G846" i="8"/>
  <c r="H846" i="8"/>
  <c r="I846" i="8"/>
  <c r="I847" i="8"/>
  <c r="I848" i="8"/>
  <c r="G849" i="8"/>
  <c r="H849" i="8"/>
  <c r="I849" i="8"/>
  <c r="G850" i="8"/>
  <c r="H850" i="8"/>
  <c r="I850" i="8"/>
  <c r="G851" i="8"/>
  <c r="H851" i="8"/>
  <c r="I851" i="8"/>
  <c r="G852" i="8"/>
  <c r="H852" i="8"/>
  <c r="I852" i="8"/>
  <c r="G853" i="8"/>
  <c r="H853" i="8"/>
  <c r="I853" i="8"/>
  <c r="G854" i="8"/>
  <c r="H854" i="8"/>
  <c r="I854" i="8"/>
  <c r="G855" i="8"/>
  <c r="H855" i="8"/>
  <c r="I855" i="8"/>
  <c r="G856" i="8"/>
  <c r="H856" i="8"/>
  <c r="I856" i="8"/>
  <c r="G857" i="8"/>
  <c r="H857" i="8"/>
  <c r="I857" i="8"/>
  <c r="G858" i="8"/>
  <c r="H858" i="8"/>
  <c r="I858" i="8"/>
  <c r="G859" i="8"/>
  <c r="H859" i="8"/>
  <c r="I859" i="8"/>
  <c r="G860" i="8"/>
  <c r="H860" i="8"/>
  <c r="I860" i="8"/>
  <c r="G861" i="8"/>
  <c r="H861" i="8"/>
  <c r="I861" i="8"/>
  <c r="G862" i="8"/>
  <c r="H862" i="8"/>
  <c r="I862" i="8"/>
  <c r="G863" i="8"/>
  <c r="H863" i="8"/>
  <c r="I863" i="8"/>
  <c r="G864" i="8"/>
  <c r="H864" i="8"/>
  <c r="I864" i="8"/>
  <c r="G865" i="8"/>
  <c r="H865" i="8"/>
  <c r="I865" i="8"/>
  <c r="G866" i="8"/>
  <c r="H866" i="8"/>
  <c r="I866" i="8"/>
  <c r="G867" i="8"/>
  <c r="H867" i="8"/>
  <c r="I867" i="8"/>
  <c r="G868" i="8"/>
  <c r="H868" i="8"/>
  <c r="I868" i="8"/>
  <c r="G869" i="8"/>
  <c r="H869" i="8"/>
  <c r="I869" i="8"/>
  <c r="G870" i="8"/>
  <c r="H870" i="8"/>
  <c r="I870" i="8"/>
  <c r="G871" i="8"/>
  <c r="H871" i="8"/>
  <c r="I871" i="8"/>
  <c r="G872" i="8"/>
  <c r="H872" i="8"/>
  <c r="I872" i="8"/>
  <c r="G873" i="8"/>
  <c r="H873" i="8"/>
  <c r="I873" i="8"/>
  <c r="G874" i="8"/>
  <c r="H874" i="8"/>
  <c r="I874" i="8"/>
  <c r="G875" i="8"/>
  <c r="H875" i="8"/>
  <c r="I875" i="8"/>
  <c r="G876" i="8"/>
  <c r="H876" i="8"/>
  <c r="I876" i="8"/>
  <c r="G877" i="8"/>
  <c r="H877" i="8"/>
  <c r="I877" i="8"/>
  <c r="G878" i="8"/>
  <c r="H878" i="8"/>
  <c r="I878" i="8"/>
  <c r="G879" i="8"/>
  <c r="H879" i="8"/>
  <c r="I879" i="8"/>
  <c r="G880" i="8"/>
  <c r="H880" i="8"/>
  <c r="I880" i="8"/>
  <c r="G881" i="8"/>
  <c r="H881" i="8"/>
  <c r="I881" i="8"/>
  <c r="G882" i="8"/>
  <c r="H882" i="8"/>
  <c r="I882" i="8"/>
  <c r="G883" i="8"/>
  <c r="H883" i="8"/>
  <c r="I883" i="8"/>
  <c r="G884" i="8"/>
  <c r="H884" i="8"/>
  <c r="I884" i="8"/>
  <c r="G885" i="8"/>
  <c r="H885" i="8"/>
  <c r="I885" i="8"/>
  <c r="G886" i="8"/>
  <c r="H886" i="8"/>
  <c r="I886" i="8"/>
  <c r="I887" i="8"/>
  <c r="G888" i="8"/>
  <c r="H888" i="8"/>
  <c r="I888" i="8"/>
  <c r="G889" i="8"/>
  <c r="H889" i="8"/>
  <c r="I889" i="8"/>
  <c r="G890" i="8"/>
  <c r="H890" i="8"/>
  <c r="I890" i="8"/>
  <c r="G891" i="8"/>
  <c r="H891" i="8"/>
  <c r="I891" i="8"/>
  <c r="G892" i="8"/>
  <c r="H892" i="8"/>
  <c r="I892" i="8"/>
  <c r="G893" i="8"/>
  <c r="H893" i="8"/>
  <c r="I893" i="8"/>
  <c r="G894" i="8"/>
  <c r="H894" i="8"/>
  <c r="I894" i="8"/>
  <c r="G895" i="8"/>
  <c r="H895" i="8"/>
  <c r="I895" i="8"/>
  <c r="G896" i="8"/>
  <c r="H896" i="8"/>
  <c r="I896" i="8"/>
  <c r="G897" i="8"/>
  <c r="H897" i="8"/>
  <c r="I897" i="8"/>
  <c r="G898" i="8"/>
  <c r="H898" i="8"/>
  <c r="I898" i="8"/>
  <c r="G899" i="8"/>
  <c r="H899" i="8"/>
  <c r="I899" i="8"/>
  <c r="G900" i="8"/>
  <c r="H900" i="8"/>
  <c r="I900" i="8"/>
  <c r="G901" i="8"/>
  <c r="H901" i="8"/>
  <c r="I901" i="8"/>
  <c r="G902" i="8"/>
  <c r="H902" i="8"/>
  <c r="I902" i="8"/>
  <c r="G903" i="8"/>
  <c r="H903" i="8"/>
  <c r="I903" i="8"/>
  <c r="G904" i="8"/>
  <c r="H904" i="8"/>
  <c r="I904" i="8"/>
  <c r="G905" i="8"/>
  <c r="H905" i="8"/>
  <c r="I905" i="8"/>
  <c r="G906" i="8"/>
  <c r="H906" i="8"/>
  <c r="I906" i="8"/>
  <c r="G907" i="8"/>
  <c r="H907" i="8"/>
  <c r="I907" i="8"/>
  <c r="G908" i="8"/>
  <c r="H908" i="8"/>
  <c r="I908" i="8"/>
  <c r="G909" i="8"/>
  <c r="H909" i="8"/>
  <c r="I909" i="8"/>
  <c r="G910" i="8"/>
  <c r="H910" i="8"/>
  <c r="I910" i="8"/>
  <c r="G911" i="8"/>
  <c r="H911" i="8"/>
  <c r="I911" i="8"/>
  <c r="G912" i="8"/>
  <c r="H912" i="8"/>
  <c r="I912" i="8"/>
  <c r="G913" i="8"/>
  <c r="H913" i="8"/>
  <c r="I913" i="8"/>
  <c r="G914" i="8"/>
  <c r="H914" i="8"/>
  <c r="I914" i="8"/>
  <c r="G915" i="8"/>
  <c r="H915" i="8"/>
  <c r="I915" i="8"/>
  <c r="G916" i="8"/>
  <c r="H916" i="8"/>
  <c r="I916" i="8"/>
  <c r="G917" i="8"/>
  <c r="H917" i="8"/>
  <c r="I917" i="8"/>
  <c r="G918" i="8"/>
  <c r="H918" i="8"/>
  <c r="I918" i="8"/>
  <c r="G919" i="8"/>
  <c r="H919" i="8"/>
  <c r="I919" i="8"/>
  <c r="G920" i="8"/>
  <c r="H920" i="8"/>
  <c r="I920" i="8"/>
  <c r="G921" i="8"/>
  <c r="H921" i="8"/>
  <c r="I921" i="8"/>
  <c r="G922" i="8"/>
  <c r="H922" i="8"/>
  <c r="I922" i="8"/>
  <c r="G923" i="8"/>
  <c r="H923" i="8"/>
  <c r="I923" i="8"/>
  <c r="G924" i="8"/>
  <c r="H924" i="8"/>
  <c r="I924" i="8"/>
  <c r="G925" i="8"/>
  <c r="H925" i="8"/>
  <c r="I925" i="8"/>
  <c r="G926" i="8"/>
  <c r="H926" i="8"/>
  <c r="I926" i="8"/>
  <c r="G927" i="8"/>
  <c r="H927" i="8"/>
  <c r="I927" i="8"/>
  <c r="G928" i="8"/>
  <c r="H928" i="8"/>
  <c r="I928" i="8"/>
  <c r="G929" i="8"/>
  <c r="H929" i="8"/>
  <c r="I929" i="8"/>
  <c r="G930" i="8"/>
  <c r="H930" i="8"/>
  <c r="I930" i="8"/>
  <c r="G931" i="8"/>
  <c r="H931" i="8"/>
  <c r="I931" i="8"/>
  <c r="G932" i="8"/>
  <c r="H932" i="8"/>
  <c r="I932" i="8"/>
  <c r="G933" i="8"/>
  <c r="H933" i="8"/>
  <c r="I933" i="8"/>
  <c r="G934" i="8"/>
  <c r="H934" i="8"/>
  <c r="I934" i="8"/>
  <c r="G935" i="8"/>
  <c r="H935" i="8"/>
  <c r="I935" i="8"/>
  <c r="G936" i="8"/>
  <c r="H936" i="8"/>
  <c r="I936" i="8"/>
  <c r="G937" i="8"/>
  <c r="H937" i="8"/>
  <c r="I937" i="8"/>
  <c r="G938" i="8"/>
  <c r="H938" i="8"/>
  <c r="I938" i="8"/>
  <c r="G939" i="8"/>
  <c r="H939" i="8"/>
  <c r="I939" i="8"/>
  <c r="G940" i="8"/>
  <c r="H940" i="8"/>
  <c r="I940" i="8"/>
  <c r="G941" i="8"/>
  <c r="H941" i="8"/>
  <c r="I941" i="8"/>
  <c r="G942" i="8"/>
  <c r="H942" i="8"/>
  <c r="I942" i="8"/>
  <c r="G943" i="8"/>
  <c r="H943" i="8"/>
  <c r="I943" i="8"/>
  <c r="I944" i="8"/>
  <c r="G945" i="8"/>
  <c r="H945" i="8"/>
  <c r="I945" i="8"/>
  <c r="I946" i="8"/>
  <c r="G947" i="8"/>
  <c r="H947" i="8"/>
  <c r="I947" i="8"/>
  <c r="G948" i="8"/>
  <c r="H948" i="8"/>
  <c r="I948" i="8"/>
  <c r="G949" i="8"/>
  <c r="H949" i="8"/>
  <c r="I949" i="8"/>
  <c r="I950" i="8"/>
  <c r="G951" i="8"/>
  <c r="H951" i="8"/>
  <c r="I951" i="8"/>
  <c r="G952" i="8"/>
  <c r="H952" i="8"/>
  <c r="I952" i="8"/>
  <c r="G953" i="8"/>
  <c r="H953" i="8"/>
  <c r="I953" i="8"/>
  <c r="I954" i="8"/>
  <c r="G955" i="8"/>
  <c r="H955" i="8"/>
  <c r="I955" i="8"/>
  <c r="G956" i="8"/>
  <c r="H956" i="8"/>
  <c r="I956" i="8"/>
  <c r="G957" i="8"/>
  <c r="H957" i="8"/>
  <c r="I957" i="8"/>
  <c r="G958" i="8"/>
  <c r="H958" i="8"/>
  <c r="I958" i="8"/>
  <c r="G959" i="8"/>
  <c r="H959" i="8"/>
  <c r="I959" i="8"/>
  <c r="G960" i="8"/>
  <c r="H960" i="8"/>
  <c r="I960" i="8"/>
  <c r="G961" i="8"/>
  <c r="H961" i="8"/>
  <c r="I961" i="8"/>
  <c r="G962" i="8"/>
  <c r="H962" i="8"/>
  <c r="I962" i="8"/>
  <c r="G963" i="8"/>
  <c r="H963" i="8"/>
  <c r="I963" i="8"/>
  <c r="G964" i="8"/>
  <c r="H964" i="8"/>
  <c r="I964" i="8"/>
  <c r="G965" i="8"/>
  <c r="H965" i="8"/>
  <c r="I965" i="8"/>
  <c r="G966" i="8"/>
  <c r="H966" i="8"/>
  <c r="I966" i="8"/>
  <c r="G967" i="8"/>
  <c r="H967" i="8"/>
  <c r="I967" i="8"/>
  <c r="G968" i="8"/>
  <c r="H968" i="8"/>
  <c r="I968" i="8"/>
  <c r="G969" i="8"/>
  <c r="H969" i="8"/>
  <c r="I969" i="8"/>
  <c r="G970" i="8"/>
  <c r="H970" i="8"/>
  <c r="I970" i="8"/>
  <c r="G971" i="8"/>
  <c r="H971" i="8"/>
  <c r="I971" i="8"/>
  <c r="G972" i="8"/>
  <c r="H972" i="8"/>
  <c r="I972" i="8"/>
  <c r="G973" i="8"/>
  <c r="H973" i="8"/>
  <c r="I973" i="8"/>
  <c r="G974" i="8"/>
  <c r="H974" i="8"/>
  <c r="I974" i="8"/>
  <c r="G975" i="8"/>
  <c r="H975" i="8"/>
  <c r="I975" i="8"/>
  <c r="G976" i="8"/>
  <c r="H976" i="8"/>
  <c r="I976" i="8"/>
  <c r="G977" i="8"/>
  <c r="H977" i="8"/>
  <c r="I977" i="8"/>
  <c r="G978" i="8"/>
  <c r="H978" i="8"/>
  <c r="I978" i="8"/>
  <c r="G979" i="8"/>
  <c r="H979" i="8"/>
  <c r="I979" i="8"/>
  <c r="G980" i="8"/>
  <c r="H980" i="8"/>
  <c r="I980" i="8"/>
  <c r="G981" i="8"/>
  <c r="H981" i="8"/>
  <c r="I981" i="8"/>
  <c r="G982" i="8"/>
  <c r="H982" i="8"/>
  <c r="I982" i="8"/>
  <c r="G983" i="8"/>
  <c r="H983" i="8"/>
  <c r="I983" i="8"/>
  <c r="I984" i="8"/>
  <c r="G985" i="8"/>
  <c r="H985" i="8"/>
  <c r="I985" i="8"/>
  <c r="G986" i="8"/>
  <c r="H986" i="8"/>
  <c r="I986" i="8"/>
  <c r="G987" i="8"/>
  <c r="H987" i="8"/>
  <c r="I987" i="8"/>
  <c r="G988" i="8"/>
  <c r="H988" i="8"/>
  <c r="I988" i="8"/>
  <c r="G989" i="8"/>
  <c r="H989" i="8"/>
  <c r="I989" i="8"/>
  <c r="I990" i="8"/>
  <c r="G991" i="8"/>
  <c r="H991" i="8"/>
  <c r="I991" i="8"/>
  <c r="G992" i="8"/>
  <c r="H992" i="8"/>
  <c r="I992" i="8"/>
  <c r="G993" i="8"/>
  <c r="H993" i="8"/>
  <c r="I993" i="8"/>
  <c r="G994" i="8"/>
  <c r="H994" i="8"/>
  <c r="I994" i="8"/>
  <c r="G995" i="8"/>
  <c r="H995" i="8"/>
  <c r="I995" i="8"/>
  <c r="G996" i="8"/>
  <c r="H996" i="8"/>
  <c r="I996" i="8"/>
  <c r="G997" i="8"/>
  <c r="H997" i="8"/>
  <c r="I997" i="8"/>
  <c r="I998" i="8"/>
  <c r="G999" i="8"/>
  <c r="H999" i="8"/>
  <c r="I999" i="8"/>
  <c r="I1000" i="8"/>
  <c r="I1001" i="8"/>
  <c r="I1002" i="8"/>
  <c r="I1003" i="8"/>
  <c r="I1004" i="8"/>
  <c r="I1005" i="8"/>
  <c r="G1006" i="8"/>
  <c r="H1006" i="8"/>
  <c r="I1006" i="8"/>
  <c r="I1007" i="8"/>
  <c r="I1008" i="8"/>
  <c r="I1009" i="8"/>
  <c r="I1010" i="8"/>
  <c r="I1011" i="8"/>
  <c r="I1012" i="8"/>
  <c r="I1013" i="8"/>
  <c r="I1014" i="8"/>
  <c r="I1015" i="8"/>
  <c r="G1016" i="8"/>
  <c r="H1016" i="8"/>
  <c r="I1016" i="8"/>
  <c r="G1017" i="8"/>
  <c r="H1017" i="8"/>
  <c r="I1017" i="8"/>
  <c r="G1018" i="8"/>
  <c r="H1018" i="8"/>
  <c r="I1018" i="8"/>
  <c r="G1019" i="8"/>
  <c r="H1019" i="8"/>
  <c r="I1019" i="8"/>
  <c r="I1020" i="8"/>
  <c r="I1021" i="8"/>
  <c r="I1022" i="8"/>
  <c r="I1023" i="8"/>
  <c r="I1024" i="8"/>
  <c r="I1025" i="8"/>
  <c r="I1026" i="8"/>
  <c r="I1027" i="8"/>
  <c r="I1028" i="8"/>
  <c r="I1029" i="8"/>
  <c r="I1030" i="8"/>
  <c r="I1031" i="8"/>
  <c r="I1032" i="8"/>
  <c r="I1033" i="8"/>
  <c r="G1034" i="8"/>
  <c r="H1034" i="8"/>
  <c r="I1034" i="8"/>
  <c r="G1035" i="8"/>
  <c r="H1035" i="8"/>
  <c r="I1035" i="8"/>
  <c r="G1036" i="8"/>
  <c r="H1036" i="8"/>
  <c r="I1036" i="8"/>
  <c r="G1037" i="8"/>
  <c r="H1037" i="8"/>
  <c r="I1037" i="8"/>
  <c r="G1038" i="8"/>
  <c r="H1038" i="8"/>
  <c r="I1038" i="8"/>
  <c r="G1039" i="8"/>
  <c r="H1039" i="8"/>
  <c r="I1039" i="8"/>
  <c r="G1040" i="8"/>
  <c r="H1040" i="8"/>
  <c r="I1040" i="8"/>
  <c r="G1041" i="8"/>
  <c r="H1041" i="8"/>
  <c r="I1041" i="8"/>
  <c r="G1042" i="8"/>
  <c r="H1042" i="8"/>
  <c r="I1042" i="8"/>
  <c r="G1043" i="8"/>
  <c r="H1043" i="8"/>
  <c r="I1043" i="8"/>
  <c r="G1044" i="8"/>
  <c r="H1044" i="8"/>
  <c r="I1044" i="8"/>
  <c r="G1045" i="8"/>
  <c r="H1045" i="8"/>
  <c r="I1045" i="8"/>
  <c r="G1046" i="8"/>
  <c r="H1046" i="8"/>
  <c r="I1046" i="8"/>
  <c r="I1047" i="8"/>
  <c r="I1048" i="8"/>
  <c r="I1049" i="8"/>
  <c r="I1050" i="8"/>
  <c r="I1051" i="8"/>
  <c r="I1052" i="8"/>
  <c r="I1053" i="8"/>
  <c r="I1054" i="8"/>
  <c r="I1055" i="8"/>
  <c r="I1056" i="8"/>
  <c r="I1057" i="8"/>
  <c r="G1058" i="8"/>
  <c r="H1058" i="8"/>
  <c r="I1058" i="8"/>
  <c r="G1059" i="8"/>
  <c r="H1059" i="8"/>
  <c r="I1059" i="8"/>
  <c r="I1060" i="8"/>
  <c r="I1061" i="8"/>
  <c r="I1062" i="8"/>
  <c r="I1063" i="8"/>
  <c r="G1064" i="8"/>
  <c r="H1064" i="8"/>
  <c r="I1064" i="8"/>
  <c r="G1065" i="8"/>
  <c r="H1065" i="8"/>
  <c r="I1065" i="8"/>
  <c r="G1066" i="8"/>
  <c r="H1066" i="8"/>
  <c r="I1066" i="8"/>
  <c r="G1067" i="8"/>
  <c r="H1067" i="8"/>
  <c r="I1067" i="8"/>
  <c r="G1068" i="8"/>
  <c r="H1068" i="8"/>
  <c r="I1068" i="8"/>
  <c r="G1069" i="8"/>
  <c r="H1069" i="8"/>
  <c r="I1069" i="8"/>
  <c r="G1070" i="8"/>
  <c r="H1070" i="8"/>
  <c r="I1070" i="8"/>
  <c r="G1071" i="8"/>
  <c r="H1071" i="8"/>
  <c r="I1071" i="8"/>
  <c r="I1072" i="8"/>
  <c r="G1073" i="8"/>
  <c r="H1073" i="8"/>
  <c r="I1073" i="8"/>
  <c r="G1074" i="8"/>
  <c r="H1074" i="8"/>
  <c r="I1074" i="8"/>
  <c r="G1075" i="8"/>
  <c r="H1075" i="8"/>
  <c r="I1075" i="8"/>
  <c r="G1076" i="8"/>
  <c r="H1076" i="8"/>
  <c r="I1076" i="8"/>
  <c r="G1077" i="8"/>
  <c r="H1077" i="8"/>
  <c r="I1077" i="8"/>
  <c r="G1078" i="8"/>
  <c r="H1078" i="8"/>
  <c r="I1078" i="8"/>
  <c r="G1079" i="8"/>
  <c r="H1079" i="8"/>
  <c r="I1079" i="8"/>
  <c r="I1080" i="8"/>
  <c r="G1081" i="8"/>
  <c r="H1081" i="8"/>
  <c r="I1081" i="8"/>
  <c r="G1082" i="8"/>
  <c r="H1082" i="8"/>
  <c r="I1082" i="8"/>
  <c r="G1083" i="8"/>
  <c r="H1083" i="8"/>
  <c r="I1083" i="8"/>
  <c r="I1084" i="8"/>
  <c r="G1085" i="8"/>
  <c r="H1085" i="8"/>
  <c r="I1085" i="8"/>
  <c r="I1086" i="8"/>
  <c r="G1087" i="8"/>
  <c r="H1087" i="8"/>
  <c r="I1087" i="8"/>
  <c r="G1088" i="8"/>
  <c r="H1088" i="8"/>
  <c r="I1088" i="8"/>
  <c r="I1089" i="8"/>
  <c r="I1090" i="8"/>
  <c r="I1091" i="8"/>
  <c r="I1092" i="8"/>
  <c r="G1093" i="8"/>
  <c r="H1093" i="8"/>
  <c r="I1093" i="8"/>
  <c r="G1094" i="8"/>
  <c r="H1094" i="8"/>
  <c r="I1094" i="8"/>
  <c r="G1095" i="8"/>
  <c r="H1095" i="8"/>
  <c r="I1095" i="8"/>
  <c r="I1096" i="8"/>
  <c r="G1097" i="8"/>
  <c r="H1097" i="8"/>
  <c r="I1097" i="8"/>
  <c r="G1098" i="8"/>
  <c r="H1098" i="8"/>
  <c r="I1098" i="8"/>
  <c r="G1099" i="8"/>
  <c r="H1099" i="8"/>
  <c r="I1099" i="8"/>
  <c r="I1100" i="8"/>
  <c r="I1101" i="8"/>
  <c r="G1102" i="8"/>
  <c r="H1102" i="8"/>
  <c r="I1102" i="8"/>
  <c r="G1103" i="8"/>
  <c r="H1103" i="8"/>
  <c r="I1103" i="8"/>
  <c r="I1104" i="8"/>
  <c r="I1105" i="8"/>
  <c r="G1106" i="8"/>
  <c r="H1106" i="8"/>
  <c r="I1106" i="8"/>
  <c r="G1107" i="8"/>
  <c r="H1107" i="8"/>
  <c r="I1107" i="8"/>
  <c r="I1108" i="8"/>
  <c r="G1109" i="8"/>
  <c r="H1109" i="8"/>
  <c r="I1109" i="8"/>
  <c r="G1110" i="8"/>
  <c r="H1110" i="8"/>
  <c r="I1110" i="8"/>
  <c r="G1111" i="8"/>
  <c r="H1111" i="8"/>
  <c r="I1111" i="8"/>
  <c r="G1112" i="8"/>
  <c r="H1112" i="8"/>
  <c r="I1112" i="8"/>
  <c r="G1113" i="8"/>
  <c r="H1113" i="8"/>
  <c r="I1113" i="8"/>
  <c r="G1114" i="8"/>
  <c r="H1114" i="8"/>
  <c r="I1114" i="8"/>
  <c r="G1115" i="8"/>
  <c r="H1115" i="8"/>
  <c r="I1115" i="8"/>
  <c r="G1116" i="8"/>
  <c r="H1116" i="8"/>
  <c r="I1116" i="8"/>
  <c r="G1117" i="8"/>
  <c r="H1117" i="8"/>
  <c r="I1117" i="8"/>
  <c r="G1118" i="8"/>
  <c r="H1118" i="8"/>
  <c r="I1118" i="8"/>
  <c r="G1119" i="8"/>
  <c r="H1119" i="8"/>
  <c r="I1119" i="8"/>
  <c r="G1120" i="8"/>
  <c r="H1120" i="8"/>
  <c r="I1120" i="8"/>
  <c r="G1121" i="8"/>
  <c r="H1121" i="8"/>
  <c r="I1121" i="8"/>
  <c r="G1122" i="8"/>
  <c r="H1122" i="8"/>
  <c r="I1122" i="8"/>
  <c r="G1123" i="8"/>
  <c r="H1123" i="8"/>
  <c r="I1123" i="8"/>
  <c r="G1124" i="8"/>
  <c r="H1124" i="8"/>
  <c r="I1124" i="8"/>
  <c r="G1125" i="8"/>
  <c r="H1125" i="8"/>
  <c r="I1125" i="8"/>
  <c r="G1126" i="8"/>
  <c r="H1126" i="8"/>
  <c r="I1126" i="8"/>
  <c r="I1127" i="8"/>
  <c r="G1128" i="8"/>
  <c r="H1128" i="8"/>
  <c r="I1128" i="8"/>
  <c r="G1129" i="8"/>
  <c r="H1129" i="8"/>
  <c r="I1129" i="8"/>
  <c r="G1130" i="8"/>
  <c r="H1130" i="8"/>
  <c r="I1130" i="8"/>
  <c r="G1131" i="8"/>
  <c r="H1131" i="8"/>
  <c r="I1131" i="8"/>
  <c r="G1132" i="8"/>
  <c r="H1132" i="8"/>
  <c r="I1132" i="8"/>
  <c r="G1133" i="8"/>
  <c r="H1133" i="8"/>
  <c r="I1133" i="8"/>
  <c r="G1134" i="8"/>
  <c r="H1134" i="8"/>
  <c r="I1134" i="8"/>
  <c r="G1135" i="8"/>
  <c r="H1135" i="8"/>
  <c r="I1135" i="8"/>
  <c r="G1136" i="8"/>
  <c r="H1136" i="8"/>
  <c r="I1136" i="8"/>
  <c r="G1137" i="8"/>
  <c r="H1137" i="8"/>
  <c r="I1137" i="8"/>
  <c r="G1138" i="8"/>
  <c r="H1138" i="8"/>
  <c r="I1138" i="8"/>
  <c r="G1139" i="8"/>
  <c r="H1139" i="8"/>
  <c r="I1139" i="8"/>
  <c r="G1140" i="8"/>
  <c r="H1140" i="8"/>
  <c r="I1140" i="8"/>
  <c r="G1141" i="8"/>
  <c r="H1141" i="8"/>
  <c r="I1141" i="8"/>
  <c r="G1142" i="8"/>
  <c r="H1142" i="8"/>
  <c r="I1142" i="8"/>
  <c r="G1143" i="8"/>
  <c r="H1143" i="8"/>
  <c r="I1143" i="8"/>
  <c r="G1144" i="8"/>
  <c r="H1144" i="8"/>
  <c r="I1144" i="8"/>
  <c r="G1145" i="8"/>
  <c r="H1145" i="8"/>
  <c r="I1145" i="8"/>
  <c r="G1146" i="8"/>
  <c r="H1146" i="8"/>
  <c r="I1146" i="8"/>
  <c r="G1147" i="8"/>
  <c r="H1147" i="8"/>
  <c r="I1147" i="8"/>
  <c r="G1148" i="8"/>
  <c r="H1148" i="8"/>
  <c r="I1148" i="8"/>
  <c r="I1149" i="8"/>
  <c r="I1150" i="8"/>
  <c r="I1151" i="8"/>
  <c r="G1152" i="8"/>
  <c r="H1152" i="8"/>
  <c r="I1152" i="8"/>
  <c r="G1153" i="8"/>
  <c r="H1153" i="8"/>
  <c r="I1153" i="8"/>
  <c r="G1154" i="8"/>
  <c r="H1154" i="8"/>
  <c r="I1154" i="8"/>
  <c r="G1155" i="8"/>
  <c r="H1155" i="8"/>
  <c r="I1155" i="8"/>
  <c r="G1156" i="8"/>
  <c r="H1156" i="8"/>
  <c r="I1156" i="8"/>
  <c r="G1157" i="8"/>
  <c r="H1157" i="8"/>
  <c r="I1157" i="8"/>
  <c r="G1158" i="8"/>
  <c r="H1158" i="8"/>
  <c r="I1158" i="8"/>
  <c r="G1159" i="8"/>
  <c r="H1159" i="8"/>
  <c r="I1159" i="8"/>
  <c r="G1160" i="8"/>
  <c r="H1160" i="8"/>
  <c r="I1160" i="8"/>
  <c r="G1161" i="8"/>
  <c r="H1161" i="8"/>
  <c r="I1161" i="8"/>
  <c r="G1162" i="8"/>
  <c r="H1162" i="8"/>
  <c r="I1162" i="8"/>
  <c r="G1163" i="8"/>
  <c r="H1163" i="8"/>
  <c r="I1163" i="8"/>
  <c r="G1164" i="8"/>
  <c r="H1164" i="8"/>
  <c r="I1164" i="8"/>
  <c r="G1165" i="8"/>
  <c r="H1165" i="8"/>
  <c r="I1165" i="8"/>
  <c r="G1166" i="8"/>
  <c r="H1166" i="8"/>
  <c r="I1166" i="8"/>
  <c r="I1167" i="8"/>
  <c r="G1168" i="8"/>
  <c r="H1168" i="8"/>
  <c r="I1168" i="8"/>
  <c r="G1169" i="8"/>
  <c r="H1169" i="8"/>
  <c r="I1169" i="8"/>
  <c r="G1170" i="8"/>
  <c r="H1170" i="8"/>
  <c r="I1170" i="8"/>
  <c r="G1171" i="8"/>
  <c r="H1171" i="8"/>
  <c r="I1171" i="8"/>
  <c r="G1172" i="8"/>
  <c r="H1172" i="8"/>
  <c r="I1172" i="8"/>
  <c r="G1173" i="8"/>
  <c r="H1173" i="8"/>
  <c r="I1173" i="8"/>
  <c r="G1174" i="8"/>
  <c r="H1174" i="8"/>
  <c r="I1174" i="8"/>
  <c r="G1175" i="8"/>
  <c r="H1175" i="8"/>
  <c r="I1175" i="8"/>
  <c r="G1176" i="8"/>
  <c r="H1176" i="8"/>
  <c r="I1176" i="8"/>
  <c r="G1177" i="8"/>
  <c r="H1177" i="8"/>
  <c r="I1177" i="8"/>
  <c r="G1178" i="8"/>
  <c r="H1178" i="8"/>
  <c r="I1178" i="8"/>
  <c r="G1179" i="8"/>
  <c r="H1179" i="8"/>
  <c r="I1179" i="8"/>
  <c r="G1180" i="8"/>
  <c r="H1180" i="8"/>
  <c r="I1180" i="8"/>
  <c r="G1181" i="8"/>
  <c r="H1181" i="8"/>
  <c r="I1181" i="8"/>
  <c r="G1182" i="8"/>
  <c r="H1182" i="8"/>
  <c r="I1182" i="8"/>
  <c r="I1183" i="8"/>
  <c r="G1184" i="8"/>
  <c r="H1184" i="8"/>
  <c r="I1184" i="8"/>
  <c r="G1185" i="8"/>
  <c r="H1185" i="8"/>
  <c r="I1185" i="8"/>
  <c r="I1186" i="8"/>
  <c r="I1187" i="8"/>
  <c r="I1188" i="8"/>
  <c r="I1189" i="8"/>
  <c r="I1190" i="8"/>
  <c r="I1191" i="8"/>
  <c r="I1192" i="8"/>
  <c r="I1193" i="8"/>
  <c r="I1194" i="8"/>
  <c r="I1195" i="8"/>
  <c r="I1196" i="8"/>
  <c r="I1197" i="8"/>
  <c r="I1198" i="8"/>
  <c r="I1199" i="8"/>
  <c r="I1200" i="8"/>
  <c r="I1201" i="8"/>
  <c r="I1202" i="8"/>
  <c r="I1203" i="8"/>
  <c r="I1204" i="8"/>
  <c r="I1205" i="8"/>
  <c r="G1206" i="8"/>
  <c r="H1206" i="8"/>
  <c r="I1206" i="8"/>
  <c r="I1207" i="8"/>
  <c r="I1208" i="8"/>
  <c r="I1209" i="8"/>
  <c r="G1210" i="8"/>
  <c r="H1210" i="8"/>
  <c r="I1210" i="8"/>
  <c r="G1211" i="8"/>
  <c r="H1211" i="8"/>
  <c r="I1211" i="8"/>
  <c r="I1212" i="8"/>
  <c r="I1213" i="8"/>
  <c r="I1214" i="8"/>
  <c r="I1215" i="8"/>
  <c r="I1216" i="8"/>
  <c r="I1217" i="8"/>
  <c r="I1218" i="8"/>
  <c r="G1219" i="8"/>
  <c r="H1219" i="8"/>
  <c r="I1219" i="8"/>
  <c r="I1220" i="8"/>
  <c r="I1221" i="8"/>
  <c r="I1222" i="8"/>
  <c r="I1223" i="8"/>
  <c r="G1224" i="8"/>
  <c r="H1224" i="8"/>
  <c r="I1224" i="8"/>
  <c r="I1225" i="8"/>
  <c r="I1226" i="8"/>
  <c r="I1227" i="8"/>
  <c r="I1228" i="8"/>
  <c r="I1229" i="8"/>
  <c r="I1230" i="8"/>
  <c r="I1231" i="8"/>
  <c r="I1232" i="8"/>
  <c r="I1233" i="8"/>
  <c r="I1234" i="8"/>
  <c r="I1235" i="8"/>
  <c r="I1236" i="8"/>
  <c r="G1237" i="8"/>
  <c r="H1237" i="8"/>
  <c r="I1237" i="8"/>
  <c r="G1238" i="8"/>
  <c r="H1238" i="8"/>
  <c r="I1238" i="8"/>
  <c r="I1239" i="8"/>
  <c r="G1240" i="8"/>
  <c r="H1240" i="8"/>
  <c r="I1240" i="8"/>
  <c r="G1241" i="8"/>
  <c r="H1241" i="8"/>
  <c r="I1241" i="8"/>
  <c r="I1242" i="8"/>
  <c r="I1243" i="8"/>
  <c r="I1244" i="8"/>
  <c r="G1245" i="8"/>
  <c r="H1245" i="8"/>
  <c r="I1245" i="8"/>
  <c r="G1246" i="8"/>
  <c r="H1246" i="8"/>
  <c r="I1246" i="8"/>
  <c r="G1247" i="8"/>
  <c r="H1247" i="8"/>
  <c r="I1247" i="8"/>
  <c r="G1248" i="8"/>
  <c r="H1248" i="8"/>
  <c r="I1248" i="8"/>
  <c r="G1249" i="8"/>
  <c r="H1249" i="8"/>
  <c r="I1249" i="8"/>
  <c r="G1250" i="8"/>
  <c r="H1250" i="8"/>
  <c r="I1250" i="8"/>
  <c r="G1251" i="8"/>
  <c r="H1251" i="8"/>
  <c r="I1251" i="8"/>
  <c r="G1252" i="8"/>
  <c r="H1252" i="8"/>
  <c r="I1252" i="8"/>
  <c r="G1253" i="8"/>
  <c r="H1253" i="8"/>
  <c r="I1253" i="8"/>
  <c r="G1254" i="8"/>
  <c r="H1254" i="8"/>
  <c r="I1254" i="8"/>
  <c r="G1255" i="8"/>
  <c r="H1255" i="8"/>
  <c r="I1255" i="8"/>
  <c r="G1256" i="8"/>
  <c r="H1256" i="8"/>
  <c r="I1256" i="8"/>
  <c r="G1257" i="8"/>
  <c r="H1257" i="8"/>
  <c r="I1257" i="8"/>
  <c r="I1258" i="8"/>
  <c r="I1259" i="8"/>
  <c r="G1260" i="8"/>
  <c r="H1260" i="8"/>
  <c r="I1260" i="8"/>
  <c r="G1261" i="8"/>
  <c r="H1261" i="8"/>
  <c r="I1261" i="8"/>
  <c r="G1262" i="8"/>
  <c r="H1262" i="8"/>
  <c r="I1262" i="8"/>
  <c r="G1263" i="8"/>
  <c r="H1263" i="8"/>
  <c r="I1263" i="8"/>
  <c r="G1264" i="8"/>
  <c r="H1264" i="8"/>
  <c r="I1264" i="8"/>
  <c r="G1265" i="8"/>
  <c r="H1265" i="8"/>
  <c r="I1265" i="8"/>
  <c r="G1266" i="8"/>
  <c r="H1266" i="8"/>
  <c r="I1266" i="8"/>
  <c r="G1267" i="8"/>
  <c r="H1267" i="8"/>
  <c r="I1267" i="8"/>
  <c r="G1268" i="8"/>
  <c r="H1268" i="8"/>
  <c r="I1268" i="8"/>
  <c r="G1269" i="8"/>
  <c r="H1269" i="8"/>
  <c r="I1269" i="8"/>
  <c r="G1270" i="8"/>
  <c r="H1270" i="8"/>
  <c r="I1270" i="8"/>
  <c r="G1271" i="8"/>
  <c r="H1271" i="8"/>
  <c r="I1271" i="8"/>
  <c r="G1272" i="8"/>
  <c r="H1272" i="8"/>
  <c r="I1272" i="8"/>
  <c r="G1273" i="8"/>
  <c r="H1273" i="8"/>
  <c r="I1273" i="8"/>
  <c r="G1274" i="8"/>
  <c r="H1274" i="8"/>
  <c r="I1274" i="8"/>
  <c r="G1275" i="8"/>
  <c r="H1275" i="8"/>
  <c r="I1275" i="8"/>
  <c r="G1276" i="8"/>
  <c r="H1276" i="8"/>
  <c r="I1276" i="8"/>
  <c r="G1277" i="8"/>
  <c r="H1277" i="8"/>
  <c r="I1277" i="8"/>
  <c r="G1278" i="8"/>
  <c r="H1278" i="8"/>
  <c r="I1278" i="8"/>
  <c r="I1279" i="8"/>
  <c r="I1280" i="8"/>
  <c r="I1281" i="8"/>
  <c r="I1282" i="8"/>
  <c r="G1283" i="8"/>
  <c r="H1283" i="8"/>
  <c r="I1283" i="8"/>
  <c r="G1284" i="8"/>
  <c r="H1284" i="8"/>
  <c r="I1284" i="8"/>
  <c r="G1285" i="8"/>
  <c r="H1285" i="8"/>
  <c r="I1285" i="8"/>
  <c r="G1286" i="8"/>
  <c r="H1286" i="8"/>
  <c r="I1286" i="8"/>
  <c r="G1287" i="8"/>
  <c r="H1287" i="8"/>
  <c r="I1287" i="8"/>
  <c r="G1288" i="8"/>
  <c r="H1288" i="8"/>
  <c r="I1288" i="8"/>
  <c r="G1289" i="8"/>
  <c r="H1289" i="8"/>
  <c r="I1289" i="8"/>
  <c r="G1290" i="8"/>
  <c r="H1290" i="8"/>
  <c r="I1290" i="8"/>
  <c r="G1291" i="8"/>
  <c r="H1291" i="8"/>
  <c r="I1291" i="8"/>
  <c r="G1292" i="8"/>
  <c r="H1292" i="8"/>
  <c r="I1292" i="8"/>
  <c r="G1293" i="8"/>
  <c r="H1293" i="8"/>
  <c r="I1293" i="8"/>
  <c r="G1294" i="8"/>
  <c r="H1294" i="8"/>
  <c r="I1294" i="8"/>
  <c r="I1295" i="8"/>
  <c r="I1296" i="8"/>
  <c r="I1297" i="8"/>
  <c r="I1298" i="8"/>
  <c r="I1299" i="8"/>
  <c r="G1300" i="8"/>
  <c r="H1300" i="8"/>
  <c r="I1300" i="8"/>
  <c r="G1301" i="8"/>
  <c r="H1301" i="8"/>
  <c r="I1301" i="8"/>
  <c r="I1302" i="8"/>
  <c r="I1303" i="8"/>
  <c r="I1304" i="8"/>
  <c r="I1305" i="8"/>
  <c r="I1306" i="8"/>
  <c r="I1307" i="8"/>
  <c r="I1308" i="8"/>
  <c r="I1309" i="8"/>
  <c r="I1310" i="8"/>
  <c r="I1311" i="8"/>
  <c r="I1312" i="8"/>
  <c r="I1313" i="8"/>
  <c r="I1314" i="8"/>
  <c r="G1315" i="8"/>
  <c r="H1315" i="8"/>
  <c r="I1315" i="8"/>
  <c r="G1316" i="8"/>
  <c r="H1316" i="8"/>
  <c r="I1316" i="8"/>
  <c r="G1317" i="8"/>
  <c r="H1317" i="8"/>
  <c r="I1317" i="8"/>
  <c r="G1318" i="8"/>
  <c r="H1318" i="8"/>
  <c r="I1318" i="8"/>
  <c r="G1319" i="8"/>
  <c r="H1319" i="8"/>
  <c r="I1319" i="8"/>
  <c r="G1320" i="8"/>
  <c r="H1320" i="8"/>
  <c r="I1320" i="8"/>
  <c r="G1321" i="8"/>
  <c r="H1321" i="8"/>
  <c r="I1321" i="8"/>
  <c r="G1322" i="8"/>
  <c r="H1322" i="8"/>
  <c r="I1322" i="8"/>
  <c r="G1323" i="8"/>
  <c r="H1323" i="8"/>
  <c r="I1323" i="8"/>
  <c r="G1324" i="8"/>
  <c r="H1324" i="8"/>
  <c r="I1324" i="8"/>
  <c r="I1325" i="8"/>
  <c r="I1326" i="8"/>
  <c r="I1327" i="8"/>
  <c r="I1328" i="8"/>
  <c r="I1329" i="8"/>
  <c r="G1330" i="8"/>
  <c r="H1330" i="8"/>
  <c r="I1330" i="8"/>
  <c r="G1331" i="8"/>
  <c r="H1331" i="8"/>
  <c r="I1331" i="8"/>
  <c r="G1332" i="8"/>
  <c r="H1332" i="8"/>
  <c r="I1332" i="8"/>
  <c r="G1333" i="8"/>
  <c r="H1333" i="8"/>
  <c r="I1333" i="8"/>
  <c r="G1334" i="8"/>
  <c r="H1334" i="8"/>
  <c r="I1334" i="8"/>
  <c r="I1335" i="8"/>
  <c r="G1336" i="8"/>
  <c r="H1336" i="8"/>
  <c r="I1336" i="8"/>
  <c r="G1337" i="8"/>
  <c r="H1337" i="8"/>
  <c r="I1337" i="8"/>
  <c r="G1338" i="8"/>
  <c r="H1338" i="8"/>
  <c r="I1338" i="8"/>
  <c r="G1339" i="8"/>
  <c r="H1339" i="8"/>
  <c r="I1339" i="8"/>
  <c r="G1340" i="8"/>
  <c r="H1340" i="8"/>
  <c r="I1340" i="8"/>
  <c r="G1341" i="8"/>
  <c r="H1341" i="8"/>
  <c r="I1341" i="8"/>
  <c r="I1342" i="8"/>
  <c r="I1343" i="8"/>
  <c r="G1344" i="8"/>
  <c r="H1344" i="8"/>
  <c r="I1344" i="8"/>
  <c r="I1345" i="8"/>
  <c r="I1346" i="8"/>
  <c r="G1347" i="8"/>
  <c r="H1347" i="8"/>
  <c r="I1347" i="8"/>
  <c r="G1348" i="8"/>
  <c r="H1348" i="8"/>
  <c r="I1348" i="8"/>
  <c r="I1349" i="8"/>
  <c r="I1350" i="8"/>
  <c r="I1351" i="8"/>
  <c r="H1352" i="8"/>
  <c r="I1352" i="8"/>
  <c r="G1353" i="8"/>
  <c r="H1353" i="8"/>
  <c r="I1353" i="8"/>
  <c r="G1354" i="8"/>
  <c r="H1354" i="8"/>
  <c r="I1354" i="8"/>
  <c r="G1355" i="8"/>
  <c r="H1355" i="8"/>
  <c r="I1355" i="8"/>
  <c r="G1356" i="8"/>
  <c r="H1356" i="8"/>
  <c r="I1356" i="8"/>
  <c r="G1357" i="8"/>
  <c r="H1357" i="8"/>
  <c r="I1357" i="8"/>
  <c r="G1358" i="8"/>
  <c r="H1358" i="8"/>
  <c r="I1358" i="8"/>
  <c r="G1359" i="8"/>
  <c r="H1359" i="8"/>
  <c r="I1359" i="8"/>
  <c r="G1360" i="8"/>
  <c r="H1360" i="8"/>
  <c r="I1360" i="8"/>
  <c r="G1361" i="8"/>
  <c r="H1361" i="8"/>
  <c r="I1361" i="8"/>
  <c r="I1362" i="8"/>
  <c r="G1363" i="8"/>
  <c r="H1363" i="8"/>
  <c r="I1363" i="8"/>
  <c r="G1364" i="8"/>
  <c r="H1364" i="8"/>
  <c r="I1364" i="8"/>
  <c r="G1365" i="8"/>
  <c r="H1365" i="8"/>
  <c r="I1365" i="8"/>
  <c r="H1366" i="8"/>
  <c r="I1366" i="8"/>
  <c r="G1367" i="8"/>
  <c r="H1367" i="8"/>
  <c r="I1367" i="8"/>
  <c r="G1368" i="8"/>
  <c r="H1368" i="8"/>
  <c r="I1368" i="8"/>
  <c r="I1369" i="8"/>
  <c r="I1370" i="8"/>
  <c r="I1371" i="8"/>
  <c r="I1372" i="8"/>
  <c r="I1373" i="8"/>
  <c r="G1374" i="8"/>
  <c r="H1374" i="8"/>
  <c r="I1374" i="8"/>
  <c r="G1375" i="8"/>
  <c r="H1375" i="8"/>
  <c r="I1375" i="8"/>
  <c r="I1376" i="8"/>
  <c r="I1377" i="8"/>
  <c r="G1378" i="8"/>
  <c r="H1378" i="8"/>
  <c r="I1378" i="8"/>
  <c r="I1379" i="8"/>
  <c r="G1380" i="8"/>
  <c r="H1380" i="8"/>
  <c r="I1380" i="8"/>
  <c r="G1381" i="8"/>
  <c r="H1381" i="8"/>
  <c r="I1381" i="8"/>
  <c r="H1382" i="8"/>
  <c r="I1382" i="8"/>
  <c r="I1383" i="8"/>
  <c r="I1384" i="8"/>
  <c r="I1385" i="8"/>
  <c r="I1386" i="8"/>
  <c r="I1387" i="8"/>
  <c r="I1388" i="8"/>
  <c r="G1389" i="8"/>
  <c r="H1389" i="8"/>
  <c r="I1389" i="8"/>
  <c r="I1390" i="8"/>
  <c r="G1391" i="8"/>
  <c r="H1391" i="8"/>
  <c r="I1391" i="8"/>
  <c r="G1392" i="8"/>
  <c r="H1392" i="8"/>
  <c r="I1392" i="8"/>
  <c r="G1393" i="8"/>
  <c r="H1393" i="8"/>
  <c r="I1393" i="8"/>
  <c r="I1394" i="8"/>
  <c r="G1395" i="8"/>
  <c r="H1395" i="8"/>
  <c r="I1395" i="8"/>
  <c r="G1396" i="8"/>
  <c r="H1396" i="8"/>
  <c r="I1396" i="8"/>
  <c r="I1397" i="8"/>
  <c r="I1398" i="8"/>
  <c r="I1399" i="8"/>
  <c r="I1400" i="8"/>
  <c r="I1401" i="8"/>
  <c r="I1402" i="8"/>
  <c r="I1403" i="8"/>
  <c r="I1404" i="8"/>
  <c r="I1405" i="8"/>
  <c r="I1406" i="8"/>
  <c r="I1407" i="8"/>
  <c r="G1408" i="8"/>
  <c r="H1408" i="8"/>
  <c r="I1408" i="8"/>
  <c r="G1409" i="8"/>
  <c r="H1409" i="8"/>
  <c r="I1409" i="8"/>
  <c r="G1410" i="8"/>
  <c r="H1410" i="8"/>
  <c r="I1410" i="8"/>
  <c r="G1411" i="8"/>
  <c r="H1411" i="8"/>
  <c r="I1411" i="8"/>
  <c r="G1412" i="8"/>
  <c r="H1412" i="8"/>
  <c r="I1412" i="8"/>
  <c r="G1413" i="8"/>
  <c r="H1413" i="8"/>
  <c r="I1413" i="8"/>
  <c r="G1414" i="8"/>
  <c r="H1414" i="8"/>
  <c r="I1414" i="8"/>
  <c r="G1415" i="8"/>
  <c r="H1415" i="8"/>
  <c r="I1415" i="8"/>
  <c r="G1416" i="8"/>
  <c r="H1416" i="8"/>
  <c r="I1416" i="8"/>
  <c r="G1417" i="8"/>
  <c r="H1417" i="8"/>
  <c r="I1417" i="8"/>
  <c r="G1418" i="8"/>
  <c r="H1418" i="8"/>
  <c r="I1418" i="8"/>
  <c r="G1419" i="8"/>
  <c r="H1419" i="8"/>
  <c r="I1419" i="8"/>
  <c r="G1420" i="8"/>
  <c r="H1420" i="8"/>
  <c r="I1420" i="8"/>
  <c r="G1421" i="8"/>
  <c r="H1421" i="8"/>
  <c r="I1421" i="8"/>
  <c r="G1422" i="8"/>
  <c r="H1422" i="8"/>
  <c r="I1422" i="8"/>
  <c r="G1423" i="8"/>
  <c r="H1423" i="8"/>
  <c r="I1423" i="8"/>
  <c r="G1424" i="8"/>
  <c r="H1424" i="8"/>
  <c r="I1424" i="8"/>
  <c r="G1425" i="8"/>
  <c r="H1425" i="8"/>
  <c r="I1425" i="8"/>
  <c r="G1426" i="8"/>
  <c r="H1426" i="8"/>
  <c r="I1426" i="8"/>
  <c r="G1427" i="8"/>
  <c r="H1427" i="8"/>
  <c r="I1427" i="8"/>
  <c r="I1428" i="8"/>
  <c r="I1429" i="8"/>
  <c r="I1430" i="8"/>
  <c r="I1431" i="8"/>
  <c r="I1432" i="8"/>
  <c r="I1433" i="8"/>
  <c r="I1434" i="8"/>
  <c r="I1435" i="8"/>
  <c r="I1436" i="8"/>
  <c r="I1437" i="8"/>
  <c r="I1438" i="8"/>
  <c r="I1439" i="8"/>
  <c r="I1440" i="8"/>
  <c r="I1441" i="8"/>
  <c r="I1442" i="8"/>
  <c r="I1443" i="8"/>
  <c r="I1444" i="8"/>
  <c r="I1445" i="8"/>
  <c r="I1446" i="8"/>
  <c r="I1447" i="8"/>
  <c r="I1448" i="8"/>
  <c r="I1449" i="8"/>
  <c r="I1450" i="8"/>
  <c r="I1451" i="8"/>
  <c r="I1452" i="8"/>
  <c r="I1453" i="8"/>
  <c r="I1454" i="8"/>
  <c r="I1455" i="8"/>
  <c r="I1456" i="8"/>
  <c r="I1457" i="8"/>
  <c r="I1458" i="8"/>
  <c r="I1459" i="8"/>
  <c r="I1460" i="8"/>
  <c r="I1461" i="8"/>
  <c r="I1462" i="8"/>
  <c r="I1463" i="8"/>
  <c r="I1464" i="8"/>
  <c r="I1465" i="8"/>
  <c r="I1466" i="8"/>
  <c r="I1467" i="8"/>
  <c r="I1468" i="8"/>
  <c r="I1469" i="8"/>
  <c r="I1470" i="8"/>
  <c r="I1471" i="8"/>
  <c r="I1472" i="8"/>
  <c r="I1473" i="8"/>
  <c r="I1474" i="8"/>
  <c r="I1475" i="8"/>
  <c r="I1476" i="8"/>
  <c r="I1477" i="8"/>
  <c r="I1478" i="8"/>
  <c r="I1479" i="8"/>
  <c r="I1480" i="8"/>
  <c r="I1481" i="8"/>
  <c r="I1482" i="8"/>
  <c r="I1483" i="8"/>
  <c r="I1484" i="8"/>
  <c r="I1485" i="8"/>
  <c r="I1486" i="8"/>
  <c r="I1487" i="8"/>
  <c r="I1488" i="8"/>
  <c r="I1489" i="8"/>
  <c r="I1490" i="8"/>
  <c r="I1491" i="8"/>
  <c r="I1492" i="8"/>
  <c r="G1493" i="8"/>
  <c r="H1493" i="8"/>
  <c r="I1493" i="8"/>
  <c r="I1494" i="8"/>
  <c r="I1495" i="8"/>
  <c r="I1496" i="8"/>
  <c r="I1497" i="8"/>
  <c r="I1498" i="8"/>
  <c r="G1499" i="8"/>
  <c r="H1499" i="8"/>
  <c r="I1499" i="8"/>
  <c r="I1500" i="8"/>
  <c r="I1501" i="8"/>
  <c r="I1502" i="8"/>
  <c r="I1503" i="8"/>
  <c r="I1504" i="8"/>
  <c r="I1505" i="8"/>
  <c r="I1506" i="8"/>
  <c r="I1507" i="8"/>
  <c r="I1508" i="8"/>
  <c r="I1509" i="8"/>
  <c r="I1510" i="8"/>
  <c r="I1511" i="8"/>
  <c r="I1512" i="8"/>
  <c r="I1513" i="8"/>
  <c r="I1514" i="8"/>
  <c r="I1515" i="8"/>
  <c r="I1516" i="8"/>
  <c r="I1517" i="8"/>
  <c r="I1518" i="8"/>
  <c r="I1519" i="8"/>
  <c r="I1520" i="8"/>
  <c r="I1521" i="8"/>
  <c r="I1522" i="8"/>
  <c r="I1523" i="8"/>
  <c r="I1524" i="8"/>
  <c r="I1525" i="8"/>
  <c r="I1526" i="8"/>
  <c r="I1527" i="8"/>
  <c r="I1528" i="8"/>
  <c r="I1529" i="8"/>
  <c r="I1530" i="8"/>
  <c r="I1531" i="8"/>
  <c r="I1532" i="8"/>
  <c r="I1533" i="8"/>
  <c r="I1534" i="8"/>
  <c r="I1535" i="8"/>
  <c r="I1536" i="8"/>
  <c r="I1537" i="8"/>
  <c r="I1538" i="8"/>
  <c r="I1539" i="8"/>
  <c r="I1540" i="8"/>
  <c r="I1541" i="8"/>
  <c r="I1542" i="8"/>
  <c r="I1543" i="8"/>
  <c r="I1544" i="8"/>
  <c r="G1545" i="8"/>
  <c r="H1545" i="8"/>
  <c r="I1545" i="8"/>
  <c r="G1546" i="8"/>
  <c r="H1546" i="8"/>
  <c r="I1546" i="8"/>
  <c r="G1547" i="8"/>
  <c r="H1547" i="8"/>
  <c r="I1547" i="8"/>
  <c r="G1548" i="8"/>
  <c r="H1548" i="8"/>
  <c r="I1548" i="8"/>
  <c r="G1549" i="8"/>
  <c r="H1549" i="8"/>
  <c r="I1549" i="8"/>
  <c r="I1550" i="8"/>
  <c r="G1551" i="8"/>
  <c r="H1551" i="8"/>
  <c r="I1551" i="8"/>
  <c r="G1552" i="8"/>
  <c r="H1552" i="8"/>
  <c r="I1552" i="8"/>
  <c r="I1553" i="8"/>
  <c r="I1554" i="8"/>
  <c r="I1555" i="8"/>
  <c r="I1556" i="8"/>
  <c r="I1557" i="8"/>
  <c r="I1558" i="8"/>
  <c r="I1559" i="8"/>
  <c r="I1560" i="8"/>
  <c r="I1561" i="8"/>
  <c r="I1562" i="8"/>
  <c r="I1563" i="8"/>
  <c r="I1564" i="8"/>
  <c r="I1565" i="8"/>
  <c r="G1566" i="8"/>
  <c r="H1566" i="8"/>
  <c r="I1566" i="8"/>
  <c r="I1567" i="8"/>
  <c r="G1568" i="8"/>
  <c r="H1568" i="8"/>
  <c r="I1568" i="8"/>
  <c r="G1569" i="8"/>
  <c r="H1569" i="8"/>
  <c r="I1569" i="8"/>
  <c r="G1570" i="8"/>
  <c r="H1570" i="8"/>
  <c r="I1570" i="8"/>
  <c r="G1571" i="8"/>
  <c r="H1571" i="8"/>
  <c r="I1571" i="8"/>
  <c r="G1572" i="8"/>
  <c r="H1572" i="8"/>
  <c r="I1572" i="8"/>
  <c r="G1573" i="8"/>
  <c r="H1573" i="8"/>
  <c r="I1573" i="8"/>
  <c r="G1574" i="8"/>
  <c r="H1574" i="8"/>
  <c r="I1574" i="8"/>
  <c r="G1575" i="8"/>
  <c r="H1575" i="8"/>
  <c r="I1575" i="8"/>
  <c r="G1576" i="8"/>
  <c r="H1576" i="8"/>
  <c r="I1576" i="8"/>
  <c r="G1577" i="8"/>
  <c r="H1577" i="8"/>
  <c r="I1577" i="8"/>
  <c r="I1578" i="8"/>
  <c r="I1579" i="8"/>
  <c r="I1580" i="8"/>
  <c r="I1581" i="8"/>
  <c r="I1582" i="8"/>
  <c r="I1583" i="8"/>
  <c r="I1584" i="8"/>
  <c r="I1585" i="8"/>
  <c r="I1586" i="8"/>
  <c r="I1587" i="8"/>
  <c r="I1588" i="8"/>
  <c r="I1589" i="8"/>
  <c r="I1590" i="8"/>
  <c r="I1591" i="8"/>
  <c r="I1592" i="8"/>
  <c r="I1593" i="8"/>
  <c r="I1594" i="8"/>
  <c r="I1595" i="8"/>
  <c r="I1596" i="8"/>
  <c r="I1597" i="8"/>
  <c r="I1598" i="8"/>
  <c r="I1599" i="8"/>
  <c r="I1600" i="8"/>
  <c r="I1601" i="8"/>
  <c r="I1602" i="8"/>
  <c r="I1603" i="8"/>
  <c r="G1604" i="8"/>
  <c r="H1604" i="8"/>
  <c r="I1604" i="8"/>
  <c r="G1605" i="8"/>
  <c r="H1605" i="8"/>
  <c r="I1605" i="8"/>
  <c r="G1606" i="8"/>
  <c r="H1606" i="8"/>
  <c r="I1606" i="8"/>
  <c r="G1607" i="8"/>
  <c r="H1607" i="8"/>
  <c r="I1607" i="8"/>
  <c r="G1608" i="8"/>
  <c r="H1608" i="8"/>
  <c r="I1608" i="8"/>
  <c r="I1609" i="8"/>
  <c r="I1610" i="8"/>
  <c r="I1611" i="8"/>
  <c r="I1612" i="8"/>
  <c r="I1613" i="8"/>
  <c r="I1614" i="8"/>
  <c r="I1615" i="8"/>
  <c r="I1616" i="8"/>
  <c r="I1617" i="8"/>
  <c r="I1618" i="8"/>
  <c r="I1619" i="8"/>
  <c r="I1620" i="8"/>
  <c r="I1621" i="8"/>
  <c r="I1622" i="8"/>
  <c r="I1623" i="8"/>
  <c r="I1624" i="8"/>
  <c r="I1625" i="8"/>
  <c r="I1626" i="8"/>
  <c r="I1627" i="8"/>
  <c r="I1628" i="8"/>
  <c r="I1629" i="8"/>
  <c r="I1630" i="8"/>
  <c r="I1631" i="8"/>
  <c r="I1632" i="8"/>
  <c r="I1633" i="8"/>
  <c r="I1634" i="8"/>
  <c r="I1635" i="8"/>
  <c r="I1636" i="8"/>
  <c r="I1637" i="8"/>
  <c r="I1638" i="8"/>
  <c r="I1639" i="8"/>
  <c r="I1640" i="8"/>
  <c r="I1641" i="8"/>
  <c r="I1642" i="8"/>
  <c r="I1643" i="8"/>
  <c r="I1644" i="8"/>
  <c r="I1645" i="8"/>
  <c r="I1646" i="8"/>
  <c r="I1647" i="8"/>
  <c r="I1648" i="8"/>
  <c r="I1649" i="8"/>
  <c r="I1650" i="8"/>
  <c r="I1651" i="8"/>
  <c r="I1652" i="8"/>
  <c r="I1653" i="8"/>
  <c r="I1654" i="8"/>
  <c r="I1655" i="8"/>
  <c r="I1656" i="8"/>
  <c r="I1657" i="8"/>
  <c r="I1658" i="8"/>
  <c r="I1659" i="8"/>
  <c r="I1660" i="8"/>
  <c r="I1661" i="8"/>
  <c r="I1662" i="8"/>
  <c r="I1663" i="8"/>
  <c r="I1664" i="8"/>
  <c r="I1665" i="8"/>
  <c r="I1666" i="8"/>
  <c r="I1667" i="8"/>
  <c r="I1668" i="8"/>
  <c r="I1669" i="8"/>
  <c r="I1670" i="8"/>
  <c r="I1671" i="8"/>
  <c r="I1672" i="8"/>
  <c r="I1673" i="8"/>
  <c r="I1674" i="8"/>
  <c r="I1675" i="8"/>
  <c r="I1676" i="8"/>
  <c r="I1677" i="8"/>
  <c r="I1678" i="8"/>
  <c r="I1679" i="8"/>
  <c r="I1680" i="8"/>
  <c r="I1681" i="8"/>
  <c r="I1682" i="8"/>
  <c r="I1683" i="8"/>
  <c r="I1684" i="8"/>
  <c r="I1685" i="8"/>
  <c r="I1686" i="8"/>
  <c r="I1687" i="8"/>
  <c r="I1688" i="8"/>
  <c r="I1689" i="8"/>
  <c r="I1690" i="8"/>
  <c r="I1691" i="8"/>
  <c r="I1692" i="8"/>
  <c r="I1693" i="8"/>
  <c r="I1694" i="8"/>
  <c r="I1695" i="8"/>
  <c r="I1696" i="8"/>
  <c r="I1697" i="8"/>
  <c r="I1698" i="8"/>
  <c r="I1699" i="8"/>
  <c r="I1700" i="8"/>
  <c r="I1701" i="8"/>
  <c r="I1702" i="8"/>
  <c r="I1703" i="8"/>
  <c r="I1704" i="8"/>
  <c r="I1705" i="8"/>
  <c r="I1706" i="8"/>
  <c r="I1707" i="8"/>
  <c r="I1708" i="8"/>
  <c r="I1709" i="8"/>
  <c r="I1710" i="8"/>
  <c r="I1711" i="8"/>
  <c r="I1712" i="8"/>
  <c r="I1713" i="8"/>
  <c r="I1714" i="8"/>
  <c r="I1715" i="8"/>
  <c r="I1716" i="8"/>
  <c r="I1717" i="8"/>
  <c r="I1718" i="8"/>
  <c r="I1719" i="8"/>
  <c r="I1720" i="8"/>
  <c r="I1721" i="8"/>
  <c r="I1722" i="8"/>
  <c r="I1723" i="8"/>
  <c r="I1724" i="8"/>
  <c r="I1725" i="8"/>
  <c r="I1726" i="8"/>
  <c r="I1727" i="8"/>
  <c r="I1728" i="8"/>
  <c r="I1729" i="8"/>
  <c r="I1730" i="8"/>
  <c r="I1731" i="8"/>
  <c r="I1732" i="8"/>
  <c r="I1733" i="8"/>
  <c r="I1734" i="8"/>
  <c r="I1735" i="8"/>
  <c r="I1736" i="8"/>
  <c r="I1737" i="8"/>
  <c r="I1738" i="8"/>
  <c r="I1739" i="8"/>
  <c r="I1740" i="8"/>
  <c r="I1741" i="8"/>
  <c r="I1742" i="8"/>
  <c r="I1743" i="8"/>
  <c r="I1744" i="8"/>
  <c r="I1745" i="8"/>
  <c r="I1746" i="8"/>
  <c r="I1747" i="8"/>
  <c r="I1748" i="8"/>
  <c r="I1749" i="8"/>
  <c r="I1750" i="8"/>
  <c r="I1751" i="8"/>
  <c r="I1752" i="8"/>
  <c r="I1753" i="8"/>
  <c r="I1754" i="8"/>
  <c r="I1755" i="8"/>
  <c r="I1756" i="8"/>
  <c r="I1757" i="8"/>
  <c r="I1758" i="8"/>
  <c r="I1759" i="8"/>
  <c r="I1760" i="8"/>
  <c r="I1761" i="8"/>
  <c r="I1762" i="8"/>
  <c r="I1763" i="8"/>
  <c r="I1764" i="8"/>
  <c r="I1765" i="8"/>
  <c r="I1766" i="8"/>
  <c r="I1767" i="8"/>
  <c r="I1768" i="8"/>
  <c r="I1769" i="8"/>
  <c r="I1770" i="8"/>
  <c r="I1771" i="8"/>
  <c r="I1772" i="8"/>
  <c r="I1773" i="8"/>
  <c r="I1774" i="8"/>
  <c r="I1775" i="8"/>
  <c r="I1776" i="8"/>
  <c r="I1777" i="8"/>
  <c r="I1778" i="8"/>
  <c r="I1779" i="8"/>
  <c r="I1780" i="8"/>
  <c r="I1781" i="8"/>
  <c r="I1782" i="8"/>
  <c r="I1783" i="8"/>
  <c r="I1784" i="8"/>
  <c r="I1785" i="8"/>
  <c r="I1786" i="8"/>
  <c r="I1787" i="8"/>
  <c r="I1788" i="8"/>
  <c r="I1789" i="8"/>
  <c r="I1790" i="8"/>
  <c r="I1791" i="8"/>
  <c r="I1792" i="8"/>
  <c r="I1793" i="8"/>
  <c r="I1794" i="8"/>
  <c r="I1795" i="8"/>
  <c r="I1796" i="8"/>
  <c r="I1797" i="8"/>
  <c r="I1798" i="8"/>
  <c r="I1799" i="8"/>
  <c r="I1800" i="8"/>
  <c r="I1801" i="8"/>
  <c r="I1802" i="8"/>
  <c r="I1803" i="8"/>
  <c r="I1804" i="8"/>
  <c r="I1805" i="8"/>
  <c r="I1806" i="8"/>
  <c r="I1807" i="8"/>
  <c r="I1808" i="8"/>
  <c r="I1809" i="8"/>
  <c r="I1810" i="8"/>
  <c r="I1811" i="8"/>
  <c r="G1812" i="8"/>
  <c r="H1812" i="8"/>
  <c r="I1812" i="8"/>
  <c r="G1813" i="8"/>
  <c r="H1813" i="8"/>
  <c r="I1813" i="8"/>
  <c r="G1814" i="8"/>
  <c r="H1814" i="8"/>
  <c r="I1814" i="8"/>
  <c r="G1815" i="8"/>
  <c r="H1815" i="8"/>
  <c r="I1815" i="8"/>
  <c r="G1816" i="8"/>
  <c r="H1816" i="8"/>
  <c r="I1816" i="8"/>
  <c r="G1817" i="8"/>
  <c r="H1817" i="8"/>
  <c r="I1817" i="8"/>
  <c r="G1818" i="8"/>
  <c r="H1818" i="8"/>
  <c r="I1818" i="8"/>
  <c r="G1819" i="8"/>
  <c r="H1819" i="8"/>
  <c r="I1819" i="8"/>
  <c r="I1820" i="8"/>
  <c r="I1821" i="8"/>
  <c r="I1822" i="8"/>
  <c r="I1823" i="8"/>
  <c r="I1824" i="8"/>
  <c r="I1825" i="8"/>
  <c r="I1826" i="8"/>
  <c r="I1827" i="8"/>
  <c r="I1828" i="8"/>
  <c r="G1829" i="8"/>
  <c r="H1829" i="8"/>
  <c r="I1829" i="8"/>
  <c r="I1830" i="8"/>
  <c r="G1831" i="8"/>
  <c r="H1831" i="8"/>
  <c r="I1831" i="8"/>
  <c r="G1832" i="8"/>
  <c r="H1832" i="8"/>
  <c r="I1832" i="8"/>
  <c r="G1833" i="8"/>
  <c r="H1833" i="8"/>
  <c r="I1833" i="8"/>
  <c r="G1834" i="8"/>
  <c r="H1834" i="8"/>
  <c r="I1834" i="8"/>
  <c r="I1835" i="8"/>
  <c r="G1836" i="8"/>
  <c r="H1836" i="8"/>
  <c r="I1836" i="8"/>
  <c r="G1837" i="8"/>
  <c r="H1837" i="8"/>
  <c r="I1837" i="8"/>
  <c r="G1838" i="8"/>
  <c r="H1838" i="8"/>
  <c r="I1838" i="8"/>
  <c r="G1839" i="8"/>
  <c r="H1839" i="8"/>
  <c r="I1839" i="8"/>
  <c r="I1840" i="8"/>
  <c r="G1841" i="8"/>
  <c r="H1841" i="8"/>
  <c r="I1841" i="8"/>
  <c r="G1842" i="8"/>
  <c r="H1842" i="8"/>
  <c r="I1842" i="8"/>
  <c r="G1843" i="8"/>
  <c r="H1843" i="8"/>
  <c r="I1843" i="8"/>
  <c r="G1844" i="8"/>
  <c r="H1844" i="8"/>
  <c r="I1844" i="8"/>
  <c r="I1845" i="8"/>
  <c r="G1846" i="8"/>
  <c r="H1846" i="8"/>
  <c r="I1846" i="8"/>
  <c r="G1847" i="8"/>
  <c r="H1847" i="8"/>
  <c r="I1847" i="8"/>
  <c r="G1848" i="8"/>
  <c r="H1848" i="8"/>
  <c r="I1848" i="8"/>
  <c r="G1849" i="8"/>
  <c r="H1849" i="8"/>
  <c r="I1849" i="8"/>
  <c r="I1850" i="8"/>
  <c r="G1851" i="8"/>
  <c r="H1851" i="8"/>
  <c r="I1851" i="8"/>
  <c r="G1852" i="8"/>
  <c r="H1852" i="8"/>
  <c r="I1852" i="8"/>
  <c r="G1853" i="8"/>
  <c r="H1853" i="8"/>
  <c r="I1853" i="8"/>
  <c r="G1854" i="8"/>
  <c r="H1854" i="8"/>
  <c r="I1854" i="8"/>
  <c r="I1855" i="8"/>
  <c r="G1856" i="8"/>
  <c r="H1856" i="8"/>
  <c r="I1856" i="8"/>
  <c r="I1857" i="8"/>
  <c r="G1858" i="8"/>
  <c r="H1858" i="8"/>
  <c r="I1858" i="8"/>
  <c r="G1859" i="8"/>
  <c r="H1859" i="8"/>
  <c r="I1859" i="8"/>
  <c r="I1860" i="8"/>
  <c r="G1861" i="8"/>
  <c r="H1861" i="8"/>
  <c r="I1861" i="8"/>
  <c r="G1862" i="8"/>
  <c r="H1862" i="8"/>
  <c r="I1862" i="8"/>
  <c r="G1863" i="8"/>
  <c r="H1863" i="8"/>
  <c r="I1863" i="8"/>
  <c r="G1864" i="8"/>
  <c r="H1864" i="8"/>
  <c r="I1864" i="8"/>
  <c r="I1865" i="8"/>
  <c r="G1866" i="8"/>
  <c r="H1866" i="8"/>
  <c r="I1866" i="8"/>
  <c r="G1867" i="8"/>
  <c r="H1867" i="8"/>
  <c r="I1867" i="8"/>
  <c r="G1868" i="8"/>
  <c r="H1868" i="8"/>
  <c r="I1868" i="8"/>
  <c r="G1869" i="8"/>
  <c r="H1869" i="8"/>
  <c r="I1869" i="8"/>
  <c r="I1870" i="8"/>
  <c r="G1871" i="8"/>
  <c r="H1871" i="8"/>
  <c r="I1871" i="8"/>
  <c r="G1872" i="8"/>
  <c r="H1872" i="8"/>
  <c r="I1872" i="8"/>
  <c r="G1873" i="8"/>
  <c r="H1873" i="8"/>
  <c r="I1873" i="8"/>
  <c r="G1874" i="8"/>
  <c r="H1874" i="8"/>
  <c r="I1874" i="8"/>
  <c r="I1875" i="8"/>
  <c r="G1876" i="8"/>
  <c r="H1876" i="8"/>
  <c r="I1876" i="8"/>
  <c r="I1877" i="8"/>
  <c r="G1878" i="8"/>
  <c r="H1878" i="8"/>
  <c r="I1878" i="8"/>
  <c r="I1879" i="8"/>
  <c r="G1880" i="8"/>
  <c r="H1880" i="8"/>
  <c r="I1880" i="8"/>
  <c r="I1881" i="8"/>
  <c r="G1882" i="8"/>
  <c r="H1882" i="8"/>
  <c r="I1882" i="8"/>
  <c r="I1883" i="8"/>
  <c r="G1884" i="8"/>
  <c r="H1884" i="8"/>
  <c r="I1884" i="8"/>
  <c r="G1885" i="8"/>
  <c r="H1885" i="8"/>
  <c r="I1885" i="8"/>
  <c r="G1886" i="8"/>
  <c r="H1886" i="8"/>
  <c r="I1886" i="8"/>
  <c r="G1887" i="8"/>
  <c r="H1887" i="8"/>
  <c r="I1887" i="8"/>
  <c r="G1888" i="8"/>
  <c r="H1888" i="8"/>
  <c r="I1888" i="8"/>
  <c r="G1889" i="8"/>
  <c r="H1889" i="8"/>
  <c r="I1889" i="8"/>
  <c r="G1890" i="8"/>
  <c r="H1890" i="8"/>
  <c r="I1890" i="8"/>
  <c r="G1891" i="8"/>
  <c r="H1891" i="8"/>
  <c r="I1891" i="8"/>
  <c r="G1892" i="8"/>
  <c r="H1892" i="8"/>
  <c r="I1892" i="8"/>
  <c r="G1893" i="8"/>
  <c r="H1893" i="8"/>
  <c r="I1893" i="8"/>
  <c r="G1894" i="8"/>
  <c r="H1894" i="8"/>
  <c r="I1894" i="8"/>
  <c r="G1895" i="8"/>
  <c r="H1895" i="8"/>
  <c r="I1895" i="8"/>
  <c r="G1896" i="8"/>
  <c r="H1896" i="8"/>
  <c r="I1896" i="8"/>
  <c r="G1897" i="8"/>
  <c r="H1897" i="8"/>
  <c r="I1897" i="8"/>
  <c r="G1898" i="8"/>
  <c r="H1898" i="8"/>
  <c r="I1898" i="8"/>
  <c r="G1899" i="8"/>
  <c r="H1899" i="8"/>
  <c r="I1899" i="8"/>
  <c r="G1900" i="8"/>
  <c r="H1900" i="8"/>
  <c r="I1900" i="8"/>
  <c r="G1901" i="8"/>
  <c r="H1901" i="8"/>
  <c r="I1901" i="8"/>
  <c r="G1902" i="8"/>
  <c r="H1902" i="8"/>
  <c r="I1902" i="8"/>
  <c r="G1903" i="8"/>
  <c r="H1903" i="8"/>
  <c r="I1903" i="8"/>
  <c r="G1904" i="8"/>
  <c r="H1904" i="8"/>
  <c r="I1904" i="8"/>
  <c r="G1905" i="8"/>
  <c r="H1905" i="8"/>
  <c r="I1905" i="8"/>
  <c r="G1906" i="8"/>
  <c r="H1906" i="8"/>
  <c r="I1906" i="8"/>
  <c r="G1907" i="8"/>
  <c r="H1907" i="8"/>
  <c r="I1907" i="8"/>
  <c r="I1908" i="8"/>
  <c r="I1909" i="8"/>
  <c r="I1910" i="8"/>
  <c r="I1911" i="8"/>
  <c r="I1912" i="8"/>
  <c r="I1913" i="8"/>
  <c r="I1914" i="8"/>
  <c r="I1915" i="8"/>
  <c r="I1916" i="8"/>
  <c r="I1917" i="8"/>
  <c r="I1918" i="8"/>
  <c r="I1919" i="8"/>
  <c r="G1920" i="8"/>
  <c r="H1920" i="8"/>
  <c r="I1920" i="8"/>
  <c r="G1921" i="8"/>
  <c r="H1921" i="8"/>
  <c r="I1921" i="8"/>
  <c r="G1922" i="8"/>
  <c r="H1922" i="8"/>
  <c r="I1922" i="8"/>
  <c r="G1923" i="8"/>
  <c r="H1923" i="8"/>
  <c r="I1923" i="8"/>
  <c r="G1924" i="8"/>
  <c r="H1924" i="8"/>
  <c r="I1924" i="8"/>
  <c r="I1925" i="8"/>
  <c r="G1926" i="8"/>
  <c r="H1926" i="8"/>
  <c r="I1926" i="8"/>
  <c r="I1927" i="8"/>
  <c r="G1928" i="8"/>
  <c r="H1928" i="8"/>
  <c r="I1928" i="8"/>
  <c r="I1929" i="8"/>
  <c r="G1930" i="8"/>
  <c r="H1930" i="8"/>
  <c r="I1930" i="8"/>
  <c r="I1931" i="8"/>
  <c r="I1932" i="8"/>
  <c r="G1933" i="8"/>
  <c r="H1933" i="8"/>
  <c r="I1933" i="8"/>
  <c r="I1934" i="8"/>
  <c r="I1935" i="8"/>
  <c r="I1936" i="8"/>
  <c r="I1937" i="8"/>
  <c r="I1938" i="8"/>
  <c r="I1939" i="8"/>
  <c r="I1940" i="8"/>
  <c r="I1941" i="8"/>
  <c r="I1942" i="8"/>
  <c r="I1943" i="8"/>
  <c r="I1944" i="8"/>
  <c r="I1945" i="8"/>
  <c r="I1946" i="8"/>
  <c r="I1947" i="8"/>
  <c r="I1948" i="8"/>
  <c r="G1949" i="8"/>
  <c r="H1949" i="8"/>
  <c r="I1949" i="8"/>
  <c r="I1950" i="8"/>
  <c r="G1951" i="8"/>
  <c r="H1951" i="8"/>
  <c r="I1951" i="8"/>
  <c r="I1952" i="8"/>
  <c r="G1953" i="8"/>
  <c r="H1953" i="8"/>
  <c r="I1953" i="8"/>
  <c r="G1954" i="8"/>
  <c r="H1954" i="8"/>
  <c r="I1954" i="8"/>
  <c r="I1955" i="8"/>
  <c r="I1956" i="8"/>
  <c r="I1957" i="8"/>
  <c r="I1958" i="8"/>
  <c r="I1959" i="8"/>
  <c r="I1960" i="8"/>
  <c r="I1961" i="8"/>
  <c r="I1962" i="8"/>
  <c r="I1963" i="8"/>
  <c r="I1964" i="8"/>
  <c r="I1965" i="8"/>
  <c r="I1966" i="8"/>
  <c r="I1967" i="8"/>
  <c r="I1968" i="8"/>
  <c r="I1969" i="8"/>
  <c r="I1970" i="8"/>
  <c r="I1971" i="8"/>
  <c r="I1972" i="8"/>
  <c r="I1973" i="8"/>
  <c r="I1974" i="8"/>
  <c r="I1975" i="8"/>
  <c r="I1976" i="8"/>
  <c r="I1977" i="8"/>
  <c r="I1978" i="8"/>
  <c r="I1979" i="8"/>
  <c r="I1980" i="8"/>
  <c r="I1981" i="8"/>
  <c r="I1982" i="8"/>
  <c r="I1983" i="8"/>
  <c r="I1984" i="8"/>
  <c r="I1985" i="8"/>
  <c r="I1986" i="8"/>
  <c r="I1987" i="8"/>
  <c r="I1988" i="8"/>
  <c r="I1989" i="8"/>
  <c r="I1990" i="8"/>
  <c r="I1991" i="8"/>
  <c r="I1992" i="8"/>
  <c r="I1993" i="8"/>
  <c r="I1994" i="8"/>
  <c r="I1995" i="8"/>
  <c r="I1996" i="8"/>
  <c r="I1997" i="8"/>
  <c r="I1998" i="8"/>
  <c r="I1999" i="8"/>
  <c r="I2000" i="8"/>
  <c r="I2001" i="8"/>
  <c r="I2002" i="8"/>
  <c r="I2003" i="8"/>
  <c r="I2004" i="8"/>
  <c r="I2005" i="8"/>
  <c r="I2006" i="8"/>
  <c r="I2007" i="8"/>
  <c r="I2008" i="8"/>
  <c r="I2009" i="8"/>
  <c r="I2010" i="8"/>
  <c r="I2011" i="8"/>
  <c r="I2012" i="8"/>
  <c r="I2013" i="8"/>
  <c r="I2014" i="8"/>
  <c r="I2015" i="8"/>
  <c r="I2016" i="8"/>
  <c r="I2017" i="8"/>
  <c r="I2018" i="8"/>
  <c r="I2019" i="8"/>
  <c r="I2020" i="8"/>
  <c r="I2021" i="8"/>
  <c r="I2022" i="8"/>
  <c r="I2023" i="8"/>
  <c r="I2024" i="8"/>
  <c r="I2025" i="8"/>
  <c r="I2026" i="8"/>
  <c r="I2027" i="8"/>
  <c r="I2028" i="8"/>
  <c r="I2029" i="8"/>
  <c r="I2030" i="8"/>
  <c r="I2031" i="8"/>
  <c r="I2032" i="8"/>
  <c r="I2033" i="8"/>
  <c r="I2034" i="8"/>
  <c r="I2035" i="8"/>
  <c r="I2036" i="8"/>
  <c r="I2037" i="8"/>
  <c r="I2038" i="8"/>
  <c r="I2039" i="8"/>
  <c r="I2040" i="8"/>
  <c r="I2041" i="8"/>
  <c r="I2042" i="8"/>
  <c r="I2043" i="8"/>
  <c r="I2044" i="8"/>
  <c r="I2045" i="8"/>
  <c r="I2046" i="8"/>
  <c r="I2047" i="8"/>
  <c r="I2048" i="8"/>
  <c r="I2049" i="8"/>
  <c r="I2050" i="8"/>
  <c r="I2051" i="8"/>
  <c r="I2052" i="8"/>
  <c r="I2053" i="8"/>
  <c r="I2054" i="8"/>
  <c r="I2055" i="8"/>
  <c r="I2056" i="8"/>
  <c r="I2057" i="8"/>
  <c r="I2058" i="8"/>
  <c r="I2059" i="8"/>
  <c r="I2060" i="8"/>
  <c r="I2061" i="8"/>
  <c r="I2062" i="8"/>
  <c r="I2063" i="8"/>
  <c r="I2064" i="8"/>
  <c r="I2065" i="8"/>
  <c r="I2066" i="8"/>
  <c r="I2067" i="8"/>
  <c r="I2068" i="8"/>
  <c r="I2069" i="8"/>
  <c r="I2070" i="8"/>
  <c r="I2071" i="8"/>
  <c r="I2072" i="8"/>
  <c r="I2073" i="8"/>
  <c r="I2074" i="8"/>
  <c r="I2075" i="8"/>
  <c r="I2076" i="8"/>
  <c r="I2077" i="8"/>
  <c r="I2078" i="8"/>
  <c r="I2079" i="8"/>
  <c r="I2080" i="8"/>
  <c r="G2081" i="8"/>
  <c r="H2081" i="8"/>
  <c r="I2081" i="8"/>
  <c r="I2082" i="8"/>
  <c r="I2083" i="8"/>
  <c r="I2084" i="8"/>
  <c r="I2085" i="8"/>
  <c r="I2086" i="8"/>
  <c r="G2087" i="8"/>
  <c r="H2087" i="8"/>
  <c r="I2087" i="8"/>
  <c r="G2088" i="8"/>
  <c r="H2088" i="8"/>
  <c r="I2088" i="8"/>
  <c r="I2089" i="8"/>
  <c r="I2090" i="8"/>
  <c r="I2091" i="8"/>
  <c r="I2092" i="8"/>
  <c r="I2093" i="8"/>
  <c r="I2094" i="8"/>
  <c r="I2095" i="8"/>
  <c r="G2096" i="8"/>
  <c r="H2096" i="8"/>
  <c r="I2096" i="8"/>
  <c r="I2097" i="8"/>
  <c r="I2098" i="8"/>
  <c r="G2099" i="8"/>
  <c r="H2099" i="8"/>
  <c r="I2099" i="8"/>
  <c r="G2100" i="8"/>
  <c r="H2100" i="8"/>
  <c r="I2100" i="8"/>
  <c r="I2101" i="8"/>
  <c r="I2102" i="8"/>
  <c r="I2103" i="8"/>
  <c r="G2104" i="8"/>
  <c r="H2104" i="8"/>
  <c r="I2104" i="8"/>
  <c r="I2105" i="8"/>
  <c r="I2106" i="8"/>
  <c r="I2107" i="8"/>
  <c r="I2108" i="8"/>
  <c r="I2109" i="8"/>
  <c r="I2110" i="8"/>
  <c r="I2111" i="8"/>
  <c r="I2112" i="8"/>
  <c r="I2113" i="8"/>
  <c r="I2114" i="8"/>
  <c r="I2115" i="8"/>
  <c r="I2116" i="8"/>
  <c r="I2117" i="8"/>
  <c r="I2118" i="8"/>
  <c r="I2119" i="8"/>
  <c r="I2120" i="8"/>
  <c r="I2121" i="8"/>
  <c r="I2122" i="8"/>
  <c r="I2123" i="8"/>
  <c r="I2124" i="8"/>
  <c r="I2125" i="8"/>
  <c r="I2126" i="8"/>
  <c r="I2127" i="8"/>
  <c r="I2128" i="8"/>
  <c r="I2129" i="8"/>
  <c r="I2130" i="8"/>
  <c r="I2131" i="8"/>
  <c r="I2132" i="8"/>
  <c r="I2133" i="8"/>
  <c r="I2134" i="8"/>
  <c r="I2135" i="8"/>
  <c r="I2136" i="8"/>
  <c r="I2137" i="8"/>
  <c r="I2138" i="8"/>
  <c r="I2139" i="8"/>
  <c r="I2140" i="8"/>
  <c r="I2141" i="8"/>
  <c r="I2142" i="8"/>
  <c r="I2143" i="8"/>
  <c r="I2144" i="8"/>
  <c r="I2145" i="8"/>
  <c r="I2146" i="8"/>
  <c r="I2147" i="8"/>
  <c r="I2148" i="8"/>
  <c r="I2149" i="8"/>
  <c r="I2150" i="8"/>
  <c r="I2151" i="8"/>
  <c r="I2152" i="8"/>
  <c r="I2153" i="8"/>
  <c r="I2154" i="8"/>
  <c r="I2155" i="8"/>
  <c r="I2156" i="8"/>
  <c r="I2157" i="8"/>
  <c r="I2158" i="8"/>
  <c r="I2159" i="8"/>
  <c r="I2160" i="8"/>
  <c r="I2161" i="8"/>
  <c r="I2162" i="8"/>
  <c r="I2163" i="8"/>
  <c r="I2164" i="8"/>
  <c r="I2165" i="8"/>
  <c r="I2166" i="8"/>
  <c r="I2167" i="8"/>
  <c r="I2168" i="8"/>
  <c r="I2169" i="8"/>
  <c r="I2170" i="8"/>
  <c r="I2171" i="8"/>
  <c r="I2172" i="8"/>
  <c r="I2173" i="8"/>
  <c r="I2174" i="8"/>
  <c r="I2175" i="8"/>
  <c r="I2176" i="8"/>
  <c r="I2177" i="8"/>
  <c r="I2178" i="8"/>
  <c r="I2179" i="8"/>
  <c r="I2180" i="8"/>
  <c r="I2181" i="8"/>
  <c r="I2182" i="8"/>
  <c r="I2183" i="8"/>
  <c r="I2184" i="8"/>
  <c r="I2185" i="8"/>
  <c r="I2186" i="8"/>
  <c r="I2187" i="8"/>
  <c r="I2188" i="8"/>
  <c r="I2189" i="8"/>
  <c r="I2190" i="8"/>
  <c r="I2191" i="8"/>
  <c r="I2192" i="8"/>
  <c r="I2193" i="8"/>
  <c r="I2194" i="8"/>
  <c r="I2195" i="8"/>
  <c r="I2196" i="8"/>
  <c r="I2197" i="8"/>
  <c r="I2198" i="8"/>
  <c r="I2199" i="8"/>
  <c r="I2200" i="8"/>
  <c r="I2201" i="8"/>
  <c r="I2202" i="8"/>
  <c r="I2203" i="8"/>
  <c r="I2204" i="8"/>
  <c r="I2205" i="8"/>
  <c r="I2206" i="8"/>
  <c r="I2207" i="8"/>
  <c r="I2208" i="8"/>
  <c r="I2209" i="8"/>
  <c r="I2210" i="8"/>
  <c r="I2211" i="8"/>
  <c r="I2212" i="8"/>
  <c r="I2213" i="8"/>
  <c r="I2214" i="8"/>
  <c r="I2215" i="8"/>
  <c r="I2216" i="8"/>
  <c r="G2217" i="8"/>
  <c r="H2217" i="8"/>
  <c r="I2217" i="8"/>
  <c r="G2218" i="8"/>
  <c r="H2218" i="8"/>
  <c r="I2218" i="8"/>
  <c r="G2219" i="8"/>
  <c r="H2219" i="8"/>
  <c r="I2219" i="8"/>
  <c r="I2220" i="8"/>
  <c r="I2221" i="8"/>
  <c r="I2222" i="8"/>
  <c r="I2223" i="8"/>
  <c r="I2224" i="8"/>
  <c r="I2225" i="8"/>
  <c r="I2226" i="8"/>
  <c r="I2227" i="8"/>
  <c r="I2228" i="8"/>
  <c r="I2229" i="8"/>
  <c r="I2230" i="8"/>
  <c r="I2231" i="8"/>
  <c r="I2232" i="8"/>
  <c r="I2233" i="8"/>
  <c r="I2234" i="8"/>
  <c r="I2235" i="8"/>
  <c r="I2236" i="8"/>
  <c r="I2237" i="8"/>
  <c r="I2238" i="8"/>
  <c r="I2239" i="8"/>
  <c r="I2240" i="8"/>
  <c r="I2241" i="8"/>
  <c r="I2242" i="8"/>
  <c r="I2243" i="8"/>
  <c r="I2244" i="8"/>
  <c r="I2245" i="8"/>
  <c r="I2246" i="8"/>
  <c r="I2247" i="8"/>
  <c r="I2248" i="8"/>
  <c r="I2249" i="8"/>
  <c r="I2250" i="8"/>
  <c r="I2251" i="8"/>
  <c r="I2252" i="8"/>
  <c r="I2253" i="8"/>
  <c r="I2254" i="8"/>
  <c r="G2255" i="8"/>
  <c r="H2255" i="8"/>
  <c r="I2255" i="8"/>
  <c r="I2256" i="8"/>
  <c r="I2257" i="8"/>
  <c r="I2258" i="8"/>
  <c r="I2259" i="8"/>
  <c r="I2260" i="8"/>
  <c r="I2261" i="8"/>
  <c r="I2262" i="8"/>
  <c r="I2263" i="8"/>
  <c r="I2264" i="8"/>
  <c r="I2265" i="8"/>
  <c r="I2266" i="8"/>
  <c r="I2267" i="8"/>
  <c r="I2268" i="8"/>
  <c r="I2269" i="8"/>
  <c r="I2270" i="8"/>
  <c r="I2271" i="8"/>
  <c r="I2272" i="8"/>
  <c r="I2273" i="8"/>
  <c r="I2274" i="8"/>
  <c r="I2275" i="8"/>
  <c r="I2276" i="8"/>
  <c r="I2277" i="8"/>
  <c r="I2278" i="8"/>
  <c r="I2279" i="8"/>
  <c r="I2280" i="8"/>
  <c r="I2281" i="8"/>
  <c r="I2282" i="8"/>
  <c r="I2283" i="8"/>
  <c r="I2284" i="8"/>
  <c r="I2285" i="8"/>
  <c r="I2286" i="8"/>
  <c r="I2287" i="8"/>
  <c r="I2288" i="8"/>
  <c r="I2289" i="8"/>
  <c r="G2290" i="8"/>
  <c r="H2290" i="8"/>
  <c r="I2290" i="8"/>
  <c r="I2291" i="8"/>
  <c r="I2292" i="8"/>
  <c r="I2293" i="8"/>
  <c r="I2294" i="8"/>
  <c r="G2295" i="8"/>
  <c r="H2295" i="8"/>
  <c r="I2295" i="8"/>
  <c r="I2296" i="8"/>
  <c r="I2297" i="8"/>
  <c r="I2298" i="8"/>
  <c r="G2299" i="8"/>
  <c r="H2299" i="8"/>
  <c r="I2299" i="8"/>
  <c r="I2300" i="8"/>
  <c r="I2301" i="8"/>
  <c r="I2302" i="8"/>
  <c r="I2303" i="8"/>
  <c r="I2304" i="8"/>
  <c r="I2305" i="8"/>
  <c r="I2306" i="8"/>
  <c r="I2307" i="8"/>
  <c r="I2308" i="8"/>
  <c r="I2309" i="8"/>
  <c r="I2310" i="8"/>
  <c r="I2311" i="8"/>
  <c r="I2312" i="8"/>
  <c r="I2313" i="8"/>
  <c r="I2314" i="8"/>
  <c r="G2315" i="8"/>
  <c r="H2315" i="8"/>
  <c r="I2315" i="8"/>
  <c r="I2316" i="8"/>
  <c r="I2317" i="8"/>
  <c r="I2318" i="8"/>
  <c r="I2319" i="8"/>
  <c r="I2320" i="8"/>
  <c r="I2321" i="8"/>
  <c r="I2322" i="8"/>
  <c r="I2323" i="8"/>
  <c r="I2324" i="8"/>
  <c r="I2325" i="8"/>
  <c r="I2326" i="8"/>
  <c r="I2327" i="8"/>
  <c r="I2328" i="8"/>
  <c r="I2329" i="8"/>
  <c r="I2330" i="8"/>
  <c r="I2331" i="8"/>
  <c r="I2332" i="8"/>
  <c r="G2333" i="8"/>
  <c r="H2333" i="8"/>
  <c r="I2333" i="8"/>
  <c r="G2334" i="8"/>
  <c r="H2334" i="8"/>
  <c r="I2334" i="8"/>
  <c r="G2335" i="8"/>
  <c r="H2335" i="8"/>
  <c r="I2335" i="8"/>
  <c r="I2336" i="8"/>
  <c r="I2337" i="8"/>
  <c r="I2338" i="8"/>
  <c r="H2339" i="8"/>
  <c r="I2339" i="8"/>
  <c r="I2340" i="8"/>
  <c r="I2341" i="8"/>
  <c r="I2342" i="8"/>
  <c r="I2343" i="8"/>
  <c r="I2344" i="8"/>
  <c r="I2345" i="8"/>
  <c r="I2346" i="8"/>
  <c r="I2347" i="8"/>
  <c r="I2348" i="8"/>
  <c r="I2349" i="8"/>
  <c r="I2350" i="8"/>
  <c r="I2351" i="8"/>
  <c r="I2352" i="8"/>
  <c r="I2353" i="8"/>
  <c r="I2354" i="8"/>
  <c r="I2355" i="8"/>
  <c r="I2356" i="8"/>
  <c r="I2357" i="8"/>
  <c r="I2358" i="8"/>
  <c r="I2359" i="8"/>
  <c r="I2360" i="8"/>
  <c r="I2361" i="8"/>
  <c r="I2362" i="8"/>
  <c r="I2363" i="8"/>
  <c r="I2364" i="8"/>
  <c r="I2365" i="8"/>
  <c r="I2366" i="8"/>
  <c r="I2367" i="8"/>
  <c r="G2368" i="8"/>
  <c r="H2368" i="8"/>
  <c r="I2368" i="8"/>
  <c r="I2369" i="8"/>
  <c r="I2370" i="8"/>
  <c r="I2371" i="8"/>
  <c r="I2372" i="8"/>
  <c r="I2373" i="8"/>
  <c r="I2374" i="8"/>
  <c r="I2375" i="8"/>
  <c r="I2376" i="8"/>
  <c r="I2377" i="8"/>
  <c r="I2378" i="8"/>
  <c r="I2379" i="8"/>
  <c r="I2380" i="8"/>
  <c r="I2381" i="8"/>
  <c r="I2382" i="8"/>
  <c r="I2383" i="8"/>
  <c r="G2384" i="8"/>
  <c r="H2384" i="8"/>
  <c r="I2384" i="8"/>
  <c r="I2385" i="8"/>
  <c r="I2386" i="8"/>
  <c r="I2387" i="8"/>
  <c r="I2388" i="8"/>
  <c r="I2389" i="8"/>
  <c r="I2390" i="8"/>
  <c r="I2391" i="8"/>
  <c r="I2392" i="8"/>
  <c r="I2393" i="8"/>
  <c r="G2394" i="8"/>
  <c r="H2394" i="8"/>
  <c r="I2394" i="8"/>
  <c r="I2395" i="8"/>
  <c r="I2396" i="8"/>
  <c r="I2397" i="8"/>
  <c r="I2398" i="8"/>
  <c r="I2399" i="8"/>
  <c r="I2400" i="8"/>
  <c r="I2401" i="8"/>
  <c r="I2402" i="8"/>
  <c r="I2403" i="8"/>
  <c r="I2404" i="8"/>
  <c r="I2405" i="8"/>
  <c r="I2406" i="8"/>
  <c r="I2407" i="8"/>
  <c r="I2408" i="8"/>
  <c r="I2409" i="8"/>
  <c r="I2410" i="8"/>
  <c r="I2411" i="8"/>
  <c r="I2412" i="8"/>
  <c r="I2413" i="8"/>
  <c r="I2414" i="8"/>
  <c r="I2415" i="8"/>
  <c r="I2416" i="8"/>
  <c r="I2417" i="8"/>
  <c r="I2418" i="8"/>
  <c r="I2419" i="8"/>
  <c r="I2420" i="8"/>
  <c r="I2421" i="8"/>
  <c r="I2422" i="8"/>
  <c r="I2423" i="8"/>
  <c r="I2424" i="8"/>
  <c r="I2425" i="8"/>
  <c r="I2426" i="8"/>
  <c r="I2427" i="8"/>
  <c r="I2428" i="8"/>
  <c r="I2429" i="8"/>
  <c r="I2430" i="8"/>
  <c r="I2431" i="8"/>
  <c r="I2432" i="8"/>
  <c r="I2433" i="8"/>
  <c r="I2434" i="8"/>
  <c r="I2435" i="8"/>
  <c r="I2436" i="8"/>
  <c r="I2437" i="8"/>
  <c r="I2438" i="8"/>
  <c r="I2439" i="8"/>
  <c r="I2440" i="8"/>
  <c r="I2441" i="8"/>
  <c r="I2442" i="8"/>
  <c r="I2443" i="8"/>
  <c r="I2444" i="8"/>
  <c r="I2445" i="8"/>
  <c r="I2446" i="8"/>
  <c r="I2447" i="8"/>
  <c r="I2448" i="8"/>
  <c r="I2449" i="8"/>
  <c r="I2450" i="8"/>
  <c r="I2451" i="8"/>
  <c r="I2452" i="8"/>
  <c r="I2453" i="8"/>
  <c r="I2454" i="8"/>
  <c r="I2455" i="8"/>
  <c r="I2456" i="8"/>
  <c r="I2457" i="8"/>
  <c r="I2458" i="8"/>
  <c r="I2459" i="8"/>
  <c r="I2460" i="8"/>
  <c r="I2461" i="8"/>
  <c r="I2462" i="8"/>
  <c r="I2463" i="8"/>
  <c r="I2464" i="8"/>
  <c r="I2465" i="8"/>
  <c r="I2466" i="8"/>
  <c r="I2467" i="8"/>
  <c r="I2468" i="8"/>
  <c r="I2469" i="8"/>
  <c r="I2470" i="8"/>
  <c r="I2471" i="8"/>
  <c r="I2472" i="8"/>
  <c r="I2473" i="8"/>
  <c r="I2474" i="8"/>
  <c r="I2475" i="8"/>
  <c r="I2476" i="8"/>
  <c r="I2477" i="8"/>
  <c r="I2478" i="8"/>
  <c r="I2479" i="8"/>
  <c r="I2480" i="8"/>
  <c r="I2481" i="8"/>
  <c r="I2482" i="8"/>
  <c r="I2483" i="8"/>
  <c r="I2484" i="8"/>
  <c r="I2485" i="8"/>
  <c r="I2486" i="8"/>
  <c r="I2487" i="8"/>
  <c r="I2488" i="8"/>
  <c r="I2489" i="8"/>
  <c r="I2490" i="8"/>
  <c r="I2491" i="8"/>
  <c r="I2492" i="8"/>
  <c r="I2493" i="8"/>
  <c r="I2494" i="8"/>
  <c r="I2495" i="8"/>
  <c r="I2496" i="8"/>
  <c r="I2497" i="8"/>
  <c r="I2498" i="8"/>
  <c r="I2499" i="8"/>
  <c r="I2500" i="8"/>
  <c r="I2501" i="8"/>
  <c r="I2502" i="8"/>
  <c r="I2503" i="8"/>
  <c r="G2504" i="8"/>
  <c r="H2504" i="8"/>
  <c r="I2504" i="8"/>
  <c r="I2505" i="8"/>
  <c r="I2506" i="8"/>
  <c r="I2507" i="8"/>
  <c r="I2508" i="8"/>
  <c r="I2509" i="8"/>
  <c r="I2510" i="8"/>
  <c r="I2511" i="8"/>
  <c r="I2512" i="8"/>
  <c r="I2513" i="8"/>
  <c r="I2514" i="8"/>
  <c r="I2515" i="8"/>
  <c r="I2516" i="8"/>
  <c r="I2517" i="8"/>
  <c r="I2518" i="8"/>
  <c r="I2519" i="8"/>
  <c r="I2520" i="8"/>
  <c r="I2521" i="8"/>
  <c r="I2522" i="8"/>
  <c r="I2523" i="8"/>
  <c r="I2524" i="8"/>
  <c r="I2525" i="8"/>
  <c r="I2526" i="8"/>
  <c r="I2527" i="8"/>
  <c r="I2528" i="8"/>
  <c r="I2529" i="8"/>
  <c r="I2530" i="8"/>
  <c r="I2531" i="8"/>
  <c r="I2532" i="8"/>
  <c r="I2533" i="8"/>
  <c r="I2534" i="8"/>
  <c r="I2535" i="8"/>
  <c r="I2536" i="8"/>
  <c r="I2537" i="8"/>
  <c r="I2538" i="8"/>
  <c r="I2539" i="8"/>
  <c r="I2540" i="8"/>
  <c r="I2541" i="8"/>
  <c r="I2542" i="8"/>
  <c r="I2543" i="8"/>
  <c r="I2544" i="8"/>
  <c r="I2545" i="8"/>
  <c r="I2546" i="8"/>
  <c r="I2547" i="8"/>
  <c r="I2548" i="8"/>
  <c r="I2549" i="8"/>
  <c r="I2550" i="8"/>
  <c r="I2551" i="8"/>
  <c r="I2552" i="8"/>
  <c r="I2553" i="8"/>
  <c r="I2554" i="8"/>
  <c r="I2555" i="8"/>
  <c r="I2556" i="8"/>
  <c r="I2557" i="8"/>
  <c r="I2558" i="8"/>
  <c r="I2559" i="8"/>
  <c r="I2560" i="8"/>
  <c r="I2561" i="8"/>
  <c r="I2562" i="8"/>
  <c r="I2563" i="8"/>
  <c r="I2564" i="8"/>
  <c r="I2565" i="8"/>
  <c r="I2566" i="8"/>
  <c r="I2567" i="8"/>
  <c r="I2568" i="8"/>
  <c r="I2569" i="8"/>
  <c r="I2570" i="8"/>
  <c r="I2571" i="8"/>
  <c r="I2572" i="8"/>
  <c r="I2573" i="8"/>
  <c r="I2574" i="8"/>
  <c r="I2575" i="8"/>
  <c r="I2576" i="8"/>
  <c r="I2577" i="8"/>
  <c r="I2578" i="8"/>
  <c r="I2579" i="8"/>
  <c r="I2580" i="8"/>
  <c r="I2581" i="8"/>
  <c r="I2582" i="8"/>
  <c r="I2583" i="8"/>
  <c r="I2584" i="8"/>
  <c r="I2585" i="8"/>
  <c r="I2586" i="8"/>
  <c r="I2587" i="8"/>
  <c r="I2588" i="8"/>
  <c r="I2589" i="8"/>
  <c r="I2590" i="8"/>
  <c r="I2591" i="8"/>
  <c r="I2592" i="8"/>
  <c r="G2593" i="8"/>
  <c r="H2593" i="8"/>
  <c r="I2593" i="8"/>
  <c r="I2594" i="8"/>
  <c r="G2595" i="8"/>
  <c r="H2595" i="8"/>
  <c r="I2595" i="8"/>
  <c r="G2596" i="8"/>
  <c r="H2596" i="8"/>
  <c r="I2596" i="8"/>
  <c r="G2597" i="8"/>
  <c r="H2597" i="8"/>
  <c r="I2597" i="8"/>
  <c r="G2598" i="8"/>
  <c r="H2598" i="8"/>
  <c r="I2598" i="8"/>
  <c r="G2599" i="8"/>
  <c r="H2599" i="8"/>
  <c r="I2599" i="8"/>
  <c r="G2600" i="8"/>
  <c r="H2600" i="8"/>
  <c r="I2600" i="8"/>
  <c r="G2601" i="8"/>
  <c r="H2601" i="8"/>
  <c r="I2601" i="8"/>
  <c r="G2602" i="8"/>
  <c r="H2602" i="8"/>
  <c r="I2602" i="8"/>
  <c r="G2603" i="8"/>
  <c r="H2603" i="8"/>
  <c r="I2603" i="8"/>
  <c r="G2604" i="8"/>
  <c r="H2604" i="8"/>
  <c r="I2604" i="8"/>
  <c r="G2605" i="8"/>
  <c r="H2605" i="8"/>
  <c r="I2605" i="8"/>
  <c r="G2606" i="8"/>
  <c r="H2606" i="8"/>
  <c r="I2606" i="8"/>
  <c r="G2607" i="8"/>
  <c r="H2607" i="8"/>
  <c r="I2607" i="8"/>
  <c r="G2608" i="8"/>
  <c r="H2608" i="8"/>
  <c r="I2608" i="8"/>
  <c r="G2609" i="8"/>
  <c r="H2609" i="8"/>
  <c r="I2609" i="8"/>
  <c r="I2610" i="8"/>
  <c r="G2611" i="8"/>
  <c r="H2611" i="8"/>
  <c r="I2611" i="8"/>
  <c r="G2612" i="8"/>
  <c r="H2612" i="8"/>
  <c r="I2612" i="8"/>
  <c r="G2613" i="8"/>
  <c r="H2613" i="8"/>
  <c r="I2613" i="8"/>
  <c r="G2614" i="8"/>
  <c r="H2614" i="8"/>
  <c r="I2614" i="8"/>
  <c r="G2615" i="8"/>
  <c r="H2615" i="8"/>
  <c r="I2615" i="8"/>
  <c r="G2616" i="8"/>
  <c r="H2616" i="8"/>
  <c r="I2616" i="8"/>
  <c r="G2617" i="8"/>
  <c r="H2617" i="8"/>
  <c r="I2617" i="8"/>
  <c r="G2618" i="8"/>
  <c r="H2618" i="8"/>
  <c r="I2618" i="8"/>
  <c r="G2619" i="8"/>
  <c r="H2619" i="8"/>
  <c r="I2619" i="8"/>
  <c r="G2620" i="8"/>
  <c r="H2620" i="8"/>
  <c r="I2620" i="8"/>
  <c r="I2621" i="8"/>
  <c r="G2622" i="8"/>
  <c r="H2622" i="8"/>
  <c r="I2622" i="8"/>
  <c r="G2623" i="8"/>
  <c r="H2623" i="8"/>
  <c r="I2623" i="8"/>
  <c r="I2624" i="8"/>
  <c r="I2625" i="8"/>
  <c r="I2626" i="8"/>
  <c r="I2627" i="8"/>
  <c r="I2628" i="8"/>
  <c r="I2629" i="8"/>
  <c r="I2630" i="8"/>
  <c r="I2631" i="8"/>
  <c r="I2632" i="8"/>
  <c r="I2633" i="8"/>
  <c r="I2634" i="8"/>
  <c r="I2635" i="8"/>
  <c r="I2636" i="8"/>
  <c r="I2637" i="8"/>
  <c r="I2638" i="8"/>
  <c r="I2639" i="8"/>
  <c r="I2640" i="8"/>
  <c r="I2641" i="8"/>
  <c r="I2642" i="8"/>
  <c r="I2643" i="8"/>
  <c r="I2644" i="8"/>
  <c r="I2645" i="8"/>
  <c r="I2646" i="8"/>
  <c r="I2647" i="8"/>
  <c r="I2648" i="8"/>
  <c r="I2649" i="8"/>
  <c r="I2650" i="8"/>
  <c r="I2651" i="8"/>
  <c r="I2652" i="8"/>
  <c r="I2653" i="8"/>
  <c r="I2654" i="8"/>
  <c r="I2655" i="8"/>
  <c r="I2656" i="8"/>
  <c r="I2657" i="8"/>
  <c r="I2658" i="8"/>
  <c r="I2659" i="8"/>
  <c r="I2660" i="8"/>
  <c r="I2661" i="8"/>
  <c r="I2662" i="8"/>
  <c r="I2663" i="8"/>
  <c r="I2664" i="8"/>
  <c r="I2665" i="8"/>
  <c r="I2666" i="8"/>
  <c r="I2667" i="8"/>
  <c r="I2668" i="8"/>
  <c r="I2669" i="8"/>
  <c r="I2670" i="8"/>
  <c r="I2671" i="8"/>
  <c r="I2672" i="8"/>
  <c r="I2673" i="8"/>
  <c r="I2674" i="8"/>
  <c r="I2675" i="8"/>
  <c r="I2676" i="8"/>
  <c r="I2677" i="8"/>
  <c r="I2678" i="8"/>
  <c r="I2679" i="8"/>
  <c r="I2680" i="8"/>
  <c r="I2681" i="8"/>
  <c r="I2682" i="8"/>
  <c r="G2683" i="8"/>
  <c r="H2683" i="8"/>
  <c r="I2683" i="8"/>
  <c r="G2684" i="8"/>
  <c r="H2684" i="8"/>
  <c r="I2684" i="8"/>
  <c r="G2685" i="8"/>
  <c r="H2685" i="8"/>
  <c r="I2685" i="8"/>
  <c r="G2686" i="8"/>
  <c r="H2686" i="8"/>
  <c r="I2686" i="8"/>
  <c r="G2687" i="8"/>
  <c r="H2687" i="8"/>
  <c r="I2687" i="8"/>
  <c r="I2688" i="8"/>
  <c r="I2689" i="8"/>
  <c r="I2690" i="8"/>
  <c r="I2691" i="8"/>
  <c r="I2692" i="8"/>
  <c r="I2693" i="8"/>
  <c r="G2694" i="8"/>
  <c r="H2694" i="8"/>
  <c r="I2694" i="8"/>
  <c r="G2695" i="8"/>
  <c r="H2695" i="8"/>
  <c r="I2695" i="8"/>
  <c r="H2696" i="8"/>
  <c r="I2696" i="8"/>
  <c r="H2697" i="8"/>
  <c r="I2697" i="8"/>
  <c r="I2698" i="8"/>
  <c r="I2699" i="8"/>
  <c r="I2700" i="8"/>
  <c r="I2701" i="8"/>
  <c r="I2702" i="8"/>
  <c r="I2703" i="8"/>
  <c r="I2704" i="8"/>
  <c r="I2705" i="8"/>
  <c r="G2706" i="8"/>
  <c r="H2706" i="8"/>
  <c r="I2706" i="8"/>
  <c r="G2707" i="8"/>
  <c r="H2707" i="8"/>
  <c r="I2707" i="8"/>
  <c r="H2708" i="8"/>
  <c r="I2708" i="8"/>
  <c r="G2709" i="8"/>
  <c r="H2709" i="8"/>
  <c r="I2709" i="8"/>
  <c r="G2710" i="8"/>
  <c r="H2710" i="8"/>
  <c r="I2710" i="8"/>
  <c r="H2711" i="8"/>
  <c r="I2711" i="8"/>
  <c r="H2712" i="8"/>
  <c r="I2712" i="8"/>
  <c r="H2713" i="8"/>
  <c r="I2713" i="8"/>
  <c r="H2714" i="8"/>
  <c r="I2714" i="8"/>
  <c r="H2715" i="8"/>
  <c r="I2715" i="8"/>
  <c r="I2716" i="8"/>
  <c r="I2717" i="8"/>
  <c r="I2718" i="8"/>
  <c r="I2719" i="8"/>
  <c r="I2720" i="8"/>
  <c r="I2721" i="8"/>
  <c r="G2722" i="8"/>
  <c r="H2722" i="8"/>
  <c r="I2722" i="8"/>
  <c r="I2723" i="8"/>
  <c r="G2724" i="8"/>
  <c r="H2724" i="8"/>
  <c r="I2724" i="8"/>
  <c r="G2725" i="8"/>
  <c r="H2725" i="8"/>
  <c r="I2725" i="8"/>
  <c r="I2726" i="8"/>
  <c r="I2727" i="8"/>
  <c r="I2728" i="8"/>
  <c r="G2729" i="8"/>
  <c r="H2729" i="8"/>
  <c r="I2729" i="8"/>
  <c r="I2730" i="8"/>
  <c r="I2731" i="8"/>
  <c r="I2732" i="8"/>
  <c r="I2733" i="8"/>
  <c r="I2734" i="8"/>
  <c r="G2735" i="8"/>
  <c r="H2735" i="8"/>
  <c r="I2735" i="8"/>
  <c r="G2736" i="8"/>
  <c r="H2736" i="8"/>
  <c r="I2736" i="8"/>
  <c r="I2737" i="8"/>
  <c r="I2738" i="8"/>
  <c r="I2739" i="8"/>
  <c r="G2740" i="8"/>
  <c r="H2740" i="8"/>
  <c r="I2740" i="8"/>
  <c r="I2741" i="8"/>
  <c r="G2742" i="8"/>
  <c r="H2742" i="8"/>
  <c r="I2742" i="8"/>
  <c r="I2743" i="8"/>
  <c r="G2744" i="8"/>
  <c r="H2744" i="8"/>
  <c r="I2744" i="8"/>
  <c r="I2745" i="8"/>
  <c r="I2746" i="8"/>
  <c r="G2747" i="8"/>
  <c r="H2747" i="8"/>
  <c r="I2747" i="8"/>
  <c r="G2748" i="8"/>
  <c r="H2748" i="8"/>
  <c r="I2748" i="8"/>
  <c r="I2749" i="8"/>
  <c r="G2750" i="8"/>
  <c r="H2750" i="8"/>
  <c r="I2750" i="8"/>
  <c r="I2751" i="8"/>
  <c r="G2752" i="8"/>
  <c r="H2752" i="8"/>
  <c r="I2752" i="8"/>
  <c r="G2753" i="8"/>
  <c r="H2753" i="8"/>
  <c r="I2753" i="8"/>
  <c r="I2754" i="8"/>
  <c r="I2755" i="8"/>
  <c r="I2756" i="8"/>
  <c r="G2757" i="8"/>
  <c r="H2757" i="8"/>
  <c r="I2757" i="8"/>
  <c r="I2758" i="8"/>
  <c r="I2759" i="8"/>
  <c r="I2760" i="8"/>
  <c r="I2761" i="8"/>
  <c r="I2762" i="8"/>
  <c r="I2763" i="8"/>
  <c r="I2764" i="8"/>
  <c r="G2765" i="8"/>
  <c r="H2765" i="8"/>
  <c r="I2765" i="8"/>
  <c r="I2766" i="8"/>
  <c r="I2767" i="8"/>
  <c r="I2768" i="8"/>
  <c r="I2769" i="8"/>
  <c r="I2770" i="8"/>
  <c r="I2771" i="8"/>
  <c r="I2772" i="8"/>
  <c r="I2773" i="8"/>
  <c r="I2774" i="8"/>
  <c r="I2775" i="8"/>
  <c r="I2776" i="8"/>
  <c r="I2777" i="8"/>
  <c r="I2778" i="8"/>
  <c r="I2779" i="8"/>
  <c r="I2780" i="8"/>
  <c r="I2781" i="8"/>
  <c r="I2782" i="8"/>
  <c r="G2783" i="8"/>
  <c r="H2783" i="8"/>
  <c r="I2783" i="8"/>
  <c r="I2784" i="8"/>
  <c r="I2785" i="8"/>
  <c r="I2786" i="8"/>
  <c r="I2787" i="8"/>
  <c r="I2788" i="8"/>
  <c r="G2789" i="8"/>
  <c r="H2789" i="8"/>
  <c r="I2789" i="8"/>
  <c r="I2790" i="8"/>
  <c r="I2791" i="8"/>
  <c r="I2792" i="8"/>
  <c r="I2793" i="8"/>
  <c r="I2794" i="8"/>
  <c r="I2795" i="8"/>
  <c r="I2796" i="8"/>
  <c r="I2797" i="8"/>
  <c r="I2798" i="8"/>
  <c r="I2799" i="8"/>
  <c r="I2800" i="8"/>
  <c r="I2801" i="8"/>
  <c r="I2802" i="8"/>
  <c r="I2803" i="8"/>
  <c r="I2804" i="8"/>
  <c r="I2805" i="8"/>
  <c r="G2806" i="8"/>
  <c r="H2806" i="8"/>
  <c r="I2806" i="8"/>
  <c r="I2807" i="8"/>
  <c r="I2808" i="8"/>
  <c r="I2809" i="8"/>
  <c r="I2810" i="8"/>
  <c r="I2811" i="8"/>
  <c r="G2812" i="8"/>
  <c r="H2812" i="8"/>
  <c r="I2812" i="8"/>
  <c r="G2813" i="8"/>
  <c r="H2813" i="8"/>
  <c r="I2813" i="8"/>
  <c r="G2814" i="8"/>
  <c r="H2814" i="8"/>
  <c r="I2814" i="8"/>
  <c r="G2815" i="8"/>
  <c r="H2815" i="8"/>
  <c r="I2815" i="8"/>
  <c r="G2816" i="8"/>
  <c r="H2816" i="8"/>
  <c r="I2816" i="8"/>
  <c r="G2817" i="8"/>
  <c r="H2817" i="8"/>
  <c r="I2817" i="8"/>
  <c r="G2818" i="8"/>
  <c r="H2818" i="8"/>
  <c r="I2818" i="8"/>
  <c r="G2819" i="8"/>
  <c r="H2819" i="8"/>
  <c r="I2819" i="8"/>
  <c r="G2820" i="8"/>
  <c r="H2820" i="8"/>
  <c r="I2820" i="8"/>
  <c r="G2821" i="8"/>
  <c r="H2821" i="8"/>
  <c r="I2821" i="8"/>
  <c r="G2822" i="8"/>
  <c r="H2822" i="8"/>
  <c r="I2822" i="8"/>
  <c r="G2823" i="8"/>
  <c r="H2823" i="8"/>
  <c r="I2823" i="8"/>
  <c r="G2824" i="8"/>
  <c r="H2824" i="8"/>
  <c r="I2824" i="8"/>
  <c r="G2825" i="8"/>
  <c r="H2825" i="8"/>
  <c r="I2825" i="8"/>
  <c r="I2826" i="8"/>
  <c r="I2827" i="8"/>
  <c r="G2828" i="8"/>
  <c r="H2828" i="8"/>
  <c r="I2828" i="8"/>
  <c r="G2829" i="8"/>
  <c r="H2829" i="8"/>
  <c r="I2829" i="8"/>
  <c r="G2830" i="8"/>
  <c r="H2830" i="8"/>
  <c r="I2830" i="8"/>
  <c r="G2831" i="8"/>
  <c r="H2831" i="8"/>
  <c r="I2831" i="8"/>
  <c r="G2832" i="8"/>
  <c r="H2832" i="8"/>
  <c r="I2832" i="8"/>
  <c r="G2833" i="8"/>
  <c r="H2833" i="8"/>
  <c r="I2833" i="8"/>
  <c r="I2834" i="8"/>
  <c r="I2835" i="8"/>
  <c r="I2836" i="8"/>
  <c r="I2837" i="8"/>
  <c r="I2838" i="8"/>
  <c r="I2839" i="8"/>
  <c r="I2840" i="8"/>
  <c r="I2841" i="8"/>
  <c r="I2842" i="8"/>
  <c r="I2843" i="8"/>
  <c r="I2844" i="8"/>
  <c r="I2845" i="8"/>
  <c r="I2846" i="8"/>
  <c r="I2847" i="8"/>
  <c r="I2848" i="8"/>
  <c r="I2849" i="8"/>
  <c r="I2850" i="8"/>
  <c r="I2851" i="8"/>
  <c r="I2852" i="8"/>
  <c r="G2853" i="8"/>
  <c r="H2853" i="8"/>
  <c r="I2853" i="8"/>
  <c r="G2854" i="8"/>
  <c r="H2854" i="8"/>
  <c r="I2854" i="8"/>
  <c r="G2855" i="8"/>
  <c r="H2855" i="8"/>
  <c r="I2855" i="8"/>
  <c r="I2856" i="8"/>
  <c r="G2857" i="8"/>
  <c r="H2857" i="8"/>
  <c r="I2857" i="8"/>
  <c r="G2858" i="8"/>
  <c r="H2858" i="8"/>
  <c r="I2858" i="8"/>
  <c r="G2859" i="8"/>
  <c r="H2859" i="8"/>
  <c r="I2859" i="8"/>
  <c r="G2860" i="8"/>
  <c r="H2860" i="8"/>
  <c r="I2860" i="8"/>
  <c r="G2861" i="8"/>
  <c r="H2861" i="8"/>
  <c r="I2861" i="8"/>
  <c r="I2862" i="8"/>
  <c r="I2863" i="8"/>
  <c r="I2864" i="8"/>
  <c r="I2865" i="8"/>
  <c r="I2866" i="8"/>
  <c r="I2867" i="8"/>
  <c r="G2868" i="8"/>
  <c r="H2868" i="8"/>
  <c r="I2868" i="8"/>
  <c r="G2869" i="8"/>
  <c r="H2869" i="8"/>
  <c r="I2869" i="8"/>
  <c r="G2870" i="8"/>
  <c r="H2870" i="8"/>
  <c r="I2870" i="8"/>
  <c r="G2871" i="8"/>
  <c r="H2871" i="8"/>
  <c r="I2871" i="8"/>
  <c r="G2872" i="8"/>
  <c r="H2872" i="8"/>
  <c r="I2872" i="8"/>
  <c r="G2873" i="8"/>
  <c r="H2873" i="8"/>
  <c r="I2873" i="8"/>
  <c r="G2874" i="8"/>
  <c r="H2874" i="8"/>
  <c r="I2874" i="8"/>
  <c r="G2875" i="8"/>
  <c r="H2875" i="8"/>
  <c r="I2875" i="8"/>
  <c r="G2876" i="8"/>
  <c r="H2876" i="8"/>
  <c r="I2876" i="8"/>
  <c r="G2877" i="8"/>
  <c r="H2877" i="8"/>
  <c r="I2877" i="8"/>
  <c r="G2878" i="8"/>
  <c r="H2878" i="8"/>
  <c r="I2878" i="8"/>
  <c r="G2879" i="8"/>
  <c r="H2879" i="8"/>
  <c r="I2879" i="8"/>
  <c r="G2880" i="8"/>
  <c r="H2880" i="8"/>
  <c r="I2880" i="8"/>
  <c r="G2881" i="8"/>
  <c r="H2881" i="8"/>
  <c r="I2881" i="8"/>
  <c r="G2882" i="8"/>
  <c r="H2882" i="8"/>
  <c r="I2882" i="8"/>
  <c r="G2883" i="8"/>
  <c r="H2883" i="8"/>
  <c r="I2883" i="8"/>
  <c r="G2884" i="8"/>
  <c r="H2884" i="8"/>
  <c r="I2884" i="8"/>
  <c r="G2885" i="8"/>
  <c r="H2885" i="8"/>
  <c r="I2885" i="8"/>
  <c r="G2886" i="8"/>
  <c r="H2886" i="8"/>
  <c r="I2886" i="8"/>
  <c r="G2887" i="8"/>
  <c r="H2887" i="8"/>
  <c r="I2887" i="8"/>
  <c r="I2888" i="8"/>
  <c r="I2889" i="8"/>
  <c r="G2890" i="8"/>
  <c r="H2890" i="8"/>
  <c r="I2890" i="8"/>
  <c r="G2891" i="8"/>
  <c r="H2891" i="8"/>
  <c r="I2891" i="8"/>
  <c r="G2892" i="8"/>
  <c r="H2892" i="8"/>
  <c r="I2892" i="8"/>
  <c r="G2893" i="8"/>
  <c r="H2893" i="8"/>
  <c r="I2893" i="8"/>
  <c r="G2894" i="8"/>
  <c r="H2894" i="8"/>
  <c r="I2894" i="8"/>
  <c r="G2895" i="8"/>
  <c r="H2895" i="8"/>
  <c r="I2895" i="8"/>
  <c r="G2896" i="8"/>
  <c r="H2896" i="8"/>
  <c r="I2896" i="8"/>
  <c r="G2897" i="8"/>
  <c r="H2897" i="8"/>
  <c r="I2897" i="8"/>
  <c r="G2898" i="8"/>
  <c r="H2898" i="8"/>
  <c r="I2898" i="8"/>
  <c r="G2899" i="8"/>
  <c r="H2899" i="8"/>
  <c r="I2899" i="8"/>
  <c r="G2900" i="8"/>
  <c r="H2900" i="8"/>
  <c r="I2900" i="8"/>
  <c r="G2901" i="8"/>
  <c r="H2901" i="8"/>
  <c r="I2901" i="8"/>
  <c r="G2902" i="8"/>
  <c r="H2902" i="8"/>
  <c r="I2902" i="8"/>
  <c r="G2903" i="8"/>
  <c r="H2903" i="8"/>
  <c r="I2903" i="8"/>
  <c r="G2904" i="8"/>
  <c r="H2904" i="8"/>
  <c r="I2904" i="8"/>
  <c r="G2905" i="8"/>
  <c r="H2905" i="8"/>
  <c r="I2905" i="8"/>
  <c r="G2906" i="8"/>
  <c r="H2906" i="8"/>
  <c r="I2906" i="8"/>
  <c r="G2907" i="8"/>
  <c r="H2907" i="8"/>
  <c r="I2907" i="8"/>
  <c r="G2908" i="8"/>
  <c r="H2908" i="8"/>
  <c r="I2908" i="8"/>
  <c r="G2909" i="8"/>
  <c r="H2909" i="8"/>
  <c r="I2909" i="8"/>
  <c r="G2910" i="8"/>
  <c r="H2910" i="8"/>
  <c r="I2910" i="8"/>
  <c r="G2911" i="8"/>
  <c r="H2911" i="8"/>
  <c r="I2911" i="8"/>
  <c r="G2912" i="8"/>
  <c r="H2912" i="8"/>
  <c r="I2912" i="8"/>
  <c r="I2913" i="8"/>
  <c r="I2914" i="8"/>
  <c r="I2915" i="8"/>
  <c r="I2916" i="8"/>
  <c r="I2917" i="8"/>
  <c r="I2918" i="8"/>
  <c r="I2919" i="8"/>
  <c r="I2920" i="8"/>
  <c r="I2921" i="8"/>
  <c r="I2922" i="8"/>
  <c r="G2923" i="8"/>
  <c r="H2923" i="8"/>
  <c r="I2923" i="8"/>
  <c r="G2924" i="8"/>
  <c r="H2924" i="8"/>
  <c r="I2924" i="8"/>
  <c r="I2925" i="8"/>
  <c r="G2926" i="8"/>
  <c r="H2926" i="8"/>
  <c r="I2926" i="8"/>
  <c r="G2927" i="8"/>
  <c r="H2927" i="8"/>
  <c r="I2927" i="8"/>
  <c r="I2928" i="8"/>
  <c r="G2929" i="8"/>
  <c r="H2929" i="8"/>
  <c r="I2929" i="8"/>
  <c r="G2930" i="8"/>
  <c r="H2930" i="8"/>
  <c r="I2930" i="8"/>
  <c r="G2931" i="8"/>
  <c r="H2931" i="8"/>
  <c r="I2931" i="8"/>
  <c r="G2932" i="8"/>
  <c r="H2932" i="8"/>
  <c r="I2932" i="8"/>
  <c r="G2933" i="8"/>
  <c r="H2933" i="8"/>
  <c r="I2933" i="8"/>
  <c r="G2934" i="8"/>
  <c r="H2934" i="8"/>
  <c r="I2934" i="8"/>
  <c r="I2935" i="8"/>
  <c r="G2936" i="8"/>
  <c r="H2936" i="8"/>
  <c r="I2936" i="8"/>
  <c r="G2937" i="8"/>
  <c r="H2937" i="8"/>
  <c r="I2937" i="8"/>
  <c r="G2938" i="8"/>
  <c r="H2938" i="8"/>
  <c r="I2938" i="8"/>
  <c r="G2939" i="8"/>
  <c r="H2939" i="8"/>
  <c r="I2939" i="8"/>
  <c r="G2940" i="8"/>
  <c r="H2940" i="8"/>
  <c r="I2940" i="8"/>
  <c r="I2941" i="8"/>
  <c r="I2942" i="8"/>
  <c r="I2943" i="8"/>
  <c r="I2944" i="8"/>
  <c r="G2945" i="8"/>
  <c r="H2945" i="8"/>
  <c r="I2945" i="8"/>
  <c r="G2946" i="8"/>
  <c r="H2946" i="8"/>
  <c r="I2946" i="8"/>
  <c r="I2947" i="8"/>
  <c r="G2948" i="8"/>
  <c r="H2948" i="8"/>
  <c r="I2948" i="8"/>
  <c r="I2949" i="8"/>
  <c r="I2950" i="8"/>
  <c r="I2951" i="8"/>
  <c r="I2952" i="8"/>
  <c r="I2953" i="8"/>
  <c r="I2954" i="8"/>
  <c r="I2955" i="8"/>
  <c r="I2956" i="8"/>
  <c r="I2957" i="8"/>
  <c r="I2958" i="8"/>
  <c r="I2959" i="8"/>
  <c r="I2960" i="8"/>
  <c r="I2961" i="8"/>
  <c r="I2962" i="8"/>
  <c r="I2963" i="8"/>
  <c r="I2964" i="8"/>
  <c r="I2965" i="8"/>
  <c r="I2966" i="8"/>
  <c r="I2967" i="8"/>
  <c r="I2968" i="8"/>
  <c r="I2969" i="8"/>
  <c r="I2970" i="8"/>
  <c r="I2971" i="8"/>
  <c r="I2972" i="8"/>
  <c r="I2973" i="8"/>
  <c r="I2974" i="8"/>
  <c r="G2975" i="8"/>
  <c r="H2975" i="8"/>
  <c r="I2975" i="8"/>
  <c r="I2976" i="8"/>
  <c r="I2977" i="8"/>
  <c r="G2978" i="8"/>
  <c r="H2978" i="8"/>
  <c r="I2978" i="8"/>
  <c r="G2979" i="8"/>
  <c r="H2979" i="8"/>
  <c r="I2979" i="8"/>
  <c r="G2980" i="8"/>
  <c r="H2980" i="8"/>
  <c r="I2980" i="8"/>
  <c r="G2981" i="8"/>
  <c r="H2981" i="8"/>
  <c r="I2981" i="8"/>
  <c r="G2982" i="8"/>
  <c r="H2982" i="8"/>
  <c r="I2982" i="8"/>
  <c r="I2983" i="8"/>
  <c r="G2984" i="8"/>
  <c r="H2984" i="8"/>
  <c r="I2984" i="8"/>
  <c r="G2985" i="8"/>
  <c r="H2985" i="8"/>
  <c r="I2985" i="8"/>
  <c r="I2986" i="8"/>
  <c r="I2987" i="8"/>
  <c r="I2988" i="8"/>
  <c r="I2989" i="8"/>
  <c r="G2990" i="8"/>
  <c r="H2990" i="8"/>
  <c r="I2990" i="8"/>
  <c r="G2991" i="8"/>
  <c r="H2991" i="8"/>
  <c r="I2991" i="8"/>
  <c r="G2992" i="8"/>
  <c r="H2992" i="8"/>
  <c r="I2992" i="8"/>
  <c r="G2993" i="8"/>
  <c r="H2993" i="8"/>
  <c r="I2993" i="8"/>
  <c r="G2994" i="8"/>
  <c r="H2994" i="8"/>
  <c r="I2994" i="8"/>
  <c r="G2995" i="8"/>
  <c r="H2995" i="8"/>
  <c r="I2995" i="8"/>
  <c r="G2996" i="8"/>
  <c r="H2996" i="8"/>
  <c r="I2996" i="8"/>
  <c r="I2997" i="8"/>
  <c r="I2998" i="8"/>
  <c r="I2999" i="8"/>
  <c r="I3000" i="8"/>
  <c r="G3001" i="8"/>
  <c r="H3001" i="8"/>
  <c r="I3001" i="8"/>
  <c r="G3002" i="8"/>
  <c r="H3002" i="8"/>
  <c r="I3002" i="8"/>
  <c r="G3003" i="8"/>
  <c r="H3003" i="8"/>
  <c r="I3003" i="8"/>
  <c r="G3004" i="8"/>
  <c r="H3004" i="8"/>
  <c r="I3004" i="8"/>
  <c r="I3005" i="8"/>
  <c r="I3006" i="8"/>
  <c r="I3007" i="8"/>
  <c r="I3008" i="8"/>
  <c r="I3009" i="8"/>
  <c r="I3010" i="8"/>
  <c r="G3011" i="8"/>
  <c r="H3011" i="8"/>
  <c r="I3011" i="8"/>
  <c r="G3012" i="8"/>
  <c r="H3012" i="8"/>
  <c r="I3012" i="8"/>
  <c r="G3013" i="8"/>
  <c r="H3013" i="8"/>
  <c r="I3013" i="8"/>
  <c r="G3014" i="8"/>
  <c r="H3014" i="8"/>
  <c r="I3014" i="8"/>
  <c r="I3015" i="8"/>
  <c r="I3016" i="8"/>
  <c r="I3017" i="8"/>
  <c r="G3018" i="8"/>
  <c r="H3018" i="8"/>
  <c r="I3018" i="8"/>
  <c r="G3019" i="8"/>
  <c r="H3019" i="8"/>
  <c r="I3019" i="8"/>
  <c r="G3020" i="8"/>
  <c r="H3020" i="8"/>
  <c r="I3020" i="8"/>
  <c r="I3021" i="8"/>
  <c r="G3022" i="8"/>
  <c r="H3022" i="8"/>
  <c r="I3022" i="8"/>
  <c r="I3023" i="8"/>
  <c r="G3024" i="8"/>
  <c r="H3024" i="8"/>
  <c r="I3024" i="8"/>
  <c r="G3025" i="8"/>
  <c r="H3025" i="8"/>
  <c r="I3025" i="8"/>
  <c r="G3026" i="8"/>
  <c r="H3026" i="8"/>
  <c r="I3026" i="8"/>
  <c r="G3027" i="8"/>
  <c r="H3027" i="8"/>
  <c r="I3027" i="8"/>
  <c r="G3028" i="8"/>
  <c r="H3028" i="8"/>
  <c r="I3028" i="8"/>
  <c r="G3029" i="8"/>
  <c r="H3029" i="8"/>
  <c r="I3029" i="8"/>
  <c r="G3030" i="8"/>
  <c r="H3030" i="8"/>
  <c r="I3030" i="8"/>
  <c r="G3031" i="8"/>
  <c r="H3031" i="8"/>
  <c r="I3031" i="8"/>
  <c r="G3032" i="8"/>
  <c r="H3032" i="8"/>
  <c r="I3032" i="8"/>
  <c r="G3033" i="8"/>
  <c r="H3033" i="8"/>
  <c r="I3033" i="8"/>
  <c r="G3034" i="8"/>
  <c r="H3034" i="8"/>
  <c r="I3034" i="8"/>
  <c r="G3035" i="8"/>
  <c r="H3035" i="8"/>
  <c r="I3035" i="8"/>
  <c r="G3036" i="8"/>
  <c r="H3036" i="8"/>
  <c r="I3036" i="8"/>
  <c r="G3037" i="8"/>
  <c r="H3037" i="8"/>
  <c r="I3037" i="8"/>
  <c r="G3038" i="8"/>
  <c r="H3038" i="8"/>
  <c r="I3038" i="8"/>
  <c r="G3039" i="8"/>
  <c r="H3039" i="8"/>
  <c r="I3039" i="8"/>
  <c r="G3040" i="8"/>
  <c r="H3040" i="8"/>
  <c r="I3040" i="8"/>
  <c r="G3041" i="8"/>
  <c r="H3041" i="8"/>
  <c r="I3041" i="8"/>
  <c r="G3042" i="8"/>
  <c r="H3042" i="8"/>
  <c r="I3042" i="8"/>
  <c r="G3043" i="8"/>
  <c r="H3043" i="8"/>
  <c r="I3043" i="8"/>
  <c r="G3044" i="8"/>
  <c r="H3044" i="8"/>
  <c r="I3044" i="8"/>
  <c r="G3045" i="8"/>
  <c r="H3045" i="8"/>
  <c r="I3045" i="8"/>
  <c r="G3046" i="8"/>
  <c r="H3046" i="8"/>
  <c r="I3046" i="8"/>
  <c r="G3047" i="8"/>
  <c r="H3047" i="8"/>
  <c r="I3047" i="8"/>
  <c r="G3048" i="8"/>
  <c r="H3048" i="8"/>
  <c r="I3048" i="8"/>
  <c r="G3049" i="8"/>
  <c r="H3049" i="8"/>
  <c r="I3049" i="8"/>
  <c r="G3050" i="8"/>
  <c r="H3050" i="8"/>
  <c r="I3050" i="8"/>
  <c r="G3051" i="8"/>
  <c r="H3051" i="8"/>
  <c r="I3051" i="8"/>
  <c r="G3052" i="8"/>
  <c r="H3052" i="8"/>
  <c r="I3052" i="8"/>
  <c r="G3053" i="8"/>
  <c r="H3053" i="8"/>
  <c r="I3053" i="8"/>
  <c r="I3054" i="8"/>
  <c r="I3055" i="8"/>
  <c r="I3056" i="8"/>
  <c r="I3057" i="8"/>
  <c r="I3058" i="8"/>
  <c r="I3059" i="8"/>
  <c r="I3060" i="8"/>
  <c r="I3061" i="8"/>
  <c r="I3062" i="8"/>
  <c r="I3063" i="8"/>
  <c r="I3064" i="8"/>
  <c r="I3065" i="8"/>
  <c r="I3066" i="8"/>
  <c r="I3067" i="8"/>
  <c r="I3068" i="8"/>
  <c r="I3069" i="8"/>
  <c r="I3070" i="8"/>
  <c r="I3071" i="8"/>
  <c r="I3072" i="8"/>
  <c r="I3073" i="8"/>
  <c r="I3074" i="8"/>
  <c r="I3075" i="8"/>
  <c r="I3076" i="8"/>
  <c r="I3077" i="8"/>
  <c r="I3078" i="8"/>
  <c r="I3079" i="8"/>
  <c r="I3080" i="8"/>
  <c r="I3081" i="8"/>
  <c r="I3082" i="8"/>
  <c r="I3083" i="8"/>
  <c r="I3084" i="8"/>
  <c r="I3085" i="8"/>
  <c r="I3086" i="8"/>
  <c r="I3087" i="8"/>
  <c r="I3088" i="8"/>
  <c r="G3089" i="8"/>
  <c r="H3089" i="8"/>
  <c r="I3089" i="8"/>
  <c r="G3090" i="8"/>
  <c r="H3090" i="8"/>
  <c r="I3090" i="8"/>
  <c r="G3091" i="8"/>
  <c r="H3091" i="8"/>
  <c r="I3091" i="8"/>
  <c r="G3092" i="8"/>
  <c r="H3092" i="8"/>
  <c r="I3092" i="8"/>
  <c r="G3093" i="8"/>
  <c r="H3093" i="8"/>
  <c r="I3093" i="8"/>
  <c r="G3094" i="8"/>
  <c r="H3094" i="8"/>
  <c r="I3094" i="8"/>
  <c r="G3095" i="8"/>
  <c r="H3095" i="8"/>
  <c r="I3095" i="8"/>
  <c r="G3096" i="8"/>
  <c r="H3096" i="8"/>
  <c r="I3096" i="8"/>
  <c r="G3097" i="8"/>
  <c r="H3097" i="8"/>
  <c r="I3097" i="8"/>
  <c r="G3098" i="8"/>
  <c r="H3098" i="8"/>
  <c r="I3098" i="8"/>
  <c r="I3099" i="8"/>
  <c r="G3100" i="8"/>
  <c r="H3100" i="8"/>
  <c r="I3100" i="8"/>
  <c r="G3101" i="8"/>
  <c r="H3101" i="8"/>
  <c r="I3101" i="8"/>
  <c r="I3102" i="8"/>
  <c r="I3103" i="8"/>
  <c r="I3104" i="8"/>
  <c r="I3105" i="8"/>
  <c r="I3106" i="8"/>
  <c r="I3107" i="8"/>
  <c r="I3108" i="8"/>
  <c r="I3109" i="8"/>
  <c r="I3110" i="8"/>
  <c r="I3111" i="8"/>
  <c r="I3112" i="8"/>
  <c r="I3113" i="8"/>
  <c r="I3114" i="8"/>
  <c r="I3115" i="8"/>
  <c r="G3116" i="8"/>
  <c r="H3116" i="8"/>
  <c r="I3116" i="8"/>
  <c r="G3117" i="8"/>
  <c r="H3117" i="8"/>
  <c r="I3117" i="8"/>
  <c r="I3118" i="8"/>
  <c r="I3119" i="8"/>
  <c r="I3120" i="8"/>
  <c r="I3121" i="8"/>
  <c r="I3122" i="8"/>
  <c r="I3123" i="8"/>
  <c r="I3124" i="8"/>
  <c r="I3125" i="8"/>
  <c r="I3126" i="8"/>
  <c r="I3127" i="8"/>
  <c r="I3128" i="8"/>
  <c r="I3129" i="8"/>
  <c r="I3130" i="8"/>
  <c r="H3131" i="8"/>
  <c r="I3131" i="8"/>
  <c r="H3132" i="8"/>
  <c r="I3132" i="8"/>
  <c r="H3133" i="8"/>
  <c r="I3133" i="8"/>
  <c r="I3134" i="8"/>
  <c r="I3135" i="8"/>
  <c r="G3136" i="8"/>
  <c r="H3136" i="8"/>
  <c r="I3136" i="8"/>
  <c r="G3137" i="8"/>
  <c r="H3137" i="8"/>
  <c r="I3137" i="8"/>
  <c r="I3138" i="8"/>
  <c r="I3139" i="8"/>
  <c r="H3140" i="8"/>
  <c r="I3140" i="8"/>
  <c r="G6428" i="5"/>
  <c r="G6423" i="5"/>
  <c r="G6422" i="5"/>
  <c r="D6422" i="5"/>
  <c r="B6422" i="5"/>
  <c r="G6421" i="5"/>
  <c r="G6418" i="5"/>
  <c r="G6417" i="5"/>
  <c r="D6417" i="5"/>
  <c r="B6417" i="5"/>
  <c r="D7212" i="5"/>
  <c r="B7212" i="5"/>
  <c r="D7206" i="5"/>
  <c r="B7206" i="5"/>
  <c r="D7200" i="5"/>
  <c r="B7200" i="5"/>
  <c r="G7218" i="5"/>
  <c r="G7213" i="5"/>
  <c r="G7212" i="5"/>
  <c r="G7207" i="5"/>
  <c r="G7206" i="5"/>
  <c r="G7205" i="5"/>
  <c r="G7201" i="5"/>
  <c r="G7200" i="5"/>
  <c r="G6947" i="5"/>
  <c r="G6945" i="5"/>
  <c r="D6944" i="5"/>
  <c r="B6944" i="5"/>
  <c r="G6120" i="5"/>
  <c r="G6118" i="5"/>
  <c r="G6117" i="5"/>
  <c r="D6117" i="5"/>
  <c r="B6117" i="5"/>
  <c r="G6116" i="5"/>
  <c r="G6114" i="5"/>
  <c r="D6113" i="5"/>
  <c r="B6113" i="5"/>
  <c r="G6112" i="5"/>
  <c r="G6110" i="5"/>
  <c r="D6109" i="5"/>
  <c r="B6109" i="5"/>
  <c r="B6041" i="5"/>
  <c r="D6041" i="5"/>
  <c r="G6042" i="5"/>
  <c r="G6044" i="5"/>
  <c r="G6048" i="5"/>
  <c r="G6046" i="5"/>
  <c r="D6045" i="5"/>
  <c r="B6045" i="5"/>
  <c r="G6028" i="5"/>
  <c r="G6026" i="5"/>
  <c r="D6025" i="5"/>
  <c r="B6025" i="5"/>
  <c r="G4747" i="5"/>
  <c r="G4745" i="5"/>
  <c r="D4744" i="5"/>
  <c r="B4744" i="5"/>
  <c r="G4735" i="5"/>
  <c r="G4733" i="5"/>
  <c r="D4732" i="5"/>
  <c r="B4732" i="5"/>
  <c r="G3546" i="5"/>
  <c r="G3545" i="5"/>
  <c r="G3544" i="5"/>
  <c r="G3539" i="5"/>
  <c r="G3538" i="5"/>
  <c r="D3538" i="5"/>
  <c r="B3538" i="5"/>
  <c r="G3477" i="5"/>
  <c r="G3476" i="5"/>
  <c r="G3475" i="5"/>
  <c r="G3468" i="5"/>
  <c r="G3467" i="5"/>
  <c r="D3467" i="5"/>
  <c r="B3467" i="5"/>
  <c r="D3478" i="5"/>
  <c r="G3478" i="5"/>
  <c r="G3479" i="5"/>
  <c r="G6045" i="5"/>
  <c r="G6944" i="5"/>
  <c r="G6025" i="5"/>
  <c r="G6041" i="5"/>
  <c r="G6113" i="5"/>
  <c r="G6109" i="5"/>
  <c r="G4744" i="5"/>
  <c r="G4732" i="5"/>
  <c r="G2763" i="5"/>
  <c r="G2761" i="5"/>
  <c r="D2760" i="5"/>
  <c r="B2760" i="5"/>
  <c r="G2751" i="5"/>
  <c r="G2749" i="5"/>
  <c r="D2748" i="5"/>
  <c r="B2748" i="5"/>
  <c r="G2731" i="5"/>
  <c r="G2729" i="5"/>
  <c r="D2728" i="5"/>
  <c r="B2728" i="5"/>
  <c r="G2727" i="5"/>
  <c r="G2725" i="5"/>
  <c r="D2724" i="5"/>
  <c r="B2724" i="5"/>
  <c r="G2723" i="5"/>
  <c r="G2721" i="5"/>
  <c r="D2720" i="5"/>
  <c r="B2720" i="5"/>
  <c r="G3822" i="5"/>
  <c r="G3821" i="5"/>
  <c r="D3821" i="5"/>
  <c r="B3821" i="5"/>
  <c r="G3816" i="5"/>
  <c r="G3815" i="5"/>
  <c r="D3815" i="5"/>
  <c r="B3815" i="5"/>
  <c r="G3810" i="5"/>
  <c r="G3809" i="5"/>
  <c r="D3809" i="5"/>
  <c r="B3809" i="5"/>
  <c r="G3804" i="5"/>
  <c r="G3803" i="5"/>
  <c r="D3803" i="5"/>
  <c r="B3803" i="5"/>
  <c r="G3798" i="5"/>
  <c r="G3797" i="5"/>
  <c r="D3797" i="5"/>
  <c r="B3797" i="5"/>
  <c r="G3792" i="5"/>
  <c r="G3791" i="5"/>
  <c r="D3791" i="5"/>
  <c r="B3791" i="5"/>
  <c r="G3786" i="5"/>
  <c r="G3785" i="5"/>
  <c r="D3785" i="5"/>
  <c r="B3785" i="5"/>
  <c r="G3780" i="5"/>
  <c r="G3779" i="5"/>
  <c r="D3779" i="5"/>
  <c r="B3779" i="5"/>
  <c r="G3774" i="5"/>
  <c r="G3773" i="5"/>
  <c r="D3773" i="5"/>
  <c r="B3773" i="5"/>
  <c r="G6891" i="5"/>
  <c r="G6889" i="5"/>
  <c r="D6888" i="5"/>
  <c r="B6888" i="5"/>
  <c r="G7183" i="5"/>
  <c r="G7182" i="5"/>
  <c r="G7181" i="5"/>
  <c r="G7179" i="5"/>
  <c r="G7178" i="5"/>
  <c r="D7178" i="5"/>
  <c r="B7178" i="5"/>
  <c r="G7177" i="5"/>
  <c r="G7176" i="5"/>
  <c r="G7175" i="5"/>
  <c r="G7173" i="5"/>
  <c r="G7172" i="5"/>
  <c r="D7172" i="5"/>
  <c r="B7172" i="5"/>
  <c r="G7171" i="5"/>
  <c r="G7170" i="5"/>
  <c r="G7169" i="5"/>
  <c r="G7167" i="5"/>
  <c r="G7166" i="5"/>
  <c r="D7166" i="5"/>
  <c r="B7166" i="5"/>
  <c r="G7165" i="5"/>
  <c r="G7164" i="5"/>
  <c r="G7163" i="5"/>
  <c r="G7161" i="5"/>
  <c r="G7160" i="5"/>
  <c r="D7160" i="5"/>
  <c r="B7160" i="5"/>
  <c r="G7159" i="5"/>
  <c r="G7158" i="5"/>
  <c r="G7157" i="5"/>
  <c r="G7155" i="5"/>
  <c r="G7154" i="5"/>
  <c r="D7154" i="5"/>
  <c r="B7154" i="5"/>
  <c r="G7153" i="5"/>
  <c r="G7152" i="5"/>
  <c r="G7151" i="5"/>
  <c r="G7149" i="5"/>
  <c r="G7148" i="5"/>
  <c r="D7148" i="5"/>
  <c r="B7148" i="5"/>
  <c r="G7147" i="5"/>
  <c r="G7146" i="5"/>
  <c r="G7145" i="5"/>
  <c r="G7143" i="5"/>
  <c r="G7142" i="5"/>
  <c r="D7142" i="5"/>
  <c r="B7142" i="5"/>
  <c r="G7141" i="5"/>
  <c r="G7140" i="5"/>
  <c r="G7139" i="5"/>
  <c r="G7137" i="5"/>
  <c r="G7136" i="5"/>
  <c r="D7136" i="5"/>
  <c r="B7136" i="5"/>
  <c r="G7135" i="5"/>
  <c r="G7134" i="5"/>
  <c r="G7133" i="5"/>
  <c r="G7131" i="5"/>
  <c r="G7130" i="5"/>
  <c r="D7130" i="5"/>
  <c r="B7130" i="5"/>
  <c r="G7129" i="5"/>
  <c r="G7128" i="5"/>
  <c r="G7127" i="5"/>
  <c r="G7125" i="5"/>
  <c r="G7124" i="5"/>
  <c r="D7124" i="5"/>
  <c r="B7124" i="5"/>
  <c r="G6888" i="5"/>
  <c r="G2760" i="5"/>
  <c r="G2728" i="5"/>
  <c r="G2724" i="5"/>
  <c r="G2720" i="5"/>
  <c r="G2748" i="5"/>
  <c r="G7191" i="5"/>
  <c r="G7189" i="5"/>
  <c r="D7188" i="5"/>
  <c r="B7188" i="5"/>
  <c r="G7187" i="5"/>
  <c r="G7185" i="5"/>
  <c r="D7184" i="5"/>
  <c r="B7184" i="5"/>
  <c r="G7199" i="5"/>
  <c r="G7197" i="5"/>
  <c r="D7196" i="5"/>
  <c r="B7196" i="5"/>
  <c r="G6831" i="5"/>
  <c r="G6829" i="5"/>
  <c r="D6828" i="5"/>
  <c r="B6828" i="5"/>
  <c r="G6827" i="5"/>
  <c r="G6825" i="5"/>
  <c r="D6824" i="5"/>
  <c r="B6824" i="5"/>
  <c r="G6991" i="5"/>
  <c r="G6989" i="5"/>
  <c r="D6988" i="5"/>
  <c r="B6988" i="5"/>
  <c r="D6868" i="5"/>
  <c r="G6867" i="5"/>
  <c r="G6865" i="5"/>
  <c r="D6864" i="5"/>
  <c r="B6864" i="5"/>
  <c r="G6531" i="5"/>
  <c r="G6529" i="5"/>
  <c r="D6528" i="5"/>
  <c r="B6528" i="5"/>
  <c r="G6695" i="5"/>
  <c r="G6693" i="5"/>
  <c r="D6692" i="5"/>
  <c r="B6692" i="5"/>
  <c r="G6823" i="5"/>
  <c r="G6821" i="5"/>
  <c r="D6820" i="5"/>
  <c r="B6820" i="5"/>
  <c r="G7027" i="5"/>
  <c r="G7025" i="5"/>
  <c r="D7024" i="5"/>
  <c r="B7024" i="5"/>
  <c r="G7023" i="5"/>
  <c r="G7021" i="5"/>
  <c r="D7020" i="5"/>
  <c r="B7020" i="5"/>
  <c r="G7019" i="5"/>
  <c r="G7017" i="5"/>
  <c r="D7016" i="5"/>
  <c r="B7016" i="5"/>
  <c r="G7016" i="5"/>
  <c r="G6820" i="5"/>
  <c r="G6824" i="5"/>
  <c r="G7188" i="5"/>
  <c r="G6692" i="5"/>
  <c r="G7024" i="5"/>
  <c r="G6864" i="5"/>
  <c r="G6988" i="5"/>
  <c r="G7184" i="5"/>
  <c r="G6828" i="5"/>
  <c r="G7020" i="5"/>
  <c r="G6528" i="5"/>
  <c r="G7196" i="5"/>
  <c r="G7195" i="5"/>
  <c r="G7193" i="5"/>
  <c r="D7192" i="5"/>
  <c r="B7192" i="5"/>
  <c r="G7123" i="5"/>
  <c r="G7121" i="5"/>
  <c r="D7120" i="5"/>
  <c r="B7120" i="5"/>
  <c r="G7119" i="5"/>
  <c r="G7117" i="5"/>
  <c r="D7116" i="5"/>
  <c r="B7116" i="5"/>
  <c r="G7115" i="5"/>
  <c r="G7113" i="5"/>
  <c r="D7112" i="5"/>
  <c r="B7112" i="5"/>
  <c r="G7111" i="5"/>
  <c r="G7109" i="5"/>
  <c r="D7108" i="5"/>
  <c r="B7108" i="5"/>
  <c r="G7107" i="5"/>
  <c r="G7105" i="5"/>
  <c r="D7104" i="5"/>
  <c r="B7104" i="5"/>
  <c r="G7103" i="5"/>
  <c r="G7101" i="5"/>
  <c r="D7100" i="5"/>
  <c r="B7100" i="5"/>
  <c r="G7099" i="5"/>
  <c r="G7097" i="5"/>
  <c r="D7096" i="5"/>
  <c r="B7096" i="5"/>
  <c r="G7095" i="5"/>
  <c r="G7093" i="5"/>
  <c r="D7092" i="5"/>
  <c r="B7092" i="5"/>
  <c r="G7091" i="5"/>
  <c r="G7089" i="5"/>
  <c r="D7088" i="5"/>
  <c r="B7088" i="5"/>
  <c r="G7087" i="5"/>
  <c r="G7085" i="5"/>
  <c r="D7084" i="5"/>
  <c r="B7084" i="5"/>
  <c r="G7083" i="5"/>
  <c r="G7081" i="5"/>
  <c r="D7080" i="5"/>
  <c r="B7080" i="5"/>
  <c r="G7079" i="5"/>
  <c r="G7077" i="5"/>
  <c r="D7076" i="5"/>
  <c r="B7076" i="5"/>
  <c r="G7075" i="5"/>
  <c r="G7073" i="5"/>
  <c r="D7072" i="5"/>
  <c r="B7072" i="5"/>
  <c r="G7071" i="5"/>
  <c r="G7069" i="5"/>
  <c r="D7068" i="5"/>
  <c r="B7068" i="5"/>
  <c r="G7067" i="5"/>
  <c r="G7065" i="5"/>
  <c r="D7064" i="5"/>
  <c r="B7064" i="5"/>
  <c r="G7063" i="5"/>
  <c r="G7061" i="5"/>
  <c r="D7060" i="5"/>
  <c r="B7060" i="5"/>
  <c r="G7059" i="5"/>
  <c r="G7057" i="5"/>
  <c r="D7056" i="5"/>
  <c r="B7056" i="5"/>
  <c r="G7055" i="5"/>
  <c r="G7053" i="5"/>
  <c r="D7052" i="5"/>
  <c r="B7052" i="5"/>
  <c r="G7051" i="5"/>
  <c r="G7049" i="5"/>
  <c r="D7048" i="5"/>
  <c r="B7048" i="5"/>
  <c r="G7047" i="5"/>
  <c r="G7045" i="5"/>
  <c r="D7044" i="5"/>
  <c r="B7044" i="5"/>
  <c r="G7043" i="5"/>
  <c r="G7041" i="5"/>
  <c r="D7040" i="5"/>
  <c r="B7040" i="5"/>
  <c r="G7039" i="5"/>
  <c r="G7037" i="5"/>
  <c r="D7036" i="5"/>
  <c r="B7036" i="5"/>
  <c r="G7035" i="5"/>
  <c r="G7033" i="5"/>
  <c r="D7032" i="5"/>
  <c r="B7032" i="5"/>
  <c r="G7031" i="5"/>
  <c r="G7029" i="5"/>
  <c r="D7028" i="5"/>
  <c r="B7028" i="5"/>
  <c r="G7015" i="5"/>
  <c r="G7013" i="5"/>
  <c r="D7012" i="5"/>
  <c r="B7012" i="5"/>
  <c r="G7011" i="5"/>
  <c r="G7009" i="5"/>
  <c r="D7008" i="5"/>
  <c r="B7008" i="5"/>
  <c r="G7007" i="5"/>
  <c r="G7005" i="5"/>
  <c r="D7004" i="5"/>
  <c r="B7004" i="5"/>
  <c r="G7003" i="5"/>
  <c r="G7001" i="5"/>
  <c r="D7000" i="5"/>
  <c r="B7000" i="5"/>
  <c r="G6999" i="5"/>
  <c r="G6997" i="5"/>
  <c r="D6996" i="5"/>
  <c r="B6996" i="5"/>
  <c r="G6995" i="5"/>
  <c r="G6993" i="5"/>
  <c r="D6992" i="5"/>
  <c r="B6992" i="5"/>
  <c r="G6987" i="5"/>
  <c r="G6985" i="5"/>
  <c r="D6984" i="5"/>
  <c r="B6984" i="5"/>
  <c r="G6983" i="5"/>
  <c r="G6981" i="5"/>
  <c r="D6980" i="5"/>
  <c r="B6980" i="5"/>
  <c r="G6979" i="5"/>
  <c r="G6977" i="5"/>
  <c r="D6976" i="5"/>
  <c r="B6976" i="5"/>
  <c r="G6975" i="5"/>
  <c r="G6973" i="5"/>
  <c r="D6972" i="5"/>
  <c r="B6972" i="5"/>
  <c r="G6971" i="5"/>
  <c r="G6969" i="5"/>
  <c r="D6968" i="5"/>
  <c r="B6968" i="5"/>
  <c r="G6967" i="5"/>
  <c r="G6965" i="5"/>
  <c r="D6964" i="5"/>
  <c r="B6964" i="5"/>
  <c r="G6963" i="5"/>
  <c r="G6961" i="5"/>
  <c r="D6960" i="5"/>
  <c r="B6960" i="5"/>
  <c r="G6959" i="5"/>
  <c r="G6957" i="5"/>
  <c r="D6956" i="5"/>
  <c r="B6956" i="5"/>
  <c r="G6955" i="5"/>
  <c r="G6953" i="5"/>
  <c r="D6952" i="5"/>
  <c r="B6952" i="5"/>
  <c r="G6951" i="5"/>
  <c r="G6949" i="5"/>
  <c r="D6948" i="5"/>
  <c r="B6948" i="5"/>
  <c r="G6943" i="5"/>
  <c r="G6941" i="5"/>
  <c r="D6940" i="5"/>
  <c r="B6940" i="5"/>
  <c r="G6939" i="5"/>
  <c r="G6937" i="5"/>
  <c r="D6936" i="5"/>
  <c r="B6936" i="5"/>
  <c r="G6903" i="5"/>
  <c r="G6901" i="5"/>
  <c r="D6900" i="5"/>
  <c r="B6900" i="5"/>
  <c r="G6899" i="5"/>
  <c r="G6897" i="5"/>
  <c r="D6896" i="5"/>
  <c r="B6896" i="5"/>
  <c r="G6887" i="5"/>
  <c r="G6885" i="5"/>
  <c r="D6884" i="5"/>
  <c r="B6884" i="5"/>
  <c r="G6883" i="5"/>
  <c r="G6881" i="5"/>
  <c r="D6880" i="5"/>
  <c r="B6880" i="5"/>
  <c r="G6879" i="5"/>
  <c r="G6877" i="5"/>
  <c r="D6876" i="5"/>
  <c r="B6876" i="5"/>
  <c r="G6839" i="5"/>
  <c r="G6837" i="5"/>
  <c r="D6836" i="5"/>
  <c r="B6836" i="5"/>
  <c r="G6835" i="5"/>
  <c r="G6833" i="5"/>
  <c r="D6832" i="5"/>
  <c r="B6832" i="5"/>
  <c r="G6819" i="5"/>
  <c r="G6817" i="5"/>
  <c r="D6816" i="5"/>
  <c r="B6816" i="5"/>
  <c r="G6815" i="5"/>
  <c r="G6813" i="5"/>
  <c r="D6812" i="5"/>
  <c r="B6812" i="5"/>
  <c r="G6811" i="5"/>
  <c r="G6809" i="5"/>
  <c r="D6808" i="5"/>
  <c r="B6808" i="5"/>
  <c r="G6807" i="5"/>
  <c r="G6805" i="5"/>
  <c r="D6804" i="5"/>
  <c r="B6804" i="5"/>
  <c r="G6803" i="5"/>
  <c r="G6801" i="5"/>
  <c r="D6800" i="5"/>
  <c r="B6800" i="5"/>
  <c r="G6799" i="5"/>
  <c r="G6797" i="5"/>
  <c r="D6796" i="5"/>
  <c r="B6796" i="5"/>
  <c r="G6795" i="5"/>
  <c r="G6793" i="5"/>
  <c r="D6792" i="5"/>
  <c r="B6792" i="5"/>
  <c r="G6791" i="5"/>
  <c r="G6789" i="5"/>
  <c r="D6788" i="5"/>
  <c r="B6788" i="5"/>
  <c r="G6787" i="5"/>
  <c r="G6785" i="5"/>
  <c r="D6784" i="5"/>
  <c r="B6784" i="5"/>
  <c r="G6783" i="5"/>
  <c r="G6781" i="5"/>
  <c r="D6780" i="5"/>
  <c r="B6780" i="5"/>
  <c r="G6779" i="5"/>
  <c r="G6777" i="5"/>
  <c r="D6776" i="5"/>
  <c r="B6776" i="5"/>
  <c r="G6775" i="5"/>
  <c r="G6773" i="5"/>
  <c r="D6772" i="5"/>
  <c r="B6772" i="5"/>
  <c r="G6771" i="5"/>
  <c r="G6769" i="5"/>
  <c r="D6768" i="5"/>
  <c r="B6768" i="5"/>
  <c r="G6767" i="5"/>
  <c r="G6765" i="5"/>
  <c r="D6764" i="5"/>
  <c r="B6764" i="5"/>
  <c r="G6763" i="5"/>
  <c r="G6761" i="5"/>
  <c r="D6760" i="5"/>
  <c r="B6760" i="5"/>
  <c r="G6759" i="5"/>
  <c r="G6757" i="5"/>
  <c r="D6756" i="5"/>
  <c r="B6756" i="5"/>
  <c r="G6755" i="5"/>
  <c r="G6753" i="5"/>
  <c r="D6752" i="5"/>
  <c r="B6752" i="5"/>
  <c r="G6751" i="5"/>
  <c r="G6749" i="5"/>
  <c r="D6748" i="5"/>
  <c r="B6748" i="5"/>
  <c r="G6747" i="5"/>
  <c r="G6745" i="5"/>
  <c r="D6744" i="5"/>
  <c r="B6744" i="5"/>
  <c r="G6743" i="5"/>
  <c r="G6741" i="5"/>
  <c r="D6740" i="5"/>
  <c r="B6740" i="5"/>
  <c r="G6739" i="5"/>
  <c r="G6737" i="5"/>
  <c r="D6736" i="5"/>
  <c r="B6736" i="5"/>
  <c r="G6735" i="5"/>
  <c r="G6733" i="5"/>
  <c r="D6732" i="5"/>
  <c r="B6732" i="5"/>
  <c r="G6731" i="5"/>
  <c r="G6729" i="5"/>
  <c r="D6728" i="5"/>
  <c r="B6728" i="5"/>
  <c r="G6727" i="5"/>
  <c r="G6725" i="5"/>
  <c r="D6724" i="5"/>
  <c r="B6724" i="5"/>
  <c r="G6723" i="5"/>
  <c r="G6721" i="5"/>
  <c r="D6720" i="5"/>
  <c r="B6720" i="5"/>
  <c r="G6719" i="5"/>
  <c r="G6717" i="5"/>
  <c r="D6716" i="5"/>
  <c r="B6716" i="5"/>
  <c r="G6715" i="5"/>
  <c r="G6713" i="5"/>
  <c r="D6712" i="5"/>
  <c r="B6712" i="5"/>
  <c r="G6711" i="5"/>
  <c r="G6709" i="5"/>
  <c r="D6708" i="5"/>
  <c r="B6708" i="5"/>
  <c r="G6707" i="5"/>
  <c r="G6705" i="5"/>
  <c r="D6704" i="5"/>
  <c r="B6704" i="5"/>
  <c r="G6703" i="5"/>
  <c r="G6701" i="5"/>
  <c r="D6700" i="5"/>
  <c r="B6700" i="5"/>
  <c r="G6699" i="5"/>
  <c r="G6697" i="5"/>
  <c r="D6696" i="5"/>
  <c r="B6696" i="5"/>
  <c r="G6691" i="5"/>
  <c r="G6689" i="5"/>
  <c r="D6688" i="5"/>
  <c r="B6688" i="5"/>
  <c r="G6687" i="5"/>
  <c r="G6685" i="5"/>
  <c r="D6684" i="5"/>
  <c r="B6684" i="5"/>
  <c r="G6683" i="5"/>
  <c r="G6681" i="5"/>
  <c r="D6680" i="5"/>
  <c r="B6680" i="5"/>
  <c r="G6679" i="5"/>
  <c r="G6677" i="5"/>
  <c r="D6676" i="5"/>
  <c r="B6676" i="5"/>
  <c r="G6675" i="5"/>
  <c r="G6673" i="5"/>
  <c r="D6672" i="5"/>
  <c r="B6672" i="5"/>
  <c r="G6671" i="5"/>
  <c r="G6669" i="5"/>
  <c r="D6668" i="5"/>
  <c r="B6668" i="5"/>
  <c r="G6667" i="5"/>
  <c r="G6665" i="5"/>
  <c r="D6664" i="5"/>
  <c r="B6664" i="5"/>
  <c r="G6663" i="5"/>
  <c r="G6661" i="5"/>
  <c r="D6660" i="5"/>
  <c r="B6660" i="5"/>
  <c r="G6659" i="5"/>
  <c r="G6657" i="5"/>
  <c r="D6656" i="5"/>
  <c r="B6656" i="5"/>
  <c r="G6655" i="5"/>
  <c r="G6653" i="5"/>
  <c r="D6652" i="5"/>
  <c r="B6652" i="5"/>
  <c r="G6603" i="5"/>
  <c r="G6601" i="5"/>
  <c r="D6600" i="5"/>
  <c r="B6600" i="5"/>
  <c r="G6599" i="5"/>
  <c r="G6597" i="5"/>
  <c r="D6596" i="5"/>
  <c r="B6596" i="5"/>
  <c r="G6631" i="5"/>
  <c r="G6629" i="5"/>
  <c r="D6628" i="5"/>
  <c r="B6628" i="5"/>
  <c r="G6627" i="5"/>
  <c r="G6625" i="5"/>
  <c r="D6624" i="5"/>
  <c r="B6624" i="5"/>
  <c r="G6623" i="5"/>
  <c r="G6621" i="5"/>
  <c r="D6620" i="5"/>
  <c r="B6620" i="5"/>
  <c r="G6559" i="5"/>
  <c r="G6557" i="5"/>
  <c r="D6556" i="5"/>
  <c r="B6556" i="5"/>
  <c r="G6511" i="5"/>
  <c r="G6509" i="5"/>
  <c r="D6508" i="5"/>
  <c r="B6508" i="5"/>
  <c r="G6467" i="5"/>
  <c r="G6465" i="5"/>
  <c r="D6464" i="5"/>
  <c r="B6464" i="5"/>
  <c r="G6607" i="5"/>
  <c r="G6605" i="5"/>
  <c r="D6604" i="5"/>
  <c r="B6604" i="5"/>
  <c r="G4751" i="5"/>
  <c r="G4749" i="5"/>
  <c r="D4748" i="5"/>
  <c r="B4748" i="5"/>
  <c r="G4743" i="5"/>
  <c r="G4741" i="5"/>
  <c r="D4740" i="5"/>
  <c r="B4740" i="5"/>
  <c r="G4739" i="5"/>
  <c r="G4737" i="5"/>
  <c r="D4736" i="5"/>
  <c r="B4736" i="5"/>
  <c r="G2759" i="5"/>
  <c r="G2757" i="5"/>
  <c r="D2756" i="5"/>
  <c r="B2756" i="5"/>
  <c r="G2755" i="5"/>
  <c r="G2753" i="5"/>
  <c r="D2752" i="5"/>
  <c r="B2752" i="5"/>
  <c r="G2747" i="5"/>
  <c r="G2745" i="5"/>
  <c r="D2744" i="5"/>
  <c r="B2744" i="5"/>
  <c r="G2743" i="5"/>
  <c r="G2741" i="5"/>
  <c r="D2740" i="5"/>
  <c r="B2740" i="5"/>
  <c r="G2737" i="5"/>
  <c r="G2739" i="5"/>
  <c r="D2736" i="5"/>
  <c r="B2736" i="5"/>
  <c r="G2735" i="5"/>
  <c r="G2733" i="5"/>
  <c r="D2732" i="5"/>
  <c r="B2732" i="5"/>
  <c r="G6935" i="5"/>
  <c r="G6933" i="5"/>
  <c r="G6931" i="5"/>
  <c r="G6929" i="5"/>
  <c r="G6927" i="5"/>
  <c r="G6925" i="5"/>
  <c r="G6923" i="5"/>
  <c r="G6921" i="5"/>
  <c r="G6919" i="5"/>
  <c r="G6917" i="5"/>
  <c r="G6915" i="5"/>
  <c r="G6913" i="5"/>
  <c r="G6911" i="5"/>
  <c r="G6909" i="5"/>
  <c r="G6907" i="5"/>
  <c r="G6905" i="5"/>
  <c r="G6895" i="5"/>
  <c r="G6893" i="5"/>
  <c r="G6875" i="5"/>
  <c r="G6873" i="5"/>
  <c r="G6871" i="5"/>
  <c r="G6869" i="5"/>
  <c r="G6863" i="5"/>
  <c r="G6861" i="5"/>
  <c r="G6859" i="5"/>
  <c r="G6857" i="5"/>
  <c r="G6855" i="5"/>
  <c r="G6853" i="5"/>
  <c r="G6851" i="5"/>
  <c r="G6849" i="5"/>
  <c r="G6847" i="5"/>
  <c r="G6845" i="5"/>
  <c r="G6843" i="5"/>
  <c r="G6841" i="5"/>
  <c r="G6651" i="5"/>
  <c r="G6649" i="5"/>
  <c r="G6647" i="5"/>
  <c r="G6645" i="5"/>
  <c r="G6643" i="5"/>
  <c r="G6641" i="5"/>
  <c r="G6639" i="5"/>
  <c r="G6637" i="5"/>
  <c r="G6635" i="5"/>
  <c r="G6633" i="5"/>
  <c r="G6619" i="5"/>
  <c r="G6617" i="5"/>
  <c r="G6615" i="5"/>
  <c r="G6613" i="5"/>
  <c r="G6611" i="5"/>
  <c r="G6609" i="5"/>
  <c r="G6595" i="5"/>
  <c r="G6593" i="5"/>
  <c r="G6591" i="5"/>
  <c r="G6589" i="5"/>
  <c r="G6587" i="5"/>
  <c r="G6585" i="5"/>
  <c r="G6583" i="5"/>
  <c r="G6581" i="5"/>
  <c r="G6579" i="5"/>
  <c r="G6577" i="5"/>
  <c r="G6575" i="5"/>
  <c r="G6573" i="5"/>
  <c r="G6571" i="5"/>
  <c r="G6569" i="5"/>
  <c r="G6567" i="5"/>
  <c r="G6565" i="5"/>
  <c r="G6563" i="5"/>
  <c r="G6561" i="5"/>
  <c r="G6555" i="5"/>
  <c r="G6553" i="5"/>
  <c r="G6551" i="5"/>
  <c r="G6549" i="5"/>
  <c r="G6547" i="5"/>
  <c r="G6545" i="5"/>
  <c r="G6543" i="5"/>
  <c r="G6541" i="5"/>
  <c r="G6539" i="5"/>
  <c r="G6537" i="5"/>
  <c r="G6535" i="5"/>
  <c r="G6533" i="5"/>
  <c r="G6527" i="5"/>
  <c r="G6525" i="5"/>
  <c r="G6523" i="5"/>
  <c r="G6521" i="5"/>
  <c r="G6519" i="5"/>
  <c r="G6517" i="5"/>
  <c r="G6515" i="5"/>
  <c r="G6513" i="5"/>
  <c r="G6507" i="5"/>
  <c r="G6505" i="5"/>
  <c r="G6503" i="5"/>
  <c r="G6501" i="5"/>
  <c r="G6499" i="5"/>
  <c r="G6497" i="5"/>
  <c r="G6495" i="5"/>
  <c r="G6493" i="5"/>
  <c r="G6491" i="5"/>
  <c r="G6489" i="5"/>
  <c r="G6487" i="5"/>
  <c r="G6485" i="5"/>
  <c r="G6483" i="5"/>
  <c r="G6481" i="5"/>
  <c r="G6479" i="5"/>
  <c r="G6477" i="5"/>
  <c r="G6475" i="5"/>
  <c r="G6473" i="5"/>
  <c r="D6932" i="5"/>
  <c r="B6932" i="5"/>
  <c r="D6928" i="5"/>
  <c r="B6928" i="5"/>
  <c r="D6924" i="5"/>
  <c r="B6924" i="5"/>
  <c r="D6920" i="5"/>
  <c r="B6920" i="5"/>
  <c r="D6916" i="5"/>
  <c r="B6916" i="5"/>
  <c r="D6912" i="5"/>
  <c r="B6912" i="5"/>
  <c r="D6908" i="5"/>
  <c r="B6908" i="5"/>
  <c r="D6904" i="5"/>
  <c r="B6904" i="5"/>
  <c r="D6892" i="5"/>
  <c r="B6892" i="5"/>
  <c r="D6872" i="5"/>
  <c r="B6872" i="5"/>
  <c r="B6868" i="5"/>
  <c r="D6860" i="5"/>
  <c r="B6860" i="5"/>
  <c r="D6856" i="5"/>
  <c r="B6856" i="5"/>
  <c r="D6852" i="5"/>
  <c r="B6852" i="5"/>
  <c r="D6848" i="5"/>
  <c r="B6848" i="5"/>
  <c r="D6844" i="5"/>
  <c r="B6844" i="5"/>
  <c r="D6840" i="5"/>
  <c r="B6840" i="5"/>
  <c r="D6648" i="5"/>
  <c r="B6648" i="5"/>
  <c r="D6644" i="5"/>
  <c r="B6644" i="5"/>
  <c r="D6640" i="5"/>
  <c r="B6640" i="5"/>
  <c r="D6636" i="5"/>
  <c r="B6636" i="5"/>
  <c r="D6632" i="5"/>
  <c r="B6632" i="5"/>
  <c r="D6616" i="5"/>
  <c r="B6616" i="5"/>
  <c r="D6612" i="5"/>
  <c r="B6612" i="5"/>
  <c r="D6608" i="5"/>
  <c r="B6608" i="5"/>
  <c r="D6592" i="5"/>
  <c r="B6592" i="5"/>
  <c r="D6588" i="5"/>
  <c r="B6588" i="5"/>
  <c r="D6584" i="5"/>
  <c r="B6584" i="5"/>
  <c r="D6580" i="5"/>
  <c r="B6580" i="5"/>
  <c r="D6576" i="5"/>
  <c r="B6576" i="5"/>
  <c r="D6572" i="5"/>
  <c r="B6572" i="5"/>
  <c r="D6568" i="5"/>
  <c r="B6568" i="5"/>
  <c r="D6564" i="5"/>
  <c r="B6564" i="5"/>
  <c r="D6560" i="5"/>
  <c r="B6560" i="5"/>
  <c r="D6552" i="5"/>
  <c r="B6552" i="5"/>
  <c r="D6548" i="5"/>
  <c r="B6548" i="5"/>
  <c r="D6544" i="5"/>
  <c r="B6544" i="5"/>
  <c r="D6540" i="5"/>
  <c r="B6540" i="5"/>
  <c r="D6536" i="5"/>
  <c r="B6536" i="5"/>
  <c r="D6532" i="5"/>
  <c r="B6532" i="5"/>
  <c r="D6524" i="5"/>
  <c r="B6524" i="5"/>
  <c r="D6520" i="5"/>
  <c r="B6520" i="5"/>
  <c r="D6516" i="5"/>
  <c r="B6516" i="5"/>
  <c r="D6512" i="5"/>
  <c r="B6512" i="5"/>
  <c r="D6504" i="5"/>
  <c r="B6504" i="5"/>
  <c r="D6500" i="5"/>
  <c r="B6500" i="5"/>
  <c r="D6496" i="5"/>
  <c r="B6496" i="5"/>
  <c r="D6492" i="5"/>
  <c r="B6492" i="5"/>
  <c r="D6488" i="5"/>
  <c r="B6488" i="5"/>
  <c r="D6484" i="5"/>
  <c r="B6484" i="5"/>
  <c r="D6480" i="5"/>
  <c r="B6480" i="5"/>
  <c r="D6476" i="5"/>
  <c r="B6476" i="5"/>
  <c r="D6472" i="5"/>
  <c r="B6472" i="5"/>
  <c r="G6471" i="5"/>
  <c r="G6469" i="5"/>
  <c r="D6468" i="5"/>
  <c r="B6468" i="5"/>
  <c r="G6476" i="5"/>
  <c r="G6500" i="5"/>
  <c r="G6664" i="5"/>
  <c r="G6700" i="5"/>
  <c r="G6732" i="5"/>
  <c r="G6748" i="5"/>
  <c r="G6764" i="5"/>
  <c r="G6780" i="5"/>
  <c r="G6796" i="5"/>
  <c r="G6812" i="5"/>
  <c r="G6876" i="5"/>
  <c r="G6900" i="5"/>
  <c r="G6952" i="5"/>
  <c r="G6968" i="5"/>
  <c r="G6984" i="5"/>
  <c r="G7004" i="5"/>
  <c r="G7032" i="5"/>
  <c r="G7064" i="5"/>
  <c r="G7080" i="5"/>
  <c r="G7096" i="5"/>
  <c r="G7112" i="5"/>
  <c r="G6492" i="5"/>
  <c r="G6548" i="5"/>
  <c r="G6592" i="5"/>
  <c r="G6844" i="5"/>
  <c r="G6912" i="5"/>
  <c r="G6684" i="5"/>
  <c r="G6720" i="5"/>
  <c r="G6752" i="5"/>
  <c r="G6768" i="5"/>
  <c r="G6880" i="5"/>
  <c r="G6956" i="5"/>
  <c r="G6992" i="5"/>
  <c r="G7052" i="5"/>
  <c r="G6600" i="5"/>
  <c r="G6512" i="5"/>
  <c r="G6568" i="5"/>
  <c r="G6612" i="5"/>
  <c r="G6852" i="5"/>
  <c r="G6872" i="5"/>
  <c r="G6928" i="5"/>
  <c r="G6800" i="5"/>
  <c r="G7084" i="5"/>
  <c r="G7100" i="5"/>
  <c r="G7116" i="5"/>
  <c r="G6620" i="5"/>
  <c r="G6484" i="5"/>
  <c r="G6532" i="5"/>
  <c r="G6560" i="5"/>
  <c r="G6584" i="5"/>
  <c r="G6640" i="5"/>
  <c r="G6860" i="5"/>
  <c r="G6920" i="5"/>
  <c r="G6668" i="5"/>
  <c r="G6704" i="5"/>
  <c r="G6736" i="5"/>
  <c r="G6520" i="5"/>
  <c r="G6540" i="5"/>
  <c r="G6576" i="5"/>
  <c r="G6632" i="5"/>
  <c r="G6648" i="5"/>
  <c r="G6904" i="5"/>
  <c r="G6652" i="5"/>
  <c r="G6936" i="5"/>
  <c r="G6972" i="5"/>
  <c r="G7008" i="5"/>
  <c r="G6604" i="5"/>
  <c r="G6480" i="5"/>
  <c r="G6496" i="5"/>
  <c r="G6504" i="5"/>
  <c r="G6536" i="5"/>
  <c r="G6552" i="5"/>
  <c r="G6572" i="5"/>
  <c r="G6588" i="5"/>
  <c r="G6616" i="5"/>
  <c r="G6644" i="5"/>
  <c r="G6848" i="5"/>
  <c r="G6868" i="5"/>
  <c r="G6908" i="5"/>
  <c r="G6924" i="5"/>
  <c r="G6932" i="5"/>
  <c r="G6712" i="5"/>
  <c r="G6728" i="5"/>
  <c r="G6744" i="5"/>
  <c r="G6760" i="5"/>
  <c r="G6776" i="5"/>
  <c r="G6808" i="5"/>
  <c r="G6896" i="5"/>
  <c r="G6964" i="5"/>
  <c r="G7000" i="5"/>
  <c r="G7044" i="5"/>
  <c r="G7092" i="5"/>
  <c r="G7192" i="5"/>
  <c r="G6688" i="5"/>
  <c r="G6724" i="5"/>
  <c r="G6740" i="5"/>
  <c r="G6756" i="5"/>
  <c r="G6788" i="5"/>
  <c r="G6804" i="5"/>
  <c r="G6832" i="5"/>
  <c r="G6884" i="5"/>
  <c r="G6976" i="5"/>
  <c r="G6996" i="5"/>
  <c r="G7012" i="5"/>
  <c r="G7040" i="5"/>
  <c r="G7056" i="5"/>
  <c r="G7072" i="5"/>
  <c r="G7088" i="5"/>
  <c r="G7104" i="5"/>
  <c r="G7120" i="5"/>
  <c r="G6556" i="5"/>
  <c r="G6596" i="5"/>
  <c r="G6472" i="5"/>
  <c r="G6488" i="5"/>
  <c r="G6516" i="5"/>
  <c r="G6524" i="5"/>
  <c r="G6544" i="5"/>
  <c r="G6564" i="5"/>
  <c r="G6580" i="5"/>
  <c r="G6608" i="5"/>
  <c r="G6636" i="5"/>
  <c r="G6840" i="5"/>
  <c r="G6856" i="5"/>
  <c r="G6892" i="5"/>
  <c r="G6916" i="5"/>
  <c r="G6660" i="5"/>
  <c r="G6676" i="5"/>
  <c r="G6836" i="5"/>
  <c r="G6948" i="5"/>
  <c r="G6980" i="5"/>
  <c r="G7028" i="5"/>
  <c r="G7060" i="5"/>
  <c r="G7076" i="5"/>
  <c r="G7108" i="5"/>
  <c r="G6508" i="5"/>
  <c r="G6628" i="5"/>
  <c r="G6468" i="5"/>
  <c r="G6464" i="5"/>
  <c r="G6624" i="5"/>
  <c r="G2744" i="5"/>
  <c r="G2740" i="5"/>
  <c r="G2752" i="5"/>
  <c r="G4740" i="5"/>
  <c r="G2756" i="5"/>
  <c r="G2732" i="5"/>
  <c r="G4748" i="5"/>
  <c r="G2736" i="5"/>
  <c r="G6672" i="5"/>
  <c r="G6680" i="5"/>
  <c r="G6708" i="5"/>
  <c r="G7036" i="5"/>
  <c r="G6816" i="5"/>
  <c r="G6784" i="5"/>
  <c r="G6940" i="5"/>
  <c r="G6656" i="5"/>
  <c r="G6716" i="5"/>
  <c r="G7048" i="5"/>
  <c r="G6696" i="5"/>
  <c r="G7068" i="5"/>
  <c r="G6772" i="5"/>
  <c r="G6792" i="5"/>
  <c r="G6960" i="5"/>
  <c r="G4736" i="5"/>
  <c r="F627" i="6"/>
  <c r="F626" i="6"/>
  <c r="F621" i="6"/>
  <c r="F641" i="6"/>
  <c r="F636" i="6"/>
  <c r="F637" i="6"/>
  <c r="F625" i="6"/>
  <c r="F632" i="6"/>
  <c r="F635" i="6"/>
  <c r="F631" i="6"/>
  <c r="F630" i="6"/>
  <c r="F620" i="6"/>
  <c r="F612" i="6"/>
  <c r="F613" i="6"/>
  <c r="F619" i="6"/>
  <c r="F130" i="7"/>
  <c r="F134" i="7"/>
  <c r="F129" i="7"/>
  <c r="G6463" i="5"/>
  <c r="G6458" i="5"/>
  <c r="D6457" i="5"/>
  <c r="B6457" i="5"/>
  <c r="G6456" i="5"/>
  <c r="G6451" i="5"/>
  <c r="D6450" i="5"/>
  <c r="B6450" i="5"/>
  <c r="G6449" i="5"/>
  <c r="G6444" i="5"/>
  <c r="G6443" i="5"/>
  <c r="G6457" i="5"/>
  <c r="G6450" i="5"/>
  <c r="G6442" i="5"/>
  <c r="G6435" i="5"/>
  <c r="D6434" i="5"/>
  <c r="B6434" i="5"/>
  <c r="G6433" i="5"/>
  <c r="G6430" i="5"/>
  <c r="D6429" i="5"/>
  <c r="B6429" i="5"/>
  <c r="G6429" i="5"/>
  <c r="G6434" i="5"/>
  <c r="G6406" i="5"/>
  <c r="G6404" i="5"/>
  <c r="G6403" i="5"/>
  <c r="D6403" i="5"/>
  <c r="B6403" i="5"/>
  <c r="G6402" i="5"/>
  <c r="G6400" i="5"/>
  <c r="G6399" i="5"/>
  <c r="D6399" i="5"/>
  <c r="B6399" i="5"/>
  <c r="D6407" i="5"/>
  <c r="G6407" i="5"/>
  <c r="G6398" i="5"/>
  <c r="G6395" i="5"/>
  <c r="G6394" i="5"/>
  <c r="D6394" i="5"/>
  <c r="B6394" i="5"/>
  <c r="G6393" i="5"/>
  <c r="G6391" i="5"/>
  <c r="G6390" i="5"/>
  <c r="D6390" i="5"/>
  <c r="B6390" i="5"/>
  <c r="G6389" i="5"/>
  <c r="G6384" i="5"/>
  <c r="D6383" i="5"/>
  <c r="B6383" i="5"/>
  <c r="G6383" i="5"/>
  <c r="G6416" i="5"/>
  <c r="G6413" i="5"/>
  <c r="D6412" i="5"/>
  <c r="B6412" i="5"/>
  <c r="G6411" i="5"/>
  <c r="G6408" i="5"/>
  <c r="B6407" i="5"/>
  <c r="G6412" i="5"/>
  <c r="D1239" i="5"/>
  <c r="G6226" i="5"/>
  <c r="D6225" i="5"/>
  <c r="B6225" i="5"/>
  <c r="G6219" i="5"/>
  <c r="D6218" i="5"/>
  <c r="B6218" i="5"/>
  <c r="G6213" i="5"/>
  <c r="G6212" i="5"/>
  <c r="D6212" i="5"/>
  <c r="B6212" i="5"/>
  <c r="G6206" i="5"/>
  <c r="D6205" i="5"/>
  <c r="B6205" i="5"/>
  <c r="G6218" i="5"/>
  <c r="G6225" i="5"/>
  <c r="G6205" i="5"/>
  <c r="G6197" i="5"/>
  <c r="D6196" i="5"/>
  <c r="B6196" i="5"/>
  <c r="G6181" i="5"/>
  <c r="D6180" i="5"/>
  <c r="B6180" i="5"/>
  <c r="G6196" i="5"/>
  <c r="G6180" i="5"/>
  <c r="G6189" i="5"/>
  <c r="G6188" i="5"/>
  <c r="D6188" i="5"/>
  <c r="B6188" i="5"/>
  <c r="G6176" i="5"/>
  <c r="G6175" i="5"/>
  <c r="D6175" i="5"/>
  <c r="B6175" i="5"/>
  <c r="G6171" i="5"/>
  <c r="G6170" i="5"/>
  <c r="D6170" i="5"/>
  <c r="B6170" i="5"/>
  <c r="G6162" i="5"/>
  <c r="G6153" i="5"/>
  <c r="G6152" i="5"/>
  <c r="D6152" i="5"/>
  <c r="B6152" i="5"/>
  <c r="G6151" i="5"/>
  <c r="G6142" i="5"/>
  <c r="G6141" i="5"/>
  <c r="D6141" i="5"/>
  <c r="B6141" i="5"/>
  <c r="F608" i="6"/>
  <c r="F611" i="6"/>
  <c r="F607" i="6"/>
  <c r="G6164" i="5"/>
  <c r="G6163" i="5"/>
  <c r="D6163" i="5"/>
  <c r="B6163" i="5"/>
  <c r="F128" i="7"/>
  <c r="F125" i="7"/>
  <c r="F122" i="7"/>
  <c r="F121" i="7"/>
  <c r="F604" i="6"/>
  <c r="F595" i="6"/>
  <c r="F588" i="6"/>
  <c r="F582" i="6"/>
  <c r="F576" i="6"/>
  <c r="F573" i="6"/>
  <c r="F556" i="6"/>
  <c r="F539" i="6"/>
  <c r="F538" i="6"/>
  <c r="F537" i="6"/>
  <c r="F531" i="6"/>
  <c r="F525" i="6"/>
  <c r="F523" i="6"/>
  <c r="D572" i="6"/>
  <c r="D571" i="6"/>
  <c r="G6382" i="5"/>
  <c r="G6378" i="5"/>
  <c r="G6377" i="5"/>
  <c r="D6377" i="5"/>
  <c r="B6377" i="5"/>
  <c r="G6376" i="5"/>
  <c r="G6371" i="5"/>
  <c r="D6370" i="5"/>
  <c r="B6370" i="5"/>
  <c r="G6356" i="5"/>
  <c r="G6355" i="5"/>
  <c r="D6355" i="5"/>
  <c r="B6355" i="5"/>
  <c r="G6342" i="5"/>
  <c r="D6341" i="5"/>
  <c r="B6341" i="5"/>
  <c r="G6337" i="5"/>
  <c r="G6336" i="5"/>
  <c r="D6336" i="5"/>
  <c r="B6336" i="5"/>
  <c r="G6328" i="5"/>
  <c r="G6327" i="5"/>
  <c r="D6327" i="5"/>
  <c r="B6327" i="5"/>
  <c r="G6318" i="5"/>
  <c r="G6317" i="5"/>
  <c r="D6317" i="5"/>
  <c r="B6317" i="5"/>
  <c r="G6294" i="5"/>
  <c r="D6293" i="5"/>
  <c r="B6293" i="5"/>
  <c r="G6283" i="5"/>
  <c r="D6282" i="5"/>
  <c r="B6282" i="5"/>
  <c r="G6274" i="5"/>
  <c r="D6273" i="5"/>
  <c r="B6273" i="5"/>
  <c r="G6266" i="5"/>
  <c r="G6265" i="5"/>
  <c r="D6265" i="5"/>
  <c r="B6265" i="5"/>
  <c r="G6258" i="5"/>
  <c r="D6257" i="5"/>
  <c r="B6257" i="5"/>
  <c r="G6247" i="5"/>
  <c r="D6246" i="5"/>
  <c r="B6246" i="5"/>
  <c r="G6238" i="5"/>
  <c r="D6237" i="5"/>
  <c r="B6237" i="5"/>
  <c r="G6232" i="5"/>
  <c r="G6231" i="5"/>
  <c r="D6231" i="5"/>
  <c r="B6231" i="5"/>
  <c r="G6293" i="5"/>
  <c r="G6341" i="5"/>
  <c r="G6237" i="5"/>
  <c r="F516" i="6"/>
  <c r="F124" i="7"/>
  <c r="F549" i="6"/>
  <c r="F550" i="6"/>
  <c r="F605" i="6"/>
  <c r="F606" i="6"/>
  <c r="F109" i="7"/>
  <c r="F524" i="6"/>
  <c r="F594" i="6"/>
  <c r="F110" i="7"/>
  <c r="F123" i="7"/>
  <c r="F526" i="6"/>
  <c r="F543" i="6"/>
  <c r="F551" i="6"/>
  <c r="G6370" i="5"/>
  <c r="F577" i="6"/>
  <c r="F563" i="6"/>
  <c r="F564" i="6"/>
  <c r="F532" i="6"/>
  <c r="F545" i="6"/>
  <c r="F593" i="6"/>
  <c r="F557" i="6"/>
  <c r="F583" i="6"/>
  <c r="F533" i="6"/>
  <c r="F555" i="6"/>
  <c r="F544" i="6"/>
  <c r="F527" i="6"/>
  <c r="F515" i="6"/>
  <c r="F562" i="6"/>
  <c r="F590" i="6"/>
  <c r="F581" i="6"/>
  <c r="F575" i="6"/>
  <c r="F574" i="6"/>
  <c r="F589" i="6"/>
  <c r="G6273" i="5"/>
  <c r="G6282" i="5"/>
  <c r="G6257" i="5"/>
  <c r="G6246" i="5"/>
  <c r="G5476" i="5"/>
  <c r="G5471" i="5"/>
  <c r="D5470" i="5"/>
  <c r="B5470" i="5"/>
  <c r="G5470" i="5"/>
  <c r="D5477" i="5"/>
  <c r="B5477" i="5"/>
  <c r="D5466" i="5"/>
  <c r="B5466" i="5"/>
  <c r="D5460" i="5"/>
  <c r="B5460" i="5"/>
  <c r="D5454" i="5"/>
  <c r="B5454" i="5"/>
  <c r="D5448" i="5"/>
  <c r="B5448" i="5"/>
  <c r="D5441" i="5"/>
  <c r="B5441" i="5"/>
  <c r="D5435" i="5"/>
  <c r="B5435" i="5"/>
  <c r="D5429" i="5"/>
  <c r="B5429" i="5"/>
  <c r="D5417" i="5"/>
  <c r="B5417" i="5"/>
  <c r="D5407" i="5"/>
  <c r="B5407" i="5"/>
  <c r="D5400" i="5"/>
  <c r="B5400" i="5"/>
  <c r="D5392" i="5"/>
  <c r="B5392" i="5"/>
  <c r="D5384" i="5"/>
  <c r="B5384" i="5"/>
  <c r="D5376" i="5"/>
  <c r="B5376" i="5"/>
  <c r="D5370" i="5"/>
  <c r="B5370" i="5"/>
  <c r="D5364" i="5"/>
  <c r="B5364" i="5"/>
  <c r="D5357" i="5"/>
  <c r="B5357" i="5"/>
  <c r="D5351" i="5"/>
  <c r="B5351" i="5"/>
  <c r="D5345" i="5"/>
  <c r="B5345" i="5"/>
  <c r="D5338" i="5"/>
  <c r="B5338" i="5"/>
  <c r="D5331" i="5"/>
  <c r="B5331" i="5"/>
  <c r="D5324" i="5"/>
  <c r="B5324" i="5"/>
  <c r="D5318" i="5"/>
  <c r="B5318" i="5"/>
  <c r="D5312" i="5"/>
  <c r="B5312" i="5"/>
  <c r="D5306" i="5"/>
  <c r="B5306" i="5"/>
  <c r="D5300" i="5"/>
  <c r="B5300" i="5"/>
  <c r="D5294" i="5"/>
  <c r="B5294" i="5"/>
  <c r="F513" i="6"/>
  <c r="F504" i="6"/>
  <c r="F503" i="6"/>
  <c r="F485" i="6"/>
  <c r="F107" i="7"/>
  <c r="F95" i="7"/>
  <c r="G5480" i="5"/>
  <c r="G5478" i="5"/>
  <c r="G5477" i="5"/>
  <c r="G5469" i="5"/>
  <c r="G5467" i="5"/>
  <c r="G5465" i="5"/>
  <c r="G5461" i="5"/>
  <c r="G5460" i="5"/>
  <c r="G5459" i="5"/>
  <c r="G5455" i="5"/>
  <c r="G5453" i="5"/>
  <c r="G5449" i="5"/>
  <c r="G5447" i="5"/>
  <c r="G5442" i="5"/>
  <c r="G5440" i="5"/>
  <c r="G5436" i="5"/>
  <c r="G5435" i="5"/>
  <c r="G5434" i="5"/>
  <c r="G5430" i="5"/>
  <c r="G5429" i="5"/>
  <c r="G5428" i="5"/>
  <c r="G5418" i="5"/>
  <c r="G5416" i="5"/>
  <c r="G5408" i="5"/>
  <c r="G5406" i="5"/>
  <c r="G5401" i="5"/>
  <c r="G5399" i="5"/>
  <c r="G5393" i="5"/>
  <c r="G5391" i="5"/>
  <c r="G5385" i="5"/>
  <c r="G5383" i="5"/>
  <c r="G5377" i="5"/>
  <c r="G5375" i="5"/>
  <c r="G5371" i="5"/>
  <c r="G5370" i="5"/>
  <c r="G5369" i="5"/>
  <c r="G5365" i="5"/>
  <c r="G5364" i="5"/>
  <c r="G5363" i="5"/>
  <c r="G5358" i="5"/>
  <c r="G5357" i="5"/>
  <c r="G5356" i="5"/>
  <c r="G5352" i="5"/>
  <c r="G5350" i="5"/>
  <c r="G5346" i="5"/>
  <c r="G5345" i="5"/>
  <c r="G5344" i="5"/>
  <c r="G5339" i="5"/>
  <c r="G5337" i="5"/>
  <c r="G5332" i="5"/>
  <c r="G5330" i="5"/>
  <c r="G5325" i="5"/>
  <c r="G5323" i="5"/>
  <c r="G5319" i="5"/>
  <c r="G5317" i="5"/>
  <c r="G5313" i="5"/>
  <c r="G5311" i="5"/>
  <c r="G5307" i="5"/>
  <c r="G5305" i="5"/>
  <c r="G5301" i="5"/>
  <c r="G5299" i="5"/>
  <c r="G5295" i="5"/>
  <c r="F96" i="7"/>
  <c r="F106" i="7"/>
  <c r="F108" i="7"/>
  <c r="F514" i="6"/>
  <c r="F501" i="6"/>
  <c r="F500" i="6"/>
  <c r="F512" i="6"/>
  <c r="F502" i="6"/>
  <c r="F484" i="6"/>
  <c r="G5331" i="5"/>
  <c r="G5384" i="5"/>
  <c r="G5448" i="5"/>
  <c r="G5300" i="5"/>
  <c r="G5407" i="5"/>
  <c r="G5466" i="5"/>
  <c r="G5318" i="5"/>
  <c r="G5306" i="5"/>
  <c r="G5417" i="5"/>
  <c r="G5338" i="5"/>
  <c r="G5392" i="5"/>
  <c r="G5454" i="5"/>
  <c r="G5324" i="5"/>
  <c r="G5376" i="5"/>
  <c r="G5441" i="5"/>
  <c r="G5294" i="5"/>
  <c r="G5400" i="5"/>
  <c r="G5312" i="5"/>
  <c r="G5351" i="5"/>
  <c r="D68" i="7"/>
  <c r="D67" i="7"/>
  <c r="D54" i="7"/>
  <c r="D53" i="7"/>
  <c r="F93" i="7"/>
  <c r="F73" i="7"/>
  <c r="F482" i="6"/>
  <c r="F468" i="6"/>
  <c r="F449" i="6"/>
  <c r="F92" i="7"/>
  <c r="F81" i="7"/>
  <c r="F94" i="7"/>
  <c r="F82" i="7"/>
  <c r="F80" i="7"/>
  <c r="F74" i="7"/>
  <c r="F483" i="6"/>
  <c r="F481" i="6"/>
  <c r="F470" i="6"/>
  <c r="F471" i="6"/>
  <c r="F451" i="6"/>
  <c r="F469" i="6"/>
  <c r="F452" i="6"/>
  <c r="F467" i="6"/>
  <c r="F439" i="6"/>
  <c r="F448" i="6"/>
  <c r="F450" i="6"/>
  <c r="F440" i="6"/>
  <c r="D2772" i="5"/>
  <c r="D6137" i="5"/>
  <c r="D6133" i="5"/>
  <c r="D6129" i="5"/>
  <c r="D6121" i="5"/>
  <c r="D6105" i="5"/>
  <c r="D6101" i="5"/>
  <c r="D6097" i="5"/>
  <c r="D6093" i="5"/>
  <c r="D6089" i="5"/>
  <c r="D6085" i="5"/>
  <c r="D6081" i="5"/>
  <c r="D6077" i="5"/>
  <c r="D6073" i="5"/>
  <c r="D6069" i="5"/>
  <c r="D6065" i="5"/>
  <c r="D6061" i="5"/>
  <c r="D6057" i="5"/>
  <c r="D6053" i="5"/>
  <c r="D6049" i="5"/>
  <c r="D6037" i="5"/>
  <c r="D6033" i="5"/>
  <c r="D6029" i="5"/>
  <c r="D6021" i="5"/>
  <c r="D6017" i="5"/>
  <c r="D6013" i="5"/>
  <c r="D6009" i="5"/>
  <c r="D6005" i="5"/>
  <c r="D6001" i="5"/>
  <c r="D5997" i="5"/>
  <c r="D5993" i="5"/>
  <c r="D5989" i="5"/>
  <c r="D5985" i="5"/>
  <c r="D5981" i="5"/>
  <c r="D5977" i="5"/>
  <c r="D5973" i="5"/>
  <c r="D5969" i="5"/>
  <c r="D5965" i="5"/>
  <c r="D5961" i="5"/>
  <c r="D5957" i="5"/>
  <c r="D5953" i="5"/>
  <c r="D5949" i="5"/>
  <c r="D5945" i="5"/>
  <c r="D5941" i="5"/>
  <c r="D5937" i="5"/>
  <c r="D5933" i="5"/>
  <c r="D5929" i="5"/>
  <c r="D5925" i="5"/>
  <c r="D5921" i="5"/>
  <c r="D5917" i="5"/>
  <c r="D5913" i="5"/>
  <c r="D5909" i="5"/>
  <c r="D5905" i="5"/>
  <c r="D5901" i="5"/>
  <c r="D5897" i="5"/>
  <c r="D5893" i="5"/>
  <c r="D5889" i="5"/>
  <c r="D5885" i="5"/>
  <c r="D5881" i="5"/>
  <c r="D5877" i="5"/>
  <c r="D5873" i="5"/>
  <c r="D5869" i="5"/>
  <c r="D5865" i="5"/>
  <c r="D5861" i="5"/>
  <c r="D5857" i="5"/>
  <c r="D5853" i="5"/>
  <c r="D5849" i="5"/>
  <c r="D5845" i="5"/>
  <c r="D5841" i="5"/>
  <c r="D5837" i="5"/>
  <c r="D5833" i="5"/>
  <c r="D5829" i="5"/>
  <c r="D5825" i="5"/>
  <c r="D5821" i="5"/>
  <c r="D5817" i="5"/>
  <c r="D5813" i="5"/>
  <c r="D5809" i="5"/>
  <c r="D5805" i="5"/>
  <c r="D5801" i="5"/>
  <c r="D5797" i="5"/>
  <c r="D5793" i="5"/>
  <c r="D5789" i="5"/>
  <c r="D5785" i="5"/>
  <c r="D5781" i="5"/>
  <c r="D5777" i="5"/>
  <c r="D5773" i="5"/>
  <c r="D5769" i="5"/>
  <c r="D5765" i="5"/>
  <c r="D5761" i="5"/>
  <c r="D5757" i="5"/>
  <c r="D5753" i="5"/>
  <c r="D5749" i="5"/>
  <c r="D5745" i="5"/>
  <c r="D5741" i="5"/>
  <c r="D5737" i="5"/>
  <c r="D5733" i="5"/>
  <c r="D5729" i="5"/>
  <c r="D5725" i="5"/>
  <c r="D5721" i="5"/>
  <c r="D5717" i="5"/>
  <c r="D5713" i="5"/>
  <c r="D5709" i="5"/>
  <c r="D5705" i="5"/>
  <c r="D5701" i="5"/>
  <c r="D5697" i="5"/>
  <c r="D5693" i="5"/>
  <c r="D5689" i="5"/>
  <c r="D5685" i="5"/>
  <c r="D5681" i="5"/>
  <c r="D5677" i="5"/>
  <c r="D5673" i="5"/>
  <c r="D5669" i="5"/>
  <c r="D5665" i="5"/>
  <c r="D5661" i="5"/>
  <c r="D5657" i="5"/>
  <c r="D5653" i="5"/>
  <c r="D5649" i="5"/>
  <c r="D5645" i="5"/>
  <c r="D5641" i="5"/>
  <c r="D5637" i="5"/>
  <c r="D5633" i="5"/>
  <c r="D5629" i="5"/>
  <c r="D5625" i="5"/>
  <c r="D5621" i="5"/>
  <c r="D5617" i="5"/>
  <c r="D5613" i="5"/>
  <c r="D5609" i="5"/>
  <c r="D5605" i="5"/>
  <c r="D5595" i="5"/>
  <c r="D5589" i="5"/>
  <c r="D5583" i="5"/>
  <c r="D5577" i="5"/>
  <c r="D5571" i="5"/>
  <c r="D5565" i="5"/>
  <c r="D5559" i="5"/>
  <c r="D5553" i="5"/>
  <c r="D5547" i="5"/>
  <c r="D5541" i="5"/>
  <c r="D5535" i="5"/>
  <c r="D5529" i="5"/>
  <c r="D5523" i="5"/>
  <c r="D5517" i="5"/>
  <c r="D5511" i="5"/>
  <c r="D5505" i="5"/>
  <c r="D5499" i="5"/>
  <c r="D5493" i="5"/>
  <c r="D5487" i="5"/>
  <c r="D5481" i="5"/>
  <c r="B6137" i="5"/>
  <c r="B6133" i="5"/>
  <c r="B6129" i="5"/>
  <c r="B6121" i="5"/>
  <c r="B6105" i="5"/>
  <c r="B6101" i="5"/>
  <c r="B6097" i="5"/>
  <c r="B6093" i="5"/>
  <c r="B6089" i="5"/>
  <c r="B6085" i="5"/>
  <c r="B6081" i="5"/>
  <c r="B6077" i="5"/>
  <c r="B6073" i="5"/>
  <c r="B6069" i="5"/>
  <c r="B6065" i="5"/>
  <c r="B6061" i="5"/>
  <c r="B6057" i="5"/>
  <c r="B6053" i="5"/>
  <c r="B6049" i="5"/>
  <c r="B6037" i="5"/>
  <c r="B6033" i="5"/>
  <c r="B6029"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7" i="5"/>
  <c r="B5813" i="5"/>
  <c r="B5809" i="5"/>
  <c r="B5805"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33" i="5"/>
  <c r="B5629" i="5"/>
  <c r="B5625" i="5"/>
  <c r="B5621" i="5"/>
  <c r="B5609" i="5"/>
  <c r="B5617" i="5"/>
  <c r="B5613" i="5"/>
  <c r="D5601" i="5"/>
  <c r="B5605" i="5"/>
  <c r="B5601" i="5"/>
  <c r="G6140" i="5"/>
  <c r="G6138" i="5"/>
  <c r="G6136" i="5"/>
  <c r="G6134" i="5"/>
  <c r="G6132" i="5"/>
  <c r="G6130" i="5"/>
  <c r="G6122" i="5"/>
  <c r="G6121" i="5"/>
  <c r="G6108" i="5"/>
  <c r="G6106" i="5"/>
  <c r="G6104" i="5"/>
  <c r="G6102" i="5"/>
  <c r="G6100" i="5"/>
  <c r="G6098" i="5"/>
  <c r="G6096" i="5"/>
  <c r="G6094" i="5"/>
  <c r="G6092" i="5"/>
  <c r="G6090" i="5"/>
  <c r="G6088" i="5"/>
  <c r="G6086" i="5"/>
  <c r="G6084" i="5"/>
  <c r="G6082" i="5"/>
  <c r="G6080" i="5"/>
  <c r="G6078" i="5"/>
  <c r="G6076" i="5"/>
  <c r="G6074" i="5"/>
  <c r="G6072" i="5"/>
  <c r="G6070" i="5"/>
  <c r="G6068" i="5"/>
  <c r="G6066" i="5"/>
  <c r="G6065" i="5"/>
  <c r="G6064" i="5"/>
  <c r="G6062" i="5"/>
  <c r="G6060" i="5"/>
  <c r="G6058" i="5"/>
  <c r="G6057" i="5"/>
  <c r="G6056" i="5"/>
  <c r="G6054" i="5"/>
  <c r="G6052" i="5"/>
  <c r="G6050" i="5"/>
  <c r="G6040" i="5"/>
  <c r="G6038" i="5"/>
  <c r="G6036" i="5"/>
  <c r="G6034" i="5"/>
  <c r="G6032" i="5"/>
  <c r="G6030" i="5"/>
  <c r="G6024" i="5"/>
  <c r="G6022" i="5"/>
  <c r="G6020" i="5"/>
  <c r="G6018" i="5"/>
  <c r="G6017" i="5"/>
  <c r="G6016" i="5"/>
  <c r="G6014" i="5"/>
  <c r="G6013" i="5"/>
  <c r="G6012" i="5"/>
  <c r="G6010" i="5"/>
  <c r="G6009" i="5"/>
  <c r="G6008" i="5"/>
  <c r="G6006" i="5"/>
  <c r="G6005" i="5"/>
  <c r="G6004" i="5"/>
  <c r="G6002" i="5"/>
  <c r="G6001" i="5"/>
  <c r="G6000" i="5"/>
  <c r="G5998" i="5"/>
  <c r="G5997" i="5"/>
  <c r="G5996" i="5"/>
  <c r="G5994" i="5"/>
  <c r="G5993" i="5"/>
  <c r="G5992" i="5"/>
  <c r="G5990" i="5"/>
  <c r="G5989"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B5801"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4" i="5"/>
  <c r="G5742" i="5"/>
  <c r="G5740" i="5"/>
  <c r="G5738" i="5"/>
  <c r="G5736" i="5"/>
  <c r="G5734" i="5"/>
  <c r="G5732" i="5"/>
  <c r="G5730" i="5"/>
  <c r="G5729" i="5"/>
  <c r="G5728" i="5"/>
  <c r="G5726" i="5"/>
  <c r="G5725" i="5"/>
  <c r="G5724" i="5"/>
  <c r="G5722" i="5"/>
  <c r="G5721" i="5"/>
  <c r="G5720" i="5"/>
  <c r="G5718" i="5"/>
  <c r="G5717" i="5"/>
  <c r="G5716" i="5"/>
  <c r="G5714" i="5"/>
  <c r="G5713" i="5"/>
  <c r="G5712" i="5"/>
  <c r="G5710" i="5"/>
  <c r="G5709" i="5"/>
  <c r="G5708" i="5"/>
  <c r="G5706" i="5"/>
  <c r="G5705" i="5"/>
  <c r="G5704" i="5"/>
  <c r="G5702" i="5"/>
  <c r="G5701"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0" i="5"/>
  <c r="G5628" i="5"/>
  <c r="G5626" i="5"/>
  <c r="G5624" i="5"/>
  <c r="G5622" i="5"/>
  <c r="G5620" i="5"/>
  <c r="G5618" i="5"/>
  <c r="G5616" i="5"/>
  <c r="G5614" i="5"/>
  <c r="G5612" i="5"/>
  <c r="G5610" i="5"/>
  <c r="G5608" i="5"/>
  <c r="G5606" i="5"/>
  <c r="G5604" i="5"/>
  <c r="G5602" i="5"/>
  <c r="G5600" i="5"/>
  <c r="G5599" i="5"/>
  <c r="G5598" i="5"/>
  <c r="G5596" i="5"/>
  <c r="B5595" i="5"/>
  <c r="G5594" i="5"/>
  <c r="G5593" i="5"/>
  <c r="G5592" i="5"/>
  <c r="G5590" i="5"/>
  <c r="B5589" i="5"/>
  <c r="G5588" i="5"/>
  <c r="G5587" i="5"/>
  <c r="G5586" i="5"/>
  <c r="G5584" i="5"/>
  <c r="B5583" i="5"/>
  <c r="G5582" i="5"/>
  <c r="G5581" i="5"/>
  <c r="G5580" i="5"/>
  <c r="G5578" i="5"/>
  <c r="B5577" i="5"/>
  <c r="G5576" i="5"/>
  <c r="G5575" i="5"/>
  <c r="G5574" i="5"/>
  <c r="G5572" i="5"/>
  <c r="B5571" i="5"/>
  <c r="G5570" i="5"/>
  <c r="G5569" i="5"/>
  <c r="G5568" i="5"/>
  <c r="G5566" i="5"/>
  <c r="B5565" i="5"/>
  <c r="G5564" i="5"/>
  <c r="G5563" i="5"/>
  <c r="G5562" i="5"/>
  <c r="G5560" i="5"/>
  <c r="B5559" i="5"/>
  <c r="G5558" i="5"/>
  <c r="G5557" i="5"/>
  <c r="G5556" i="5"/>
  <c r="G5554" i="5"/>
  <c r="B5553" i="5"/>
  <c r="G5552" i="5"/>
  <c r="G5551" i="5"/>
  <c r="G5550" i="5"/>
  <c r="G5548" i="5"/>
  <c r="B5547" i="5"/>
  <c r="G5546" i="5"/>
  <c r="G5545" i="5"/>
  <c r="G5544" i="5"/>
  <c r="G5542" i="5"/>
  <c r="B5541" i="5"/>
  <c r="G5540" i="5"/>
  <c r="G5539" i="5"/>
  <c r="G5538" i="5"/>
  <c r="G5536" i="5"/>
  <c r="B5535" i="5"/>
  <c r="G5534" i="5"/>
  <c r="G5533" i="5"/>
  <c r="G5532" i="5"/>
  <c r="G5530" i="5"/>
  <c r="B5529" i="5"/>
  <c r="G5528" i="5"/>
  <c r="G5527" i="5"/>
  <c r="G5526" i="5"/>
  <c r="G5524" i="5"/>
  <c r="B5523" i="5"/>
  <c r="G5522" i="5"/>
  <c r="G5521" i="5"/>
  <c r="G5520" i="5"/>
  <c r="G5518" i="5"/>
  <c r="B5517" i="5"/>
  <c r="G5516" i="5"/>
  <c r="G5515" i="5"/>
  <c r="G5514" i="5"/>
  <c r="G5512" i="5"/>
  <c r="B5511" i="5"/>
  <c r="G5510" i="5"/>
  <c r="G5509" i="5"/>
  <c r="G5508" i="5"/>
  <c r="G5506" i="5"/>
  <c r="B5505" i="5"/>
  <c r="G5504" i="5"/>
  <c r="G5503" i="5"/>
  <c r="G5502" i="5"/>
  <c r="G5500" i="5"/>
  <c r="B5499" i="5"/>
  <c r="G5498" i="5"/>
  <c r="G5497" i="5"/>
  <c r="G5496" i="5"/>
  <c r="G5494" i="5"/>
  <c r="B5493" i="5"/>
  <c r="G5492" i="5"/>
  <c r="G5491" i="5"/>
  <c r="G5490" i="5"/>
  <c r="G5488" i="5"/>
  <c r="B5487" i="5"/>
  <c r="G5486" i="5"/>
  <c r="G5485" i="5"/>
  <c r="G5484" i="5"/>
  <c r="G5482" i="5"/>
  <c r="B5481" i="5"/>
  <c r="G2775" i="5"/>
  <c r="G2773" i="5"/>
  <c r="B2772" i="5"/>
  <c r="G2767" i="5"/>
  <c r="G2765" i="5"/>
  <c r="D2764" i="5"/>
  <c r="B2764" i="5"/>
  <c r="G5657" i="5"/>
  <c r="G5629" i="5"/>
  <c r="G5661" i="5"/>
  <c r="G5689" i="5"/>
  <c r="G5609" i="5"/>
  <c r="G5641" i="5"/>
  <c r="G5673" i="5"/>
  <c r="G5665" i="5"/>
  <c r="G5697" i="5"/>
  <c r="G5653" i="5"/>
  <c r="G5633" i="5"/>
  <c r="G5481" i="5"/>
  <c r="G5529" i="5"/>
  <c r="G5553" i="5"/>
  <c r="G5613" i="5"/>
  <c r="G5645" i="5"/>
  <c r="G5677" i="5"/>
  <c r="G5637" i="5"/>
  <c r="G5669" i="5"/>
  <c r="G5685" i="5"/>
  <c r="G5625" i="5"/>
  <c r="G5617" i="5"/>
  <c r="G5649" i="5"/>
  <c r="G5681" i="5"/>
  <c r="G5749" i="5"/>
  <c r="G5753" i="5"/>
  <c r="G6021" i="5"/>
  <c r="G6037" i="5"/>
  <c r="G6049" i="5"/>
  <c r="G6061" i="5"/>
  <c r="G6069" i="5"/>
  <c r="G6073" i="5"/>
  <c r="G6077" i="5"/>
  <c r="G6097" i="5"/>
  <c r="G6101" i="5"/>
  <c r="G6105" i="5"/>
  <c r="G6129" i="5"/>
  <c r="G6137" i="5"/>
  <c r="G2764" i="5"/>
  <c r="G5511" i="5"/>
  <c r="G5535" i="5"/>
  <c r="G5559" i="5"/>
  <c r="G5781" i="5"/>
  <c r="G5929" i="5"/>
  <c r="G5961" i="5"/>
  <c r="G5793" i="5"/>
  <c r="G5813" i="5"/>
  <c r="G5857" i="5"/>
  <c r="G5889" i="5"/>
  <c r="G5921" i="5"/>
  <c r="G5953" i="5"/>
  <c r="G5837" i="5"/>
  <c r="G5869" i="5"/>
  <c r="G5901" i="5"/>
  <c r="G5933" i="5"/>
  <c r="G5965" i="5"/>
  <c r="G5765" i="5"/>
  <c r="G5817" i="5"/>
  <c r="G5913" i="5"/>
  <c r="G5945" i="5"/>
  <c r="G5977" i="5"/>
  <c r="G5829" i="5"/>
  <c r="G5861" i="5"/>
  <c r="G5925" i="5"/>
  <c r="G5849" i="5"/>
  <c r="G2772" i="5"/>
  <c r="G5517" i="5"/>
  <c r="G5541" i="5"/>
  <c r="G5565" i="5"/>
  <c r="G5589" i="5"/>
  <c r="G5757" i="5"/>
  <c r="G5789" i="5"/>
  <c r="G5841" i="5"/>
  <c r="G5873" i="5"/>
  <c r="G5937" i="5"/>
  <c r="G5969" i="5"/>
  <c r="G5769" i="5"/>
  <c r="G5821" i="5"/>
  <c r="G5917" i="5"/>
  <c r="G5949" i="5"/>
  <c r="G5981" i="5"/>
  <c r="G5761" i="5"/>
  <c r="G5845" i="5"/>
  <c r="G5909" i="5"/>
  <c r="G5941" i="5"/>
  <c r="G5973" i="5"/>
  <c r="G6081" i="5"/>
  <c r="G5985" i="5"/>
  <c r="G6133" i="5"/>
  <c r="G5905" i="5"/>
  <c r="G6089" i="5"/>
  <c r="G6033" i="5"/>
  <c r="G6053" i="5"/>
  <c r="G6029" i="5"/>
  <c r="G6085" i="5"/>
  <c r="G5877" i="5"/>
  <c r="G6093" i="5"/>
  <c r="G5881" i="5"/>
  <c r="G5737" i="5"/>
  <c r="G5853" i="5"/>
  <c r="G5957" i="5"/>
  <c r="G5805" i="5"/>
  <c r="G5801" i="5"/>
  <c r="G5809" i="5"/>
  <c r="G5833" i="5"/>
  <c r="G5773" i="5"/>
  <c r="G5825" i="5"/>
  <c r="G5797" i="5"/>
  <c r="G5865" i="5"/>
  <c r="G5897" i="5"/>
  <c r="G5893" i="5"/>
  <c r="G5777" i="5"/>
  <c r="G5741" i="5"/>
  <c r="G5885" i="5"/>
  <c r="G5785" i="5"/>
  <c r="G5745" i="5"/>
  <c r="G5693" i="5"/>
  <c r="G5583" i="5"/>
  <c r="G5547" i="5"/>
  <c r="G5595" i="5"/>
  <c r="G5605" i="5"/>
  <c r="G5601" i="5"/>
  <c r="G5621" i="5"/>
  <c r="G5571" i="5"/>
  <c r="G5499" i="5"/>
  <c r="G5733" i="5"/>
  <c r="G5505" i="5"/>
  <c r="G5493" i="5"/>
  <c r="G5523" i="5"/>
  <c r="G5577" i="5"/>
  <c r="G5487" i="5"/>
  <c r="D2768" i="5"/>
  <c r="G2769" i="5"/>
  <c r="G2768" i="5"/>
  <c r="G2771" i="5"/>
  <c r="B2768" i="5"/>
  <c r="D4448" i="5"/>
  <c r="D4460" i="5"/>
  <c r="G2459" i="5"/>
  <c r="G2457" i="5"/>
  <c r="G2456" i="5"/>
  <c r="D2456" i="5"/>
  <c r="B2456" i="5"/>
  <c r="G2455" i="5"/>
  <c r="G2453" i="5"/>
  <c r="G2452" i="5"/>
  <c r="D2452" i="5"/>
  <c r="B2452" i="5"/>
  <c r="G2659" i="5"/>
  <c r="G2657" i="5"/>
  <c r="G2656" i="5"/>
  <c r="D2656" i="5"/>
  <c r="B2656" i="5"/>
  <c r="G2651" i="5"/>
  <c r="G2649" i="5"/>
  <c r="G2648" i="5"/>
  <c r="D2648" i="5"/>
  <c r="B2648" i="5"/>
  <c r="D2552" i="5"/>
  <c r="G2559" i="5"/>
  <c r="G2557" i="5"/>
  <c r="G2556" i="5"/>
  <c r="D2556" i="5"/>
  <c r="B2556" i="5"/>
  <c r="G2555" i="5"/>
  <c r="G2553" i="5"/>
  <c r="B2552" i="5"/>
  <c r="G2551" i="5"/>
  <c r="G2549" i="5"/>
  <c r="D2548" i="5"/>
  <c r="B2548" i="5"/>
  <c r="G2547" i="5"/>
  <c r="G2545" i="5"/>
  <c r="G2544" i="5"/>
  <c r="D2544" i="5"/>
  <c r="B2544" i="5"/>
  <c r="G2543" i="5"/>
  <c r="G2541" i="5"/>
  <c r="D2540" i="5"/>
  <c r="B2540" i="5"/>
  <c r="G2539" i="5"/>
  <c r="G2537" i="5"/>
  <c r="G2536" i="5"/>
  <c r="D2536" i="5"/>
  <c r="B2536" i="5"/>
  <c r="G2535" i="5"/>
  <c r="G2533" i="5"/>
  <c r="G2532" i="5"/>
  <c r="D2532" i="5"/>
  <c r="B2532" i="5"/>
  <c r="G2531" i="5"/>
  <c r="G2529" i="5"/>
  <c r="D2528" i="5"/>
  <c r="B2528" i="5"/>
  <c r="G2527" i="5"/>
  <c r="G2525" i="5"/>
  <c r="G2524" i="5"/>
  <c r="D2524" i="5"/>
  <c r="B2524" i="5"/>
  <c r="G2523" i="5"/>
  <c r="G2521" i="5"/>
  <c r="G2520" i="5"/>
  <c r="D2520" i="5"/>
  <c r="B2520" i="5"/>
  <c r="G2519" i="5"/>
  <c r="G2517" i="5"/>
  <c r="G2516" i="5"/>
  <c r="D2516" i="5"/>
  <c r="B2516" i="5"/>
  <c r="G2515" i="5"/>
  <c r="G2513" i="5"/>
  <c r="G2512" i="5"/>
  <c r="D2512" i="5"/>
  <c r="B2512" i="5"/>
  <c r="G2511" i="5"/>
  <c r="G2509" i="5"/>
  <c r="G2508" i="5"/>
  <c r="D2508" i="5"/>
  <c r="B2508" i="5"/>
  <c r="G2507" i="5"/>
  <c r="G2505" i="5"/>
  <c r="G2504" i="5"/>
  <c r="D2504" i="5"/>
  <c r="B2504" i="5"/>
  <c r="G2503" i="5"/>
  <c r="G2501" i="5"/>
  <c r="G2500" i="5"/>
  <c r="D2500" i="5"/>
  <c r="B2500" i="5"/>
  <c r="G2499" i="5"/>
  <c r="G2497" i="5"/>
  <c r="D2496" i="5"/>
  <c r="B2496" i="5"/>
  <c r="G2495" i="5"/>
  <c r="G2493" i="5"/>
  <c r="G2492" i="5"/>
  <c r="D2492" i="5"/>
  <c r="B2492" i="5"/>
  <c r="G2491" i="5"/>
  <c r="G2489" i="5"/>
  <c r="D2488" i="5"/>
  <c r="B2488" i="5"/>
  <c r="G2487" i="5"/>
  <c r="G2485" i="5"/>
  <c r="G2484" i="5"/>
  <c r="D2484" i="5"/>
  <c r="B2484" i="5"/>
  <c r="G2483" i="5"/>
  <c r="G2481" i="5"/>
  <c r="G2480" i="5"/>
  <c r="D2480" i="5"/>
  <c r="B2480" i="5"/>
  <c r="G2479" i="5"/>
  <c r="G2477" i="5"/>
  <c r="D2476" i="5"/>
  <c r="B2476" i="5"/>
  <c r="G2475" i="5"/>
  <c r="G2473" i="5"/>
  <c r="G2472" i="5"/>
  <c r="D2472" i="5"/>
  <c r="B2472" i="5"/>
  <c r="G2471" i="5"/>
  <c r="G2469" i="5"/>
  <c r="G2468" i="5"/>
  <c r="D2468" i="5"/>
  <c r="B2468" i="5"/>
  <c r="G2467" i="5"/>
  <c r="G2465" i="5"/>
  <c r="G2464" i="5"/>
  <c r="D2464" i="5"/>
  <c r="B2464" i="5"/>
  <c r="G2463" i="5"/>
  <c r="G2461" i="5"/>
  <c r="G2460" i="5"/>
  <c r="D2460" i="5"/>
  <c r="B2460" i="5"/>
  <c r="G2451" i="5"/>
  <c r="G2449" i="5"/>
  <c r="G2448" i="5"/>
  <c r="D2448" i="5"/>
  <c r="B2448" i="5"/>
  <c r="G2447" i="5"/>
  <c r="G2445" i="5"/>
  <c r="G2444" i="5"/>
  <c r="D2444" i="5"/>
  <c r="B2444" i="5"/>
  <c r="G2439" i="5"/>
  <c r="G2437" i="5"/>
  <c r="G2436" i="5"/>
  <c r="D2436" i="5"/>
  <c r="B2436" i="5"/>
  <c r="G2435" i="5"/>
  <c r="G2433" i="5"/>
  <c r="G2432" i="5"/>
  <c r="D2432" i="5"/>
  <c r="B2432" i="5"/>
  <c r="G2431" i="5"/>
  <c r="G2429" i="5"/>
  <c r="D2428" i="5"/>
  <c r="B2428" i="5"/>
  <c r="G2427" i="5"/>
  <c r="G2425" i="5"/>
  <c r="G2424" i="5"/>
  <c r="D2424" i="5"/>
  <c r="B2424" i="5"/>
  <c r="G2423" i="5"/>
  <c r="G2421" i="5"/>
  <c r="G2420" i="5"/>
  <c r="D2420" i="5"/>
  <c r="B2420" i="5"/>
  <c r="G2419" i="5"/>
  <c r="G2417" i="5"/>
  <c r="D2416" i="5"/>
  <c r="B2416" i="5"/>
  <c r="G2411" i="5"/>
  <c r="G2409" i="5"/>
  <c r="G2408" i="5"/>
  <c r="D2408" i="5"/>
  <c r="B2408" i="5"/>
  <c r="G2407" i="5"/>
  <c r="G2405" i="5"/>
  <c r="G2404" i="5"/>
  <c r="D2404" i="5"/>
  <c r="B2404" i="5"/>
  <c r="G2552" i="5"/>
  <c r="G2548" i="5"/>
  <c r="G2540" i="5"/>
  <c r="G2528" i="5"/>
  <c r="G2488" i="5"/>
  <c r="G2496" i="5"/>
  <c r="G2476" i="5"/>
  <c r="G2428" i="5"/>
  <c r="G2416" i="5"/>
  <c r="D5288" i="5"/>
  <c r="D5282" i="5"/>
  <c r="B5288" i="5"/>
  <c r="G5293" i="5"/>
  <c r="G5289" i="5"/>
  <c r="G5287" i="5"/>
  <c r="G5283" i="5"/>
  <c r="B5282" i="5"/>
  <c r="G5288" i="5"/>
  <c r="G5282" i="5"/>
  <c r="D5261" i="5"/>
  <c r="G5268" i="5"/>
  <c r="G5262" i="5"/>
  <c r="G5261" i="5"/>
  <c r="B5261" i="5"/>
  <c r="F437" i="6"/>
  <c r="F428" i="6"/>
  <c r="F438" i="6"/>
  <c r="F429" i="6"/>
  <c r="F436" i="6"/>
  <c r="D424" i="6"/>
  <c r="D423" i="6"/>
  <c r="D411" i="6"/>
  <c r="D412" i="6"/>
  <c r="F417" i="6"/>
  <c r="F427" i="6"/>
  <c r="F425" i="6"/>
  <c r="F416" i="6"/>
  <c r="F426" i="6"/>
  <c r="F405" i="6"/>
  <c r="F403" i="6"/>
  <c r="F394" i="6"/>
  <c r="F374" i="6"/>
  <c r="F373" i="6"/>
  <c r="F365" i="6"/>
  <c r="F60" i="7"/>
  <c r="F46" i="7"/>
  <c r="F37" i="7"/>
  <c r="F36" i="7"/>
  <c r="G5281" i="5"/>
  <c r="G5276" i="5"/>
  <c r="D5275" i="5"/>
  <c r="B5275" i="5"/>
  <c r="G5274" i="5"/>
  <c r="G5270" i="5"/>
  <c r="D5269" i="5"/>
  <c r="B5269" i="5"/>
  <c r="G5260" i="5"/>
  <c r="G5250" i="5"/>
  <c r="D5249" i="5"/>
  <c r="B5249" i="5"/>
  <c r="G5269" i="5"/>
  <c r="G5275" i="5"/>
  <c r="G5249" i="5"/>
  <c r="F413" i="6"/>
  <c r="F415" i="6"/>
  <c r="F414" i="6"/>
  <c r="F395" i="6"/>
  <c r="F404" i="6"/>
  <c r="F393" i="6"/>
  <c r="F71" i="7"/>
  <c r="F385" i="6"/>
  <c r="F386" i="6"/>
  <c r="F69" i="7"/>
  <c r="F70" i="7"/>
  <c r="F59" i="7"/>
  <c r="F72" i="7"/>
  <c r="F380" i="6"/>
  <c r="F379" i="6"/>
  <c r="F55" i="7"/>
  <c r="F57" i="7"/>
  <c r="F56" i="7"/>
  <c r="F58" i="7"/>
  <c r="F47" i="7"/>
  <c r="F45" i="7"/>
  <c r="F372" i="6"/>
  <c r="F366" i="6"/>
  <c r="G5248" i="5"/>
  <c r="G5243" i="5"/>
  <c r="D5242" i="5"/>
  <c r="B5242" i="5"/>
  <c r="G5241" i="5"/>
  <c r="G5237" i="5"/>
  <c r="D5236" i="5"/>
  <c r="B5236" i="5"/>
  <c r="G5235" i="5"/>
  <c r="G5231" i="5"/>
  <c r="D5230" i="5"/>
  <c r="B5230" i="5"/>
  <c r="G5229" i="5"/>
  <c r="G5224" i="5"/>
  <c r="D5223" i="5"/>
  <c r="B5223" i="5"/>
  <c r="G5222" i="5"/>
  <c r="G5217" i="5"/>
  <c r="D5216" i="5"/>
  <c r="B5216" i="5"/>
  <c r="G5215" i="5"/>
  <c r="G5202" i="5"/>
  <c r="D5201" i="5"/>
  <c r="B5201" i="5"/>
  <c r="G5200" i="5"/>
  <c r="G5187" i="5"/>
  <c r="D5186" i="5"/>
  <c r="B5186" i="5"/>
  <c r="G5242" i="5"/>
  <c r="G5201" i="5"/>
  <c r="G5216" i="5"/>
  <c r="G5223" i="5"/>
  <c r="G5230" i="5"/>
  <c r="G5236" i="5"/>
  <c r="G5186" i="5"/>
  <c r="G5185" i="5"/>
  <c r="G5179" i="5"/>
  <c r="D5178" i="5"/>
  <c r="B5178" i="5"/>
  <c r="G5178" i="5"/>
  <c r="G5177" i="5"/>
  <c r="G5171" i="5"/>
  <c r="D5170" i="5"/>
  <c r="B5170" i="5"/>
  <c r="G5169" i="5"/>
  <c r="G5163" i="5"/>
  <c r="D5162" i="5"/>
  <c r="B5162" i="5"/>
  <c r="G5170" i="5"/>
  <c r="G5162" i="5"/>
  <c r="G5161" i="5"/>
  <c r="G5157" i="5"/>
  <c r="D5156" i="5"/>
  <c r="B5156" i="5"/>
  <c r="G5155" i="5"/>
  <c r="G5149" i="5"/>
  <c r="D5148" i="5"/>
  <c r="B5148" i="5"/>
  <c r="G5147" i="5"/>
  <c r="G5143" i="5"/>
  <c r="D5142" i="5"/>
  <c r="B5142" i="5"/>
  <c r="G5141" i="5"/>
  <c r="G5135" i="5"/>
  <c r="D5134" i="5"/>
  <c r="B5134" i="5"/>
  <c r="G5133" i="5"/>
  <c r="G5127" i="5"/>
  <c r="D5126" i="5"/>
  <c r="B5126" i="5"/>
  <c r="G5125" i="5"/>
  <c r="G5119" i="5"/>
  <c r="D5118" i="5"/>
  <c r="B5118" i="5"/>
  <c r="G5117" i="5"/>
  <c r="G5111" i="5"/>
  <c r="D5110" i="5"/>
  <c r="B5110" i="5"/>
  <c r="G5109" i="5"/>
  <c r="G5105" i="5"/>
  <c r="D5104" i="5"/>
  <c r="B5104" i="5"/>
  <c r="G5104" i="5"/>
  <c r="G5110" i="5"/>
  <c r="G5126" i="5"/>
  <c r="G5134" i="5"/>
  <c r="G5142" i="5"/>
  <c r="G5148" i="5"/>
  <c r="G5118" i="5"/>
  <c r="G5156" i="5"/>
  <c r="G5103" i="5"/>
  <c r="G5094" i="5"/>
  <c r="D5093" i="5"/>
  <c r="B5093" i="5"/>
  <c r="G5092" i="5"/>
  <c r="G5087" i="5"/>
  <c r="D5086" i="5"/>
  <c r="B5086" i="5"/>
  <c r="B6443" i="5"/>
  <c r="D6443" i="5"/>
  <c r="G5086" i="5"/>
  <c r="G5093" i="5"/>
  <c r="G5085" i="5"/>
  <c r="G5080" i="5"/>
  <c r="D5079" i="5"/>
  <c r="B5079" i="5"/>
  <c r="G5078" i="5"/>
  <c r="G5074" i="5"/>
  <c r="D5073" i="5"/>
  <c r="B5073" i="5"/>
  <c r="G5072" i="5"/>
  <c r="G5068" i="5"/>
  <c r="D5067" i="5"/>
  <c r="B5067" i="5"/>
  <c r="G5066" i="5"/>
  <c r="G5062" i="5"/>
  <c r="D5061" i="5"/>
  <c r="B5061" i="5"/>
  <c r="G5060" i="5"/>
  <c r="G5056" i="5"/>
  <c r="D5055" i="5"/>
  <c r="B5055" i="5"/>
  <c r="G5067" i="5"/>
  <c r="G5079" i="5"/>
  <c r="G5055" i="5"/>
  <c r="G5073" i="5"/>
  <c r="G5061" i="5"/>
  <c r="G5054" i="5"/>
  <c r="G5048" i="5"/>
  <c r="G5047" i="5"/>
  <c r="D5047" i="5"/>
  <c r="B5047" i="5"/>
  <c r="G5046" i="5"/>
  <c r="G5041" i="5"/>
  <c r="D5040" i="5"/>
  <c r="B5040" i="5"/>
  <c r="G5039" i="5"/>
  <c r="G5034" i="5"/>
  <c r="G5033" i="5"/>
  <c r="D5033" i="5"/>
  <c r="B5033" i="5"/>
  <c r="G5032" i="5"/>
  <c r="G5026" i="5"/>
  <c r="D5025" i="5"/>
  <c r="B5025" i="5"/>
  <c r="G5024" i="5"/>
  <c r="G5020" i="5"/>
  <c r="D5019" i="5"/>
  <c r="B5019" i="5"/>
  <c r="G5018" i="5"/>
  <c r="G5014" i="5"/>
  <c r="D5013" i="5"/>
  <c r="B5013" i="5"/>
  <c r="G5012" i="5"/>
  <c r="G5010" i="5"/>
  <c r="G5009" i="5"/>
  <c r="D5009" i="5"/>
  <c r="B5009" i="5"/>
  <c r="G5002" i="5"/>
  <c r="G4996" i="5"/>
  <c r="D4995" i="5"/>
  <c r="B4995" i="5"/>
  <c r="G5008" i="5"/>
  <c r="G5004" i="5"/>
  <c r="D5003" i="5"/>
  <c r="B5003" i="5"/>
  <c r="G4994" i="5"/>
  <c r="G4991" i="5"/>
  <c r="G4990" i="5"/>
  <c r="D4990" i="5"/>
  <c r="B4990" i="5"/>
  <c r="G4989" i="5"/>
  <c r="G4984" i="5"/>
  <c r="G4983" i="5"/>
  <c r="D4983" i="5"/>
  <c r="B4983" i="5"/>
  <c r="G4982" i="5"/>
  <c r="G4978" i="5"/>
  <c r="D4977" i="5"/>
  <c r="B4977" i="5"/>
  <c r="G4976" i="5"/>
  <c r="G4972" i="5"/>
  <c r="D4971" i="5"/>
  <c r="B4971" i="5"/>
  <c r="G4970" i="5"/>
  <c r="G4966" i="5"/>
  <c r="D4965" i="5"/>
  <c r="B4965" i="5"/>
  <c r="G4964" i="5"/>
  <c r="G4960" i="5"/>
  <c r="D4959" i="5"/>
  <c r="B4959" i="5"/>
  <c r="G4958" i="5"/>
  <c r="G4955" i="5"/>
  <c r="G4954" i="5"/>
  <c r="D4954" i="5"/>
  <c r="B4954" i="5"/>
  <c r="G4953" i="5"/>
  <c r="G4948" i="5"/>
  <c r="D4947" i="5"/>
  <c r="B4947" i="5"/>
  <c r="G4946" i="5"/>
  <c r="G4941" i="5"/>
  <c r="D4940" i="5"/>
  <c r="B4940" i="5"/>
  <c r="B4933" i="5"/>
  <c r="D4933" i="5"/>
  <c r="G4934" i="5"/>
  <c r="G4939" i="5"/>
  <c r="G4932" i="5"/>
  <c r="G4927" i="5"/>
  <c r="D4926" i="5"/>
  <c r="B4926" i="5"/>
  <c r="G4925" i="5"/>
  <c r="G4922" i="5"/>
  <c r="G4921" i="5"/>
  <c r="D4921" i="5"/>
  <c r="B4921" i="5"/>
  <c r="G4920" i="5"/>
  <c r="G4915" i="5"/>
  <c r="D4914" i="5"/>
  <c r="B4914" i="5"/>
  <c r="G4913" i="5"/>
  <c r="G4908" i="5"/>
  <c r="D4907" i="5"/>
  <c r="B4907" i="5"/>
  <c r="G4906" i="5"/>
  <c r="G4901" i="5"/>
  <c r="D4900" i="5"/>
  <c r="B4900" i="5"/>
  <c r="G4965" i="5"/>
  <c r="G4971" i="5"/>
  <c r="G4933" i="5"/>
  <c r="G5013" i="5"/>
  <c r="G4926" i="5"/>
  <c r="G5040" i="5"/>
  <c r="G4959" i="5"/>
  <c r="G5025" i="5"/>
  <c r="G4914" i="5"/>
  <c r="G4977" i="5"/>
  <c r="G4940" i="5"/>
  <c r="G4995" i="5"/>
  <c r="G5019" i="5"/>
  <c r="G5003" i="5"/>
  <c r="G4907" i="5"/>
  <c r="G4900" i="5"/>
  <c r="G4947" i="5"/>
  <c r="G4899" i="5"/>
  <c r="G4894" i="5"/>
  <c r="D4893" i="5"/>
  <c r="B4893" i="5"/>
  <c r="G4892" i="5"/>
  <c r="G4887" i="5"/>
  <c r="D4886" i="5"/>
  <c r="B4886" i="5"/>
  <c r="G4885" i="5"/>
  <c r="G4878" i="5"/>
  <c r="D4877" i="5"/>
  <c r="B4877" i="5"/>
  <c r="G4877" i="5"/>
  <c r="G4886" i="5"/>
  <c r="G4893" i="5"/>
  <c r="G4876" i="5"/>
  <c r="G4868" i="5"/>
  <c r="D4867" i="5"/>
  <c r="B4867" i="5"/>
  <c r="G4867" i="5"/>
  <c r="G4866" i="5"/>
  <c r="G4860" i="5"/>
  <c r="G4859" i="5"/>
  <c r="D4859" i="5"/>
  <c r="B4859" i="5"/>
  <c r="G4858" i="5"/>
  <c r="G4852" i="5"/>
  <c r="G4851" i="5"/>
  <c r="D4851" i="5"/>
  <c r="B4851" i="5"/>
  <c r="G4850" i="5"/>
  <c r="G4844" i="5"/>
  <c r="G4843" i="5"/>
  <c r="D4843" i="5"/>
  <c r="B4843" i="5"/>
  <c r="G4842" i="5"/>
  <c r="G4836" i="5"/>
  <c r="G4835" i="5"/>
  <c r="D4835" i="5"/>
  <c r="B4835" i="5"/>
  <c r="G4834" i="5"/>
  <c r="G4828" i="5"/>
  <c r="G4827" i="5"/>
  <c r="D4827" i="5"/>
  <c r="B4827" i="5"/>
  <c r="G4826" i="5"/>
  <c r="G4820" i="5"/>
  <c r="G4819" i="5"/>
  <c r="D4819" i="5"/>
  <c r="B4819" i="5"/>
  <c r="G4818" i="5"/>
  <c r="G4812" i="5"/>
  <c r="G4811" i="5"/>
  <c r="D4811" i="5"/>
  <c r="B4811" i="5"/>
  <c r="G4809" i="5"/>
  <c r="G4804" i="5"/>
  <c r="G4803" i="5"/>
  <c r="D4803" i="5"/>
  <c r="B4803" i="5"/>
  <c r="G4802" i="5"/>
  <c r="G4799" i="5"/>
  <c r="G4798" i="5"/>
  <c r="D4798" i="5"/>
  <c r="B4798" i="5"/>
  <c r="G4797" i="5"/>
  <c r="G4794" i="5"/>
  <c r="G4793" i="5"/>
  <c r="D4793" i="5"/>
  <c r="B4793" i="5"/>
  <c r="G4792" i="5"/>
  <c r="G4789" i="5"/>
  <c r="G4788" i="5"/>
  <c r="D4788" i="5"/>
  <c r="B4788" i="5"/>
  <c r="G4779" i="5"/>
  <c r="G4787" i="5"/>
  <c r="D4778" i="5"/>
  <c r="B4778" i="5"/>
  <c r="G4777" i="5"/>
  <c r="G4769" i="5"/>
  <c r="D4768" i="5"/>
  <c r="B4768" i="5"/>
  <c r="G4768" i="5"/>
  <c r="G4778" i="5"/>
  <c r="G2806" i="5"/>
  <c r="G2803" i="5"/>
  <c r="D2802" i="5"/>
  <c r="B2802" i="5"/>
  <c r="G2801" i="5"/>
  <c r="G2798" i="5"/>
  <c r="D2797" i="5"/>
  <c r="B2797" i="5"/>
  <c r="G2802" i="5"/>
  <c r="G2797" i="5"/>
  <c r="A1" i="9"/>
  <c r="D4763" i="5"/>
  <c r="B4763" i="5"/>
  <c r="D4752" i="5"/>
  <c r="B4752" i="5"/>
  <c r="D4724" i="5"/>
  <c r="B4724" i="5"/>
  <c r="D4718" i="5"/>
  <c r="B4718" i="5"/>
  <c r="D4706" i="5"/>
  <c r="B4706" i="5"/>
  <c r="D4697" i="5"/>
  <c r="B4697" i="5"/>
  <c r="D4689" i="5"/>
  <c r="B4689" i="5"/>
  <c r="D4683" i="5"/>
  <c r="B4683" i="5"/>
  <c r="D4673" i="5"/>
  <c r="B4673" i="5"/>
  <c r="D4665" i="5"/>
  <c r="B4665" i="5"/>
  <c r="D4657" i="5"/>
  <c r="B4657" i="5"/>
  <c r="D4651" i="5"/>
  <c r="B4651" i="5"/>
  <c r="D4643" i="5"/>
  <c r="B4643" i="5"/>
  <c r="D4631" i="5"/>
  <c r="B4631" i="5"/>
  <c r="D4625" i="5"/>
  <c r="B4625" i="5"/>
  <c r="D4617" i="5"/>
  <c r="B4617" i="5"/>
  <c r="D4608" i="5"/>
  <c r="B4608" i="5"/>
  <c r="D4600" i="5"/>
  <c r="B4600" i="5"/>
  <c r="D4581" i="5"/>
  <c r="B4581" i="5"/>
  <c r="D4569" i="5"/>
  <c r="B4569" i="5"/>
  <c r="D4557" i="5"/>
  <c r="B4557" i="5"/>
  <c r="D4551" i="5"/>
  <c r="B4551" i="5"/>
  <c r="D4546" i="5"/>
  <c r="B4546" i="5"/>
  <c r="D4538" i="5"/>
  <c r="B4538" i="5"/>
  <c r="D4530" i="5"/>
  <c r="B4530" i="5"/>
  <c r="D4525" i="5"/>
  <c r="B4525" i="5"/>
  <c r="D4520" i="5"/>
  <c r="B4520" i="5"/>
  <c r="D4514" i="5"/>
  <c r="B4514" i="5"/>
  <c r="D4506" i="5"/>
  <c r="B4506" i="5"/>
  <c r="D4498" i="5"/>
  <c r="B4498" i="5"/>
  <c r="D4478" i="5"/>
  <c r="B4478" i="5"/>
  <c r="D4472" i="5"/>
  <c r="B4472" i="5"/>
  <c r="B4460" i="5"/>
  <c r="B4448" i="5"/>
  <c r="D4440" i="5"/>
  <c r="B4440" i="5"/>
  <c r="D4430" i="5"/>
  <c r="B4430" i="5"/>
  <c r="D4420" i="5"/>
  <c r="B4420" i="5"/>
  <c r="D4410" i="5"/>
  <c r="B4410" i="5"/>
  <c r="D4402" i="5"/>
  <c r="B4402" i="5"/>
  <c r="D4394" i="5"/>
  <c r="B4394" i="5"/>
  <c r="D4384" i="5"/>
  <c r="B4384" i="5"/>
  <c r="D4375" i="5"/>
  <c r="B4375" i="5"/>
  <c r="D4366" i="5"/>
  <c r="B4366" i="5"/>
  <c r="D4357" i="5"/>
  <c r="B4357" i="5"/>
  <c r="D4348" i="5"/>
  <c r="B4348" i="5"/>
  <c r="B4337" i="5"/>
  <c r="D4330" i="5"/>
  <c r="B4330" i="5"/>
  <c r="D4303" i="5"/>
  <c r="B4303" i="5"/>
  <c r="D4287" i="5"/>
  <c r="B4287" i="5"/>
  <c r="D4278" i="5"/>
  <c r="B4278" i="5"/>
  <c r="D4270" i="5"/>
  <c r="B4270" i="5"/>
  <c r="D4265" i="5"/>
  <c r="B4265" i="5"/>
  <c r="D4258" i="5"/>
  <c r="B4258" i="5"/>
  <c r="D4249" i="5"/>
  <c r="B4249" i="5"/>
  <c r="D4241" i="5"/>
  <c r="B4241" i="5"/>
  <c r="D4233" i="5"/>
  <c r="B4233" i="5"/>
  <c r="D4227" i="5"/>
  <c r="B4227" i="5"/>
  <c r="D4217" i="5"/>
  <c r="B4217" i="5"/>
  <c r="D4211" i="5"/>
  <c r="B4211" i="5"/>
  <c r="D4205" i="5"/>
  <c r="B4205" i="5"/>
  <c r="D4199" i="5"/>
  <c r="B4199" i="5"/>
  <c r="D4192" i="5"/>
  <c r="B4192" i="5"/>
  <c r="D4185" i="5"/>
  <c r="B4185" i="5"/>
  <c r="D4181" i="5"/>
  <c r="B4181" i="5"/>
  <c r="D4170" i="5"/>
  <c r="B4170" i="5"/>
  <c r="D4159" i="5"/>
  <c r="B4159" i="5"/>
  <c r="D4152" i="5"/>
  <c r="B4152" i="5"/>
  <c r="D4148" i="5"/>
  <c r="B4148" i="5"/>
  <c r="D4140" i="5"/>
  <c r="B4140" i="5"/>
  <c r="D4132" i="5"/>
  <c r="B4132" i="5"/>
  <c r="D4124" i="5"/>
  <c r="B4124" i="5"/>
  <c r="D4117" i="5"/>
  <c r="B4117" i="5"/>
  <c r="D4113" i="5"/>
  <c r="B4113" i="5"/>
  <c r="D4107" i="5"/>
  <c r="B4107" i="5"/>
  <c r="D4100" i="5"/>
  <c r="B4100" i="5"/>
  <c r="D4094" i="5"/>
  <c r="B4094" i="5"/>
  <c r="D4088" i="5"/>
  <c r="B4088" i="5"/>
  <c r="D4079" i="5"/>
  <c r="B4079" i="5"/>
  <c r="D4070" i="5"/>
  <c r="B4070" i="5"/>
  <c r="D4061" i="5"/>
  <c r="B4061" i="5"/>
  <c r="D4052" i="5"/>
  <c r="B4052" i="5"/>
  <c r="D4043" i="5"/>
  <c r="B4043" i="5"/>
  <c r="D4034" i="5"/>
  <c r="B4034" i="5"/>
  <c r="D4030" i="5"/>
  <c r="B4030" i="5"/>
  <c r="D4026" i="5"/>
  <c r="B4026" i="5"/>
  <c r="D4021" i="5"/>
  <c r="B4021" i="5"/>
  <c r="D4008" i="5"/>
  <c r="B4008" i="5"/>
  <c r="D3995" i="5"/>
  <c r="B3995" i="5"/>
  <c r="D3987" i="5"/>
  <c r="B3987" i="5"/>
  <c r="D3980" i="5"/>
  <c r="B3980" i="5"/>
  <c r="D3970" i="5"/>
  <c r="B3970" i="5"/>
  <c r="B3962" i="5"/>
  <c r="D3953" i="5"/>
  <c r="B3953" i="5"/>
  <c r="D3946" i="5"/>
  <c r="B3946" i="5"/>
  <c r="D3940" i="5"/>
  <c r="B3940" i="5"/>
  <c r="D3934" i="5"/>
  <c r="B3934" i="5"/>
  <c r="D3928" i="5"/>
  <c r="B3928" i="5"/>
  <c r="D3910" i="5"/>
  <c r="B3910" i="5"/>
  <c r="D3903" i="5"/>
  <c r="B3903" i="5"/>
  <c r="D3888" i="5"/>
  <c r="B3888" i="5"/>
  <c r="D3876" i="5"/>
  <c r="B3876" i="5"/>
  <c r="D3868" i="5"/>
  <c r="B3868" i="5"/>
  <c r="D3859" i="5"/>
  <c r="B3859" i="5"/>
  <c r="D3849" i="5"/>
  <c r="B3849" i="5"/>
  <c r="D3838" i="5"/>
  <c r="B3838" i="5"/>
  <c r="D3833" i="5"/>
  <c r="B3833" i="5"/>
  <c r="D3827" i="5"/>
  <c r="B3827" i="5"/>
  <c r="D3769" i="5"/>
  <c r="B3769" i="5"/>
  <c r="D3765" i="5"/>
  <c r="B3765" i="5"/>
  <c r="D3761" i="5"/>
  <c r="B3761" i="5"/>
  <c r="D3754" i="5"/>
  <c r="B3754" i="5"/>
  <c r="D3745" i="5"/>
  <c r="B3745" i="5"/>
  <c r="D3740" i="5"/>
  <c r="B3740" i="5"/>
  <c r="D3730" i="5"/>
  <c r="B3730" i="5"/>
  <c r="D3726" i="5"/>
  <c r="B3726" i="5"/>
  <c r="D3715" i="5"/>
  <c r="B3715" i="5"/>
  <c r="D3702" i="5"/>
  <c r="B3702" i="5"/>
  <c r="D3690" i="5"/>
  <c r="B3690" i="5"/>
  <c r="D3682" i="5"/>
  <c r="B3682" i="5"/>
  <c r="D3667" i="5"/>
  <c r="B3667" i="5"/>
  <c r="D3661" i="5"/>
  <c r="B3661" i="5"/>
  <c r="D3657" i="5"/>
  <c r="B3657" i="5"/>
  <c r="D3649" i="5"/>
  <c r="B3649" i="5"/>
  <c r="D3644" i="5"/>
  <c r="B3644" i="5"/>
  <c r="D3639" i="5"/>
  <c r="B3639" i="5"/>
  <c r="D3629" i="5"/>
  <c r="B3629" i="5"/>
  <c r="D3623" i="5"/>
  <c r="B3623" i="5"/>
  <c r="D3616" i="5"/>
  <c r="B3616" i="5"/>
  <c r="D3610" i="5"/>
  <c r="B3610" i="5"/>
  <c r="D3602" i="5"/>
  <c r="B3602" i="5"/>
  <c r="D3597" i="5"/>
  <c r="B3597" i="5"/>
  <c r="D3590" i="5"/>
  <c r="B3590" i="5"/>
  <c r="D3582" i="5"/>
  <c r="B3582" i="5"/>
  <c r="D3576" i="5"/>
  <c r="B3576" i="5"/>
  <c r="D3570" i="5"/>
  <c r="B3570" i="5"/>
  <c r="D3554" i="5"/>
  <c r="B3554" i="5"/>
  <c r="D3547" i="5"/>
  <c r="B3547" i="5"/>
  <c r="D3528" i="5"/>
  <c r="B3528" i="5"/>
  <c r="D3511" i="5"/>
  <c r="B3511" i="5"/>
  <c r="D3503" i="5"/>
  <c r="B3503" i="5"/>
  <c r="D3486" i="5"/>
  <c r="B3486" i="5"/>
  <c r="B3478" i="5"/>
  <c r="D3456" i="5"/>
  <c r="B3456" i="5"/>
  <c r="D3446" i="5"/>
  <c r="B3446" i="5"/>
  <c r="D3442" i="5"/>
  <c r="B3442" i="5"/>
  <c r="D3438" i="5"/>
  <c r="B3438" i="5"/>
  <c r="D3433" i="5"/>
  <c r="B3433" i="5"/>
  <c r="D3428" i="5"/>
  <c r="B3428" i="5"/>
  <c r="D3423" i="5"/>
  <c r="B3423" i="5"/>
  <c r="D3416" i="5"/>
  <c r="B3416" i="5"/>
  <c r="D3409" i="5"/>
  <c r="B3409" i="5"/>
  <c r="D3402" i="5"/>
  <c r="B3402" i="5"/>
  <c r="D3398" i="5"/>
  <c r="B3398" i="5"/>
  <c r="D3394" i="5"/>
  <c r="B3394" i="5"/>
  <c r="D3389" i="5"/>
  <c r="B3389" i="5"/>
  <c r="D3385" i="5"/>
  <c r="B3385" i="5"/>
  <c r="D3381" i="5"/>
  <c r="B3381" i="5"/>
  <c r="D3374" i="5"/>
  <c r="B3374" i="5"/>
  <c r="D3367" i="5"/>
  <c r="B3367" i="5"/>
  <c r="D3360" i="5"/>
  <c r="B3360" i="5"/>
  <c r="D3355" i="5"/>
  <c r="B3355" i="5"/>
  <c r="D3346" i="5"/>
  <c r="B3346" i="5"/>
  <c r="D3340" i="5"/>
  <c r="B3340" i="5"/>
  <c r="D3334" i="5"/>
  <c r="B3334" i="5"/>
  <c r="D3327" i="5"/>
  <c r="B3327" i="5"/>
  <c r="D3320" i="5"/>
  <c r="B3320" i="5"/>
  <c r="D3313" i="5"/>
  <c r="B3313" i="5"/>
  <c r="D3306" i="5"/>
  <c r="B3306" i="5"/>
  <c r="D3299" i="5"/>
  <c r="B3299" i="5"/>
  <c r="D3292" i="5"/>
  <c r="B3292" i="5"/>
  <c r="D3285" i="5"/>
  <c r="B3285" i="5"/>
  <c r="D3278" i="5"/>
  <c r="B3278" i="5"/>
  <c r="D3271" i="5"/>
  <c r="B3271" i="5"/>
  <c r="D3264" i="5"/>
  <c r="B3264" i="5"/>
  <c r="D3259" i="5"/>
  <c r="B3259" i="5"/>
  <c r="D3249" i="5"/>
  <c r="B3249" i="5"/>
  <c r="D3243" i="5"/>
  <c r="B3243" i="5"/>
  <c r="D3237" i="5"/>
  <c r="B3237" i="5"/>
  <c r="D3231" i="5"/>
  <c r="B3231" i="5"/>
  <c r="D3218" i="5"/>
  <c r="B3218" i="5"/>
  <c r="D3211" i="5"/>
  <c r="B3211" i="5"/>
  <c r="D3207" i="5"/>
  <c r="B3207" i="5"/>
  <c r="D3202" i="5"/>
  <c r="B3202" i="5"/>
  <c r="D3194" i="5"/>
  <c r="B3194" i="5"/>
  <c r="D3186" i="5"/>
  <c r="B3186" i="5"/>
  <c r="D3177" i="5"/>
  <c r="B3177" i="5"/>
  <c r="D3172" i="5"/>
  <c r="B3172" i="5"/>
  <c r="D3166" i="5"/>
  <c r="B3166" i="5"/>
  <c r="D3161" i="5"/>
  <c r="B3161" i="5"/>
  <c r="D3155" i="5"/>
  <c r="B3155" i="5"/>
  <c r="D3149" i="5"/>
  <c r="B3149" i="5"/>
  <c r="D3143" i="5"/>
  <c r="B3143" i="5"/>
  <c r="D3137" i="5"/>
  <c r="B3137" i="5"/>
  <c r="D3132" i="5"/>
  <c r="B3132" i="5"/>
  <c r="D3127" i="5"/>
  <c r="B3127" i="5"/>
  <c r="D3122" i="5"/>
  <c r="B3122" i="5"/>
  <c r="D3117" i="5"/>
  <c r="B3117" i="5"/>
  <c r="D3112" i="5"/>
  <c r="B3112" i="5"/>
  <c r="D3107" i="5"/>
  <c r="B3107" i="5"/>
  <c r="D3102" i="5"/>
  <c r="B3102" i="5"/>
  <c r="D3097" i="5"/>
  <c r="B3097" i="5"/>
  <c r="D3092" i="5"/>
  <c r="B3092" i="5"/>
  <c r="D3084" i="5"/>
  <c r="B3084" i="5"/>
  <c r="D3079" i="5"/>
  <c r="B3079" i="5"/>
  <c r="D3071" i="5"/>
  <c r="B3071" i="5"/>
  <c r="D3067" i="5"/>
  <c r="B3067" i="5"/>
  <c r="D3059" i="5"/>
  <c r="B3059" i="5"/>
  <c r="D3054" i="5"/>
  <c r="B3054" i="5"/>
  <c r="D3046" i="5"/>
  <c r="B3046" i="5"/>
  <c r="D3041" i="5"/>
  <c r="B3041" i="5"/>
  <c r="D3036" i="5"/>
  <c r="B3036" i="5"/>
  <c r="D3031" i="5"/>
  <c r="B3031" i="5"/>
  <c r="D3026" i="5"/>
  <c r="B3026" i="5"/>
  <c r="D3021" i="5"/>
  <c r="B3021" i="5"/>
  <c r="D3016" i="5"/>
  <c r="B3016" i="5"/>
  <c r="D3011" i="5"/>
  <c r="B3011" i="5"/>
  <c r="D3006" i="5"/>
  <c r="B3006" i="5"/>
  <c r="D3001" i="5"/>
  <c r="B3001" i="5"/>
  <c r="D2991" i="5"/>
  <c r="B2991" i="5"/>
  <c r="D2986" i="5"/>
  <c r="B2986" i="5"/>
  <c r="D2981" i="5"/>
  <c r="B2981" i="5"/>
  <c r="D2976" i="5"/>
  <c r="B2976" i="5"/>
  <c r="D2971" i="5"/>
  <c r="B2971" i="5"/>
  <c r="D2966" i="5"/>
  <c r="B2966" i="5"/>
  <c r="D2961" i="5"/>
  <c r="B2961" i="5"/>
  <c r="D2956" i="5"/>
  <c r="B2956" i="5"/>
  <c r="D2951" i="5"/>
  <c r="B2951" i="5"/>
  <c r="D2946" i="5"/>
  <c r="B2946" i="5"/>
  <c r="D2941" i="5"/>
  <c r="B2941" i="5"/>
  <c r="D2933" i="5"/>
  <c r="B2933" i="5"/>
  <c r="D2925" i="5"/>
  <c r="B2925" i="5"/>
  <c r="D2917" i="5"/>
  <c r="B2917" i="5"/>
  <c r="D2909" i="5"/>
  <c r="B2909" i="5"/>
  <c r="D2901" i="5"/>
  <c r="B2901" i="5"/>
  <c r="D2896" i="5"/>
  <c r="B2896" i="5"/>
  <c r="D2891" i="5"/>
  <c r="B2891" i="5"/>
  <c r="D2886" i="5"/>
  <c r="B2886" i="5"/>
  <c r="D2879" i="5"/>
  <c r="B2879" i="5"/>
  <c r="D2874" i="5"/>
  <c r="B2874" i="5"/>
  <c r="D2869" i="5"/>
  <c r="B2869" i="5"/>
  <c r="D2864" i="5"/>
  <c r="B2864" i="5"/>
  <c r="D2859" i="5"/>
  <c r="B2859" i="5"/>
  <c r="D2854" i="5"/>
  <c r="B2854" i="5"/>
  <c r="D2849" i="5"/>
  <c r="B2849" i="5"/>
  <c r="D2844" i="5"/>
  <c r="B2844" i="5"/>
  <c r="D2839" i="5"/>
  <c r="B2839" i="5"/>
  <c r="D2832" i="5"/>
  <c r="B2832" i="5"/>
  <c r="D2827" i="5"/>
  <c r="B2827" i="5"/>
  <c r="D2822" i="5"/>
  <c r="B2822" i="5"/>
  <c r="D2817" i="5"/>
  <c r="B2817" i="5"/>
  <c r="D2807" i="5"/>
  <c r="B2807" i="5"/>
  <c r="D2791" i="5"/>
  <c r="B2791" i="5"/>
  <c r="D2781" i="5"/>
  <c r="B2781" i="5"/>
  <c r="D2776" i="5"/>
  <c r="B2776" i="5"/>
  <c r="D2714" i="5"/>
  <c r="B2714" i="5"/>
  <c r="D2708" i="5"/>
  <c r="B2708" i="5"/>
  <c r="D2702" i="5"/>
  <c r="B2702" i="5"/>
  <c r="D2696" i="5"/>
  <c r="B2696" i="5"/>
  <c r="D2690" i="5"/>
  <c r="B2690" i="5"/>
  <c r="D2684" i="5"/>
  <c r="B2684" i="5"/>
  <c r="D2678" i="5"/>
  <c r="B2678" i="5"/>
  <c r="D2672" i="5"/>
  <c r="B2672" i="5"/>
  <c r="D2666" i="5"/>
  <c r="B2666" i="5"/>
  <c r="D2660" i="5"/>
  <c r="B2660" i="5"/>
  <c r="D2652" i="5"/>
  <c r="B2652" i="5"/>
  <c r="D2644" i="5"/>
  <c r="B2644" i="5"/>
  <c r="D2640" i="5"/>
  <c r="B2640" i="5"/>
  <c r="D2636" i="5"/>
  <c r="B2636" i="5"/>
  <c r="D2632" i="5"/>
  <c r="B2632" i="5"/>
  <c r="D2628" i="5"/>
  <c r="B2628" i="5"/>
  <c r="D2624" i="5"/>
  <c r="B2624" i="5"/>
  <c r="D2620" i="5"/>
  <c r="B2620" i="5"/>
  <c r="D2616" i="5"/>
  <c r="B2616" i="5"/>
  <c r="D2612" i="5"/>
  <c r="B2612" i="5"/>
  <c r="D2608" i="5"/>
  <c r="B2608" i="5"/>
  <c r="D2604" i="5"/>
  <c r="B2604" i="5"/>
  <c r="D2596" i="5"/>
  <c r="B2596" i="5"/>
  <c r="D2588" i="5"/>
  <c r="B2588" i="5"/>
  <c r="D2580" i="5"/>
  <c r="B2580" i="5"/>
  <c r="D2576" i="5"/>
  <c r="B2576" i="5"/>
  <c r="D2572" i="5"/>
  <c r="B2572" i="5"/>
  <c r="D2568" i="5"/>
  <c r="B2568" i="5"/>
  <c r="D2564" i="5"/>
  <c r="B2564" i="5"/>
  <c r="D2560" i="5"/>
  <c r="B2560" i="5"/>
  <c r="D2440" i="5"/>
  <c r="B2440" i="5"/>
  <c r="D2412" i="5"/>
  <c r="B2412" i="5"/>
  <c r="D2398" i="5"/>
  <c r="B2398" i="5"/>
  <c r="D2391" i="5"/>
  <c r="B2391" i="5"/>
  <c r="D2385" i="5"/>
  <c r="B2385" i="5"/>
  <c r="D2378" i="5"/>
  <c r="B2378" i="5"/>
  <c r="D2370" i="5"/>
  <c r="B2370" i="5"/>
  <c r="D2364" i="5"/>
  <c r="B2364" i="5"/>
  <c r="D2359" i="5"/>
  <c r="B2359" i="5"/>
  <c r="D2354" i="5"/>
  <c r="B2354" i="5"/>
  <c r="D2349" i="5"/>
  <c r="B2349" i="5"/>
  <c r="D2343" i="5"/>
  <c r="B2343" i="5"/>
  <c r="D2337" i="5"/>
  <c r="B2337" i="5"/>
  <c r="D2331" i="5"/>
  <c r="B2331" i="5"/>
  <c r="D2325" i="5"/>
  <c r="B2325" i="5"/>
  <c r="D2318" i="5"/>
  <c r="B2318" i="5"/>
  <c r="D2311" i="5"/>
  <c r="B2311" i="5"/>
  <c r="D2301" i="5"/>
  <c r="B2301" i="5"/>
  <c r="D2291" i="5"/>
  <c r="B2291" i="5"/>
  <c r="D2281" i="5"/>
  <c r="B2281" i="5"/>
  <c r="D2271" i="5"/>
  <c r="B2271" i="5"/>
  <c r="D2261" i="5"/>
  <c r="B2261" i="5"/>
  <c r="D2255" i="5"/>
  <c r="B2255" i="5"/>
  <c r="D2241" i="5"/>
  <c r="B2241" i="5"/>
  <c r="D2235" i="5"/>
  <c r="B2235" i="5"/>
  <c r="D2229" i="5"/>
  <c r="B2229" i="5"/>
  <c r="D2222" i="5"/>
  <c r="B2222" i="5"/>
  <c r="D2215" i="5"/>
  <c r="B2215" i="5"/>
  <c r="D2210" i="5"/>
  <c r="B2210" i="5"/>
  <c r="D2202" i="5"/>
  <c r="B2202" i="5"/>
  <c r="D2194" i="5"/>
  <c r="B2194" i="5"/>
  <c r="D2186" i="5"/>
  <c r="B2186" i="5"/>
  <c r="D2178" i="5"/>
  <c r="B2178" i="5"/>
  <c r="D2170" i="5"/>
  <c r="B2170" i="5"/>
  <c r="D2162" i="5"/>
  <c r="B2162" i="5"/>
  <c r="D2154" i="5"/>
  <c r="B2154" i="5"/>
  <c r="D2146" i="5"/>
  <c r="B2146" i="5"/>
  <c r="D2140" i="5"/>
  <c r="B2140" i="5"/>
  <c r="D2134" i="5"/>
  <c r="B2134" i="5"/>
  <c r="D2128" i="5"/>
  <c r="B2128" i="5"/>
  <c r="D2122" i="5"/>
  <c r="B2122" i="5"/>
  <c r="D2116" i="5"/>
  <c r="B2116" i="5"/>
  <c r="D2108" i="5"/>
  <c r="B2108" i="5"/>
  <c r="D2100" i="5"/>
  <c r="B2100" i="5"/>
  <c r="D2092" i="5"/>
  <c r="B2092" i="5"/>
  <c r="D2084" i="5"/>
  <c r="B2084" i="5"/>
  <c r="D2076" i="5"/>
  <c r="B2076" i="5"/>
  <c r="D2068" i="5"/>
  <c r="B2068" i="5"/>
  <c r="D2060" i="5"/>
  <c r="B2060" i="5"/>
  <c r="D2052" i="5"/>
  <c r="B2052" i="5"/>
  <c r="D2044" i="5"/>
  <c r="B2044" i="5"/>
  <c r="D2036" i="5"/>
  <c r="B2036" i="5"/>
  <c r="D2028" i="5"/>
  <c r="B2028" i="5"/>
  <c r="D2022" i="5"/>
  <c r="B2022" i="5"/>
  <c r="D2015" i="5"/>
  <c r="B2015" i="5"/>
  <c r="D2008" i="5"/>
  <c r="B2008" i="5"/>
  <c r="D2001" i="5"/>
  <c r="B2001" i="5"/>
  <c r="D1994" i="5"/>
  <c r="B1994" i="5"/>
  <c r="D1986" i="5"/>
  <c r="B1986" i="5"/>
  <c r="D1978" i="5"/>
  <c r="B1978" i="5"/>
  <c r="D1971" i="5"/>
  <c r="B1971" i="5"/>
  <c r="D1964" i="5"/>
  <c r="B1964" i="5"/>
  <c r="D1958" i="5"/>
  <c r="B1958" i="5"/>
  <c r="D1952" i="5"/>
  <c r="B1952" i="5"/>
  <c r="D1945" i="5"/>
  <c r="B1945" i="5"/>
  <c r="D1940" i="5"/>
  <c r="B1940" i="5"/>
  <c r="D1935" i="5"/>
  <c r="B1935" i="5"/>
  <c r="D1929" i="5"/>
  <c r="B1929" i="5"/>
  <c r="D1924" i="5"/>
  <c r="B1924" i="5"/>
  <c r="D1919" i="5"/>
  <c r="B1919" i="5"/>
  <c r="D1914" i="5"/>
  <c r="B1914" i="5"/>
  <c r="D1908" i="5"/>
  <c r="B1908" i="5"/>
  <c r="D1902" i="5"/>
  <c r="B1902" i="5"/>
  <c r="D1896" i="5"/>
  <c r="B1896" i="5"/>
  <c r="D1890" i="5"/>
  <c r="B1890" i="5"/>
  <c r="D1884" i="5"/>
  <c r="B1884" i="5"/>
  <c r="D1878" i="5"/>
  <c r="B1878" i="5"/>
  <c r="D1872" i="5"/>
  <c r="B1872" i="5"/>
  <c r="D1866" i="5"/>
  <c r="B1866" i="5"/>
  <c r="D1860" i="5"/>
  <c r="B1860" i="5"/>
  <c r="D1854" i="5"/>
  <c r="B1854" i="5"/>
  <c r="D1848" i="5"/>
  <c r="B1848" i="5"/>
  <c r="D1842" i="5"/>
  <c r="B1842" i="5"/>
  <c r="D1835" i="5"/>
  <c r="B1835" i="5"/>
  <c r="D1829" i="5"/>
  <c r="B1829" i="5"/>
  <c r="D1823" i="5"/>
  <c r="B1823" i="5"/>
  <c r="D1818" i="5"/>
  <c r="B1818" i="5"/>
  <c r="D1813" i="5"/>
  <c r="B1813" i="5"/>
  <c r="D1806" i="5"/>
  <c r="B1806" i="5"/>
  <c r="D1799" i="5"/>
  <c r="B1799" i="5"/>
  <c r="D1792" i="5"/>
  <c r="B1792" i="5"/>
  <c r="D1785" i="5"/>
  <c r="B1785" i="5"/>
  <c r="D1778" i="5"/>
  <c r="B1778" i="5"/>
  <c r="D1771" i="5"/>
  <c r="B1771" i="5"/>
  <c r="D1764" i="5"/>
  <c r="B1764" i="5"/>
  <c r="D1757" i="5"/>
  <c r="B1757" i="5"/>
  <c r="D1746" i="5"/>
  <c r="B1746" i="5"/>
  <c r="D1735" i="5"/>
  <c r="B1735" i="5"/>
  <c r="D1724" i="5"/>
  <c r="B1724" i="5"/>
  <c r="D1713" i="5"/>
  <c r="B1713" i="5"/>
  <c r="D1705" i="5"/>
  <c r="B1705" i="5"/>
  <c r="D1699" i="5"/>
  <c r="B1699" i="5"/>
  <c r="D1692" i="5"/>
  <c r="B1692" i="5"/>
  <c r="D1685" i="5"/>
  <c r="B1685" i="5"/>
  <c r="D1679" i="5"/>
  <c r="B1679" i="5"/>
  <c r="D1674" i="5"/>
  <c r="B1674" i="5"/>
  <c r="D1669" i="5"/>
  <c r="B1669" i="5"/>
  <c r="D1664" i="5"/>
  <c r="B1664" i="5"/>
  <c r="D1658" i="5"/>
  <c r="B1658" i="5"/>
  <c r="D1652" i="5"/>
  <c r="B1652" i="5"/>
  <c r="D1646" i="5"/>
  <c r="B1646" i="5"/>
  <c r="D1640" i="5"/>
  <c r="B1640" i="5"/>
  <c r="D1635" i="5"/>
  <c r="B1635" i="5"/>
  <c r="D1629" i="5"/>
  <c r="B1629" i="5"/>
  <c r="D1623" i="5"/>
  <c r="B1623" i="5"/>
  <c r="D1618" i="5"/>
  <c r="B1618" i="5"/>
  <c r="D1611" i="5"/>
  <c r="B1611" i="5"/>
  <c r="D1605" i="5"/>
  <c r="B1605" i="5"/>
  <c r="D1599" i="5"/>
  <c r="B1599" i="5"/>
  <c r="D1593" i="5"/>
  <c r="B1593" i="5"/>
  <c r="D1578" i="5"/>
  <c r="B1578" i="5"/>
  <c r="D1571" i="5"/>
  <c r="B1571" i="5"/>
  <c r="D1564" i="5"/>
  <c r="B1564" i="5"/>
  <c r="D1557" i="5"/>
  <c r="B1557" i="5"/>
  <c r="D1550" i="5"/>
  <c r="B1550" i="5"/>
  <c r="D1542" i="5"/>
  <c r="B1542" i="5"/>
  <c r="D1534" i="5"/>
  <c r="B1534" i="5"/>
  <c r="D1526" i="5"/>
  <c r="B1526" i="5"/>
  <c r="D1518" i="5"/>
  <c r="B1518" i="5"/>
  <c r="D1510" i="5"/>
  <c r="B1510" i="5"/>
  <c r="D1495" i="5"/>
  <c r="B1495" i="5"/>
  <c r="D1480" i="5"/>
  <c r="B1480" i="5"/>
  <c r="D1465" i="5"/>
  <c r="B1465" i="5"/>
  <c r="D1450" i="5"/>
  <c r="B1450" i="5"/>
  <c r="D1435" i="5"/>
  <c r="B1435" i="5"/>
  <c r="D1420" i="5"/>
  <c r="B1420" i="5"/>
  <c r="D1405" i="5"/>
  <c r="B1405" i="5"/>
  <c r="D1398" i="5"/>
  <c r="B1398" i="5"/>
  <c r="D1392" i="5"/>
  <c r="B1392" i="5"/>
  <c r="D1386" i="5"/>
  <c r="B1386" i="5"/>
  <c r="D1380" i="5"/>
  <c r="B1380" i="5"/>
  <c r="D1373" i="5"/>
  <c r="B1373" i="5"/>
  <c r="D1367" i="5"/>
  <c r="B1367" i="5"/>
  <c r="D1361" i="5"/>
  <c r="B1361" i="5"/>
  <c r="D1354" i="5"/>
  <c r="B1354" i="5"/>
  <c r="D1348" i="5"/>
  <c r="B1348" i="5"/>
  <c r="D1341" i="5"/>
  <c r="B1341" i="5"/>
  <c r="D1335" i="5"/>
  <c r="B1335" i="5"/>
  <c r="D1329" i="5"/>
  <c r="B1329" i="5"/>
  <c r="D1323" i="5"/>
  <c r="B1323" i="5"/>
  <c r="D1317" i="5"/>
  <c r="B1317" i="5"/>
  <c r="D1308" i="5"/>
  <c r="B1308" i="5"/>
  <c r="D1300" i="5"/>
  <c r="B1300" i="5"/>
  <c r="D1293" i="5"/>
  <c r="B1293" i="5"/>
  <c r="D1286" i="5"/>
  <c r="B1286" i="5"/>
  <c r="D1279" i="5"/>
  <c r="B1279" i="5"/>
  <c r="D1272" i="5"/>
  <c r="B1272" i="5"/>
  <c r="D1266" i="5"/>
  <c r="B1266" i="5"/>
  <c r="D1259" i="5"/>
  <c r="B1259" i="5"/>
  <c r="D1252" i="5"/>
  <c r="B1252" i="5"/>
  <c r="D1245" i="5"/>
  <c r="B1245" i="5"/>
  <c r="B1239" i="5"/>
  <c r="D1233" i="5"/>
  <c r="B1233" i="5"/>
  <c r="D1227" i="5"/>
  <c r="B1227" i="5"/>
  <c r="D1221" i="5"/>
  <c r="B1221" i="5"/>
  <c r="D1214" i="5"/>
  <c r="B1214" i="5"/>
  <c r="D1207" i="5"/>
  <c r="B1207" i="5"/>
  <c r="D1200" i="5"/>
  <c r="B1200" i="5"/>
  <c r="D1193" i="5"/>
  <c r="B1193" i="5"/>
  <c r="D1186" i="5"/>
  <c r="B1186" i="5"/>
  <c r="D1179" i="5"/>
  <c r="B1179" i="5"/>
  <c r="D1172" i="5"/>
  <c r="B1172" i="5"/>
  <c r="D1165" i="5"/>
  <c r="B1165" i="5"/>
  <c r="D1158" i="5"/>
  <c r="B1158" i="5"/>
  <c r="D1151" i="5"/>
  <c r="B1151" i="5"/>
  <c r="D1144" i="5"/>
  <c r="B1144" i="5"/>
  <c r="D1137" i="5"/>
  <c r="B1137" i="5"/>
  <c r="D1132" i="5"/>
  <c r="B1132" i="5"/>
  <c r="D1126" i="5"/>
  <c r="B1126" i="5"/>
  <c r="D1121" i="5"/>
  <c r="B1121" i="5"/>
  <c r="D1116" i="5"/>
  <c r="B1116" i="5"/>
  <c r="D1108" i="5"/>
  <c r="B1108" i="5"/>
  <c r="D1098" i="5"/>
  <c r="B1098" i="5"/>
  <c r="D1090" i="5"/>
  <c r="B1090" i="5"/>
  <c r="D1082" i="5"/>
  <c r="B1082" i="5"/>
  <c r="D1073" i="5"/>
  <c r="B1073" i="5"/>
  <c r="D1066" i="5"/>
  <c r="B1066" i="5"/>
  <c r="D1059" i="5"/>
  <c r="B1059" i="5"/>
  <c r="D1052" i="5"/>
  <c r="B1052" i="5"/>
  <c r="D1045" i="5"/>
  <c r="B1045" i="5"/>
  <c r="D1036" i="5"/>
  <c r="B1036" i="5"/>
  <c r="D1026" i="5"/>
  <c r="B1026" i="5"/>
  <c r="D1021" i="5"/>
  <c r="B1021" i="5"/>
  <c r="D1012" i="5"/>
  <c r="B1012" i="5"/>
  <c r="D1007" i="5"/>
  <c r="B1007" i="5"/>
  <c r="D1002" i="5"/>
  <c r="B1002" i="5"/>
  <c r="D991" i="5"/>
  <c r="B991" i="5"/>
  <c r="D980" i="5"/>
  <c r="B980" i="5"/>
  <c r="D973" i="5"/>
  <c r="B973" i="5"/>
  <c r="D966" i="5"/>
  <c r="B966" i="5"/>
  <c r="D959" i="5"/>
  <c r="B959" i="5"/>
  <c r="D953" i="5"/>
  <c r="B953" i="5"/>
  <c r="D947" i="5"/>
  <c r="B947" i="5"/>
  <c r="D938" i="5"/>
  <c r="B938" i="5"/>
  <c r="D929" i="5"/>
  <c r="B929" i="5"/>
  <c r="D922" i="5"/>
  <c r="B922" i="5"/>
  <c r="D913" i="5"/>
  <c r="B913" i="5"/>
  <c r="D907" i="5"/>
  <c r="B907" i="5"/>
  <c r="D903" i="5"/>
  <c r="B903" i="5"/>
  <c r="D896" i="5"/>
  <c r="B896" i="5"/>
  <c r="D891" i="5"/>
  <c r="B891" i="5"/>
  <c r="D883" i="5"/>
  <c r="B883" i="5"/>
  <c r="D875" i="5"/>
  <c r="B875" i="5"/>
  <c r="D867" i="5"/>
  <c r="B867" i="5"/>
  <c r="D862" i="5"/>
  <c r="B862" i="5"/>
  <c r="D856" i="5"/>
  <c r="B856" i="5"/>
  <c r="D850" i="5"/>
  <c r="B850" i="5"/>
  <c r="D845" i="5"/>
  <c r="B845" i="5"/>
  <c r="D839" i="5"/>
  <c r="B839" i="5"/>
  <c r="D832" i="5"/>
  <c r="B832" i="5"/>
  <c r="D827" i="5"/>
  <c r="B827" i="5"/>
  <c r="D823" i="5"/>
  <c r="B823" i="5"/>
  <c r="D818" i="5"/>
  <c r="B818" i="5"/>
  <c r="D814" i="5"/>
  <c r="B814" i="5"/>
  <c r="D804" i="5"/>
  <c r="B804" i="5"/>
  <c r="D790" i="5"/>
  <c r="B790" i="5"/>
  <c r="D783" i="5"/>
  <c r="B783" i="5"/>
  <c r="D772" i="5"/>
  <c r="B772" i="5"/>
  <c r="D766" i="5"/>
  <c r="B766" i="5"/>
  <c r="D755" i="5"/>
  <c r="B755" i="5"/>
  <c r="D748" i="5"/>
  <c r="B748" i="5"/>
  <c r="D744" i="5"/>
  <c r="B744" i="5"/>
  <c r="D736" i="5"/>
  <c r="B736" i="5"/>
  <c r="D730" i="5"/>
  <c r="B730" i="5"/>
  <c r="D723" i="5"/>
  <c r="B723" i="5"/>
  <c r="D714" i="5"/>
  <c r="B714" i="5"/>
  <c r="D704" i="5"/>
  <c r="B704" i="5"/>
  <c r="D696" i="5"/>
  <c r="B696" i="5"/>
  <c r="D686" i="5"/>
  <c r="B686" i="5"/>
  <c r="D676" i="5"/>
  <c r="B676" i="5"/>
  <c r="D668" i="5"/>
  <c r="B668" i="5"/>
  <c r="D664" i="5"/>
  <c r="B664" i="5"/>
  <c r="D660" i="5"/>
  <c r="B660" i="5"/>
  <c r="D656" i="5"/>
  <c r="B656" i="5"/>
  <c r="D652" i="5"/>
  <c r="B652" i="5"/>
  <c r="D648" i="5"/>
  <c r="B648" i="5"/>
  <c r="D644" i="5"/>
  <c r="B644" i="5"/>
  <c r="D637" i="5"/>
  <c r="B637" i="5"/>
  <c r="D629" i="5"/>
  <c r="B629" i="5"/>
  <c r="D621" i="5"/>
  <c r="B621" i="5"/>
  <c r="D615" i="5"/>
  <c r="B615" i="5"/>
  <c r="D606" i="5"/>
  <c r="B606" i="5"/>
  <c r="D596" i="5"/>
  <c r="B596" i="5"/>
  <c r="D588" i="5"/>
  <c r="B588" i="5"/>
  <c r="D579" i="5"/>
  <c r="B579" i="5"/>
  <c r="D569" i="5"/>
  <c r="B569" i="5"/>
  <c r="D561" i="5"/>
  <c r="B561" i="5"/>
  <c r="D553" i="5"/>
  <c r="B553" i="5"/>
  <c r="D545" i="5"/>
  <c r="B545" i="5"/>
  <c r="D537" i="5"/>
  <c r="B537" i="5"/>
  <c r="D531" i="5"/>
  <c r="B531" i="5"/>
  <c r="D524" i="5"/>
  <c r="B524" i="5"/>
  <c r="D517" i="5"/>
  <c r="B517" i="5"/>
  <c r="D511" i="5"/>
  <c r="B511" i="5"/>
  <c r="D504" i="5"/>
  <c r="B504" i="5"/>
  <c r="D497" i="5"/>
  <c r="B497" i="5"/>
  <c r="D489" i="5"/>
  <c r="B489" i="5"/>
  <c r="D483" i="5"/>
  <c r="B483" i="5"/>
  <c r="D471" i="5"/>
  <c r="B471" i="5"/>
  <c r="D464" i="5"/>
  <c r="B464" i="5"/>
  <c r="D454" i="5"/>
  <c r="B454" i="5"/>
  <c r="D446" i="5"/>
  <c r="B446" i="5"/>
  <c r="D440" i="5"/>
  <c r="B440" i="5"/>
  <c r="D434" i="5"/>
  <c r="B434" i="5"/>
  <c r="D422" i="5"/>
  <c r="B422" i="5"/>
  <c r="D415" i="5"/>
  <c r="B415" i="5"/>
  <c r="D401" i="5"/>
  <c r="B401" i="5"/>
  <c r="D394" i="5"/>
  <c r="B394" i="5"/>
  <c r="D380" i="5"/>
  <c r="B380" i="5"/>
  <c r="D371" i="5"/>
  <c r="B371" i="5"/>
  <c r="D365" i="5"/>
  <c r="B365" i="5"/>
  <c r="D351" i="5"/>
  <c r="B351" i="5"/>
  <c r="D341" i="5"/>
  <c r="B341" i="5"/>
  <c r="D326" i="5"/>
  <c r="B326" i="5"/>
  <c r="D320" i="5"/>
  <c r="B320" i="5"/>
  <c r="D305" i="5"/>
  <c r="B305" i="5"/>
  <c r="D290" i="5"/>
  <c r="B290" i="5"/>
  <c r="D283" i="5"/>
  <c r="B283" i="5"/>
  <c r="D276" i="5"/>
  <c r="B276" i="5"/>
  <c r="D268" i="5"/>
  <c r="B268" i="5"/>
  <c r="D263" i="5"/>
  <c r="B263" i="5"/>
  <c r="D248" i="5"/>
  <c r="B248" i="5"/>
  <c r="D240" i="5"/>
  <c r="B240" i="5"/>
  <c r="D236" i="5"/>
  <c r="B236" i="5"/>
  <c r="D232" i="5"/>
  <c r="B232" i="5"/>
  <c r="D228" i="5"/>
  <c r="B228" i="5"/>
  <c r="D224" i="5"/>
  <c r="B224" i="5"/>
  <c r="D219" i="5"/>
  <c r="B219" i="5"/>
  <c r="D214" i="5"/>
  <c r="B214" i="5"/>
  <c r="D210" i="5"/>
  <c r="B210" i="5"/>
  <c r="D205" i="5"/>
  <c r="B205" i="5"/>
  <c r="D201" i="5"/>
  <c r="B201" i="5"/>
  <c r="D197" i="5"/>
  <c r="B197" i="5"/>
  <c r="D190" i="5"/>
  <c r="B190" i="5"/>
  <c r="D183" i="5"/>
  <c r="B183" i="5"/>
  <c r="D179" i="5"/>
  <c r="B179" i="5"/>
  <c r="D175" i="5"/>
  <c r="B175" i="5"/>
  <c r="D171" i="5"/>
  <c r="B171" i="5"/>
  <c r="D166" i="5"/>
  <c r="B166" i="5"/>
  <c r="D161" i="5"/>
  <c r="B161" i="5"/>
  <c r="D154" i="5"/>
  <c r="B154" i="5"/>
  <c r="D149" i="5"/>
  <c r="B149" i="5"/>
  <c r="D144" i="5"/>
  <c r="B144" i="5"/>
  <c r="D139" i="5"/>
  <c r="B139" i="5"/>
  <c r="D135" i="5"/>
  <c r="B135" i="5"/>
  <c r="D131" i="5"/>
  <c r="B131" i="5"/>
  <c r="D126" i="5"/>
  <c r="B126" i="5"/>
  <c r="D121" i="5"/>
  <c r="B121" i="5"/>
  <c r="D116" i="5"/>
  <c r="B116" i="5"/>
  <c r="D111" i="5"/>
  <c r="B111" i="5"/>
  <c r="D106" i="5"/>
  <c r="B106" i="5"/>
  <c r="D102" i="5"/>
  <c r="B102" i="5"/>
  <c r="D97" i="5"/>
  <c r="B97" i="5"/>
  <c r="D92" i="5"/>
  <c r="B92" i="5"/>
  <c r="D87" i="5"/>
  <c r="B87" i="5"/>
  <c r="D82" i="5"/>
  <c r="B82" i="5"/>
  <c r="D77" i="5"/>
  <c r="B77" i="5"/>
  <c r="D69" i="5"/>
  <c r="B69" i="5"/>
  <c r="D64" i="5"/>
  <c r="B64" i="5"/>
  <c r="D59" i="5"/>
  <c r="B59" i="5"/>
  <c r="D52" i="5"/>
  <c r="B52" i="5"/>
  <c r="D47" i="5"/>
  <c r="B47" i="5"/>
  <c r="D42" i="5"/>
  <c r="B42" i="5"/>
  <c r="D37" i="5"/>
  <c r="B37" i="5"/>
  <c r="D33" i="5"/>
  <c r="B33" i="5"/>
  <c r="D28" i="5"/>
  <c r="B28" i="5"/>
  <c r="D23" i="5"/>
  <c r="B23" i="5"/>
  <c r="D18" i="5"/>
  <c r="B18" i="5"/>
  <c r="D14" i="5"/>
  <c r="B14" i="5"/>
  <c r="D10" i="5"/>
  <c r="B10" i="5"/>
  <c r="D6" i="5"/>
  <c r="B6" i="5"/>
  <c r="F34" i="7"/>
  <c r="F23" i="7"/>
  <c r="F18" i="7"/>
  <c r="F359" i="6"/>
  <c r="F358" i="6"/>
  <c r="F357" i="6"/>
  <c r="F324" i="6"/>
  <c r="F323" i="6"/>
  <c r="F311" i="6"/>
  <c r="F298" i="6"/>
  <c r="F297" i="6"/>
  <c r="F294" i="6"/>
  <c r="D293" i="6"/>
  <c r="D292" i="6"/>
  <c r="D249" i="6"/>
  <c r="D248" i="6"/>
  <c r="F221" i="6"/>
  <c r="F208" i="6"/>
  <c r="F204" i="6"/>
  <c r="F191" i="6"/>
  <c r="F180" i="6"/>
  <c r="F179" i="6"/>
  <c r="F178" i="6"/>
  <c r="F177" i="6"/>
  <c r="F169" i="6"/>
  <c r="F166" i="6"/>
  <c r="F165" i="6"/>
  <c r="F155" i="6"/>
  <c r="F149" i="6"/>
  <c r="F148" i="6"/>
  <c r="F147" i="6"/>
  <c r="F131" i="6"/>
  <c r="F129" i="6"/>
  <c r="F123" i="6"/>
  <c r="F112" i="6"/>
  <c r="F106" i="6"/>
  <c r="D102" i="6"/>
  <c r="D101" i="6"/>
  <c r="F96" i="6"/>
  <c r="F95" i="6"/>
  <c r="F87" i="6"/>
  <c r="F86" i="6"/>
  <c r="F85" i="6"/>
  <c r="F80" i="6"/>
  <c r="F79" i="6"/>
  <c r="F69" i="6"/>
  <c r="F60" i="6"/>
  <c r="F59" i="6"/>
  <c r="F58" i="6"/>
  <c r="F49" i="6"/>
  <c r="F39" i="6"/>
  <c r="F38" i="6"/>
  <c r="F26" i="6"/>
  <c r="F20" i="6"/>
  <c r="F14" i="6"/>
  <c r="F13" i="6"/>
  <c r="F6" i="6"/>
  <c r="G4767" i="5"/>
  <c r="G4764" i="5"/>
  <c r="G4763" i="5"/>
  <c r="G4762" i="5"/>
  <c r="G4753" i="5"/>
  <c r="G4752" i="5"/>
  <c r="G4731" i="5"/>
  <c r="G4730" i="5"/>
  <c r="G4729" i="5"/>
  <c r="G4725" i="5"/>
  <c r="G4724" i="5"/>
  <c r="G4723" i="5"/>
  <c r="G4722" i="5"/>
  <c r="G4721" i="5"/>
  <c r="G4719" i="5"/>
  <c r="G4718" i="5"/>
  <c r="G4717" i="5"/>
  <c r="G4716" i="5"/>
  <c r="G4715" i="5"/>
  <c r="G4714" i="5"/>
  <c r="G4707" i="5"/>
  <c r="G4706" i="5"/>
  <c r="G4705" i="5"/>
  <c r="G4698" i="5"/>
  <c r="G4697" i="5"/>
  <c r="G4696" i="5"/>
  <c r="G4695" i="5"/>
  <c r="G4694" i="5"/>
  <c r="G4693" i="5"/>
  <c r="G4690" i="5"/>
  <c r="G4689" i="5"/>
  <c r="G4688" i="5"/>
  <c r="G4684" i="5"/>
  <c r="G4683" i="5"/>
  <c r="G4682" i="5"/>
  <c r="G4674" i="5"/>
  <c r="G4673" i="5"/>
  <c r="G4672" i="5"/>
  <c r="G4666" i="5"/>
  <c r="G4665" i="5"/>
  <c r="G4664" i="5"/>
  <c r="G4658" i="5"/>
  <c r="G4657" i="5"/>
  <c r="G4656" i="5"/>
  <c r="G4652" i="5"/>
  <c r="G4651" i="5"/>
  <c r="G4650" i="5"/>
  <c r="G4649" i="5"/>
  <c r="G4648" i="5"/>
  <c r="G4647" i="5"/>
  <c r="G4644" i="5"/>
  <c r="G4642" i="5"/>
  <c r="G4641" i="5"/>
  <c r="G4640" i="5"/>
  <c r="G4632" i="5"/>
  <c r="G4631" i="5"/>
  <c r="G4630" i="5"/>
  <c r="G4626" i="5"/>
  <c r="G4625" i="5"/>
  <c r="G4624" i="5"/>
  <c r="G4623" i="5"/>
  <c r="G4622" i="5"/>
  <c r="G4618" i="5"/>
  <c r="G4617" i="5"/>
  <c r="G4616" i="5"/>
  <c r="G4609" i="5"/>
  <c r="G4608" i="5"/>
  <c r="G4607" i="5"/>
  <c r="G4601" i="5"/>
  <c r="G4600" i="5"/>
  <c r="G4599" i="5"/>
  <c r="G4598" i="5"/>
  <c r="G4597" i="5"/>
  <c r="G4582" i="5"/>
  <c r="G4581" i="5"/>
  <c r="G4580" i="5"/>
  <c r="G4570" i="5"/>
  <c r="G4569" i="5"/>
  <c r="G4568" i="5"/>
  <c r="G4558" i="5"/>
  <c r="G4556" i="5"/>
  <c r="G4552" i="5"/>
  <c r="G4551" i="5"/>
  <c r="G4550" i="5"/>
  <c r="G4547" i="5"/>
  <c r="G4546" i="5"/>
  <c r="G4545" i="5"/>
  <c r="G4539" i="5"/>
  <c r="G4538" i="5"/>
  <c r="G4537" i="5"/>
  <c r="G4531" i="5"/>
  <c r="G4530" i="5"/>
  <c r="G4529" i="5"/>
  <c r="G4526" i="5"/>
  <c r="G4525" i="5"/>
  <c r="G4524" i="5"/>
  <c r="G4521" i="5"/>
  <c r="G4520" i="5"/>
  <c r="G4519" i="5"/>
  <c r="G4515" i="5"/>
  <c r="G4514" i="5"/>
  <c r="G4513" i="5"/>
  <c r="G4507" i="5"/>
  <c r="G4506" i="5"/>
  <c r="G4505" i="5"/>
  <c r="G4499" i="5"/>
  <c r="G4498" i="5"/>
  <c r="G4497" i="5"/>
  <c r="G4479" i="5"/>
  <c r="G4478" i="5"/>
  <c r="G4477" i="5"/>
  <c r="G4473" i="5"/>
  <c r="G4472" i="5"/>
  <c r="G4471" i="5"/>
  <c r="G4461" i="5"/>
  <c r="G4460" i="5"/>
  <c r="G4459" i="5"/>
  <c r="G4449" i="5"/>
  <c r="G4448" i="5"/>
  <c r="G4447" i="5"/>
  <c r="G4441" i="5"/>
  <c r="G4440" i="5"/>
  <c r="G4439" i="5"/>
  <c r="G4431" i="5"/>
  <c r="G4430" i="5"/>
  <c r="G4429" i="5"/>
  <c r="G4421" i="5"/>
  <c r="G4419" i="5"/>
  <c r="G4411" i="5"/>
  <c r="G4410" i="5"/>
  <c r="G4409" i="5"/>
  <c r="G4403" i="5"/>
  <c r="G4402" i="5"/>
  <c r="G4401" i="5"/>
  <c r="G4395" i="5"/>
  <c r="G4394" i="5"/>
  <c r="G4393" i="5"/>
  <c r="G4385" i="5"/>
  <c r="G4384" i="5"/>
  <c r="G4383" i="5"/>
  <c r="G4376" i="5"/>
  <c r="G4375" i="5"/>
  <c r="G4374" i="5"/>
  <c r="G4367" i="5"/>
  <c r="G4366" i="5"/>
  <c r="G4365" i="5"/>
  <c r="G4358" i="5"/>
  <c r="G4357" i="5"/>
  <c r="G4356" i="5"/>
  <c r="G4349" i="5"/>
  <c r="G4348" i="5"/>
  <c r="G4347" i="5"/>
  <c r="G4338" i="5"/>
  <c r="G4337" i="5"/>
  <c r="G4336" i="5"/>
  <c r="G4331" i="5"/>
  <c r="G4330" i="5"/>
  <c r="G4329" i="5"/>
  <c r="G4328" i="5"/>
  <c r="G4327" i="5"/>
  <c r="G4304" i="5"/>
  <c r="G4303" i="5"/>
  <c r="G4302" i="5"/>
  <c r="G4301" i="5"/>
  <c r="G4300" i="5"/>
  <c r="G4288" i="5"/>
  <c r="G4287" i="5"/>
  <c r="G4286" i="5"/>
  <c r="G4279" i="5"/>
  <c r="G4278" i="5"/>
  <c r="G4277" i="5"/>
  <c r="G4271" i="5"/>
  <c r="G4270" i="5"/>
  <c r="G4269" i="5"/>
  <c r="G4266" i="5"/>
  <c r="G4265" i="5"/>
  <c r="G4264" i="5"/>
  <c r="G4259" i="5"/>
  <c r="G4258" i="5"/>
  <c r="G4257" i="5"/>
  <c r="G4250" i="5"/>
  <c r="G4249" i="5"/>
  <c r="G4248" i="5"/>
  <c r="G4242" i="5"/>
  <c r="G4241" i="5"/>
  <c r="G4240" i="5"/>
  <c r="G4239" i="5"/>
  <c r="G4238" i="5"/>
  <c r="G4234" i="5"/>
  <c r="G4233" i="5"/>
  <c r="G4232" i="5"/>
  <c r="G4228" i="5"/>
  <c r="G4227" i="5"/>
  <c r="G4226" i="5"/>
  <c r="G4218" i="5"/>
  <c r="G4217" i="5"/>
  <c r="G4216" i="5"/>
  <c r="G4212" i="5"/>
  <c r="G4211" i="5"/>
  <c r="G4210" i="5"/>
  <c r="G4206" i="5"/>
  <c r="G4205" i="5"/>
  <c r="G4204" i="5"/>
  <c r="G4200" i="5"/>
  <c r="G4199" i="5"/>
  <c r="G4198" i="5"/>
  <c r="G4193" i="5"/>
  <c r="G4192" i="5"/>
  <c r="G4191" i="5"/>
  <c r="G4186" i="5"/>
  <c r="G4185" i="5"/>
  <c r="G4184" i="5"/>
  <c r="G4182" i="5"/>
  <c r="G4181" i="5"/>
  <c r="G4180" i="5"/>
  <c r="G4179" i="5"/>
  <c r="G4178" i="5"/>
  <c r="G4171" i="5"/>
  <c r="G4170" i="5"/>
  <c r="G4169" i="5"/>
  <c r="G4160" i="5"/>
  <c r="G4159" i="5"/>
  <c r="G4158" i="5"/>
  <c r="G4153" i="5"/>
  <c r="G4152" i="5"/>
  <c r="G4151" i="5"/>
  <c r="G4149" i="5"/>
  <c r="G4148" i="5"/>
  <c r="G4147" i="5"/>
  <c r="G4141" i="5"/>
  <c r="G4140" i="5"/>
  <c r="G4139" i="5"/>
  <c r="G4133" i="5"/>
  <c r="G4132" i="5"/>
  <c r="G4131" i="5"/>
  <c r="G4125" i="5"/>
  <c r="G4123" i="5"/>
  <c r="G4118" i="5"/>
  <c r="G4117" i="5"/>
  <c r="G4116" i="5"/>
  <c r="G4114" i="5"/>
  <c r="G4113" i="5"/>
  <c r="G4112" i="5"/>
  <c r="G4111" i="5"/>
  <c r="G4110" i="5"/>
  <c r="G4108" i="5"/>
  <c r="G4107" i="5"/>
  <c r="G4106" i="5"/>
  <c r="G4101" i="5"/>
  <c r="G4100" i="5"/>
  <c r="G4099" i="5"/>
  <c r="G4095" i="5"/>
  <c r="G4093" i="5"/>
  <c r="G4089" i="5"/>
  <c r="G4088" i="5"/>
  <c r="G4087" i="5"/>
  <c r="G4080" i="5"/>
  <c r="G4078" i="5"/>
  <c r="G4071" i="5"/>
  <c r="G4070" i="5"/>
  <c r="G4069" i="5"/>
  <c r="G4062" i="5"/>
  <c r="G4061" i="5"/>
  <c r="G4060" i="5"/>
  <c r="G4053" i="5"/>
  <c r="G4052" i="5"/>
  <c r="G4051" i="5"/>
  <c r="G4044" i="5"/>
  <c r="G4042" i="5"/>
  <c r="G4035" i="5"/>
  <c r="G4034" i="5"/>
  <c r="G4033" i="5"/>
  <c r="G4031" i="5"/>
  <c r="G4030" i="5"/>
  <c r="G4029" i="5"/>
  <c r="G4027" i="5"/>
  <c r="G4026" i="5"/>
  <c r="G4025" i="5"/>
  <c r="G4022" i="5"/>
  <c r="G4021" i="5"/>
  <c r="G4020" i="5"/>
  <c r="G4009" i="5"/>
  <c r="G4008" i="5"/>
  <c r="G4007" i="5"/>
  <c r="G4006" i="5"/>
  <c r="G4005" i="5"/>
  <c r="G3996" i="5"/>
  <c r="G3995" i="5"/>
  <c r="G3994" i="5"/>
  <c r="G3988" i="5"/>
  <c r="G3987" i="5"/>
  <c r="G3986" i="5"/>
  <c r="G3981" i="5"/>
  <c r="G3980" i="5"/>
  <c r="G3979" i="5"/>
  <c r="G3971" i="5"/>
  <c r="G3969" i="5"/>
  <c r="G3963" i="5"/>
  <c r="G3962" i="5"/>
  <c r="G3961" i="5"/>
  <c r="G3954" i="5"/>
  <c r="G3953" i="5"/>
  <c r="G3952" i="5"/>
  <c r="G3947" i="5"/>
  <c r="G3946" i="5"/>
  <c r="G3945" i="5"/>
  <c r="G3941" i="5"/>
  <c r="G3940" i="5"/>
  <c r="G3939" i="5"/>
  <c r="G3935" i="5"/>
  <c r="G3934" i="5"/>
  <c r="G3933" i="5"/>
  <c r="G3929" i="5"/>
  <c r="G3927" i="5"/>
  <c r="G3911" i="5"/>
  <c r="G3909" i="5"/>
  <c r="G3904" i="5"/>
  <c r="G3902" i="5"/>
  <c r="G3889" i="5"/>
  <c r="G3888" i="5"/>
  <c r="G3887" i="5"/>
  <c r="G3886" i="5"/>
  <c r="G3885" i="5"/>
  <c r="G3877" i="5"/>
  <c r="G3876" i="5"/>
  <c r="G3875" i="5"/>
  <c r="G3869" i="5"/>
  <c r="G3867" i="5"/>
  <c r="G3860" i="5"/>
  <c r="G3859" i="5"/>
  <c r="G3858" i="5"/>
  <c r="G3850" i="5"/>
  <c r="G3848" i="5"/>
  <c r="G3847" i="5"/>
  <c r="G3846" i="5"/>
  <c r="G3839" i="5"/>
  <c r="G3838" i="5"/>
  <c r="G3837" i="5"/>
  <c r="G3834" i="5"/>
  <c r="G3833" i="5"/>
  <c r="G3828" i="5"/>
  <c r="G3827" i="5"/>
  <c r="G3770" i="5"/>
  <c r="G3769" i="5"/>
  <c r="G3768" i="5"/>
  <c r="G3766" i="5"/>
  <c r="G3764" i="5"/>
  <c r="G3762" i="5"/>
  <c r="G3761" i="5"/>
  <c r="G3760" i="5"/>
  <c r="G3755" i="5"/>
  <c r="G3754" i="5"/>
  <c r="G3753" i="5"/>
  <c r="G3752" i="5"/>
  <c r="G3751" i="5"/>
  <c r="G3750" i="5"/>
  <c r="G3746" i="5"/>
  <c r="G3745" i="5"/>
  <c r="G3744" i="5"/>
  <c r="G3741" i="5"/>
  <c r="G3740" i="5"/>
  <c r="G3739" i="5"/>
  <c r="G3731" i="5"/>
  <c r="G3729" i="5"/>
  <c r="G3727" i="5"/>
  <c r="G3725" i="5"/>
  <c r="G3724" i="5"/>
  <c r="G3723" i="5"/>
  <c r="G3716" i="5"/>
  <c r="G3715" i="5"/>
  <c r="G3703" i="5"/>
  <c r="G3701" i="5"/>
  <c r="G3691" i="5"/>
  <c r="G3690" i="5"/>
  <c r="G3689" i="5"/>
  <c r="G3688" i="5"/>
  <c r="G3687" i="5"/>
  <c r="G3683" i="5"/>
  <c r="G3682" i="5"/>
  <c r="G3681" i="5"/>
  <c r="G3680" i="5"/>
  <c r="G3668" i="5"/>
  <c r="G3666" i="5"/>
  <c r="G3662" i="5"/>
  <c r="G3661" i="5"/>
  <c r="G3660" i="5"/>
  <c r="G3658" i="5"/>
  <c r="G3657" i="5"/>
  <c r="G3656" i="5"/>
  <c r="G3650" i="5"/>
  <c r="G3649" i="5"/>
  <c r="G3648" i="5"/>
  <c r="G3645" i="5"/>
  <c r="G3644" i="5"/>
  <c r="G3643" i="5"/>
  <c r="G3640" i="5"/>
  <c r="G3639" i="5"/>
  <c r="G3638" i="5"/>
  <c r="G3630" i="5"/>
  <c r="G3629" i="5"/>
  <c r="G3628" i="5"/>
  <c r="G3624" i="5"/>
  <c r="G3623" i="5"/>
  <c r="G3622" i="5"/>
  <c r="G3617" i="5"/>
  <c r="G3615" i="5"/>
  <c r="G3611" i="5"/>
  <c r="G3610" i="5"/>
  <c r="G3609" i="5"/>
  <c r="G3603" i="5"/>
  <c r="G3602" i="5"/>
  <c r="G3601" i="5"/>
  <c r="G3598" i="5"/>
  <c r="G3597" i="5"/>
  <c r="G3596" i="5"/>
  <c r="G3591" i="5"/>
  <c r="G3590" i="5"/>
  <c r="G3589" i="5"/>
  <c r="G3583" i="5"/>
  <c r="G3582" i="5"/>
  <c r="G3581" i="5"/>
  <c r="G3577" i="5"/>
  <c r="G3576" i="5"/>
  <c r="G3575" i="5"/>
  <c r="G3571" i="5"/>
  <c r="G3570" i="5"/>
  <c r="G3569" i="5"/>
  <c r="G3568" i="5"/>
  <c r="G3567" i="5"/>
  <c r="G3566" i="5"/>
  <c r="G3555" i="5"/>
  <c r="G3554" i="5"/>
  <c r="G3553" i="5"/>
  <c r="G3548" i="5"/>
  <c r="G3547" i="5"/>
  <c r="G3537" i="5"/>
  <c r="G3536" i="5"/>
  <c r="G3535" i="5"/>
  <c r="G3529" i="5"/>
  <c r="G3528" i="5"/>
  <c r="G3527" i="5"/>
  <c r="G3526" i="5"/>
  <c r="G3525" i="5"/>
  <c r="G3524" i="5"/>
  <c r="G3512" i="5"/>
  <c r="G3511" i="5"/>
  <c r="G3510" i="5"/>
  <c r="G3504" i="5"/>
  <c r="G3503" i="5"/>
  <c r="G3502" i="5"/>
  <c r="G3501" i="5"/>
  <c r="G3500" i="5"/>
  <c r="G3499" i="5"/>
  <c r="G3487" i="5"/>
  <c r="G3486" i="5"/>
  <c r="G3485" i="5"/>
  <c r="G3466" i="5"/>
  <c r="G3465" i="5"/>
  <c r="G3464" i="5"/>
  <c r="G3457" i="5"/>
  <c r="G3456" i="5"/>
  <c r="G3455" i="5"/>
  <c r="G3454" i="5"/>
  <c r="G3453" i="5"/>
  <c r="G3447" i="5"/>
  <c r="G3446" i="5"/>
  <c r="G3445" i="5"/>
  <c r="G3443" i="5"/>
  <c r="G3442" i="5"/>
  <c r="G3441" i="5"/>
  <c r="G3439" i="5"/>
  <c r="G3438" i="5"/>
  <c r="G3437" i="5"/>
  <c r="G3434" i="5"/>
  <c r="G3433" i="5"/>
  <c r="G3432" i="5"/>
  <c r="G3429" i="5"/>
  <c r="G3428" i="5"/>
  <c r="G3427" i="5"/>
  <c r="G3424" i="5"/>
  <c r="G3423" i="5"/>
  <c r="G3422" i="5"/>
  <c r="G3417" i="5"/>
  <c r="G3415" i="5"/>
  <c r="G3410" i="5"/>
  <c r="G3409" i="5"/>
  <c r="G3408" i="5"/>
  <c r="G3403" i="5"/>
  <c r="G3401" i="5"/>
  <c r="G3399" i="5"/>
  <c r="G3398" i="5"/>
  <c r="G3395" i="5"/>
  <c r="G3394" i="5"/>
  <c r="G3393" i="5"/>
  <c r="G3390" i="5"/>
  <c r="G3389" i="5"/>
  <c r="G3388" i="5"/>
  <c r="G3386" i="5"/>
  <c r="G3385" i="5"/>
  <c r="G3384" i="5"/>
  <c r="G3382" i="5"/>
  <c r="G3380" i="5"/>
  <c r="G3375" i="5"/>
  <c r="G3374" i="5"/>
  <c r="G3373" i="5"/>
  <c r="G3368" i="5"/>
  <c r="G3367" i="5"/>
  <c r="G3366" i="5"/>
  <c r="G3361" i="5"/>
  <c r="G3360" i="5"/>
  <c r="G3359" i="5"/>
  <c r="G3356" i="5"/>
  <c r="G3355" i="5"/>
  <c r="G3354" i="5"/>
  <c r="G3353" i="5"/>
  <c r="G3352" i="5"/>
  <c r="G3347" i="5"/>
  <c r="G3346" i="5"/>
  <c r="G3345" i="5"/>
  <c r="G3341" i="5"/>
  <c r="G3340" i="5"/>
  <c r="G3339" i="5"/>
  <c r="G3335" i="5"/>
  <c r="G3333" i="5"/>
  <c r="G3328" i="5"/>
  <c r="G3327" i="5"/>
  <c r="G3326" i="5"/>
  <c r="G3321" i="5"/>
  <c r="G3320" i="5"/>
  <c r="G3319" i="5"/>
  <c r="G3314" i="5"/>
  <c r="G3312" i="5"/>
  <c r="G3307" i="5"/>
  <c r="G3305" i="5"/>
  <c r="G3300" i="5"/>
  <c r="G3299" i="5"/>
  <c r="G3298" i="5"/>
  <c r="G3293" i="5"/>
  <c r="G3292" i="5"/>
  <c r="G3291" i="5"/>
  <c r="G3286" i="5"/>
  <c r="G3284" i="5"/>
  <c r="G3279" i="5"/>
  <c r="G3277" i="5"/>
  <c r="G3272" i="5"/>
  <c r="G3271" i="5"/>
  <c r="G3270" i="5"/>
  <c r="G3265" i="5"/>
  <c r="G3264" i="5"/>
  <c r="G3263" i="5"/>
  <c r="G3260" i="5"/>
  <c r="G3259" i="5"/>
  <c r="G3258" i="5"/>
  <c r="G3250" i="5"/>
  <c r="G3249" i="5"/>
  <c r="G3248" i="5"/>
  <c r="G3244" i="5"/>
  <c r="G3243" i="5"/>
  <c r="G3242" i="5"/>
  <c r="G3238" i="5"/>
  <c r="G3237" i="5"/>
  <c r="G3236" i="5"/>
  <c r="G3232" i="5"/>
  <c r="G3231" i="5"/>
  <c r="G3230" i="5"/>
  <c r="G3229" i="5"/>
  <c r="G3228" i="5"/>
  <c r="G3219" i="5"/>
  <c r="G3218" i="5"/>
  <c r="G3217" i="5"/>
  <c r="G3212" i="5"/>
  <c r="G3211" i="5"/>
  <c r="G3210" i="5"/>
  <c r="G3208" i="5"/>
  <c r="G3206" i="5"/>
  <c r="G3203" i="5"/>
  <c r="G3202" i="5"/>
  <c r="G3201" i="5"/>
  <c r="G3195" i="5"/>
  <c r="G3194" i="5"/>
  <c r="G3193" i="5"/>
  <c r="G3187" i="5"/>
  <c r="G3186" i="5"/>
  <c r="G3185" i="5"/>
  <c r="G3178" i="5"/>
  <c r="G3176" i="5"/>
  <c r="G3173" i="5"/>
  <c r="G3172" i="5"/>
  <c r="G3171" i="5"/>
  <c r="G3167" i="5"/>
  <c r="G3165" i="5"/>
  <c r="G3162" i="5"/>
  <c r="G3161" i="5"/>
  <c r="G3160" i="5"/>
  <c r="G3156" i="5"/>
  <c r="G3155" i="5"/>
  <c r="G3154" i="5"/>
  <c r="G3150" i="5"/>
  <c r="G3149" i="5"/>
  <c r="G3148" i="5"/>
  <c r="G3144" i="5"/>
  <c r="G3143" i="5"/>
  <c r="G3142" i="5"/>
  <c r="G3141" i="5"/>
  <c r="G3140" i="5"/>
  <c r="G3138" i="5"/>
  <c r="G3137" i="5"/>
  <c r="G3136" i="5"/>
  <c r="G3133" i="5"/>
  <c r="G3132" i="5"/>
  <c r="G3131" i="5"/>
  <c r="G3128" i="5"/>
  <c r="G3127" i="5"/>
  <c r="G3126" i="5"/>
  <c r="G3123" i="5"/>
  <c r="G3122" i="5"/>
  <c r="G3121" i="5"/>
  <c r="G3118" i="5"/>
  <c r="G3117" i="5"/>
  <c r="G3116" i="5"/>
  <c r="G3113" i="5"/>
  <c r="G3112" i="5"/>
  <c r="G3111" i="5"/>
  <c r="G3108" i="5"/>
  <c r="G3107" i="5"/>
  <c r="G3106" i="5"/>
  <c r="G3103" i="5"/>
  <c r="G3102" i="5"/>
  <c r="G3101" i="5"/>
  <c r="G3098" i="5"/>
  <c r="G3097" i="5"/>
  <c r="G3096" i="5"/>
  <c r="G3093" i="5"/>
  <c r="G3092" i="5"/>
  <c r="G3091" i="5"/>
  <c r="G3085" i="5"/>
  <c r="G3084" i="5"/>
  <c r="G3083" i="5"/>
  <c r="G3080" i="5"/>
  <c r="G3079" i="5"/>
  <c r="G3078" i="5"/>
  <c r="G3072" i="5"/>
  <c r="G3071" i="5"/>
  <c r="G3070" i="5"/>
  <c r="G3068" i="5"/>
  <c r="G3067" i="5"/>
  <c r="G3066" i="5"/>
  <c r="G3065" i="5"/>
  <c r="G3064" i="5"/>
  <c r="G3063" i="5"/>
  <c r="G3060" i="5"/>
  <c r="G3059" i="5"/>
  <c r="G3058" i="5"/>
  <c r="G3055" i="5"/>
  <c r="G3054" i="5"/>
  <c r="G3053" i="5"/>
  <c r="G3052" i="5"/>
  <c r="G3051" i="5"/>
  <c r="G3050" i="5"/>
  <c r="G3047" i="5"/>
  <c r="G3046" i="5"/>
  <c r="G3045" i="5"/>
  <c r="G3042" i="5"/>
  <c r="G3041" i="5"/>
  <c r="G3040" i="5"/>
  <c r="G3037" i="5"/>
  <c r="G3036" i="5"/>
  <c r="G3035" i="5"/>
  <c r="G3032" i="5"/>
  <c r="G3031" i="5"/>
  <c r="G3030" i="5"/>
  <c r="G3027" i="5"/>
  <c r="G3026" i="5"/>
  <c r="G3025" i="5"/>
  <c r="G3022" i="5"/>
  <c r="G3021" i="5"/>
  <c r="G3020" i="5"/>
  <c r="G3017" i="5"/>
  <c r="G3016" i="5"/>
  <c r="G3015" i="5"/>
  <c r="G3012" i="5"/>
  <c r="G3011" i="5"/>
  <c r="G3010" i="5"/>
  <c r="G3007" i="5"/>
  <c r="G3006" i="5"/>
  <c r="G3005" i="5"/>
  <c r="G3002" i="5"/>
  <c r="G3001" i="5"/>
  <c r="G3000" i="5"/>
  <c r="G2992" i="5"/>
  <c r="G2991" i="5"/>
  <c r="G2990" i="5"/>
  <c r="G2987" i="5"/>
  <c r="G2986" i="5"/>
  <c r="G2985" i="5"/>
  <c r="G2982" i="5"/>
  <c r="G2981" i="5"/>
  <c r="G2980" i="5"/>
  <c r="G2977" i="5"/>
  <c r="G2976" i="5"/>
  <c r="G2975" i="5"/>
  <c r="G2972" i="5"/>
  <c r="G2971" i="5"/>
  <c r="G2970" i="5"/>
  <c r="G2967" i="5"/>
  <c r="G2966" i="5"/>
  <c r="G2965" i="5"/>
  <c r="G2962" i="5"/>
  <c r="G2961" i="5"/>
  <c r="G2960" i="5"/>
  <c r="G2957" i="5"/>
  <c r="G2956" i="5"/>
  <c r="G2955" i="5"/>
  <c r="G2952" i="5"/>
  <c r="G2951" i="5"/>
  <c r="G2950" i="5"/>
  <c r="G2947" i="5"/>
  <c r="G2946" i="5"/>
  <c r="G2945" i="5"/>
  <c r="G2942" i="5"/>
  <c r="G2941" i="5"/>
  <c r="G2940" i="5"/>
  <c r="G2939" i="5"/>
  <c r="G2938" i="5"/>
  <c r="G2937" i="5"/>
  <c r="G2934" i="5"/>
  <c r="G2933" i="5"/>
  <c r="G2932" i="5"/>
  <c r="G2931" i="5"/>
  <c r="G2930" i="5"/>
  <c r="G2929" i="5"/>
  <c r="G2926" i="5"/>
  <c r="G2925" i="5"/>
  <c r="G2924" i="5"/>
  <c r="G2923" i="5"/>
  <c r="G2922" i="5"/>
  <c r="G2921" i="5"/>
  <c r="G2918" i="5"/>
  <c r="G2917" i="5"/>
  <c r="G2916" i="5"/>
  <c r="G2915" i="5"/>
  <c r="G2914" i="5"/>
  <c r="G2913" i="5"/>
  <c r="G2910" i="5"/>
  <c r="G2909" i="5"/>
  <c r="G2908" i="5"/>
  <c r="G2907" i="5"/>
  <c r="G2906" i="5"/>
  <c r="G2905" i="5"/>
  <c r="G2902" i="5"/>
  <c r="G2901" i="5"/>
  <c r="G2900" i="5"/>
  <c r="G2897" i="5"/>
  <c r="G2896" i="5"/>
  <c r="G2895" i="5"/>
  <c r="G2892" i="5"/>
  <c r="G2891" i="5"/>
  <c r="G2890" i="5"/>
  <c r="G2887" i="5"/>
  <c r="G2886" i="5"/>
  <c r="G2885" i="5"/>
  <c r="G2880" i="5"/>
  <c r="G2879" i="5"/>
  <c r="G2878" i="5"/>
  <c r="G2875" i="5"/>
  <c r="G2874" i="5"/>
  <c r="G2873" i="5"/>
  <c r="G2870" i="5"/>
  <c r="G2869" i="5"/>
  <c r="G2868" i="5"/>
  <c r="G2865" i="5"/>
  <c r="G2864" i="5"/>
  <c r="G2863" i="5"/>
  <c r="G2860" i="5"/>
  <c r="G2859" i="5"/>
  <c r="G2858" i="5"/>
  <c r="G2855" i="5"/>
  <c r="G2854" i="5"/>
  <c r="G2853" i="5"/>
  <c r="G2850" i="5"/>
  <c r="G2849" i="5"/>
  <c r="G2848" i="5"/>
  <c r="G2845" i="5"/>
  <c r="G2844" i="5"/>
  <c r="G2843" i="5"/>
  <c r="G2840" i="5"/>
  <c r="G2839" i="5"/>
  <c r="G2838" i="5"/>
  <c r="G2837" i="5"/>
  <c r="G2836" i="5"/>
  <c r="G2833" i="5"/>
  <c r="G2832" i="5"/>
  <c r="G2831" i="5"/>
  <c r="G2828" i="5"/>
  <c r="G2827" i="5"/>
  <c r="G2826" i="5"/>
  <c r="G2823" i="5"/>
  <c r="G2822" i="5"/>
  <c r="G2821" i="5"/>
  <c r="G2818" i="5"/>
  <c r="G2817" i="5"/>
  <c r="G2816" i="5"/>
  <c r="G2808" i="5"/>
  <c r="G2807" i="5"/>
  <c r="G2796" i="5"/>
  <c r="G2792" i="5"/>
  <c r="G2791" i="5"/>
  <c r="G2790" i="5"/>
  <c r="G2782" i="5"/>
  <c r="G2781" i="5"/>
  <c r="G2780" i="5"/>
  <c r="G2777" i="5"/>
  <c r="G2776" i="5"/>
  <c r="G2719" i="5"/>
  <c r="G2718" i="5"/>
  <c r="G2717" i="5"/>
  <c r="G2715" i="5"/>
  <c r="G2714" i="5"/>
  <c r="G2713" i="5"/>
  <c r="G2712" i="5"/>
  <c r="G2711" i="5"/>
  <c r="G2709" i="5"/>
  <c r="G2708" i="5"/>
  <c r="G2707" i="5"/>
  <c r="G2706" i="5"/>
  <c r="G2705" i="5"/>
  <c r="G2703" i="5"/>
  <c r="G2702" i="5"/>
  <c r="G2701" i="5"/>
  <c r="G2700" i="5"/>
  <c r="G2699" i="5"/>
  <c r="G2697" i="5"/>
  <c r="G2696" i="5"/>
  <c r="G2695" i="5"/>
  <c r="G2694" i="5"/>
  <c r="G2693" i="5"/>
  <c r="G2691" i="5"/>
  <c r="G2690" i="5"/>
  <c r="G2689" i="5"/>
  <c r="G2688" i="5"/>
  <c r="G2687" i="5"/>
  <c r="G2685" i="5"/>
  <c r="G2684" i="5"/>
  <c r="G2683" i="5"/>
  <c r="G2682" i="5"/>
  <c r="G2681" i="5"/>
  <c r="G2679" i="5"/>
  <c r="G2678" i="5"/>
  <c r="G2677" i="5"/>
  <c r="G2676" i="5"/>
  <c r="G2675" i="5"/>
  <c r="G2673" i="5"/>
  <c r="G2672" i="5"/>
  <c r="G2671" i="5"/>
  <c r="G2670" i="5"/>
  <c r="G2669" i="5"/>
  <c r="G2667" i="5"/>
  <c r="G2666" i="5"/>
  <c r="G2665" i="5"/>
  <c r="G2664" i="5"/>
  <c r="G2663" i="5"/>
  <c r="G2661" i="5"/>
  <c r="G2660" i="5"/>
  <c r="G2655" i="5"/>
  <c r="G2653" i="5"/>
  <c r="G2647" i="5"/>
  <c r="G2645" i="5"/>
  <c r="G2644" i="5"/>
  <c r="G2643" i="5"/>
  <c r="G2641" i="5"/>
  <c r="G2640" i="5"/>
  <c r="G2639" i="5"/>
  <c r="G2637" i="5"/>
  <c r="G2636" i="5"/>
  <c r="G2635" i="5"/>
  <c r="G2633" i="5"/>
  <c r="G2632" i="5"/>
  <c r="G2631" i="5"/>
  <c r="G2629" i="5"/>
  <c r="G2628" i="5"/>
  <c r="G2627" i="5"/>
  <c r="G2625" i="5"/>
  <c r="G2624" i="5"/>
  <c r="G2623" i="5"/>
  <c r="G2621" i="5"/>
  <c r="G2620" i="5"/>
  <c r="G2619" i="5"/>
  <c r="G2617" i="5"/>
  <c r="G2616" i="5"/>
  <c r="G2615" i="5"/>
  <c r="G2613" i="5"/>
  <c r="G2612" i="5"/>
  <c r="G2611" i="5"/>
  <c r="G2609" i="5"/>
  <c r="G2608" i="5"/>
  <c r="G2607" i="5"/>
  <c r="G2605" i="5"/>
  <c r="G2604" i="5"/>
  <c r="G2603" i="5"/>
  <c r="G2602" i="5"/>
  <c r="G2601" i="5"/>
  <c r="G2597" i="5"/>
  <c r="G2596" i="5"/>
  <c r="G2595" i="5"/>
  <c r="G2594" i="5"/>
  <c r="G2593" i="5"/>
  <c r="G2589" i="5"/>
  <c r="G2588" i="5"/>
  <c r="G2587" i="5"/>
  <c r="G2586" i="5"/>
  <c r="G2585" i="5"/>
  <c r="G2581" i="5"/>
  <c r="G2580" i="5"/>
  <c r="G2579" i="5"/>
  <c r="G2577" i="5"/>
  <c r="G2576" i="5"/>
  <c r="G2575" i="5"/>
  <c r="G2573" i="5"/>
  <c r="G2572" i="5"/>
  <c r="G2571" i="5"/>
  <c r="G2569" i="5"/>
  <c r="G2568" i="5"/>
  <c r="G2567" i="5"/>
  <c r="G2565" i="5"/>
  <c r="G2564" i="5"/>
  <c r="G2563" i="5"/>
  <c r="G2561" i="5"/>
  <c r="G2560" i="5"/>
  <c r="G2443" i="5"/>
  <c r="G2441" i="5"/>
  <c r="G2440" i="5"/>
  <c r="G2415" i="5"/>
  <c r="G2413" i="5"/>
  <c r="G2403" i="5"/>
  <c r="G2399" i="5"/>
  <c r="G2398" i="5"/>
  <c r="G2397" i="5"/>
  <c r="G2392" i="5"/>
  <c r="G2391" i="5"/>
  <c r="G2390" i="5"/>
  <c r="G2386" i="5"/>
  <c r="G2385" i="5"/>
  <c r="G2384" i="5"/>
  <c r="G2379" i="5"/>
  <c r="G2378" i="5"/>
  <c r="G2377" i="5"/>
  <c r="G2371" i="5"/>
  <c r="G2370" i="5"/>
  <c r="G2369" i="5"/>
  <c r="G2365" i="5"/>
  <c r="G2364" i="5"/>
  <c r="G2363" i="5"/>
  <c r="G2360" i="5"/>
  <c r="G2359" i="5"/>
  <c r="G2358" i="5"/>
  <c r="G2355" i="5"/>
  <c r="G2354" i="5"/>
  <c r="G2353" i="5"/>
  <c r="G2350" i="5"/>
  <c r="G2349" i="5"/>
  <c r="G2348" i="5"/>
  <c r="G2344" i="5"/>
  <c r="G2343" i="5"/>
  <c r="G2342" i="5"/>
  <c r="G2338" i="5"/>
  <c r="G2337" i="5"/>
  <c r="G2336" i="5"/>
  <c r="G2332" i="5"/>
  <c r="G2331" i="5"/>
  <c r="G2330" i="5"/>
  <c r="G2326" i="5"/>
  <c r="G2325" i="5"/>
  <c r="G2324" i="5"/>
  <c r="G2319" i="5"/>
  <c r="G2318" i="5"/>
  <c r="G2317" i="5"/>
  <c r="G2312" i="5"/>
  <c r="G2311" i="5"/>
  <c r="G2310" i="5"/>
  <c r="G2302" i="5"/>
  <c r="G2301" i="5"/>
  <c r="G2300" i="5"/>
  <c r="G2292" i="5"/>
  <c r="G2291" i="5"/>
  <c r="G2290" i="5"/>
  <c r="G2282" i="5"/>
  <c r="G2280" i="5"/>
  <c r="G2272" i="5"/>
  <c r="G2270" i="5"/>
  <c r="G2262" i="5"/>
  <c r="G2261" i="5"/>
  <c r="G2260" i="5"/>
  <c r="G2256" i="5"/>
  <c r="G2255" i="5"/>
  <c r="G2254" i="5"/>
  <c r="G2242" i="5"/>
  <c r="G2241" i="5"/>
  <c r="G2240" i="5"/>
  <c r="G2236" i="5"/>
  <c r="G2235" i="5"/>
  <c r="G2234" i="5"/>
  <c r="G2230" i="5"/>
  <c r="G2229" i="5"/>
  <c r="G2228" i="5"/>
  <c r="G2223" i="5"/>
  <c r="G2222" i="5"/>
  <c r="G2221" i="5"/>
  <c r="G2216" i="5"/>
  <c r="G2215" i="5"/>
  <c r="G2214" i="5"/>
  <c r="G2211" i="5"/>
  <c r="G2210" i="5"/>
  <c r="G2209" i="5"/>
  <c r="G2208" i="5"/>
  <c r="G2207" i="5"/>
  <c r="G2203" i="5"/>
  <c r="G2202" i="5"/>
  <c r="G2201" i="5"/>
  <c r="G2200" i="5"/>
  <c r="G2199" i="5"/>
  <c r="G2195" i="5"/>
  <c r="G2194" i="5"/>
  <c r="G2193" i="5"/>
  <c r="G2192" i="5"/>
  <c r="G2191" i="5"/>
  <c r="G2187" i="5"/>
  <c r="G2185" i="5"/>
  <c r="G2184" i="5"/>
  <c r="G2183" i="5"/>
  <c r="G2179" i="5"/>
  <c r="G2177" i="5"/>
  <c r="G2176" i="5"/>
  <c r="G2175" i="5"/>
  <c r="G2171" i="5"/>
  <c r="G2170" i="5"/>
  <c r="G2169" i="5"/>
  <c r="G2168" i="5"/>
  <c r="G2167" i="5"/>
  <c r="G2163" i="5"/>
  <c r="G2162" i="5"/>
  <c r="G2161" i="5"/>
  <c r="G2160" i="5"/>
  <c r="G2159" i="5"/>
  <c r="G2155" i="5"/>
  <c r="G2153" i="5"/>
  <c r="G2152" i="5"/>
  <c r="G2151" i="5"/>
  <c r="G2147" i="5"/>
  <c r="G2146" i="5"/>
  <c r="G2145" i="5"/>
  <c r="G2141" i="5"/>
  <c r="G2139" i="5"/>
  <c r="G2135" i="5"/>
  <c r="G2134" i="5"/>
  <c r="G2133" i="5"/>
  <c r="G2129" i="5"/>
  <c r="G2128" i="5"/>
  <c r="G2127" i="5"/>
  <c r="G2123" i="5"/>
  <c r="G2121" i="5"/>
  <c r="G2117" i="5"/>
  <c r="G2116" i="5"/>
  <c r="G2115" i="5"/>
  <c r="G2114" i="5"/>
  <c r="G2113" i="5"/>
  <c r="G2109" i="5"/>
  <c r="G2107" i="5"/>
  <c r="G2106" i="5"/>
  <c r="G2105" i="5"/>
  <c r="G2101" i="5"/>
  <c r="G2100" i="5"/>
  <c r="G2099" i="5"/>
  <c r="G2098" i="5"/>
  <c r="G2097" i="5"/>
  <c r="G2093" i="5"/>
  <c r="G2092" i="5"/>
  <c r="G2091" i="5"/>
  <c r="G2090" i="5"/>
  <c r="G2089" i="5"/>
  <c r="G2085" i="5"/>
  <c r="G2084" i="5"/>
  <c r="G2083" i="5"/>
  <c r="G2082" i="5"/>
  <c r="G2081" i="5"/>
  <c r="G2077" i="5"/>
  <c r="G2075" i="5"/>
  <c r="G2074" i="5"/>
  <c r="G2073" i="5"/>
  <c r="G2069" i="5"/>
  <c r="G2068" i="5"/>
  <c r="G2067" i="5"/>
  <c r="G2066" i="5"/>
  <c r="G2065" i="5"/>
  <c r="G2061" i="5"/>
  <c r="G2059" i="5"/>
  <c r="G2058" i="5"/>
  <c r="G2057" i="5"/>
  <c r="G2053" i="5"/>
  <c r="G2052" i="5"/>
  <c r="G2051" i="5"/>
  <c r="G2050" i="5"/>
  <c r="G2049" i="5"/>
  <c r="G2045" i="5"/>
  <c r="G2043" i="5"/>
  <c r="G2042" i="5"/>
  <c r="G2041" i="5"/>
  <c r="G2037" i="5"/>
  <c r="G2036" i="5"/>
  <c r="G2035" i="5"/>
  <c r="G2034" i="5"/>
  <c r="G2033" i="5"/>
  <c r="G2029" i="5"/>
  <c r="G2027" i="5"/>
  <c r="G2023" i="5"/>
  <c r="G2022" i="5"/>
  <c r="G2021" i="5"/>
  <c r="G2016" i="5"/>
  <c r="G2015" i="5"/>
  <c r="G2014" i="5"/>
  <c r="G2009" i="5"/>
  <c r="G2008" i="5"/>
  <c r="G2007" i="5"/>
  <c r="G2002" i="5"/>
  <c r="G2000" i="5"/>
  <c r="G1995" i="5"/>
  <c r="G1994" i="5"/>
  <c r="G1993" i="5"/>
  <c r="G1987" i="5"/>
  <c r="G1985" i="5"/>
  <c r="G1979" i="5"/>
  <c r="G1978" i="5"/>
  <c r="G1977" i="5"/>
  <c r="G1972" i="5"/>
  <c r="G1970" i="5"/>
  <c r="G1965" i="5"/>
  <c r="G1964" i="5"/>
  <c r="G1963" i="5"/>
  <c r="G1959" i="5"/>
  <c r="G1958" i="5"/>
  <c r="G1957" i="5"/>
  <c r="G1953" i="5"/>
  <c r="G1952" i="5"/>
  <c r="G1951" i="5"/>
  <c r="G1946" i="5"/>
  <c r="G1945" i="5"/>
  <c r="G1944" i="5"/>
  <c r="G1941" i="5"/>
  <c r="G1940" i="5"/>
  <c r="G1939" i="5"/>
  <c r="G1936" i="5"/>
  <c r="G1935" i="5"/>
  <c r="G1934" i="5"/>
  <c r="G1930" i="5"/>
  <c r="G1929" i="5"/>
  <c r="G1928" i="5"/>
  <c r="G1925" i="5"/>
  <c r="G1924" i="5"/>
  <c r="G1923" i="5"/>
  <c r="G1920" i="5"/>
  <c r="G1919" i="5"/>
  <c r="G1918" i="5"/>
  <c r="G1915" i="5"/>
  <c r="G1914" i="5"/>
  <c r="G1913" i="5"/>
  <c r="G1909" i="5"/>
  <c r="G1908" i="5"/>
  <c r="G1907" i="5"/>
  <c r="G1903" i="5"/>
  <c r="G1902" i="5"/>
  <c r="G1901" i="5"/>
  <c r="G1897" i="5"/>
  <c r="G1896" i="5"/>
  <c r="G1895" i="5"/>
  <c r="G1891" i="5"/>
  <c r="G1890" i="5"/>
  <c r="G1889" i="5"/>
  <c r="G1885" i="5"/>
  <c r="G1884" i="5"/>
  <c r="G1883" i="5"/>
  <c r="G1879" i="5"/>
  <c r="G1878" i="5"/>
  <c r="G1877" i="5"/>
  <c r="G1873" i="5"/>
  <c r="G1872" i="5"/>
  <c r="G1871" i="5"/>
  <c r="G1867" i="5"/>
  <c r="G1866" i="5"/>
  <c r="G1865" i="5"/>
  <c r="G1861" i="5"/>
  <c r="G1860" i="5"/>
  <c r="G1859" i="5"/>
  <c r="G1855" i="5"/>
  <c r="G1854" i="5"/>
  <c r="G1853" i="5"/>
  <c r="G1849" i="5"/>
  <c r="G1848" i="5"/>
  <c r="G1847" i="5"/>
  <c r="G1843" i="5"/>
  <c r="G1842" i="5"/>
  <c r="G1841" i="5"/>
  <c r="G1836" i="5"/>
  <c r="G1835" i="5"/>
  <c r="G1834" i="5"/>
  <c r="G1830" i="5"/>
  <c r="G1829" i="5"/>
  <c r="G1828" i="5"/>
  <c r="G1824" i="5"/>
  <c r="G1823" i="5"/>
  <c r="G1822" i="5"/>
  <c r="G1819" i="5"/>
  <c r="G1818" i="5"/>
  <c r="G1817" i="5"/>
  <c r="G1814" i="5"/>
  <c r="G1813" i="5"/>
  <c r="G1812" i="5"/>
  <c r="G1807" i="5"/>
  <c r="G1805" i="5"/>
  <c r="G1800" i="5"/>
  <c r="G1799" i="5"/>
  <c r="G1798" i="5"/>
  <c r="G1793" i="5"/>
  <c r="G1792" i="5"/>
  <c r="G1791" i="5"/>
  <c r="G1786" i="5"/>
  <c r="G1785" i="5"/>
  <c r="G1784" i="5"/>
  <c r="G1779" i="5"/>
  <c r="G1777" i="5"/>
  <c r="G1772" i="5"/>
  <c r="G1771" i="5"/>
  <c r="G1770" i="5"/>
  <c r="G1765" i="5"/>
  <c r="G1764" i="5"/>
  <c r="G1763" i="5"/>
  <c r="G1758" i="5"/>
  <c r="G1757" i="5"/>
  <c r="G1756" i="5"/>
  <c r="G1747" i="5"/>
  <c r="G1746" i="5"/>
  <c r="G1745" i="5"/>
  <c r="G1736" i="5"/>
  <c r="G1735" i="5"/>
  <c r="G1734" i="5"/>
  <c r="G1725" i="5"/>
  <c r="G1724" i="5"/>
  <c r="G1723" i="5"/>
  <c r="G1714" i="5"/>
  <c r="G1713" i="5"/>
  <c r="G1712" i="5"/>
  <c r="G1706" i="5"/>
  <c r="G1705" i="5"/>
  <c r="G1704" i="5"/>
  <c r="G1700" i="5"/>
  <c r="G1699" i="5"/>
  <c r="G1698" i="5"/>
  <c r="G1693" i="5"/>
  <c r="G1692" i="5"/>
  <c r="G1691" i="5"/>
  <c r="G1686" i="5"/>
  <c r="G1685" i="5"/>
  <c r="G1684" i="5"/>
  <c r="G1680" i="5"/>
  <c r="G1679" i="5"/>
  <c r="G1678" i="5"/>
  <c r="G1675" i="5"/>
  <c r="G1674" i="5"/>
  <c r="G1673" i="5"/>
  <c r="G1670" i="5"/>
  <c r="G1669" i="5"/>
  <c r="G1668" i="5"/>
  <c r="G1665" i="5"/>
  <c r="G1664" i="5"/>
  <c r="G1663" i="5"/>
  <c r="G1659" i="5"/>
  <c r="G1658" i="5"/>
  <c r="G1657" i="5"/>
  <c r="G1653" i="5"/>
  <c r="G1652" i="5"/>
  <c r="G1651" i="5"/>
  <c r="G1647" i="5"/>
  <c r="G1646" i="5"/>
  <c r="G1645" i="5"/>
  <c r="G1641" i="5"/>
  <c r="G1639" i="5"/>
  <c r="G1636" i="5"/>
  <c r="G1635" i="5"/>
  <c r="G1634" i="5"/>
  <c r="G1630" i="5"/>
  <c r="G1628" i="5"/>
  <c r="G1624" i="5"/>
  <c r="G1623" i="5"/>
  <c r="G1622" i="5"/>
  <c r="G1619" i="5"/>
  <c r="G1618" i="5"/>
  <c r="G1617" i="5"/>
  <c r="G1612" i="5"/>
  <c r="G1611" i="5"/>
  <c r="G1610" i="5"/>
  <c r="G1606" i="5"/>
  <c r="G1605" i="5"/>
  <c r="G1604" i="5"/>
  <c r="G1600" i="5"/>
  <c r="G1599" i="5"/>
  <c r="G1598" i="5"/>
  <c r="G1594" i="5"/>
  <c r="G1593" i="5"/>
  <c r="G1592" i="5"/>
  <c r="G1579" i="5"/>
  <c r="G1578" i="5"/>
  <c r="G1577" i="5"/>
  <c r="G1572" i="5"/>
  <c r="G1571" i="5"/>
  <c r="G1570" i="5"/>
  <c r="G1565" i="5"/>
  <c r="G1564" i="5"/>
  <c r="G1563" i="5"/>
  <c r="G1558" i="5"/>
  <c r="G1557" i="5"/>
  <c r="G1556" i="5"/>
  <c r="G1551" i="5"/>
  <c r="G1550" i="5"/>
  <c r="G1549" i="5"/>
  <c r="G1543" i="5"/>
  <c r="G1542" i="5"/>
  <c r="G1541" i="5"/>
  <c r="G1535" i="5"/>
  <c r="G1534" i="5"/>
  <c r="G1533" i="5"/>
  <c r="G1527" i="5"/>
  <c r="G1526" i="5"/>
  <c r="G1525" i="5"/>
  <c r="G1519" i="5"/>
  <c r="G1518" i="5"/>
  <c r="G1517" i="5"/>
  <c r="G1511" i="5"/>
  <c r="G1510" i="5"/>
  <c r="G1509" i="5"/>
  <c r="G1496" i="5"/>
  <c r="G1495" i="5"/>
  <c r="G1494" i="5"/>
  <c r="G1481" i="5"/>
  <c r="G1480" i="5"/>
  <c r="G1479" i="5"/>
  <c r="G1466" i="5"/>
  <c r="G1465" i="5"/>
  <c r="G1464" i="5"/>
  <c r="G1451" i="5"/>
  <c r="G1450" i="5"/>
  <c r="G1449" i="5"/>
  <c r="G1436" i="5"/>
  <c r="G1435" i="5"/>
  <c r="G1434" i="5"/>
  <c r="G1421" i="5"/>
  <c r="G1420" i="5"/>
  <c r="G1419" i="5"/>
  <c r="G1406" i="5"/>
  <c r="G1405" i="5"/>
  <c r="G1404" i="5"/>
  <c r="G1399" i="5"/>
  <c r="G1398" i="5"/>
  <c r="G1397" i="5"/>
  <c r="G1393" i="5"/>
  <c r="G1392" i="5"/>
  <c r="G1391" i="5"/>
  <c r="G1387" i="5"/>
  <c r="G1386" i="5"/>
  <c r="G1385" i="5"/>
  <c r="G1381" i="5"/>
  <c r="G1380" i="5"/>
  <c r="G1379" i="5"/>
  <c r="G1374" i="5"/>
  <c r="G1373" i="5"/>
  <c r="G1372" i="5"/>
  <c r="G1368" i="5"/>
  <c r="G1367" i="5"/>
  <c r="G1366" i="5"/>
  <c r="G1362" i="5"/>
  <c r="G1361" i="5"/>
  <c r="G1360" i="5"/>
  <c r="G1355" i="5"/>
  <c r="G1354" i="5"/>
  <c r="G1353" i="5"/>
  <c r="G1349" i="5"/>
  <c r="G1348" i="5"/>
  <c r="G1347" i="5"/>
  <c r="G1342" i="5"/>
  <c r="G1340" i="5"/>
  <c r="G1336" i="5"/>
  <c r="G1335" i="5"/>
  <c r="G1334" i="5"/>
  <c r="G1330" i="5"/>
  <c r="G1329" i="5"/>
  <c r="G1328" i="5"/>
  <c r="G1324" i="5"/>
  <c r="G1323" i="5"/>
  <c r="G1322" i="5"/>
  <c r="G1318" i="5"/>
  <c r="G1316" i="5"/>
  <c r="G1309" i="5"/>
  <c r="G1308" i="5"/>
  <c r="G1307" i="5"/>
  <c r="G1301" i="5"/>
  <c r="G1300" i="5"/>
  <c r="G1299" i="5"/>
  <c r="G1294" i="5"/>
  <c r="G1293" i="5"/>
  <c r="G1292" i="5"/>
  <c r="G1287" i="5"/>
  <c r="G1286" i="5"/>
  <c r="G1285" i="5"/>
  <c r="G1280" i="5"/>
  <c r="G1279" i="5"/>
  <c r="G1278" i="5"/>
  <c r="G1273" i="5"/>
  <c r="G1272" i="5"/>
  <c r="G1271" i="5"/>
  <c r="G1267" i="5"/>
  <c r="G1266" i="5"/>
  <c r="G1265" i="5"/>
  <c r="G1260" i="5"/>
  <c r="G1258" i="5"/>
  <c r="G1253" i="5"/>
  <c r="G1252" i="5"/>
  <c r="G1251" i="5"/>
  <c r="G1246" i="5"/>
  <c r="G1245" i="5"/>
  <c r="G1244" i="5"/>
  <c r="G1240" i="5"/>
  <c r="G1239" i="5"/>
  <c r="G1238" i="5"/>
  <c r="G1234" i="5"/>
  <c r="G1233" i="5"/>
  <c r="G1232" i="5"/>
  <c r="G1228" i="5"/>
  <c r="G1227" i="5"/>
  <c r="G1226" i="5"/>
  <c r="G1222" i="5"/>
  <c r="G1221" i="5"/>
  <c r="G1220" i="5"/>
  <c r="G1215" i="5"/>
  <c r="G1214" i="5"/>
  <c r="G1213" i="5"/>
  <c r="G1208" i="5"/>
  <c r="G1207" i="5"/>
  <c r="G1206" i="5"/>
  <c r="G1201" i="5"/>
  <c r="G1200" i="5"/>
  <c r="G1199" i="5"/>
  <c r="G1194" i="5"/>
  <c r="G1193" i="5"/>
  <c r="G1192" i="5"/>
  <c r="G1187" i="5"/>
  <c r="G1186" i="5"/>
  <c r="G1185" i="5"/>
  <c r="G1180" i="5"/>
  <c r="G1178" i="5"/>
  <c r="G1173" i="5"/>
  <c r="G1172" i="5"/>
  <c r="G1171" i="5"/>
  <c r="G1166" i="5"/>
  <c r="G1165" i="5"/>
  <c r="G1164" i="5"/>
  <c r="G1159" i="5"/>
  <c r="G1158" i="5"/>
  <c r="G1157" i="5"/>
  <c r="G1152" i="5"/>
  <c r="G1151" i="5"/>
  <c r="G1150" i="5"/>
  <c r="G1145" i="5"/>
  <c r="G1144" i="5"/>
  <c r="G1143" i="5"/>
  <c r="G1138" i="5"/>
  <c r="G1137" i="5"/>
  <c r="G1136" i="5"/>
  <c r="G1133" i="5"/>
  <c r="G1132" i="5"/>
  <c r="G1131" i="5"/>
  <c r="G1127" i="5"/>
  <c r="G1126" i="5"/>
  <c r="G1125" i="5"/>
  <c r="G1122" i="5"/>
  <c r="G1121" i="5"/>
  <c r="G1120" i="5"/>
  <c r="G1117" i="5"/>
  <c r="G1116" i="5"/>
  <c r="G1115" i="5"/>
  <c r="G1109" i="5"/>
  <c r="G1108" i="5"/>
  <c r="G1107" i="5"/>
  <c r="G1106" i="5"/>
  <c r="G1105" i="5"/>
  <c r="G1099" i="5"/>
  <c r="G1098" i="5"/>
  <c r="G1097" i="5"/>
  <c r="G1091" i="5"/>
  <c r="G1090" i="5"/>
  <c r="G1089" i="5"/>
  <c r="G1083" i="5"/>
  <c r="G1082" i="5"/>
  <c r="G1081" i="5"/>
  <c r="G1080" i="5"/>
  <c r="G1079" i="5"/>
  <c r="G1074" i="5"/>
  <c r="G1073" i="5"/>
  <c r="G1072" i="5"/>
  <c r="G1067" i="5"/>
  <c r="G1066" i="5"/>
  <c r="G1065" i="5"/>
  <c r="G1060" i="5"/>
  <c r="G1058" i="5"/>
  <c r="G1053" i="5"/>
  <c r="G1051" i="5"/>
  <c r="G1046" i="5"/>
  <c r="G1045" i="5"/>
  <c r="G1044" i="5"/>
  <c r="G1037" i="5"/>
  <c r="G1036" i="5"/>
  <c r="G1035" i="5"/>
  <c r="G1027" i="5"/>
  <c r="G1026" i="5"/>
  <c r="G1025" i="5"/>
  <c r="G1022" i="5"/>
  <c r="G1021" i="5"/>
  <c r="G1020" i="5"/>
  <c r="G1013" i="5"/>
  <c r="G1011" i="5"/>
  <c r="G1008" i="5"/>
  <c r="G1007" i="5"/>
  <c r="G1006" i="5"/>
  <c r="G1003" i="5"/>
  <c r="G1002" i="5"/>
  <c r="G1001" i="5"/>
  <c r="G992" i="5"/>
  <c r="G991" i="5"/>
  <c r="G990" i="5"/>
  <c r="G981" i="5"/>
  <c r="G979" i="5"/>
  <c r="G974" i="5"/>
  <c r="G972" i="5"/>
  <c r="G967" i="5"/>
  <c r="G966" i="5"/>
  <c r="G965" i="5"/>
  <c r="G960" i="5"/>
  <c r="G959" i="5"/>
  <c r="G958" i="5"/>
  <c r="G954" i="5"/>
  <c r="G953" i="5"/>
  <c r="G952" i="5"/>
  <c r="G948" i="5"/>
  <c r="G946" i="5"/>
  <c r="G939" i="5"/>
  <c r="G938" i="5"/>
  <c r="G937" i="5"/>
  <c r="G930" i="5"/>
  <c r="G929" i="5"/>
  <c r="G928" i="5"/>
  <c r="G923" i="5"/>
  <c r="G921" i="5"/>
  <c r="G914" i="5"/>
  <c r="G912" i="5"/>
  <c r="G908" i="5"/>
  <c r="G907" i="5"/>
  <c r="G906" i="5"/>
  <c r="G904" i="5"/>
  <c r="G903" i="5"/>
  <c r="G902" i="5"/>
  <c r="G897" i="5"/>
  <c r="G895" i="5"/>
  <c r="G892" i="5"/>
  <c r="G891" i="5"/>
  <c r="G890" i="5"/>
  <c r="G884" i="5"/>
  <c r="G882" i="5"/>
  <c r="G876" i="5"/>
  <c r="G875" i="5"/>
  <c r="G874" i="5"/>
  <c r="G873" i="5"/>
  <c r="G872" i="5"/>
  <c r="G868" i="5"/>
  <c r="G867" i="5"/>
  <c r="G866" i="5"/>
  <c r="G863" i="5"/>
  <c r="G862" i="5"/>
  <c r="G861" i="5"/>
  <c r="G857" i="5"/>
  <c r="G856" i="5"/>
  <c r="G855" i="5"/>
  <c r="G851" i="5"/>
  <c r="G850" i="5"/>
  <c r="G849" i="5"/>
  <c r="G846" i="5"/>
  <c r="G845" i="5"/>
  <c r="G844" i="5"/>
  <c r="G840" i="5"/>
  <c r="G839" i="5"/>
  <c r="G838" i="5"/>
  <c r="G833" i="5"/>
  <c r="G831" i="5"/>
  <c r="G828" i="5"/>
  <c r="G827" i="5"/>
  <c r="G826" i="5"/>
  <c r="G824" i="5"/>
  <c r="G822" i="5"/>
  <c r="G819" i="5"/>
  <c r="G818" i="5"/>
  <c r="G817" i="5"/>
  <c r="G815" i="5"/>
  <c r="G814" i="5"/>
  <c r="G813" i="5"/>
  <c r="G805" i="5"/>
  <c r="G804" i="5"/>
  <c r="G803" i="5"/>
  <c r="G791" i="5"/>
  <c r="G789" i="5"/>
  <c r="G784" i="5"/>
  <c r="G783" i="5"/>
  <c r="G782" i="5"/>
  <c r="G773" i="5"/>
  <c r="G772" i="5"/>
  <c r="G771" i="5"/>
  <c r="G767" i="5"/>
  <c r="G766" i="5"/>
  <c r="G765" i="5"/>
  <c r="G756" i="5"/>
  <c r="G755" i="5"/>
  <c r="G754" i="5"/>
  <c r="G749" i="5"/>
  <c r="G748" i="5"/>
  <c r="G747" i="5"/>
  <c r="G745" i="5"/>
  <c r="G744" i="5"/>
  <c r="G743" i="5"/>
  <c r="G737" i="5"/>
  <c r="G735" i="5"/>
  <c r="G731" i="5"/>
  <c r="G729" i="5"/>
  <c r="G724" i="5"/>
  <c r="G722" i="5"/>
  <c r="G715" i="5"/>
  <c r="G713" i="5"/>
  <c r="G705" i="5"/>
  <c r="G704" i="5"/>
  <c r="G703" i="5"/>
  <c r="G697" i="5"/>
  <c r="G696" i="5"/>
  <c r="G695" i="5"/>
  <c r="G687" i="5"/>
  <c r="G686" i="5"/>
  <c r="G685" i="5"/>
  <c r="G677" i="5"/>
  <c r="G675" i="5"/>
  <c r="G669" i="5"/>
  <c r="G667" i="5"/>
  <c r="G665" i="5"/>
  <c r="G664" i="5"/>
  <c r="G663" i="5"/>
  <c r="G661" i="5"/>
  <c r="G660" i="5"/>
  <c r="G659" i="5"/>
  <c r="G657" i="5"/>
  <c r="G656" i="5"/>
  <c r="G655" i="5"/>
  <c r="G653" i="5"/>
  <c r="G652" i="5"/>
  <c r="G651" i="5"/>
  <c r="G649" i="5"/>
  <c r="G648" i="5"/>
  <c r="G647" i="5"/>
  <c r="G645" i="5"/>
  <c r="G644" i="5"/>
  <c r="G643" i="5"/>
  <c r="G638" i="5"/>
  <c r="G637" i="5"/>
  <c r="G636" i="5"/>
  <c r="G630" i="5"/>
  <c r="G628" i="5"/>
  <c r="G622" i="5"/>
  <c r="G621" i="5"/>
  <c r="G620" i="5"/>
  <c r="G616" i="5"/>
  <c r="G615" i="5"/>
  <c r="G614" i="5"/>
  <c r="G613" i="5"/>
  <c r="G612" i="5"/>
  <c r="G607" i="5"/>
  <c r="G605" i="5"/>
  <c r="G604" i="5"/>
  <c r="G603" i="5"/>
  <c r="G597" i="5"/>
  <c r="G595" i="5"/>
  <c r="G589" i="5"/>
  <c r="G588" i="5"/>
  <c r="G587" i="5"/>
  <c r="G586" i="5"/>
  <c r="G585" i="5"/>
  <c r="G580" i="5"/>
  <c r="G579" i="5"/>
  <c r="G578" i="5"/>
  <c r="G577" i="5"/>
  <c r="G576" i="5"/>
  <c r="G570" i="5"/>
  <c r="G568" i="5"/>
  <c r="G562" i="5"/>
  <c r="G561" i="5"/>
  <c r="G560" i="5"/>
  <c r="G554" i="5"/>
  <c r="G553" i="5"/>
  <c r="G552" i="5"/>
  <c r="G546" i="5"/>
  <c r="G544" i="5"/>
  <c r="G538" i="5"/>
  <c r="G537" i="5"/>
  <c r="G536" i="5"/>
  <c r="G532" i="5"/>
  <c r="G531" i="5"/>
  <c r="G530" i="5"/>
  <c r="G525" i="5"/>
  <c r="G523" i="5"/>
  <c r="G518" i="5"/>
  <c r="G517" i="5"/>
  <c r="G516" i="5"/>
  <c r="G512" i="5"/>
  <c r="G510" i="5"/>
  <c r="G505" i="5"/>
  <c r="G504" i="5"/>
  <c r="G503" i="5"/>
  <c r="G498" i="5"/>
  <c r="G497" i="5"/>
  <c r="G496" i="5"/>
  <c r="G495" i="5"/>
  <c r="G494" i="5"/>
  <c r="G493" i="5"/>
  <c r="G490" i="5"/>
  <c r="G488" i="5"/>
  <c r="G484" i="5"/>
  <c r="G483" i="5"/>
  <c r="G482" i="5"/>
  <c r="G481" i="5"/>
  <c r="G480" i="5"/>
  <c r="G479" i="5"/>
  <c r="G478" i="5"/>
  <c r="G472" i="5"/>
  <c r="G471" i="5"/>
  <c r="G470" i="5"/>
  <c r="G465" i="5"/>
  <c r="G463" i="5"/>
  <c r="G462" i="5"/>
  <c r="G461" i="5"/>
  <c r="G460" i="5"/>
  <c r="G455" i="5"/>
  <c r="G454" i="5"/>
  <c r="G453" i="5"/>
  <c r="G452" i="5"/>
  <c r="G451" i="5"/>
  <c r="G447" i="5"/>
  <c r="G446" i="5"/>
  <c r="G445" i="5"/>
  <c r="G441" i="5"/>
  <c r="G439" i="5"/>
  <c r="G435" i="5"/>
  <c r="G433" i="5"/>
  <c r="G423" i="5"/>
  <c r="G422" i="5"/>
  <c r="G421" i="5"/>
  <c r="G416" i="5"/>
  <c r="G415" i="5"/>
  <c r="G414" i="5"/>
  <c r="G402" i="5"/>
  <c r="G401" i="5"/>
  <c r="G400" i="5"/>
  <c r="G395" i="5"/>
  <c r="G394" i="5"/>
  <c r="G393" i="5"/>
  <c r="G381" i="5"/>
  <c r="G380" i="5"/>
  <c r="G379" i="5"/>
  <c r="G372" i="5"/>
  <c r="G371" i="5"/>
  <c r="G370" i="5"/>
  <c r="G366" i="5"/>
  <c r="G365" i="5"/>
  <c r="G364" i="5"/>
  <c r="G363" i="5"/>
  <c r="G362" i="5"/>
  <c r="G352" i="5"/>
  <c r="G351" i="5"/>
  <c r="G350" i="5"/>
  <c r="G342" i="5"/>
  <c r="G341" i="5"/>
  <c r="G340" i="5"/>
  <c r="G327" i="5"/>
  <c r="G326" i="5"/>
  <c r="G325" i="5"/>
  <c r="G321" i="5"/>
  <c r="G320" i="5"/>
  <c r="G319" i="5"/>
  <c r="G318" i="5"/>
  <c r="G317" i="5"/>
  <c r="G306" i="5"/>
  <c r="G305" i="5"/>
  <c r="G304" i="5"/>
  <c r="G303" i="5"/>
  <c r="G302" i="5"/>
  <c r="G291" i="5"/>
  <c r="G290" i="5"/>
  <c r="G289" i="5"/>
  <c r="G284" i="5"/>
  <c r="G283" i="5"/>
  <c r="G282" i="5"/>
  <c r="G277" i="5"/>
  <c r="G275" i="5"/>
  <c r="G269" i="5"/>
  <c r="G268" i="5"/>
  <c r="G267" i="5"/>
  <c r="G264" i="5"/>
  <c r="G263" i="5"/>
  <c r="G262" i="5"/>
  <c r="G249" i="5"/>
  <c r="G248" i="5"/>
  <c r="G247" i="5"/>
  <c r="G241" i="5"/>
  <c r="G240" i="5"/>
  <c r="G239" i="5"/>
  <c r="G237" i="5"/>
  <c r="G236" i="5"/>
  <c r="G235" i="5"/>
  <c r="G233" i="5"/>
  <c r="G231" i="5"/>
  <c r="G229" i="5"/>
  <c r="G228" i="5"/>
  <c r="G227" i="5"/>
  <c r="G225" i="5"/>
  <c r="G224" i="5"/>
  <c r="G223" i="5"/>
  <c r="G220" i="5"/>
  <c r="G218" i="5"/>
  <c r="G215" i="5"/>
  <c r="G214" i="5"/>
  <c r="G213" i="5"/>
  <c r="G211" i="5"/>
  <c r="G210" i="5"/>
  <c r="G209" i="5"/>
  <c r="G206" i="5"/>
  <c r="G205" i="5"/>
  <c r="G204" i="5"/>
  <c r="G202" i="5"/>
  <c r="G201" i="5"/>
  <c r="G200" i="5"/>
  <c r="G198" i="5"/>
  <c r="G197" i="5"/>
  <c r="G196" i="5"/>
  <c r="G191" i="5"/>
  <c r="G190" i="5"/>
  <c r="G189" i="5"/>
  <c r="G188" i="5"/>
  <c r="G187" i="5"/>
  <c r="G184" i="5"/>
  <c r="G182" i="5"/>
  <c r="G180" i="5"/>
  <c r="G179" i="5"/>
  <c r="G178" i="5"/>
  <c r="G176" i="5"/>
  <c r="G175" i="5"/>
  <c r="G174" i="5"/>
  <c r="G172" i="5"/>
  <c r="G171" i="5"/>
  <c r="G170" i="5"/>
  <c r="G167" i="5"/>
  <c r="G166" i="5"/>
  <c r="G165" i="5"/>
  <c r="G162" i="5"/>
  <c r="G160" i="5"/>
  <c r="G159" i="5"/>
  <c r="G158" i="5"/>
  <c r="G155" i="5"/>
  <c r="G154" i="5"/>
  <c r="G153" i="5"/>
  <c r="G150" i="5"/>
  <c r="G148" i="5"/>
  <c r="G145" i="5"/>
  <c r="G144" i="5"/>
  <c r="G143" i="5"/>
  <c r="G140" i="5"/>
  <c r="G139" i="5"/>
  <c r="G138" i="5"/>
  <c r="G136" i="5"/>
  <c r="G135" i="5"/>
  <c r="G134" i="5"/>
  <c r="G132" i="5"/>
  <c r="G131" i="5"/>
  <c r="G130" i="5"/>
  <c r="G127" i="5"/>
  <c r="G126" i="5"/>
  <c r="G125" i="5"/>
  <c r="G122" i="5"/>
  <c r="G121" i="5"/>
  <c r="G120" i="5"/>
  <c r="G117" i="5"/>
  <c r="G116" i="5"/>
  <c r="G115" i="5"/>
  <c r="G112" i="5"/>
  <c r="G111" i="5"/>
  <c r="G110" i="5"/>
  <c r="G107" i="5"/>
  <c r="G106" i="5"/>
  <c r="G105" i="5"/>
  <c r="G103" i="5"/>
  <c r="G102" i="5"/>
  <c r="G101" i="5"/>
  <c r="G98" i="5"/>
  <c r="G97" i="5"/>
  <c r="G96" i="5"/>
  <c r="G93" i="5"/>
  <c r="G92" i="5"/>
  <c r="G91" i="5"/>
  <c r="G88" i="5"/>
  <c r="G87" i="5"/>
  <c r="G86" i="5"/>
  <c r="G83" i="5"/>
  <c r="G82" i="5"/>
  <c r="G81" i="5"/>
  <c r="G78" i="5"/>
  <c r="G77" i="5"/>
  <c r="G76" i="5"/>
  <c r="G70" i="5"/>
  <c r="G68" i="5"/>
  <c r="G65" i="5"/>
  <c r="G64" i="5"/>
  <c r="G63" i="5"/>
  <c r="G60" i="5"/>
  <c r="G59" i="5"/>
  <c r="G58" i="5"/>
  <c r="G53" i="5"/>
  <c r="G51" i="5"/>
  <c r="G48" i="5"/>
  <c r="G47" i="5"/>
  <c r="G46" i="5"/>
  <c r="G43" i="5"/>
  <c r="G41" i="5"/>
  <c r="G38" i="5"/>
  <c r="G36" i="5"/>
  <c r="G34" i="5"/>
  <c r="G33" i="5"/>
  <c r="G32" i="5"/>
  <c r="G29" i="5"/>
  <c r="G28" i="5"/>
  <c r="G27" i="5"/>
  <c r="G24" i="5"/>
  <c r="G23" i="5"/>
  <c r="G22" i="5"/>
  <c r="G19" i="5"/>
  <c r="G18" i="5"/>
  <c r="G17" i="5"/>
  <c r="G15" i="5"/>
  <c r="G14" i="5"/>
  <c r="G13" i="5"/>
  <c r="G11" i="5"/>
  <c r="G9" i="5"/>
  <c r="G7" i="5"/>
  <c r="G6" i="5"/>
  <c r="F250" i="6"/>
  <c r="F78" i="6"/>
  <c r="F12" i="7"/>
  <c r="F304" i="6"/>
  <c r="F77" i="6"/>
  <c r="F68" i="6"/>
  <c r="F153" i="6"/>
  <c r="F187" i="6"/>
  <c r="F202" i="6"/>
  <c r="F203" i="6"/>
  <c r="F268" i="6"/>
  <c r="F286" i="6"/>
  <c r="F6" i="7"/>
  <c r="F11" i="7"/>
  <c r="F17" i="7"/>
  <c r="F310" i="6"/>
  <c r="F37" i="6"/>
  <c r="F62" i="6"/>
  <c r="F181" i="6"/>
  <c r="F295" i="6"/>
  <c r="F339" i="6"/>
  <c r="F24" i="7"/>
  <c r="F306" i="6"/>
  <c r="F28" i="6"/>
  <c r="F76" i="6"/>
  <c r="F113" i="6"/>
  <c r="F185" i="6"/>
  <c r="F206" i="6"/>
  <c r="F214" i="6"/>
  <c r="F219" i="6"/>
  <c r="F240" i="6"/>
  <c r="F35" i="7"/>
  <c r="F237" i="6"/>
  <c r="F252" i="6"/>
  <c r="F254" i="6"/>
  <c r="F287" i="6"/>
  <c r="F238" i="6"/>
  <c r="F305" i="6"/>
  <c r="F312" i="6"/>
  <c r="F27" i="6"/>
  <c r="F47" i="6"/>
  <c r="F130" i="6"/>
  <c r="F154" i="6"/>
  <c r="F167" i="6"/>
  <c r="F198" i="6"/>
  <c r="F336" i="6"/>
  <c r="F111" i="6"/>
  <c r="F124" i="6"/>
  <c r="F350" i="6"/>
  <c r="F7" i="7"/>
  <c r="F25" i="7"/>
  <c r="F10" i="7"/>
  <c r="F16" i="7"/>
  <c r="F349" i="6"/>
  <c r="F33" i="7"/>
  <c r="F7" i="6"/>
  <c r="F70" i="6"/>
  <c r="F107" i="6"/>
  <c r="F117" i="6"/>
  <c r="F141" i="6"/>
  <c r="F168" i="6"/>
  <c r="F186" i="6"/>
  <c r="F192" i="6"/>
  <c r="F216" i="6"/>
  <c r="F220" i="6"/>
  <c r="F15" i="6"/>
  <c r="F17" i="6"/>
  <c r="F94" i="6"/>
  <c r="F48" i="6"/>
  <c r="F193" i="6"/>
  <c r="F61" i="6"/>
  <c r="F93" i="6"/>
  <c r="F197" i="6"/>
  <c r="F285" i="6"/>
  <c r="F325" i="6"/>
  <c r="F326" i="6"/>
  <c r="F337" i="6"/>
  <c r="F340" i="6"/>
  <c r="F267" i="6"/>
  <c r="F236" i="6"/>
  <c r="F269" i="6"/>
  <c r="F296" i="6"/>
  <c r="F322" i="6"/>
  <c r="F239" i="6"/>
  <c r="F338" i="6"/>
  <c r="F348" i="6"/>
  <c r="F103" i="6"/>
  <c r="F104" i="6"/>
  <c r="F105" i="6"/>
  <c r="F118" i="6"/>
  <c r="F119" i="6"/>
  <c r="F16" i="6"/>
  <c r="F21" i="6"/>
  <c r="F22" i="6"/>
  <c r="F97" i="6"/>
  <c r="F125" i="6"/>
  <c r="F142" i="6"/>
  <c r="F143" i="6"/>
  <c r="F135" i="6"/>
  <c r="F136" i="6"/>
  <c r="F137" i="6"/>
  <c r="F199" i="6"/>
  <c r="F207" i="6"/>
  <c r="F215" i="6"/>
  <c r="F253" i="6"/>
  <c r="F251" i="6"/>
  <c r="F224" i="6"/>
  <c r="F226" i="6"/>
  <c r="F265" i="6"/>
  <c r="F225" i="6"/>
  <c r="F275" i="6"/>
  <c r="F266" i="6"/>
  <c r="F277" i="6"/>
  <c r="F276" i="6"/>
  <c r="F278" i="6"/>
  <c r="F279" i="6"/>
  <c r="F351" i="6"/>
  <c r="F352" i="6"/>
  <c r="F364" i="6"/>
  <c r="G832" i="5"/>
  <c r="G434" i="5"/>
  <c r="G440" i="5"/>
  <c r="G3313" i="5"/>
  <c r="G947" i="5"/>
  <c r="G3306" i="5"/>
  <c r="G730" i="5"/>
  <c r="G1317" i="5"/>
  <c r="G2281" i="5"/>
  <c r="G10" i="5"/>
  <c r="G823" i="5"/>
  <c r="G149" i="5"/>
  <c r="G183" i="5"/>
  <c r="G569" i="5"/>
  <c r="G723" i="5"/>
  <c r="G883" i="5"/>
  <c r="G896" i="5"/>
  <c r="G913" i="5"/>
  <c r="G1012" i="5"/>
  <c r="G1052" i="5"/>
  <c r="G1059" i="5"/>
  <c r="G790" i="5"/>
  <c r="G2154" i="5"/>
  <c r="G3928" i="5"/>
  <c r="G3278" i="5"/>
  <c r="G3702" i="5"/>
  <c r="G3730" i="5"/>
  <c r="G4079" i="5"/>
  <c r="G4420" i="5"/>
  <c r="G3177" i="5"/>
  <c r="G3765" i="5"/>
  <c r="G4094" i="5"/>
  <c r="G4557" i="5"/>
  <c r="G668" i="5"/>
  <c r="G232" i="5"/>
  <c r="G676" i="5"/>
  <c r="G37" i="5"/>
  <c r="G714" i="5"/>
  <c r="G736" i="5"/>
  <c r="G2060" i="5"/>
  <c r="G2271" i="5"/>
  <c r="G1259" i="5"/>
  <c r="G1341" i="5"/>
  <c r="G464" i="5"/>
  <c r="G922" i="5"/>
  <c r="G973" i="5"/>
  <c r="G1179" i="5"/>
  <c r="G2186" i="5"/>
  <c r="G2412" i="5"/>
  <c r="G606" i="5"/>
  <c r="G980" i="5"/>
  <c r="G3726" i="5"/>
  <c r="G4043" i="5"/>
  <c r="G3416" i="5"/>
  <c r="G3616" i="5"/>
  <c r="G219" i="5"/>
  <c r="G489" i="5"/>
  <c r="G596" i="5"/>
  <c r="G69" i="5"/>
  <c r="G161" i="5"/>
  <c r="G276" i="5"/>
  <c r="G511" i="5"/>
  <c r="G524" i="5"/>
  <c r="G545" i="5"/>
  <c r="G629" i="5"/>
  <c r="G2028" i="5"/>
  <c r="G2178" i="5"/>
  <c r="G3207" i="5"/>
  <c r="G3667" i="5"/>
  <c r="G3849" i="5"/>
  <c r="G4124" i="5"/>
  <c r="G3402" i="5"/>
  <c r="G3166" i="5"/>
  <c r="G3334" i="5"/>
  <c r="G3381" i="5"/>
  <c r="G3910" i="5"/>
  <c r="G3285" i="5"/>
  <c r="G3868" i="5"/>
  <c r="G3903" i="5"/>
  <c r="G4643" i="5"/>
  <c r="G42" i="5"/>
  <c r="G52" i="5"/>
  <c r="G1778" i="5"/>
  <c r="G1806" i="5"/>
  <c r="G1629" i="5"/>
  <c r="G1640" i="5"/>
  <c r="G1971" i="5"/>
  <c r="G1986" i="5"/>
  <c r="G2001" i="5"/>
  <c r="G2044" i="5"/>
  <c r="G2076" i="5"/>
  <c r="G2108" i="5"/>
  <c r="G2122" i="5"/>
  <c r="G2140" i="5"/>
  <c r="G2652" i="5"/>
  <c r="G3970" i="5"/>
  <c r="G3129" i="8"/>
  <c r="G3139" i="8"/>
  <c r="G3135" i="8"/>
  <c r="G3138" i="8"/>
  <c r="G3134" i="8"/>
  <c r="G3130" i="8"/>
  <c r="H3139" i="8"/>
  <c r="H3138" i="8"/>
  <c r="G3126" i="8"/>
  <c r="G3122" i="8"/>
  <c r="G3125" i="8"/>
  <c r="G3121" i="8"/>
  <c r="G3128" i="8"/>
  <c r="G3124" i="8"/>
  <c r="G3120" i="8"/>
  <c r="G3127" i="8"/>
  <c r="G3123" i="8"/>
  <c r="G3106" i="8"/>
  <c r="G3079" i="8"/>
  <c r="G3074" i="8"/>
  <c r="G3069" i="8"/>
  <c r="G3055" i="8"/>
  <c r="G2998" i="8"/>
  <c r="G2970" i="8"/>
  <c r="G2960" i="8"/>
  <c r="G2956" i="8"/>
  <c r="G2951" i="8"/>
  <c r="G2913" i="8"/>
  <c r="G2851" i="8"/>
  <c r="G2842" i="8"/>
  <c r="G2837" i="8"/>
  <c r="G3119" i="8"/>
  <c r="G3113" i="8"/>
  <c r="G3103" i="8"/>
  <c r="G3087" i="8"/>
  <c r="G3082" i="8"/>
  <c r="G3067" i="8"/>
  <c r="G3057" i="8"/>
  <c r="G3015" i="8"/>
  <c r="G3010" i="8"/>
  <c r="G2977" i="8"/>
  <c r="G2958" i="8"/>
  <c r="G2944" i="8"/>
  <c r="G2925" i="8"/>
  <c r="G2915" i="8"/>
  <c r="G2863" i="8"/>
  <c r="G2849" i="8"/>
  <c r="G2840" i="8"/>
  <c r="G3108" i="8"/>
  <c r="G3102" i="8"/>
  <c r="G3081" i="8"/>
  <c r="G3076" i="8"/>
  <c r="G3071" i="8"/>
  <c r="G3062" i="8"/>
  <c r="G3005" i="8"/>
  <c r="G3000" i="8"/>
  <c r="G2986" i="8"/>
  <c r="G2976" i="8"/>
  <c r="G2972" i="8"/>
  <c r="G2967" i="8"/>
  <c r="G2962" i="8"/>
  <c r="G2957" i="8"/>
  <c r="G2953" i="8"/>
  <c r="G2943" i="8"/>
  <c r="G2920" i="8"/>
  <c r="G2867" i="8"/>
  <c r="G2844" i="8"/>
  <c r="G2839" i="8"/>
  <c r="G2834" i="8"/>
  <c r="G3112" i="8"/>
  <c r="G3080" i="8"/>
  <c r="G3066" i="8"/>
  <c r="G3060" i="8"/>
  <c r="G2988" i="8"/>
  <c r="G2968" i="8"/>
  <c r="G2947" i="8"/>
  <c r="G2941" i="8"/>
  <c r="G2935" i="8"/>
  <c r="G2848" i="8"/>
  <c r="G2835" i="8"/>
  <c r="G2811" i="8"/>
  <c r="G2807" i="8"/>
  <c r="G2803" i="8"/>
  <c r="G2799" i="8"/>
  <c r="G2795" i="8"/>
  <c r="G2791" i="8"/>
  <c r="G2787" i="8"/>
  <c r="G2779" i="8"/>
  <c r="G2775" i="8"/>
  <c r="G2771" i="8"/>
  <c r="G2767" i="8"/>
  <c r="G2763" i="8"/>
  <c r="G2759" i="8"/>
  <c r="G2755" i="8"/>
  <c r="G2751" i="8"/>
  <c r="G2743" i="8"/>
  <c r="G2739" i="8"/>
  <c r="G2731" i="8"/>
  <c r="G2727" i="8"/>
  <c r="G2723" i="8"/>
  <c r="G2719" i="8"/>
  <c r="G3006" i="8"/>
  <c r="G2999" i="8"/>
  <c r="G2987" i="8"/>
  <c r="G2974" i="8"/>
  <c r="G2966" i="8"/>
  <c r="G2961" i="8"/>
  <c r="G2954" i="8"/>
  <c r="G2928" i="8"/>
  <c r="G2922" i="8"/>
  <c r="G2916" i="8"/>
  <c r="G2865" i="8"/>
  <c r="G2847" i="8"/>
  <c r="G3111" i="8"/>
  <c r="G3104" i="8"/>
  <c r="G3088" i="8"/>
  <c r="G3072" i="8"/>
  <c r="G3065" i="8"/>
  <c r="G3059" i="8"/>
  <c r="G3118" i="8"/>
  <c r="G3110" i="8"/>
  <c r="G3086" i="8"/>
  <c r="G3078" i="8"/>
  <c r="G3058" i="8"/>
  <c r="G2973" i="8"/>
  <c r="G2965" i="8"/>
  <c r="G2852" i="8"/>
  <c r="G2841" i="8"/>
  <c r="G2810" i="8"/>
  <c r="G2802" i="8"/>
  <c r="G2798" i="8"/>
  <c r="G2794" i="8"/>
  <c r="G2790" i="8"/>
  <c r="G2786" i="8"/>
  <c r="G2782" i="8"/>
  <c r="G2778" i="8"/>
  <c r="G2774" i="8"/>
  <c r="G2770" i="8"/>
  <c r="G2766" i="8"/>
  <c r="G2762" i="8"/>
  <c r="G2758" i="8"/>
  <c r="G2754" i="8"/>
  <c r="G2746" i="8"/>
  <c r="G2738" i="8"/>
  <c r="G2734" i="8"/>
  <c r="G2730" i="8"/>
  <c r="G2726" i="8"/>
  <c r="G2718" i="8"/>
  <c r="G2918" i="8"/>
  <c r="G2888" i="8"/>
  <c r="G2862" i="8"/>
  <c r="G2850" i="8"/>
  <c r="G2845" i="8"/>
  <c r="G2826" i="8"/>
  <c r="G3085" i="8"/>
  <c r="G3077" i="8"/>
  <c r="G3070" i="8"/>
  <c r="G3064" i="8"/>
  <c r="G2997" i="8"/>
  <c r="G2959" i="8"/>
  <c r="G2952" i="8"/>
  <c r="G2921" i="8"/>
  <c r="G2914" i="8"/>
  <c r="G2889" i="8"/>
  <c r="G2864" i="8"/>
  <c r="G2846" i="8"/>
  <c r="G2827" i="8"/>
  <c r="G3109" i="8"/>
  <c r="G3099" i="8"/>
  <c r="G3084" i="8"/>
  <c r="G3023" i="8"/>
  <c r="G3017" i="8"/>
  <c r="G2971" i="8"/>
  <c r="G2919" i="8"/>
  <c r="G2838" i="8"/>
  <c r="G2809" i="8"/>
  <c r="G2805" i="8"/>
  <c r="G2801" i="8"/>
  <c r="G2797" i="8"/>
  <c r="G2793" i="8"/>
  <c r="G2785" i="8"/>
  <c r="G2781" i="8"/>
  <c r="G2777" i="8"/>
  <c r="G2773" i="8"/>
  <c r="G2769" i="8"/>
  <c r="G2761" i="8"/>
  <c r="G2749" i="8"/>
  <c r="G2745" i="8"/>
  <c r="G2741" i="8"/>
  <c r="G2737" i="8"/>
  <c r="G2733" i="8"/>
  <c r="G2721" i="8"/>
  <c r="G2717" i="8"/>
  <c r="G3107" i="8"/>
  <c r="G3083" i="8"/>
  <c r="G3068" i="8"/>
  <c r="G3063" i="8"/>
  <c r="G3056" i="8"/>
  <c r="G2989" i="8"/>
  <c r="G2964" i="8"/>
  <c r="G2950" i="8"/>
  <c r="G3009" i="8"/>
  <c r="G3115" i="8"/>
  <c r="G3075" i="8"/>
  <c r="G3016" i="8"/>
  <c r="G3008" i="8"/>
  <c r="G2983" i="8"/>
  <c r="G2963" i="8"/>
  <c r="G2949" i="8"/>
  <c r="G2942" i="8"/>
  <c r="G2856" i="8"/>
  <c r="G2808" i="8"/>
  <c r="G2804" i="8"/>
  <c r="G2800" i="8"/>
  <c r="G2796" i="8"/>
  <c r="G2792" i="8"/>
  <c r="G2788" i="8"/>
  <c r="G2784" i="8"/>
  <c r="G2780" i="8"/>
  <c r="G2776" i="8"/>
  <c r="G2772" i="8"/>
  <c r="G2768" i="8"/>
  <c r="G2764" i="8"/>
  <c r="G2760" i="8"/>
  <c r="G2756" i="8"/>
  <c r="G2732" i="8"/>
  <c r="G2728" i="8"/>
  <c r="G2720" i="8"/>
  <c r="G2716" i="8"/>
  <c r="G3021" i="8"/>
  <c r="G3007" i="8"/>
  <c r="G2969" i="8"/>
  <c r="G2917" i="8"/>
  <c r="G2866" i="8"/>
  <c r="G2843" i="8"/>
  <c r="G2836" i="8"/>
  <c r="G3114" i="8"/>
  <c r="G3105" i="8"/>
  <c r="G3073" i="8"/>
  <c r="G3061" i="8"/>
  <c r="G3054" i="8"/>
  <c r="G2955" i="8"/>
  <c r="G5198" i="5"/>
  <c r="G2700" i="8"/>
  <c r="G2704" i="8"/>
  <c r="G2701" i="8"/>
  <c r="G2705" i="8"/>
  <c r="G2698" i="8"/>
  <c r="G2702" i="8"/>
  <c r="G2699" i="8"/>
  <c r="G2703" i="8"/>
  <c r="H1372" i="8"/>
  <c r="H1369" i="8"/>
  <c r="H1377" i="8"/>
  <c r="H1383" i="8"/>
  <c r="H1386" i="8"/>
  <c r="G2690" i="8"/>
  <c r="G2682" i="8"/>
  <c r="G2693" i="8"/>
  <c r="G2689" i="8"/>
  <c r="G2692" i="8"/>
  <c r="G2688" i="8"/>
  <c r="G2691" i="8"/>
  <c r="G2680" i="8"/>
  <c r="G2676" i="8"/>
  <c r="G2672" i="8"/>
  <c r="G2668" i="8"/>
  <c r="G2664" i="8"/>
  <c r="G2660" i="8"/>
  <c r="G2656" i="8"/>
  <c r="G2652" i="8"/>
  <c r="G2648" i="8"/>
  <c r="G2644" i="8"/>
  <c r="G2640" i="8"/>
  <c r="G2636" i="8"/>
  <c r="G2632" i="8"/>
  <c r="G2628" i="8"/>
  <c r="G2624" i="8"/>
  <c r="G2679" i="8"/>
  <c r="G2675" i="8"/>
  <c r="G2671" i="8"/>
  <c r="G2610" i="8"/>
  <c r="G2667" i="8"/>
  <c r="G2663" i="8"/>
  <c r="G2659" i="8"/>
  <c r="G2655" i="8"/>
  <c r="G2651" i="8"/>
  <c r="G2647" i="8"/>
  <c r="G2643" i="8"/>
  <c r="G2639" i="8"/>
  <c r="G2635" i="8"/>
  <c r="G2631" i="8"/>
  <c r="G2627" i="8"/>
  <c r="G2678" i="8"/>
  <c r="G2674" i="8"/>
  <c r="G2670" i="8"/>
  <c r="G2666" i="8"/>
  <c r="G2662" i="8"/>
  <c r="G2658" i="8"/>
  <c r="G2654" i="8"/>
  <c r="G2650" i="8"/>
  <c r="G2646" i="8"/>
  <c r="G2642" i="8"/>
  <c r="G2638" i="8"/>
  <c r="G2634" i="8"/>
  <c r="G2630" i="8"/>
  <c r="G2626" i="8"/>
  <c r="G2681" i="8"/>
  <c r="G2677" i="8"/>
  <c r="G2673" i="8"/>
  <c r="G2669" i="8"/>
  <c r="G2665" i="8"/>
  <c r="G2661" i="8"/>
  <c r="G2657" i="8"/>
  <c r="G2653" i="8"/>
  <c r="G2649" i="8"/>
  <c r="G2645" i="8"/>
  <c r="G2641" i="8"/>
  <c r="G2637" i="8"/>
  <c r="G2633" i="8"/>
  <c r="G2629" i="8"/>
  <c r="G2625" i="8"/>
  <c r="G1369" i="8"/>
  <c r="G1377" i="8"/>
  <c r="G1372" i="8"/>
  <c r="G2594" i="8"/>
  <c r="G2590" i="8"/>
  <c r="G2586" i="8"/>
  <c r="G2582" i="8"/>
  <c r="G2578" i="8"/>
  <c r="G2574" i="8"/>
  <c r="G2570" i="8"/>
  <c r="G2566" i="8"/>
  <c r="G2562" i="8"/>
  <c r="G2558" i="8"/>
  <c r="G2554" i="8"/>
  <c r="G2550" i="8"/>
  <c r="G2546" i="8"/>
  <c r="G2542" i="8"/>
  <c r="G2538" i="8"/>
  <c r="G2534" i="8"/>
  <c r="G2530" i="8"/>
  <c r="G2526" i="8"/>
  <c r="G2522" i="8"/>
  <c r="G2518" i="8"/>
  <c r="G2514" i="8"/>
  <c r="G2510" i="8"/>
  <c r="G2506" i="8"/>
  <c r="G2502" i="8"/>
  <c r="G2498" i="8"/>
  <c r="G2494" i="8"/>
  <c r="G2490" i="8"/>
  <c r="G2486" i="8"/>
  <c r="G2482" i="8"/>
  <c r="G2478" i="8"/>
  <c r="G2474" i="8"/>
  <c r="G2470" i="8"/>
  <c r="G2466" i="8"/>
  <c r="G2462" i="8"/>
  <c r="G2458" i="8"/>
  <c r="G2454" i="8"/>
  <c r="G2450" i="8"/>
  <c r="G2446" i="8"/>
  <c r="G2442" i="8"/>
  <c r="G2438" i="8"/>
  <c r="G2434" i="8"/>
  <c r="G2430" i="8"/>
  <c r="G2426" i="8"/>
  <c r="G2422" i="8"/>
  <c r="G2418" i="8"/>
  <c r="G2414" i="8"/>
  <c r="G2410" i="8"/>
  <c r="G2406" i="8"/>
  <c r="G2402" i="8"/>
  <c r="G2398" i="8"/>
  <c r="G2390" i="8"/>
  <c r="G2386" i="8"/>
  <c r="G2382" i="8"/>
  <c r="G2378" i="8"/>
  <c r="G2374" i="8"/>
  <c r="G1373" i="8"/>
  <c r="G1383" i="8"/>
  <c r="G2585" i="8"/>
  <c r="G2576" i="8"/>
  <c r="G2567" i="8"/>
  <c r="G2553" i="8"/>
  <c r="G2544" i="8"/>
  <c r="G2535" i="8"/>
  <c r="G2521" i="8"/>
  <c r="G2512" i="8"/>
  <c r="G2503" i="8"/>
  <c r="G2489" i="8"/>
  <c r="G2480" i="8"/>
  <c r="G2471" i="8"/>
  <c r="G2457" i="8"/>
  <c r="G2448" i="8"/>
  <c r="G2439" i="8"/>
  <c r="G2425" i="8"/>
  <c r="G2416" i="8"/>
  <c r="G2407" i="8"/>
  <c r="G2393" i="8"/>
  <c r="G2375" i="8"/>
  <c r="G1376" i="8"/>
  <c r="G2621" i="8"/>
  <c r="G2589" i="8"/>
  <c r="G2580" i="8"/>
  <c r="G2571" i="8"/>
  <c r="G2557" i="8"/>
  <c r="G2548" i="8"/>
  <c r="G2539" i="8"/>
  <c r="G2525" i="8"/>
  <c r="G2516" i="8"/>
  <c r="G2507" i="8"/>
  <c r="G2493" i="8"/>
  <c r="G2484" i="8"/>
  <c r="G2475" i="8"/>
  <c r="G2461" i="8"/>
  <c r="G2452" i="8"/>
  <c r="G2443" i="8"/>
  <c r="G2429" i="8"/>
  <c r="G2420" i="8"/>
  <c r="G2411" i="8"/>
  <c r="G2397" i="8"/>
  <c r="G2388" i="8"/>
  <c r="G2379" i="8"/>
  <c r="G2370" i="8"/>
  <c r="G2366" i="8"/>
  <c r="G2362" i="8"/>
  <c r="G2358" i="8"/>
  <c r="G2354" i="8"/>
  <c r="G2350" i="8"/>
  <c r="G2346" i="8"/>
  <c r="G2342" i="8"/>
  <c r="G2338" i="8"/>
  <c r="G2330" i="8"/>
  <c r="G2326" i="8"/>
  <c r="G2322" i="8"/>
  <c r="G2318" i="8"/>
  <c r="G2314" i="8"/>
  <c r="G2310" i="8"/>
  <c r="G2306" i="8"/>
  <c r="G2302" i="8"/>
  <c r="G2298" i="8"/>
  <c r="G2294" i="8"/>
  <c r="G2286" i="8"/>
  <c r="G2282" i="8"/>
  <c r="G2278" i="8"/>
  <c r="G2274" i="8"/>
  <c r="G2270" i="8"/>
  <c r="G2266" i="8"/>
  <c r="G2262" i="8"/>
  <c r="G2258" i="8"/>
  <c r="G2254" i="8"/>
  <c r="G2250" i="8"/>
  <c r="G2246" i="8"/>
  <c r="G2242" i="8"/>
  <c r="G2238" i="8"/>
  <c r="G2234" i="8"/>
  <c r="G2230" i="8"/>
  <c r="G2226" i="8"/>
  <c r="G2222" i="8"/>
  <c r="G2214" i="8"/>
  <c r="G2210" i="8"/>
  <c r="G2206" i="8"/>
  <c r="G2202" i="8"/>
  <c r="G2198" i="8"/>
  <c r="G2194" i="8"/>
  <c r="G2190" i="8"/>
  <c r="G2186" i="8"/>
  <c r="G2182" i="8"/>
  <c r="G2178" i="8"/>
  <c r="G2174" i="8"/>
  <c r="G2170" i="8"/>
  <c r="G2166" i="8"/>
  <c r="G2162" i="8"/>
  <c r="G2158" i="8"/>
  <c r="G2154" i="8"/>
  <c r="G2150" i="8"/>
  <c r="G2146" i="8"/>
  <c r="G2142" i="8"/>
  <c r="G2138" i="8"/>
  <c r="G1362" i="8"/>
  <c r="G2584" i="8"/>
  <c r="G2575" i="8"/>
  <c r="G2561" i="8"/>
  <c r="G2552" i="8"/>
  <c r="G2543" i="8"/>
  <c r="G2529" i="8"/>
  <c r="G2520" i="8"/>
  <c r="G2511" i="8"/>
  <c r="G2497" i="8"/>
  <c r="G2488" i="8"/>
  <c r="G2479" i="8"/>
  <c r="G2465" i="8"/>
  <c r="G2456" i="8"/>
  <c r="G2447" i="8"/>
  <c r="G2433" i="8"/>
  <c r="G2424" i="8"/>
  <c r="G2415" i="8"/>
  <c r="G2401" i="8"/>
  <c r="G2392" i="8"/>
  <c r="G2383" i="8"/>
  <c r="G1379" i="8"/>
  <c r="G2588" i="8"/>
  <c r="G2579" i="8"/>
  <c r="G2565" i="8"/>
  <c r="G2556" i="8"/>
  <c r="G2547" i="8"/>
  <c r="G2533" i="8"/>
  <c r="G2524" i="8"/>
  <c r="G2515" i="8"/>
  <c r="G2501" i="8"/>
  <c r="G2492" i="8"/>
  <c r="G2483" i="8"/>
  <c r="G2469" i="8"/>
  <c r="G2460" i="8"/>
  <c r="G2451" i="8"/>
  <c r="G2437" i="8"/>
  <c r="G2428" i="8"/>
  <c r="G2592" i="8"/>
  <c r="G2583" i="8"/>
  <c r="G2569" i="8"/>
  <c r="G2560" i="8"/>
  <c r="G2551" i="8"/>
  <c r="G2537" i="8"/>
  <c r="G2528" i="8"/>
  <c r="G2519" i="8"/>
  <c r="G2505" i="8"/>
  <c r="G2496" i="8"/>
  <c r="G2487" i="8"/>
  <c r="G2473" i="8"/>
  <c r="G2464" i="8"/>
  <c r="G2455" i="8"/>
  <c r="G2441" i="8"/>
  <c r="G2432" i="8"/>
  <c r="G2423" i="8"/>
  <c r="G2409" i="8"/>
  <c r="G2400" i="8"/>
  <c r="G2391" i="8"/>
  <c r="G2377" i="8"/>
  <c r="G2587" i="8"/>
  <c r="G2573" i="8"/>
  <c r="G2564" i="8"/>
  <c r="G2555" i="8"/>
  <c r="G2541" i="8"/>
  <c r="G2532" i="8"/>
  <c r="G2523" i="8"/>
  <c r="G2509" i="8"/>
  <c r="G2500" i="8"/>
  <c r="G2491" i="8"/>
  <c r="G2477" i="8"/>
  <c r="G2468" i="8"/>
  <c r="G2459" i="8"/>
  <c r="G2445" i="8"/>
  <c r="G2436" i="8"/>
  <c r="G2427" i="8"/>
  <c r="G2413" i="8"/>
  <c r="G2404" i="8"/>
  <c r="G2395" i="8"/>
  <c r="G1370" i="8"/>
  <c r="G2591" i="8"/>
  <c r="G2577" i="8"/>
  <c r="G2568" i="8"/>
  <c r="G2559" i="8"/>
  <c r="G2545" i="8"/>
  <c r="G2536" i="8"/>
  <c r="G2527" i="8"/>
  <c r="G2513" i="8"/>
  <c r="G2495" i="8"/>
  <c r="G2481" i="8"/>
  <c r="G2472" i="8"/>
  <c r="G2463" i="8"/>
  <c r="G2449" i="8"/>
  <c r="G2440" i="8"/>
  <c r="G2431" i="8"/>
  <c r="G2417" i="8"/>
  <c r="G2408" i="8"/>
  <c r="G2399" i="8"/>
  <c r="G1371" i="8"/>
  <c r="G2581" i="8"/>
  <c r="G2572" i="8"/>
  <c r="G2563" i="8"/>
  <c r="G2549" i="8"/>
  <c r="G2540" i="8"/>
  <c r="G2531" i="8"/>
  <c r="G2517" i="8"/>
  <c r="G2508" i="8"/>
  <c r="G2499" i="8"/>
  <c r="G2485" i="8"/>
  <c r="G2476" i="8"/>
  <c r="G2467" i="8"/>
  <c r="G2453" i="8"/>
  <c r="G2444" i="8"/>
  <c r="G2435" i="8"/>
  <c r="G2421" i="8"/>
  <c r="G2387" i="8"/>
  <c r="G2381" i="8"/>
  <c r="G2361" i="8"/>
  <c r="G2352" i="8"/>
  <c r="G2343" i="8"/>
  <c r="G2329" i="8"/>
  <c r="G2320" i="8"/>
  <c r="G2311" i="8"/>
  <c r="G2297" i="8"/>
  <c r="G2288" i="8"/>
  <c r="G2279" i="8"/>
  <c r="G2265" i="8"/>
  <c r="G2256" i="8"/>
  <c r="G2247" i="8"/>
  <c r="G2233" i="8"/>
  <c r="G2224" i="8"/>
  <c r="G2215" i="8"/>
  <c r="G2201" i="8"/>
  <c r="G2192" i="8"/>
  <c r="G2183" i="8"/>
  <c r="G2169" i="8"/>
  <c r="G2160" i="8"/>
  <c r="G2151" i="8"/>
  <c r="G2365" i="8"/>
  <c r="G2356" i="8"/>
  <c r="G2347" i="8"/>
  <c r="G2324" i="8"/>
  <c r="G2301" i="8"/>
  <c r="G2292" i="8"/>
  <c r="G2283" i="8"/>
  <c r="G2269" i="8"/>
  <c r="G2260" i="8"/>
  <c r="G2251" i="8"/>
  <c r="G2237" i="8"/>
  <c r="G2228" i="8"/>
  <c r="G2205" i="8"/>
  <c r="G2196" i="8"/>
  <c r="G2187" i="8"/>
  <c r="G2173" i="8"/>
  <c r="G2164" i="8"/>
  <c r="G2155" i="8"/>
  <c r="G2141" i="8"/>
  <c r="G2419" i="8"/>
  <c r="G2412" i="8"/>
  <c r="G2405" i="8"/>
  <c r="G2380" i="8"/>
  <c r="G2369" i="8"/>
  <c r="G2360" i="8"/>
  <c r="G2351" i="8"/>
  <c r="G2337" i="8"/>
  <c r="G2328" i="8"/>
  <c r="G2319" i="8"/>
  <c r="G2305" i="8"/>
  <c r="G2296" i="8"/>
  <c r="G2287" i="8"/>
  <c r="G2273" i="8"/>
  <c r="G2264" i="8"/>
  <c r="G2241" i="8"/>
  <c r="G2232" i="8"/>
  <c r="G2223" i="8"/>
  <c r="G2209" i="8"/>
  <c r="G2200" i="8"/>
  <c r="G2191" i="8"/>
  <c r="G2177" i="8"/>
  <c r="G2168" i="8"/>
  <c r="G2159" i="8"/>
  <c r="G2145" i="8"/>
  <c r="G2136" i="8"/>
  <c r="G2132" i="8"/>
  <c r="G2128" i="8"/>
  <c r="G2124" i="8"/>
  <c r="G2120" i="8"/>
  <c r="G2116" i="8"/>
  <c r="G2112" i="8"/>
  <c r="G2108" i="8"/>
  <c r="G2092" i="8"/>
  <c r="G2084" i="8"/>
  <c r="G2080" i="8"/>
  <c r="G2076" i="8"/>
  <c r="G2072" i="8"/>
  <c r="G2068" i="8"/>
  <c r="G2064" i="8"/>
  <c r="G2060" i="8"/>
  <c r="G2056" i="8"/>
  <c r="G2052" i="8"/>
  <c r="G2048" i="8"/>
  <c r="G2044" i="8"/>
  <c r="G2040" i="8"/>
  <c r="G2036" i="8"/>
  <c r="G2032" i="8"/>
  <c r="G2028" i="8"/>
  <c r="G2024" i="8"/>
  <c r="G2020" i="8"/>
  <c r="G2016" i="8"/>
  <c r="G2012" i="8"/>
  <c r="G2008" i="8"/>
  <c r="G2004" i="8"/>
  <c r="G2000" i="8"/>
  <c r="G1996" i="8"/>
  <c r="G1992" i="8"/>
  <c r="G1988" i="8"/>
  <c r="G1984" i="8"/>
  <c r="G1980" i="8"/>
  <c r="G1976" i="8"/>
  <c r="G1972" i="8"/>
  <c r="G1968" i="8"/>
  <c r="G1964" i="8"/>
  <c r="G1960" i="8"/>
  <c r="G1956" i="8"/>
  <c r="G1952" i="8"/>
  <c r="G1948" i="8"/>
  <c r="G2385" i="8"/>
  <c r="G2373" i="8"/>
  <c r="G2364" i="8"/>
  <c r="G2355" i="8"/>
  <c r="G2341" i="8"/>
  <c r="G2332" i="8"/>
  <c r="G2323" i="8"/>
  <c r="G2309" i="8"/>
  <c r="G2300" i="8"/>
  <c r="G2291" i="8"/>
  <c r="G2277" i="8"/>
  <c r="G2268" i="8"/>
  <c r="G2259" i="8"/>
  <c r="G2245" i="8"/>
  <c r="G2236" i="8"/>
  <c r="G2227" i="8"/>
  <c r="G2213" i="8"/>
  <c r="G2204" i="8"/>
  <c r="G2195" i="8"/>
  <c r="G2181" i="8"/>
  <c r="G2172" i="8"/>
  <c r="G2163" i="8"/>
  <c r="G2149" i="8"/>
  <c r="G2140" i="8"/>
  <c r="G2359" i="8"/>
  <c r="G2345" i="8"/>
  <c r="G2336" i="8"/>
  <c r="G2327" i="8"/>
  <c r="G2313" i="8"/>
  <c r="G2304" i="8"/>
  <c r="G2281" i="8"/>
  <c r="G2272" i="8"/>
  <c r="G2263" i="8"/>
  <c r="G2249" i="8"/>
  <c r="G2240" i="8"/>
  <c r="G2231" i="8"/>
  <c r="G2208" i="8"/>
  <c r="G2199" i="8"/>
  <c r="G2185" i="8"/>
  <c r="G2176" i="8"/>
  <c r="G2167" i="8"/>
  <c r="G2153" i="8"/>
  <c r="G2144" i="8"/>
  <c r="G2135" i="8"/>
  <c r="G2131" i="8"/>
  <c r="G2127" i="8"/>
  <c r="G2123" i="8"/>
  <c r="G2119" i="8"/>
  <c r="G2115" i="8"/>
  <c r="G2111" i="8"/>
  <c r="G2107" i="8"/>
  <c r="G2103" i="8"/>
  <c r="G2095" i="8"/>
  <c r="G2091" i="8"/>
  <c r="G2083" i="8"/>
  <c r="G2079" i="8"/>
  <c r="G2075" i="8"/>
  <c r="G2071" i="8"/>
  <c r="G2067" i="8"/>
  <c r="G2063" i="8"/>
  <c r="G2059" i="8"/>
  <c r="G2055" i="8"/>
  <c r="G2051" i="8"/>
  <c r="G2047" i="8"/>
  <c r="G2043" i="8"/>
  <c r="G2039" i="8"/>
  <c r="G2035" i="8"/>
  <c r="G2031" i="8"/>
  <c r="G2027" i="8"/>
  <c r="G2023" i="8"/>
  <c r="G2019" i="8"/>
  <c r="G2015" i="8"/>
  <c r="G2011" i="8"/>
  <c r="G2007" i="8"/>
  <c r="G2003" i="8"/>
  <c r="G1999" i="8"/>
  <c r="G1995" i="8"/>
  <c r="G1991" i="8"/>
  <c r="G1987" i="8"/>
  <c r="G1983" i="8"/>
  <c r="G1979" i="8"/>
  <c r="G1975" i="8"/>
  <c r="G1971" i="8"/>
  <c r="G1967" i="8"/>
  <c r="G1963" i="8"/>
  <c r="G1959" i="8"/>
  <c r="G1955" i="8"/>
  <c r="G1947" i="8"/>
  <c r="G1943" i="8"/>
  <c r="G1939" i="8"/>
  <c r="G1935" i="8"/>
  <c r="G1931" i="8"/>
  <c r="G1927" i="8"/>
  <c r="G1919" i="8"/>
  <c r="G1915" i="8"/>
  <c r="G1911" i="8"/>
  <c r="G2403" i="8"/>
  <c r="G2396" i="8"/>
  <c r="G2389" i="8"/>
  <c r="G2372" i="8"/>
  <c r="G2363" i="8"/>
  <c r="G2349" i="8"/>
  <c r="G2340" i="8"/>
  <c r="G2331" i="8"/>
  <c r="G2317" i="8"/>
  <c r="G2308" i="8"/>
  <c r="G2285" i="8"/>
  <c r="G2276" i="8"/>
  <c r="G2267" i="8"/>
  <c r="G2253" i="8"/>
  <c r="G2244" i="8"/>
  <c r="G2235" i="8"/>
  <c r="G2221" i="8"/>
  <c r="G2212" i="8"/>
  <c r="G2203" i="8"/>
  <c r="G2189" i="8"/>
  <c r="G2180" i="8"/>
  <c r="G2171" i="8"/>
  <c r="G2157" i="8"/>
  <c r="G2367" i="8"/>
  <c r="G2353" i="8"/>
  <c r="G2344" i="8"/>
  <c r="G2321" i="8"/>
  <c r="G2312" i="8"/>
  <c r="G2303" i="8"/>
  <c r="G2289" i="8"/>
  <c r="G2280" i="8"/>
  <c r="G2271" i="8"/>
  <c r="G2257" i="8"/>
  <c r="G2248" i="8"/>
  <c r="G2239" i="8"/>
  <c r="G2225" i="8"/>
  <c r="G2216" i="8"/>
  <c r="G2207" i="8"/>
  <c r="G2193" i="8"/>
  <c r="G2184" i="8"/>
  <c r="G2175" i="8"/>
  <c r="G2161" i="8"/>
  <c r="G2152" i="8"/>
  <c r="G2143" i="8"/>
  <c r="G2376" i="8"/>
  <c r="G2371" i="8"/>
  <c r="G2357" i="8"/>
  <c r="G2348" i="8"/>
  <c r="G2325" i="8"/>
  <c r="G2316" i="8"/>
  <c r="G2307" i="8"/>
  <c r="G2293" i="8"/>
  <c r="G2284" i="8"/>
  <c r="G2275" i="8"/>
  <c r="G2261" i="8"/>
  <c r="G2252" i="8"/>
  <c r="G2243" i="8"/>
  <c r="G2229" i="8"/>
  <c r="G2220" i="8"/>
  <c r="G2211" i="8"/>
  <c r="G2197" i="8"/>
  <c r="G2188" i="8"/>
  <c r="G2179" i="8"/>
  <c r="G2165" i="8"/>
  <c r="G2156" i="8"/>
  <c r="G2147" i="8"/>
  <c r="G2130" i="8"/>
  <c r="G2125" i="8"/>
  <c r="G2114" i="8"/>
  <c r="G2109" i="8"/>
  <c r="G2098" i="8"/>
  <c r="G2093" i="8"/>
  <c r="G2082" i="8"/>
  <c r="G2077" i="8"/>
  <c r="G2066" i="8"/>
  <c r="G2061" i="8"/>
  <c r="G2050" i="8"/>
  <c r="G2045" i="8"/>
  <c r="G2034" i="8"/>
  <c r="G2029" i="8"/>
  <c r="G2018" i="8"/>
  <c r="G2013" i="8"/>
  <c r="G2002" i="8"/>
  <c r="G1997" i="8"/>
  <c r="G1986" i="8"/>
  <c r="G1981" i="8"/>
  <c r="G1970" i="8"/>
  <c r="G1965" i="8"/>
  <c r="G1944" i="8"/>
  <c r="G1912" i="8"/>
  <c r="G2148" i="8"/>
  <c r="G1934" i="8"/>
  <c r="G1925" i="8"/>
  <c r="G1916" i="8"/>
  <c r="G2134" i="8"/>
  <c r="G2129" i="8"/>
  <c r="G2118" i="8"/>
  <c r="G2113" i="8"/>
  <c r="G2102" i="8"/>
  <c r="G2097" i="8"/>
  <c r="G2086" i="8"/>
  <c r="G2070" i="8"/>
  <c r="G2065" i="8"/>
  <c r="G2054" i="8"/>
  <c r="G2049" i="8"/>
  <c r="G2038" i="8"/>
  <c r="G2033" i="8"/>
  <c r="G2022" i="8"/>
  <c r="G2017" i="8"/>
  <c r="G2006" i="8"/>
  <c r="G2001" i="8"/>
  <c r="G1990" i="8"/>
  <c r="G1985" i="8"/>
  <c r="G1974" i="8"/>
  <c r="G1969" i="8"/>
  <c r="G1958" i="8"/>
  <c r="G1938" i="8"/>
  <c r="G1929" i="8"/>
  <c r="G2139" i="8"/>
  <c r="G1942" i="8"/>
  <c r="G1910" i="8"/>
  <c r="G1883" i="8"/>
  <c r="G1879" i="8"/>
  <c r="G1875" i="8"/>
  <c r="G1855" i="8"/>
  <c r="G1835" i="8"/>
  <c r="G1827" i="8"/>
  <c r="G1823" i="8"/>
  <c r="G1811" i="8"/>
  <c r="G1807" i="8"/>
  <c r="G1803" i="8"/>
  <c r="G1799" i="8"/>
  <c r="G1795" i="8"/>
  <c r="G1791" i="8"/>
  <c r="G1787" i="8"/>
  <c r="G1783" i="8"/>
  <c r="G1779" i="8"/>
  <c r="G1775" i="8"/>
  <c r="G1771" i="8"/>
  <c r="G1767" i="8"/>
  <c r="G1763" i="8"/>
  <c r="G1759" i="8"/>
  <c r="G1755" i="8"/>
  <c r="G1751" i="8"/>
  <c r="G1747" i="8"/>
  <c r="G1743" i="8"/>
  <c r="G1739" i="8"/>
  <c r="G1735" i="8"/>
  <c r="G1731" i="8"/>
  <c r="G1727" i="8"/>
  <c r="G1723" i="8"/>
  <c r="G1719" i="8"/>
  <c r="G1715" i="8"/>
  <c r="G1711" i="8"/>
  <c r="G1707" i="8"/>
  <c r="G1703" i="8"/>
  <c r="G1699" i="8"/>
  <c r="G1695" i="8"/>
  <c r="G1691" i="8"/>
  <c r="G1687" i="8"/>
  <c r="G1683" i="8"/>
  <c r="G1679" i="8"/>
  <c r="G1675" i="8"/>
  <c r="G1671" i="8"/>
  <c r="G1667" i="8"/>
  <c r="G1663" i="8"/>
  <c r="G1659" i="8"/>
  <c r="G1655" i="8"/>
  <c r="G1651" i="8"/>
  <c r="G1647" i="8"/>
  <c r="G1643" i="8"/>
  <c r="G1639" i="8"/>
  <c r="G1635" i="8"/>
  <c r="G1631" i="8"/>
  <c r="G1627" i="8"/>
  <c r="G1623" i="8"/>
  <c r="G1619" i="8"/>
  <c r="G1615" i="8"/>
  <c r="G1611" i="8"/>
  <c r="G1603" i="8"/>
  <c r="G1599" i="8"/>
  <c r="G1595" i="8"/>
  <c r="G1591" i="8"/>
  <c r="G1587" i="8"/>
  <c r="G1583" i="8"/>
  <c r="G1579" i="8"/>
  <c r="G1567" i="8"/>
  <c r="G1563" i="8"/>
  <c r="G1559" i="8"/>
  <c r="G1555" i="8"/>
  <c r="G1543" i="8"/>
  <c r="G1539" i="8"/>
  <c r="G1535" i="8"/>
  <c r="G1531" i="8"/>
  <c r="G1527" i="8"/>
  <c r="G1523" i="8"/>
  <c r="G1519" i="8"/>
  <c r="G1515" i="8"/>
  <c r="G1511" i="8"/>
  <c r="G1507" i="8"/>
  <c r="G1503" i="8"/>
  <c r="G1495" i="8"/>
  <c r="G1491" i="8"/>
  <c r="G1487" i="8"/>
  <c r="G1483" i="8"/>
  <c r="G1479" i="8"/>
  <c r="G1475" i="8"/>
  <c r="G1471" i="8"/>
  <c r="G1467" i="8"/>
  <c r="G1463" i="8"/>
  <c r="G1459" i="8"/>
  <c r="G1455" i="8"/>
  <c r="G1451" i="8"/>
  <c r="G1447" i="8"/>
  <c r="G1443" i="8"/>
  <c r="G1439" i="8"/>
  <c r="G1435" i="8"/>
  <c r="G1431" i="8"/>
  <c r="G1407" i="8"/>
  <c r="G1403" i="8"/>
  <c r="G1399" i="8"/>
  <c r="G2133" i="8"/>
  <c r="G2122" i="8"/>
  <c r="G2117" i="8"/>
  <c r="G2106" i="8"/>
  <c r="G2101" i="8"/>
  <c r="G2090" i="8"/>
  <c r="G2085" i="8"/>
  <c r="G2074" i="8"/>
  <c r="G2069" i="8"/>
  <c r="G2058" i="8"/>
  <c r="G2053" i="8"/>
  <c r="G2042" i="8"/>
  <c r="G2037" i="8"/>
  <c r="G2026" i="8"/>
  <c r="G2021" i="8"/>
  <c r="G2010" i="8"/>
  <c r="G2005" i="8"/>
  <c r="G1994" i="8"/>
  <c r="G1989" i="8"/>
  <c r="G1978" i="8"/>
  <c r="G1973" i="8"/>
  <c r="G1962" i="8"/>
  <c r="G1957" i="8"/>
  <c r="G1946" i="8"/>
  <c r="G1937" i="8"/>
  <c r="G1914" i="8"/>
  <c r="G1941" i="8"/>
  <c r="G1932" i="8"/>
  <c r="G1918" i="8"/>
  <c r="G1909" i="8"/>
  <c r="G1870" i="8"/>
  <c r="G1850" i="8"/>
  <c r="G1830" i="8"/>
  <c r="G1826" i="8"/>
  <c r="G1822" i="8"/>
  <c r="G1810" i="8"/>
  <c r="G1806" i="8"/>
  <c r="G1802" i="8"/>
  <c r="G1798" i="8"/>
  <c r="G1794" i="8"/>
  <c r="G1790" i="8"/>
  <c r="G1786" i="8"/>
  <c r="G1782" i="8"/>
  <c r="G1778" i="8"/>
  <c r="G1774" i="8"/>
  <c r="G1770" i="8"/>
  <c r="G1766" i="8"/>
  <c r="G1762" i="8"/>
  <c r="G1758" i="8"/>
  <c r="G1754" i="8"/>
  <c r="G1750" i="8"/>
  <c r="G1746" i="8"/>
  <c r="G1742" i="8"/>
  <c r="G1738" i="8"/>
  <c r="G1734" i="8"/>
  <c r="G1730" i="8"/>
  <c r="G1726" i="8"/>
  <c r="G1722" i="8"/>
  <c r="G1718" i="8"/>
  <c r="G1714" i="8"/>
  <c r="G1710" i="8"/>
  <c r="G1706" i="8"/>
  <c r="G1702" i="8"/>
  <c r="G1698" i="8"/>
  <c r="G1694" i="8"/>
  <c r="G1690" i="8"/>
  <c r="G1686" i="8"/>
  <c r="G1682" i="8"/>
  <c r="G1678" i="8"/>
  <c r="G1674" i="8"/>
  <c r="G1670" i="8"/>
  <c r="G1666" i="8"/>
  <c r="G1662" i="8"/>
  <c r="G1658" i="8"/>
  <c r="G1654" i="8"/>
  <c r="G1650" i="8"/>
  <c r="G1646" i="8"/>
  <c r="G1642" i="8"/>
  <c r="G1638" i="8"/>
  <c r="G1634" i="8"/>
  <c r="G1630" i="8"/>
  <c r="G1626" i="8"/>
  <c r="G1622" i="8"/>
  <c r="G1618" i="8"/>
  <c r="G1614" i="8"/>
  <c r="G1610" i="8"/>
  <c r="G1602" i="8"/>
  <c r="G1598" i="8"/>
  <c r="G1594" i="8"/>
  <c r="G1590" i="8"/>
  <c r="G1586" i="8"/>
  <c r="G1582" i="8"/>
  <c r="G1578" i="8"/>
  <c r="G2137" i="8"/>
  <c r="G2126" i="8"/>
  <c r="G2121" i="8"/>
  <c r="G2110" i="8"/>
  <c r="G2105" i="8"/>
  <c r="G2094" i="8"/>
  <c r="G2089" i="8"/>
  <c r="G2078" i="8"/>
  <c r="G2073" i="8"/>
  <c r="G2062" i="8"/>
  <c r="G2057" i="8"/>
  <c r="G2046" i="8"/>
  <c r="G2041" i="8"/>
  <c r="G2030" i="8"/>
  <c r="G2025" i="8"/>
  <c r="G2014" i="8"/>
  <c r="G2009" i="8"/>
  <c r="G1998" i="8"/>
  <c r="G1993" i="8"/>
  <c r="G1982" i="8"/>
  <c r="G1977" i="8"/>
  <c r="G1966" i="8"/>
  <c r="G1961" i="8"/>
  <c r="G1950" i="8"/>
  <c r="G1945" i="8"/>
  <c r="G1936" i="8"/>
  <c r="G1913" i="8"/>
  <c r="G1857" i="8"/>
  <c r="G1825" i="8"/>
  <c r="G1820" i="8"/>
  <c r="G1809" i="8"/>
  <c r="G1804" i="8"/>
  <c r="G1793" i="8"/>
  <c r="G1788" i="8"/>
  <c r="G1777" i="8"/>
  <c r="G1772" i="8"/>
  <c r="G1761" i="8"/>
  <c r="G1756" i="8"/>
  <c r="G1745" i="8"/>
  <c r="G1740" i="8"/>
  <c r="G1729" i="8"/>
  <c r="G1724" i="8"/>
  <c r="G1713" i="8"/>
  <c r="G1708" i="8"/>
  <c r="G1697" i="8"/>
  <c r="G1692" i="8"/>
  <c r="G1681" i="8"/>
  <c r="G1676" i="8"/>
  <c r="G1665" i="8"/>
  <c r="G1660" i="8"/>
  <c r="G1649" i="8"/>
  <c r="G1644" i="8"/>
  <c r="G1633" i="8"/>
  <c r="G1628" i="8"/>
  <c r="G1617" i="8"/>
  <c r="G1612" i="8"/>
  <c r="G1601" i="8"/>
  <c r="G1596" i="8"/>
  <c r="G1585" i="8"/>
  <c r="G1580" i="8"/>
  <c r="G1560" i="8"/>
  <c r="G1537" i="8"/>
  <c r="G1528" i="8"/>
  <c r="G1514" i="8"/>
  <c r="G1505" i="8"/>
  <c r="G1496" i="8"/>
  <c r="G1482" i="8"/>
  <c r="G1473" i="8"/>
  <c r="G1464" i="8"/>
  <c r="G1450" i="8"/>
  <c r="G1441" i="8"/>
  <c r="G1432" i="8"/>
  <c r="G1400" i="8"/>
  <c r="G1564" i="8"/>
  <c r="G1532" i="8"/>
  <c r="G1518" i="8"/>
  <c r="G1500" i="8"/>
  <c r="G1477" i="8"/>
  <c r="G1454" i="8"/>
  <c r="G1436" i="8"/>
  <c r="G1404" i="8"/>
  <c r="G1390" i="8"/>
  <c r="G1453" i="8"/>
  <c r="G1430" i="8"/>
  <c r="G1405" i="8"/>
  <c r="G1940" i="8"/>
  <c r="G1550" i="8"/>
  <c r="G1541" i="8"/>
  <c r="G1509" i="8"/>
  <c r="G1486" i="8"/>
  <c r="G1468" i="8"/>
  <c r="G1445" i="8"/>
  <c r="G1444" i="8"/>
  <c r="G1917" i="8"/>
  <c r="G1877" i="8"/>
  <c r="G1845" i="8"/>
  <c r="G1840" i="8"/>
  <c r="G1824" i="8"/>
  <c r="G1808" i="8"/>
  <c r="G1797" i="8"/>
  <c r="G1792" i="8"/>
  <c r="G1781" i="8"/>
  <c r="G1776" i="8"/>
  <c r="G1765" i="8"/>
  <c r="G1760" i="8"/>
  <c r="G1749" i="8"/>
  <c r="G1744" i="8"/>
  <c r="G1733" i="8"/>
  <c r="G1728" i="8"/>
  <c r="G1717" i="8"/>
  <c r="G1712" i="8"/>
  <c r="G1701" i="8"/>
  <c r="G1696" i="8"/>
  <c r="G1685" i="8"/>
  <c r="G1680" i="8"/>
  <c r="G1669" i="8"/>
  <c r="G1664" i="8"/>
  <c r="G1653" i="8"/>
  <c r="G1648" i="8"/>
  <c r="G1637" i="8"/>
  <c r="G1632" i="8"/>
  <c r="G1621" i="8"/>
  <c r="G1616" i="8"/>
  <c r="G1600" i="8"/>
  <c r="G1589" i="8"/>
  <c r="G1584" i="8"/>
  <c r="G1554" i="8"/>
  <c r="G1536" i="8"/>
  <c r="G1522" i="8"/>
  <c r="G1513" i="8"/>
  <c r="G1504" i="8"/>
  <c r="G1490" i="8"/>
  <c r="G1481" i="8"/>
  <c r="G1472" i="8"/>
  <c r="G1458" i="8"/>
  <c r="G1449" i="8"/>
  <c r="G1440" i="8"/>
  <c r="G1394" i="8"/>
  <c r="G1540" i="8"/>
  <c r="G1526" i="8"/>
  <c r="G1517" i="8"/>
  <c r="G1508" i="8"/>
  <c r="G1476" i="8"/>
  <c r="G1462" i="8"/>
  <c r="G1398" i="8"/>
  <c r="G1428" i="8"/>
  <c r="G1558" i="8"/>
  <c r="G1494" i="8"/>
  <c r="G1485" i="8"/>
  <c r="G1908" i="8"/>
  <c r="G1881" i="8"/>
  <c r="G1865" i="8"/>
  <c r="G1860" i="8"/>
  <c r="G1828" i="8"/>
  <c r="G1801" i="8"/>
  <c r="G1796" i="8"/>
  <c r="G1785" i="8"/>
  <c r="G1780" i="8"/>
  <c r="G1769" i="8"/>
  <c r="G1764" i="8"/>
  <c r="G1753" i="8"/>
  <c r="G1748" i="8"/>
  <c r="G1737" i="8"/>
  <c r="G1732" i="8"/>
  <c r="G1721" i="8"/>
  <c r="G1716" i="8"/>
  <c r="G1705" i="8"/>
  <c r="G1700" i="8"/>
  <c r="G1689" i="8"/>
  <c r="G1684" i="8"/>
  <c r="G1673" i="8"/>
  <c r="G1668" i="8"/>
  <c r="G1657" i="8"/>
  <c r="G1652" i="8"/>
  <c r="G1641" i="8"/>
  <c r="G1636" i="8"/>
  <c r="G1625" i="8"/>
  <c r="G1620" i="8"/>
  <c r="G1609" i="8"/>
  <c r="G1593" i="8"/>
  <c r="G1588" i="8"/>
  <c r="G1562" i="8"/>
  <c r="G1553" i="8"/>
  <c r="G1544" i="8"/>
  <c r="G1530" i="8"/>
  <c r="G1521" i="8"/>
  <c r="G1512" i="8"/>
  <c r="G1498" i="8"/>
  <c r="G1489" i="8"/>
  <c r="G1480" i="8"/>
  <c r="G1466" i="8"/>
  <c r="G1457" i="8"/>
  <c r="G1448" i="8"/>
  <c r="G1434" i="8"/>
  <c r="G1402" i="8"/>
  <c r="G1516" i="8"/>
  <c r="G1502" i="8"/>
  <c r="G1484" i="8"/>
  <c r="G1470" i="8"/>
  <c r="G1452" i="8"/>
  <c r="G1438" i="8"/>
  <c r="G1429" i="8"/>
  <c r="G1406" i="8"/>
  <c r="G1446" i="8"/>
  <c r="G1557" i="8"/>
  <c r="G1534" i="8"/>
  <c r="G1525" i="8"/>
  <c r="G1461" i="8"/>
  <c r="G1397" i="8"/>
  <c r="G1437" i="8"/>
  <c r="G1821" i="8"/>
  <c r="G1805" i="8"/>
  <c r="G1800" i="8"/>
  <c r="G1789" i="8"/>
  <c r="G1784" i="8"/>
  <c r="G1773" i="8"/>
  <c r="G1768" i="8"/>
  <c r="G1757" i="8"/>
  <c r="G1752" i="8"/>
  <c r="G1741" i="8"/>
  <c r="G1736" i="8"/>
  <c r="G1725" i="8"/>
  <c r="G1720" i="8"/>
  <c r="G1709" i="8"/>
  <c r="G1704" i="8"/>
  <c r="G1693" i="8"/>
  <c r="G1688" i="8"/>
  <c r="G1677" i="8"/>
  <c r="G1672" i="8"/>
  <c r="G1661" i="8"/>
  <c r="G1656" i="8"/>
  <c r="G1645" i="8"/>
  <c r="G1640" i="8"/>
  <c r="G1629" i="8"/>
  <c r="G1624" i="8"/>
  <c r="G1613" i="8"/>
  <c r="G1597" i="8"/>
  <c r="G1592" i="8"/>
  <c r="G1581" i="8"/>
  <c r="G1561" i="8"/>
  <c r="G1538" i="8"/>
  <c r="G1529" i="8"/>
  <c r="G1520" i="8"/>
  <c r="G1506" i="8"/>
  <c r="G1497" i="8"/>
  <c r="G1488" i="8"/>
  <c r="G1474" i="8"/>
  <c r="G1465" i="8"/>
  <c r="G1456" i="8"/>
  <c r="G1442" i="8"/>
  <c r="G1433" i="8"/>
  <c r="G1401" i="8"/>
  <c r="G1565" i="8"/>
  <c r="G1542" i="8"/>
  <c r="G1524" i="8"/>
  <c r="G1510" i="8"/>
  <c r="G1492" i="8"/>
  <c r="G1478" i="8"/>
  <c r="G1556" i="8"/>
  <c r="G1533" i="8"/>
  <c r="G1501" i="8"/>
  <c r="G1469" i="8"/>
  <c r="G1460" i="8"/>
  <c r="G1387" i="8"/>
  <c r="G1386" i="8"/>
  <c r="G1388" i="8"/>
  <c r="G1384" i="8"/>
  <c r="G1385" i="8"/>
  <c r="G1351" i="8"/>
  <c r="G1350" i="8"/>
  <c r="G1345" i="8"/>
  <c r="G1346" i="8"/>
  <c r="G1349" i="8"/>
  <c r="G1328" i="8"/>
  <c r="G1312" i="8"/>
  <c r="G1304" i="8"/>
  <c r="G1306" i="8"/>
  <c r="G1329" i="8"/>
  <c r="G1343" i="8"/>
  <c r="G1335" i="8"/>
  <c r="G1327" i="8"/>
  <c r="G1311" i="8"/>
  <c r="G1303" i="8"/>
  <c r="G1307" i="8"/>
  <c r="G1313" i="8"/>
  <c r="G1342" i="8"/>
  <c r="G1326" i="8"/>
  <c r="G1310" i="8"/>
  <c r="G1302" i="8"/>
  <c r="G1314" i="8"/>
  <c r="G1325" i="8"/>
  <c r="G1309" i="8"/>
  <c r="G1305" i="8"/>
  <c r="G1308" i="8"/>
  <c r="G1296" i="8"/>
  <c r="G1280" i="8"/>
  <c r="G1244" i="8"/>
  <c r="G1299" i="8"/>
  <c r="G1298" i="8"/>
  <c r="G1282" i="8"/>
  <c r="G1258" i="8"/>
  <c r="G1242" i="8"/>
  <c r="G1295" i="8"/>
  <c r="G1279" i="8"/>
  <c r="G1259" i="8"/>
  <c r="G1243" i="8"/>
  <c r="G1297" i="8"/>
  <c r="G1281" i="8"/>
  <c r="G7" i="8"/>
  <c r="G11" i="8"/>
  <c r="G15" i="8"/>
  <c r="G17" i="8"/>
  <c r="G19" i="8"/>
  <c r="G21" i="8"/>
  <c r="G23" i="8"/>
  <c r="G25" i="8"/>
  <c r="G29" i="8"/>
  <c r="G31" i="8"/>
  <c r="G33" i="8"/>
  <c r="G35" i="8"/>
  <c r="G37" i="8"/>
  <c r="G39" i="8"/>
  <c r="G41" i="8"/>
  <c r="G45" i="8"/>
  <c r="G47" i="8"/>
  <c r="G49" i="8"/>
  <c r="G51" i="8"/>
  <c r="G53" i="8"/>
  <c r="G55" i="8"/>
  <c r="G57" i="8"/>
  <c r="G59" i="8"/>
  <c r="G61" i="8"/>
  <c r="G63" i="8"/>
  <c r="G65" i="8"/>
  <c r="G67" i="8"/>
  <c r="G69" i="8"/>
  <c r="G71" i="8"/>
  <c r="G73" i="8"/>
  <c r="G75" i="8"/>
  <c r="G77" i="8"/>
  <c r="G81" i="8"/>
  <c r="G83" i="8"/>
  <c r="G85" i="8"/>
  <c r="G87" i="8"/>
  <c r="G91" i="8"/>
  <c r="G93" i="8"/>
  <c r="G95" i="8"/>
  <c r="G97" i="8"/>
  <c r="G99" i="8"/>
  <c r="G101" i="8"/>
  <c r="G103" i="8"/>
  <c r="G107" i="8"/>
  <c r="G109" i="8"/>
  <c r="G111" i="8"/>
  <c r="G113" i="8"/>
  <c r="G115" i="8"/>
  <c r="G117" i="8"/>
  <c r="G119" i="8"/>
  <c r="G121" i="8"/>
  <c r="G123" i="8"/>
  <c r="G125" i="8"/>
  <c r="G127" i="8"/>
  <c r="G129" i="8"/>
  <c r="G131" i="8"/>
  <c r="G133" i="8"/>
  <c r="G135" i="8"/>
  <c r="G137" i="8"/>
  <c r="G139" i="8"/>
  <c r="G141" i="8"/>
  <c r="G143" i="8"/>
  <c r="G145" i="8"/>
  <c r="G147" i="8"/>
  <c r="G151" i="8"/>
  <c r="G153" i="8"/>
  <c r="G155" i="8"/>
  <c r="G157" i="8"/>
  <c r="G159" i="8"/>
  <c r="G161" i="8"/>
  <c r="G163" i="8"/>
  <c r="G165" i="8"/>
  <c r="G167" i="8"/>
  <c r="G169" i="8"/>
  <c r="G171" i="8"/>
  <c r="G173" i="8"/>
  <c r="G175" i="8"/>
  <c r="G177" i="8"/>
  <c r="G179" i="8"/>
  <c r="G181" i="8"/>
  <c r="G183" i="8"/>
  <c r="G185" i="8"/>
  <c r="G187" i="8"/>
  <c r="G189" i="8"/>
  <c r="G191" i="8"/>
  <c r="G193" i="8"/>
  <c r="G195" i="8"/>
  <c r="G197" i="8"/>
  <c r="G199" i="8"/>
  <c r="G201" i="8"/>
  <c r="G203" i="8"/>
  <c r="G205" i="8"/>
  <c r="G12" i="8"/>
  <c r="G16" i="8"/>
  <c r="G18" i="8"/>
  <c r="G22" i="8"/>
  <c r="G24" i="8"/>
  <c r="G26" i="8"/>
  <c r="G28" i="8"/>
  <c r="G30" i="8"/>
  <c r="G32" i="8"/>
  <c r="G34" i="8"/>
  <c r="G36" i="8"/>
  <c r="G38" i="8"/>
  <c r="G40" i="8"/>
  <c r="G42" i="8"/>
  <c r="G44" i="8"/>
  <c r="G46" i="8"/>
  <c r="G48" i="8"/>
  <c r="G50" i="8"/>
  <c r="G52" i="8"/>
  <c r="G54" i="8"/>
  <c r="G56" i="8"/>
  <c r="G58" i="8"/>
  <c r="G60" i="8"/>
  <c r="G62" i="8"/>
  <c r="G64" i="8"/>
  <c r="G66" i="8"/>
  <c r="G68" i="8"/>
  <c r="G70" i="8"/>
  <c r="G72" i="8"/>
  <c r="G74" i="8"/>
  <c r="G76" i="8"/>
  <c r="G78" i="8"/>
  <c r="G82" i="8"/>
  <c r="G84" i="8"/>
  <c r="G86" i="8"/>
  <c r="G88" i="8"/>
  <c r="G92" i="8"/>
  <c r="G94" i="8"/>
  <c r="G96" i="8"/>
  <c r="G100" i="8"/>
  <c r="G102" i="8"/>
  <c r="G106" i="8"/>
  <c r="G110" i="8"/>
  <c r="G112" i="8"/>
  <c r="G114" i="8"/>
  <c r="G116" i="8"/>
  <c r="G118" i="8"/>
  <c r="G120" i="8"/>
  <c r="G122" i="8"/>
  <c r="G124" i="8"/>
  <c r="G126" i="8"/>
  <c r="G128" i="8"/>
  <c r="G130" i="8"/>
  <c r="G132" i="8"/>
  <c r="G134" i="8"/>
  <c r="G136" i="8"/>
  <c r="G138" i="8"/>
  <c r="G140" i="8"/>
  <c r="G142" i="8"/>
  <c r="G144" i="8"/>
  <c r="G152" i="8"/>
  <c r="G156" i="8"/>
  <c r="G158" i="8"/>
  <c r="G160" i="8"/>
  <c r="G162" i="8"/>
  <c r="G164" i="8"/>
  <c r="G166" i="8"/>
  <c r="G168" i="8"/>
  <c r="G170" i="8"/>
  <c r="G172" i="8"/>
  <c r="G174" i="8"/>
  <c r="G178" i="8"/>
  <c r="G180" i="8"/>
  <c r="G182" i="8"/>
  <c r="G184" i="8"/>
  <c r="G186" i="8"/>
  <c r="G188" i="8"/>
  <c r="G190" i="8"/>
  <c r="G192" i="8"/>
  <c r="G194" i="8"/>
  <c r="G196" i="8"/>
  <c r="G198" i="8"/>
  <c r="G200" i="8"/>
  <c r="G202" i="8"/>
  <c r="G204" i="8"/>
  <c r="G206" i="8"/>
  <c r="G208" i="8"/>
  <c r="G210" i="8"/>
  <c r="G212" i="8"/>
  <c r="G214" i="8"/>
  <c r="G216" i="8"/>
  <c r="G218" i="8"/>
  <c r="G220" i="8"/>
  <c r="G222" i="8"/>
  <c r="G207" i="8"/>
  <c r="G215" i="8"/>
  <c r="G223" i="8"/>
  <c r="G227" i="8"/>
  <c r="G231" i="8"/>
  <c r="G235" i="8"/>
  <c r="G239" i="8"/>
  <c r="G243" i="8"/>
  <c r="G247" i="8"/>
  <c r="G255" i="8"/>
  <c r="G259" i="8"/>
  <c r="G263" i="8"/>
  <c r="G267" i="8"/>
  <c r="G271" i="8"/>
  <c r="G287" i="8"/>
  <c r="G291" i="8"/>
  <c r="G295" i="8"/>
  <c r="G299" i="8"/>
  <c r="G303" i="8"/>
  <c r="G311" i="8"/>
  <c r="G319" i="8"/>
  <c r="G339" i="8"/>
  <c r="G343" i="8"/>
  <c r="G347" i="8"/>
  <c r="G358" i="8"/>
  <c r="G387" i="8"/>
  <c r="G390" i="8"/>
  <c r="G395" i="8"/>
  <c r="G398" i="8"/>
  <c r="G403" i="8"/>
  <c r="G406" i="8"/>
  <c r="G411" i="8"/>
  <c r="G422" i="8"/>
  <c r="G427" i="8"/>
  <c r="G430" i="8"/>
  <c r="G209" i="8"/>
  <c r="G217" i="8"/>
  <c r="G224" i="8"/>
  <c r="G228" i="8"/>
  <c r="G232" i="8"/>
  <c r="G236" i="8"/>
  <c r="G240" i="8"/>
  <c r="G244" i="8"/>
  <c r="G248" i="8"/>
  <c r="G252" i="8"/>
  <c r="G260" i="8"/>
  <c r="G264" i="8"/>
  <c r="G268" i="8"/>
  <c r="G272" i="8"/>
  <c r="G276" i="8"/>
  <c r="G280" i="8"/>
  <c r="G292" i="8"/>
  <c r="G300" i="8"/>
  <c r="G304" i="8"/>
  <c r="G308" i="8"/>
  <c r="G312" i="8"/>
  <c r="G316" i="8"/>
  <c r="G324" i="8"/>
  <c r="G328" i="8"/>
  <c r="G332" i="8"/>
  <c r="G336" i="8"/>
  <c r="G340" i="8"/>
  <c r="G344" i="8"/>
  <c r="G348" i="8"/>
  <c r="G388" i="8"/>
  <c r="G393" i="8"/>
  <c r="G396" i="8"/>
  <c r="G401" i="8"/>
  <c r="G404" i="8"/>
  <c r="G409" i="8"/>
  <c r="G417" i="8"/>
  <c r="G425" i="8"/>
  <c r="G428" i="8"/>
  <c r="G433" i="8"/>
  <c r="G435" i="8"/>
  <c r="G437" i="8"/>
  <c r="G439" i="8"/>
  <c r="G441" i="8"/>
  <c r="G443" i="8"/>
  <c r="G445" i="8"/>
  <c r="G447" i="8"/>
  <c r="G449" i="8"/>
  <c r="G451" i="8"/>
  <c r="G453" i="8"/>
  <c r="G455" i="8"/>
  <c r="G457" i="8"/>
  <c r="G459" i="8"/>
  <c r="G461" i="8"/>
  <c r="G463" i="8"/>
  <c r="G465" i="8"/>
  <c r="G467" i="8"/>
  <c r="G469" i="8"/>
  <c r="G471" i="8"/>
  <c r="G479" i="8"/>
  <c r="G481" i="8"/>
  <c r="G483" i="8"/>
  <c r="G485" i="8"/>
  <c r="G487" i="8"/>
  <c r="G489" i="8"/>
  <c r="G491" i="8"/>
  <c r="G493" i="8"/>
  <c r="G497" i="8"/>
  <c r="G521" i="8"/>
  <c r="G523" i="8"/>
  <c r="G525" i="8"/>
  <c r="G527" i="8"/>
  <c r="G529" i="8"/>
  <c r="G531" i="8"/>
  <c r="G533" i="8"/>
  <c r="G535" i="8"/>
  <c r="G537" i="8"/>
  <c r="G539" i="8"/>
  <c r="G541" i="8"/>
  <c r="G543" i="8"/>
  <c r="G545" i="8"/>
  <c r="G547" i="8"/>
  <c r="G549" i="8"/>
  <c r="G551" i="8"/>
  <c r="G553" i="8"/>
  <c r="G555" i="8"/>
  <c r="G557" i="8"/>
  <c r="G559" i="8"/>
  <c r="G561" i="8"/>
  <c r="G563" i="8"/>
  <c r="G565" i="8"/>
  <c r="G211" i="8"/>
  <c r="G219" i="8"/>
  <c r="G225" i="8"/>
  <c r="G229" i="8"/>
  <c r="G233" i="8"/>
  <c r="G237" i="8"/>
  <c r="G245" i="8"/>
  <c r="G253" i="8"/>
  <c r="G257" i="8"/>
  <c r="G261" i="8"/>
  <c r="G265" i="8"/>
  <c r="G269" i="8"/>
  <c r="G273" i="8"/>
  <c r="G277" i="8"/>
  <c r="G281" i="8"/>
  <c r="G293" i="8"/>
  <c r="G301" i="8"/>
  <c r="G305" i="8"/>
  <c r="G309" i="8"/>
  <c r="G329" i="8"/>
  <c r="G341" i="8"/>
  <c r="G345" i="8"/>
  <c r="G386" i="8"/>
  <c r="G391" i="8"/>
  <c r="G394" i="8"/>
  <c r="G399" i="8"/>
  <c r="G402" i="8"/>
  <c r="G407" i="8"/>
  <c r="G415" i="8"/>
  <c r="G418" i="8"/>
  <c r="G423" i="8"/>
  <c r="G426" i="8"/>
  <c r="G431" i="8"/>
  <c r="G213" i="8"/>
  <c r="G221" i="8"/>
  <c r="G226" i="8"/>
  <c r="G230" i="8"/>
  <c r="G234" i="8"/>
  <c r="G238" i="8"/>
  <c r="G242" i="8"/>
  <c r="G246" i="8"/>
  <c r="G250" i="8"/>
  <c r="G254" i="8"/>
  <c r="G258" i="8"/>
  <c r="G266" i="8"/>
  <c r="G270" i="8"/>
  <c r="G274" i="8"/>
  <c r="G278" i="8"/>
  <c r="G282" i="8"/>
  <c r="G286" i="8"/>
  <c r="G290" i="8"/>
  <c r="G294" i="8"/>
  <c r="G298" i="8"/>
  <c r="G306" i="8"/>
  <c r="G310" i="8"/>
  <c r="G326" i="8"/>
  <c r="G330" i="8"/>
  <c r="G342" i="8"/>
  <c r="G346" i="8"/>
  <c r="G357" i="8"/>
  <c r="G389" i="8"/>
  <c r="G392" i="8"/>
  <c r="G397" i="8"/>
  <c r="G400" i="8"/>
  <c r="G405" i="8"/>
  <c r="G408" i="8"/>
  <c r="G424" i="8"/>
  <c r="G429" i="8"/>
  <c r="G432" i="8"/>
  <c r="G434" i="8"/>
  <c r="G436" i="8"/>
  <c r="G438" i="8"/>
  <c r="G440" i="8"/>
  <c r="G442" i="8"/>
  <c r="G444" i="8"/>
  <c r="G446" i="8"/>
  <c r="G450" i="8"/>
  <c r="G452" i="8"/>
  <c r="G454" i="8"/>
  <c r="G456" i="8"/>
  <c r="G458" i="8"/>
  <c r="G460" i="8"/>
  <c r="G462" i="8"/>
  <c r="G464" i="8"/>
  <c r="G466" i="8"/>
  <c r="G468" i="8"/>
  <c r="G470" i="8"/>
  <c r="G474" i="8"/>
  <c r="G478" i="8"/>
  <c r="G480" i="8"/>
  <c r="G482" i="8"/>
  <c r="G484" i="8"/>
  <c r="G486" i="8"/>
  <c r="G488" i="8"/>
  <c r="G490" i="8"/>
  <c r="G492" i="8"/>
  <c r="G498" i="8"/>
  <c r="G500" i="8"/>
  <c r="G502" i="8"/>
  <c r="G504" i="8"/>
  <c r="G520" i="8"/>
  <c r="G522" i="8"/>
  <c r="G524" i="8"/>
  <c r="G526" i="8"/>
  <c r="G528" i="8"/>
  <c r="G530" i="8"/>
  <c r="G532" i="8"/>
  <c r="G534" i="8"/>
  <c r="G536" i="8"/>
  <c r="G538" i="8"/>
  <c r="G540" i="8"/>
  <c r="G542" i="8"/>
  <c r="G544" i="8"/>
  <c r="G546" i="8"/>
  <c r="G548" i="8"/>
  <c r="G550" i="8"/>
  <c r="G552" i="8"/>
  <c r="G554" i="8"/>
  <c r="G556" i="8"/>
  <c r="G558" i="8"/>
  <c r="G560" i="8"/>
  <c r="G590" i="8"/>
  <c r="G594" i="8"/>
  <c r="G598" i="8"/>
  <c r="G602" i="8"/>
  <c r="G606" i="8"/>
  <c r="G610" i="8"/>
  <c r="G614" i="8"/>
  <c r="G618" i="8"/>
  <c r="G622" i="8"/>
  <c r="G626" i="8"/>
  <c r="G630" i="8"/>
  <c r="G634" i="8"/>
  <c r="G638" i="8"/>
  <c r="G642" i="8"/>
  <c r="G645" i="8"/>
  <c r="G650" i="8"/>
  <c r="G653" i="8"/>
  <c r="G587" i="8"/>
  <c r="G591" i="8"/>
  <c r="G595" i="8"/>
  <c r="G599" i="8"/>
  <c r="G603" i="8"/>
  <c r="G607" i="8"/>
  <c r="G611" i="8"/>
  <c r="G615" i="8"/>
  <c r="G619" i="8"/>
  <c r="G623" i="8"/>
  <c r="G627" i="8"/>
  <c r="G631" i="8"/>
  <c r="G635" i="8"/>
  <c r="G639" i="8"/>
  <c r="G643" i="8"/>
  <c r="G648" i="8"/>
  <c r="G651" i="8"/>
  <c r="G656" i="8"/>
  <c r="G658" i="8"/>
  <c r="G660" i="8"/>
  <c r="G662" i="8"/>
  <c r="G664" i="8"/>
  <c r="G666" i="8"/>
  <c r="G668" i="8"/>
  <c r="G670" i="8"/>
  <c r="G672" i="8"/>
  <c r="G674" i="8"/>
  <c r="G676" i="8"/>
  <c r="G678" i="8"/>
  <c r="G680" i="8"/>
  <c r="G682" i="8"/>
  <c r="G684" i="8"/>
  <c r="G686" i="8"/>
  <c r="G688" i="8"/>
  <c r="G690" i="8"/>
  <c r="G692" i="8"/>
  <c r="G694" i="8"/>
  <c r="G696" i="8"/>
  <c r="G698" i="8"/>
  <c r="G700" i="8"/>
  <c r="G702" i="8"/>
  <c r="G704" i="8"/>
  <c r="G706" i="8"/>
  <c r="G708" i="8"/>
  <c r="G710" i="8"/>
  <c r="G712" i="8"/>
  <c r="G724" i="8"/>
  <c r="G726" i="8"/>
  <c r="G728" i="8"/>
  <c r="G730" i="8"/>
  <c r="G732" i="8"/>
  <c r="G734" i="8"/>
  <c r="G736" i="8"/>
  <c r="G738" i="8"/>
  <c r="G740" i="8"/>
  <c r="G744" i="8"/>
  <c r="G746" i="8"/>
  <c r="G748" i="8"/>
  <c r="G752" i="8"/>
  <c r="G754" i="8"/>
  <c r="G756" i="8"/>
  <c r="G758" i="8"/>
  <c r="G760" i="8"/>
  <c r="G762" i="8"/>
  <c r="G764" i="8"/>
  <c r="G766" i="8"/>
  <c r="G768" i="8"/>
  <c r="G770" i="8"/>
  <c r="G772" i="8"/>
  <c r="G776" i="8"/>
  <c r="G778" i="8"/>
  <c r="G780" i="8"/>
  <c r="G782" i="8"/>
  <c r="G784" i="8"/>
  <c r="G786" i="8"/>
  <c r="G788" i="8"/>
  <c r="G790" i="8"/>
  <c r="G792" i="8"/>
  <c r="G794" i="8"/>
  <c r="G796" i="8"/>
  <c r="G798" i="8"/>
  <c r="G800" i="8"/>
  <c r="G802" i="8"/>
  <c r="G804" i="8"/>
  <c r="G806" i="8"/>
  <c r="G808" i="8"/>
  <c r="G810" i="8"/>
  <c r="G812" i="8"/>
  <c r="G814" i="8"/>
  <c r="G816" i="8"/>
  <c r="G818" i="8"/>
  <c r="G822" i="8"/>
  <c r="G824" i="8"/>
  <c r="G826" i="8"/>
  <c r="G828" i="8"/>
  <c r="G830" i="8"/>
  <c r="G832" i="8"/>
  <c r="G836" i="8"/>
  <c r="G838" i="8"/>
  <c r="G840" i="8"/>
  <c r="G842" i="8"/>
  <c r="G844" i="8"/>
  <c r="G848" i="8"/>
  <c r="G944" i="8"/>
  <c r="G946" i="8"/>
  <c r="G950" i="8"/>
  <c r="G954" i="8"/>
  <c r="G984" i="8"/>
  <c r="G990" i="8"/>
  <c r="G998" i="8"/>
  <c r="G1000" i="8"/>
  <c r="G1002" i="8"/>
  <c r="G1004" i="8"/>
  <c r="G1008" i="8"/>
  <c r="G1010" i="8"/>
  <c r="G592" i="8"/>
  <c r="G596" i="8"/>
  <c r="G600" i="8"/>
  <c r="G604" i="8"/>
  <c r="G608" i="8"/>
  <c r="G612" i="8"/>
  <c r="G616" i="8"/>
  <c r="G620" i="8"/>
  <c r="G624" i="8"/>
  <c r="G628" i="8"/>
  <c r="G632" i="8"/>
  <c r="G636" i="8"/>
  <c r="G640" i="8"/>
  <c r="G646" i="8"/>
  <c r="G649" i="8"/>
  <c r="G654" i="8"/>
  <c r="G589" i="8"/>
  <c r="G601" i="8"/>
  <c r="G605" i="8"/>
  <c r="G609" i="8"/>
  <c r="G613" i="8"/>
  <c r="G617" i="8"/>
  <c r="G621" i="8"/>
  <c r="G625" i="8"/>
  <c r="G629" i="8"/>
  <c r="G633" i="8"/>
  <c r="G637" i="8"/>
  <c r="G641" i="8"/>
  <c r="G644" i="8"/>
  <c r="G647" i="8"/>
  <c r="G652" i="8"/>
  <c r="G655" i="8"/>
  <c r="G657" i="8"/>
  <c r="G659" i="8"/>
  <c r="G661" i="8"/>
  <c r="G663" i="8"/>
  <c r="G665" i="8"/>
  <c r="G667" i="8"/>
  <c r="G669" i="8"/>
  <c r="G671" i="8"/>
  <c r="G673" i="8"/>
  <c r="G675" i="8"/>
  <c r="G677" i="8"/>
  <c r="G679" i="8"/>
  <c r="G681" i="8"/>
  <c r="G683" i="8"/>
  <c r="G685" i="8"/>
  <c r="G687" i="8"/>
  <c r="G689" i="8"/>
  <c r="G691" i="8"/>
  <c r="G693" i="8"/>
  <c r="G695" i="8"/>
  <c r="G697" i="8"/>
  <c r="G699" i="8"/>
  <c r="G701" i="8"/>
  <c r="G703" i="8"/>
  <c r="G705" i="8"/>
  <c r="G707" i="8"/>
  <c r="G709" i="8"/>
  <c r="G711" i="8"/>
  <c r="G725" i="8"/>
  <c r="G727" i="8"/>
  <c r="G729" i="8"/>
  <c r="G731" i="8"/>
  <c r="G735" i="8"/>
  <c r="G737" i="8"/>
  <c r="G739" i="8"/>
  <c r="G741" i="8"/>
  <c r="G743" i="8"/>
  <c r="G745" i="8"/>
  <c r="G747" i="8"/>
  <c r="G749" i="8"/>
  <c r="G753" i="8"/>
  <c r="G755" i="8"/>
  <c r="G757" i="8"/>
  <c r="G759" i="8"/>
  <c r="G761" i="8"/>
  <c r="G763" i="8"/>
  <c r="G765" i="8"/>
  <c r="G767" i="8"/>
  <c r="G769" i="8"/>
  <c r="G771" i="8"/>
  <c r="G773" i="8"/>
  <c r="G779" i="8"/>
  <c r="G781" i="8"/>
  <c r="G783" i="8"/>
  <c r="G785" i="8"/>
  <c r="G787" i="8"/>
  <c r="G789" i="8"/>
  <c r="G791" i="8"/>
  <c r="G793" i="8"/>
  <c r="G795" i="8"/>
  <c r="G797" i="8"/>
  <c r="G799" i="8"/>
  <c r="G801" i="8"/>
  <c r="G803" i="8"/>
  <c r="G805" i="8"/>
  <c r="G807" i="8"/>
  <c r="G809" i="8"/>
  <c r="G811" i="8"/>
  <c r="G813" i="8"/>
  <c r="G815" i="8"/>
  <c r="G817" i="8"/>
  <c r="G821" i="8"/>
  <c r="G823" i="8"/>
  <c r="G825" i="8"/>
  <c r="G827" i="8"/>
  <c r="G829" i="8"/>
  <c r="G831" i="8"/>
  <c r="G835" i="8"/>
  <c r="G837" i="8"/>
  <c r="G839" i="8"/>
  <c r="G841" i="8"/>
  <c r="G843" i="8"/>
  <c r="G847" i="8"/>
  <c r="G887" i="8"/>
  <c r="G1007" i="8"/>
  <c r="G1013" i="8"/>
  <c r="G1021" i="8"/>
  <c r="G1025" i="8"/>
  <c r="G1029" i="8"/>
  <c r="G1033" i="8"/>
  <c r="G1049" i="8"/>
  <c r="G1053" i="8"/>
  <c r="G1057" i="8"/>
  <c r="G1061" i="8"/>
  <c r="G1089" i="8"/>
  <c r="G1101" i="8"/>
  <c r="G1105" i="8"/>
  <c r="G1149" i="8"/>
  <c r="G1189" i="8"/>
  <c r="G1193" i="8"/>
  <c r="G1197" i="8"/>
  <c r="G1201" i="8"/>
  <c r="G1205" i="8"/>
  <c r="G1209" i="8"/>
  <c r="G1213" i="8"/>
  <c r="G1217" i="8"/>
  <c r="G1221" i="8"/>
  <c r="G1225" i="8"/>
  <c r="G1229" i="8"/>
  <c r="G1233" i="8"/>
  <c r="G1001" i="8"/>
  <c r="G1009" i="8"/>
  <c r="G1014" i="8"/>
  <c r="G1022" i="8"/>
  <c r="G1026" i="8"/>
  <c r="G1030" i="8"/>
  <c r="G1050" i="8"/>
  <c r="G1054" i="8"/>
  <c r="G1062" i="8"/>
  <c r="G1086" i="8"/>
  <c r="G1090" i="8"/>
  <c r="G1150" i="8"/>
  <c r="G1186" i="8"/>
  <c r="G1190" i="8"/>
  <c r="G1194" i="8"/>
  <c r="G1198" i="8"/>
  <c r="G1202" i="8"/>
  <c r="G1214" i="8"/>
  <c r="G1218" i="8"/>
  <c r="G1222" i="8"/>
  <c r="G1226" i="8"/>
  <c r="G1230" i="8"/>
  <c r="G1234" i="8"/>
  <c r="G1003" i="8"/>
  <c r="G1011" i="8"/>
  <c r="G1015" i="8"/>
  <c r="G1023" i="8"/>
  <c r="G1027" i="8"/>
  <c r="G1031" i="8"/>
  <c r="G1047" i="8"/>
  <c r="G1051" i="8"/>
  <c r="G1055" i="8"/>
  <c r="G1063" i="8"/>
  <c r="G1091" i="8"/>
  <c r="G1127" i="8"/>
  <c r="G1151" i="8"/>
  <c r="G1167" i="8"/>
  <c r="G1183" i="8"/>
  <c r="G1187" i="8"/>
  <c r="G1191" i="8"/>
  <c r="G1195" i="8"/>
  <c r="G1199" i="8"/>
  <c r="G1203" i="8"/>
  <c r="G1207" i="8"/>
  <c r="G1215" i="8"/>
  <c r="G1223" i="8"/>
  <c r="G1227" i="8"/>
  <c r="G1231" i="8"/>
  <c r="G1235" i="8"/>
  <c r="G1239" i="8"/>
  <c r="G1005" i="8"/>
  <c r="G1012" i="8"/>
  <c r="G1020" i="8"/>
  <c r="G1024" i="8"/>
  <c r="G1028" i="8"/>
  <c r="G1032" i="8"/>
  <c r="G1048" i="8"/>
  <c r="G1052" i="8"/>
  <c r="G1056" i="8"/>
  <c r="G1060" i="8"/>
  <c r="G1072" i="8"/>
  <c r="G1080" i="8"/>
  <c r="G1084" i="8"/>
  <c r="G1092" i="8"/>
  <c r="G1096" i="8"/>
  <c r="G1100" i="8"/>
  <c r="G1104" i="8"/>
  <c r="G1108" i="8"/>
  <c r="G1188" i="8"/>
  <c r="G1192" i="8"/>
  <c r="G1196" i="8"/>
  <c r="G1200" i="8"/>
  <c r="G1204" i="8"/>
  <c r="G1208" i="8"/>
  <c r="G1212" i="8"/>
  <c r="G1216" i="8"/>
  <c r="G1220" i="8"/>
  <c r="G1228" i="8"/>
  <c r="G1232" i="8"/>
  <c r="G1236" i="8"/>
  <c r="H3135" i="8"/>
  <c r="H3130" i="8"/>
  <c r="H3134" i="8"/>
  <c r="H3129" i="8"/>
  <c r="H3122" i="8"/>
  <c r="H3123" i="8"/>
  <c r="H3124" i="8"/>
  <c r="H3128" i="8"/>
  <c r="H3120" i="8"/>
  <c r="H3125" i="8"/>
  <c r="H3126" i="8"/>
  <c r="H3121" i="8"/>
  <c r="H3127" i="8"/>
  <c r="F628" i="6"/>
  <c r="F633" i="6"/>
  <c r="F622" i="6"/>
  <c r="F638" i="6"/>
  <c r="F639" i="6"/>
  <c r="F615" i="6"/>
  <c r="F131" i="7"/>
  <c r="F614" i="6"/>
  <c r="F640" i="6"/>
  <c r="F132" i="7"/>
  <c r="F617" i="6"/>
  <c r="F133" i="7"/>
  <c r="F616" i="6"/>
  <c r="H1387" i="8"/>
  <c r="H1384" i="8"/>
  <c r="H1379" i="8"/>
  <c r="H1371" i="8"/>
  <c r="H1370" i="8"/>
  <c r="H1362" i="8"/>
  <c r="H1376" i="8"/>
  <c r="H1373" i="8"/>
  <c r="F259" i="6"/>
  <c r="F66" i="7"/>
  <c r="H2690" i="8"/>
  <c r="H2693" i="8"/>
  <c r="H2689" i="8"/>
  <c r="H2682" i="8"/>
  <c r="H2691" i="8"/>
  <c r="H2692" i="8"/>
  <c r="H2688" i="8"/>
  <c r="H1388" i="8"/>
  <c r="G6055" i="5"/>
  <c r="H1495" i="8"/>
  <c r="H1431" i="8"/>
  <c r="H1442" i="8"/>
  <c r="H1456" i="8"/>
  <c r="H1400" i="8"/>
  <c r="H1510" i="8"/>
  <c r="H1465" i="8"/>
  <c r="H1466" i="8"/>
  <c r="H1507" i="8"/>
  <c r="H1718" i="8"/>
  <c r="H1791" i="8"/>
  <c r="H2014" i="8"/>
  <c r="H1942" i="8"/>
  <c r="H2027" i="8"/>
  <c r="H2095" i="8"/>
  <c r="H2152" i="8"/>
  <c r="H2246" i="8"/>
  <c r="H2330" i="8"/>
  <c r="H2391" i="8"/>
  <c r="H2512" i="8"/>
  <c r="H2500" i="8"/>
  <c r="H1511" i="8"/>
  <c r="H1726" i="8"/>
  <c r="H1800" i="8"/>
  <c r="H2022" i="8"/>
  <c r="H1943" i="8"/>
  <c r="H2035" i="8"/>
  <c r="H2160" i="8"/>
  <c r="H2298" i="8"/>
  <c r="H2254" i="8"/>
  <c r="H2338" i="8"/>
  <c r="H2439" i="8"/>
  <c r="H2520" i="8"/>
  <c r="H2508" i="8"/>
  <c r="H2594" i="8"/>
  <c r="H1524" i="8"/>
  <c r="H1662" i="8"/>
  <c r="H1673" i="8"/>
  <c r="H1765" i="8"/>
  <c r="H1728" i="8"/>
  <c r="H1912" i="8"/>
  <c r="H1976" i="8"/>
  <c r="H2156" i="8"/>
  <c r="H2187" i="8"/>
  <c r="H2288" i="8"/>
  <c r="H2372" i="8"/>
  <c r="H2328" i="8"/>
  <c r="H2389" i="8"/>
  <c r="H2518" i="8"/>
  <c r="H2490" i="8"/>
  <c r="H1429" i="8"/>
  <c r="H1540" i="8"/>
  <c r="H1647" i="8"/>
  <c r="H1642" i="8"/>
  <c r="H1731" i="8"/>
  <c r="H1823" i="8"/>
  <c r="H2077" i="8"/>
  <c r="H1961" i="8"/>
  <c r="H2066" i="8"/>
  <c r="H2114" i="8"/>
  <c r="H2196" i="8"/>
  <c r="H2305" i="8"/>
  <c r="H2253" i="8"/>
  <c r="H2448" i="8"/>
  <c r="H2421" i="8"/>
  <c r="H2535" i="8"/>
  <c r="H2515" i="8"/>
  <c r="H2591" i="8"/>
  <c r="H1437" i="8"/>
  <c r="H1541" i="8"/>
  <c r="H1655" i="8"/>
  <c r="H1650" i="8"/>
  <c r="H1870" i="8"/>
  <c r="H2085" i="8"/>
  <c r="H1962" i="8"/>
  <c r="H2074" i="8"/>
  <c r="H2115" i="8"/>
  <c r="H2204" i="8"/>
  <c r="H2313" i="8"/>
  <c r="H2261" i="8"/>
  <c r="H2456" i="8"/>
  <c r="H2425" i="8"/>
  <c r="H2543" i="8"/>
  <c r="H2523" i="8"/>
  <c r="H1390" i="8"/>
  <c r="H1534" i="8"/>
  <c r="H1769" i="8"/>
  <c r="H2029" i="8"/>
  <c r="H1955" i="8"/>
  <c r="H2018" i="8"/>
  <c r="H2108" i="8"/>
  <c r="H2142" i="8"/>
  <c r="H2257" i="8"/>
  <c r="H2205" i="8"/>
  <c r="H2415" i="8"/>
  <c r="H2397" i="8"/>
  <c r="H2487" i="8"/>
  <c r="H2467" i="8"/>
  <c r="H1484" i="8"/>
  <c r="H1567" i="8"/>
  <c r="H1661" i="8"/>
  <c r="H1759" i="8"/>
  <c r="H1746" i="8"/>
  <c r="H1988" i="8"/>
  <c r="H2072" i="8"/>
  <c r="H2130" i="8"/>
  <c r="H2283" i="8"/>
  <c r="H2247" i="8"/>
  <c r="H2432" i="8"/>
  <c r="H2410" i="8"/>
  <c r="H2505" i="8"/>
  <c r="H2485" i="8"/>
  <c r="H2586" i="8"/>
  <c r="H1512" i="8"/>
  <c r="H1638" i="8"/>
  <c r="H1649" i="8"/>
  <c r="H1704" i="8"/>
  <c r="H1909" i="8"/>
  <c r="H1973" i="8"/>
  <c r="H2065" i="8"/>
  <c r="H2132" i="8"/>
  <c r="H2292" i="8"/>
  <c r="H2264" i="8"/>
  <c r="H2348" i="8"/>
  <c r="H2437" i="8"/>
  <c r="H2365" i="8"/>
  <c r="H2494" i="8"/>
  <c r="H2466" i="8"/>
  <c r="H1398" i="8"/>
  <c r="H1501" i="8"/>
  <c r="H1439" i="8"/>
  <c r="H1474" i="8"/>
  <c r="H1464" i="8"/>
  <c r="H1514" i="8"/>
  <c r="H1473" i="8"/>
  <c r="H1486" i="8"/>
  <c r="H1529" i="8"/>
  <c r="H1656" i="8"/>
  <c r="H1659" i="8"/>
  <c r="H1782" i="8"/>
  <c r="H1729" i="8"/>
  <c r="H2078" i="8"/>
  <c r="H2159" i="8"/>
  <c r="H2310" i="8"/>
  <c r="H2358" i="8"/>
  <c r="H2576" i="8"/>
  <c r="H2564" i="8"/>
  <c r="H1530" i="8"/>
  <c r="H1664" i="8"/>
  <c r="H1667" i="8"/>
  <c r="H1788" i="8"/>
  <c r="H1737" i="8"/>
  <c r="H2086" i="8"/>
  <c r="H2122" i="8"/>
  <c r="H2167" i="8"/>
  <c r="H2225" i="8"/>
  <c r="H2317" i="8"/>
  <c r="H2399" i="8"/>
  <c r="H2366" i="8"/>
  <c r="H2584" i="8"/>
  <c r="H2572" i="8"/>
  <c r="H1452" i="8"/>
  <c r="H1563" i="8"/>
  <c r="H1629" i="8"/>
  <c r="H1727" i="8"/>
  <c r="H1835" i="8"/>
  <c r="H1714" i="8"/>
  <c r="H1789" i="8"/>
  <c r="H1984" i="8"/>
  <c r="H2040" i="8"/>
  <c r="H2155" i="8"/>
  <c r="H2251" i="8"/>
  <c r="H2215" i="8"/>
  <c r="H2416" i="8"/>
  <c r="H2392" i="8"/>
  <c r="H2473" i="8"/>
  <c r="H2582" i="8"/>
  <c r="H2554" i="8"/>
  <c r="H1617" i="8"/>
  <c r="H1709" i="8"/>
  <c r="H1805" i="8"/>
  <c r="H1969" i="8"/>
  <c r="H2033" i="8"/>
  <c r="H2157" i="8"/>
  <c r="H2260" i="8"/>
  <c r="H2232" i="8"/>
  <c r="H2316" i="8"/>
  <c r="H2369" i="8"/>
  <c r="H2462" i="8"/>
  <c r="H2579" i="8"/>
  <c r="H1500" i="8"/>
  <c r="H1614" i="8"/>
  <c r="H1625" i="8"/>
  <c r="H1717" i="8"/>
  <c r="H1970" i="8"/>
  <c r="H2041" i="8"/>
  <c r="H2165" i="8"/>
  <c r="H2268" i="8"/>
  <c r="H2240" i="8"/>
  <c r="H2324" i="8"/>
  <c r="H2377" i="8"/>
  <c r="H2341" i="8"/>
  <c r="H2470" i="8"/>
  <c r="H2587" i="8"/>
  <c r="H1445" i="8"/>
  <c r="H1663" i="8"/>
  <c r="H1658" i="8"/>
  <c r="H1747" i="8"/>
  <c r="H1963" i="8"/>
  <c r="H2082" i="8"/>
  <c r="H2116" i="8"/>
  <c r="H2212" i="8"/>
  <c r="H2184" i="8"/>
  <c r="H2269" i="8"/>
  <c r="H2321" i="8"/>
  <c r="H2429" i="8"/>
  <c r="H2551" i="8"/>
  <c r="H2531" i="8"/>
  <c r="H1509" i="8"/>
  <c r="H1435" i="8"/>
  <c r="H1628" i="8"/>
  <c r="H1716" i="8"/>
  <c r="H1802" i="8"/>
  <c r="H1932" i="8"/>
  <c r="H2052" i="8"/>
  <c r="H2039" i="8"/>
  <c r="H2129" i="8"/>
  <c r="H2210" i="8"/>
  <c r="H2311" i="8"/>
  <c r="H2355" i="8"/>
  <c r="H2450" i="8"/>
  <c r="H2569" i="8"/>
  <c r="H2549" i="8"/>
  <c r="H1428" i="8"/>
  <c r="H1560" i="8"/>
  <c r="H1703" i="8"/>
  <c r="H1811" i="8"/>
  <c r="H1690" i="8"/>
  <c r="H1768" i="8"/>
  <c r="H1917" i="8"/>
  <c r="H1981" i="8"/>
  <c r="H2016" i="8"/>
  <c r="H2131" i="8"/>
  <c r="H2227" i="8"/>
  <c r="H2191" i="8"/>
  <c r="H2404" i="8"/>
  <c r="H2455" i="8"/>
  <c r="H2558" i="8"/>
  <c r="H2530" i="8"/>
  <c r="H1450" i="8"/>
  <c r="H1505" i="8"/>
  <c r="H1447" i="8"/>
  <c r="H1472" i="8"/>
  <c r="H1518" i="8"/>
  <c r="H1405" i="8"/>
  <c r="H1537" i="8"/>
  <c r="H1623" i="8"/>
  <c r="H1618" i="8"/>
  <c r="H1707" i="8"/>
  <c r="H1799" i="8"/>
  <c r="H2053" i="8"/>
  <c r="H1958" i="8"/>
  <c r="H2042" i="8"/>
  <c r="H2111" i="8"/>
  <c r="H2166" i="8"/>
  <c r="H2281" i="8"/>
  <c r="H2229" i="8"/>
  <c r="H2427" i="8"/>
  <c r="H2409" i="8"/>
  <c r="H2511" i="8"/>
  <c r="H2491" i="8"/>
  <c r="H1538" i="8"/>
  <c r="H1631" i="8"/>
  <c r="H1626" i="8"/>
  <c r="H1715" i="8"/>
  <c r="H1807" i="8"/>
  <c r="H2061" i="8"/>
  <c r="H1959" i="8"/>
  <c r="H2050" i="8"/>
  <c r="H2112" i="8"/>
  <c r="H2174" i="8"/>
  <c r="H2289" i="8"/>
  <c r="H2237" i="8"/>
  <c r="H2431" i="8"/>
  <c r="H2413" i="8"/>
  <c r="H2519" i="8"/>
  <c r="H2499" i="8"/>
  <c r="H1487" i="8"/>
  <c r="H1403" i="8"/>
  <c r="H1801" i="8"/>
  <c r="H1778" i="8"/>
  <c r="H2020" i="8"/>
  <c r="H2007" i="8"/>
  <c r="H2162" i="8"/>
  <c r="H2279" i="8"/>
  <c r="H2323" i="8"/>
  <c r="H2426" i="8"/>
  <c r="H2537" i="8"/>
  <c r="H2517" i="8"/>
  <c r="H1670" i="8"/>
  <c r="H1681" i="8"/>
  <c r="H1773" i="8"/>
  <c r="H1736" i="8"/>
  <c r="H1913" i="8"/>
  <c r="H1977" i="8"/>
  <c r="H2164" i="8"/>
  <c r="H2195" i="8"/>
  <c r="H2296" i="8"/>
  <c r="H2380" i="8"/>
  <c r="H2336" i="8"/>
  <c r="H2441" i="8"/>
  <c r="H2526" i="8"/>
  <c r="H2498" i="8"/>
  <c r="H1404" i="8"/>
  <c r="H1557" i="8"/>
  <c r="H1678" i="8"/>
  <c r="H1694" i="8"/>
  <c r="H1781" i="8"/>
  <c r="H1877" i="8"/>
  <c r="H1914" i="8"/>
  <c r="H1978" i="8"/>
  <c r="H1992" i="8"/>
  <c r="H2172" i="8"/>
  <c r="H2203" i="8"/>
  <c r="H2304" i="8"/>
  <c r="H2388" i="8"/>
  <c r="H2344" i="8"/>
  <c r="H2449" i="8"/>
  <c r="H2534" i="8"/>
  <c r="H2506" i="8"/>
  <c r="H1504" i="8"/>
  <c r="H1550" i="8"/>
  <c r="H1622" i="8"/>
  <c r="H1633" i="8"/>
  <c r="H1725" i="8"/>
  <c r="H1821" i="8"/>
  <c r="H1688" i="8"/>
  <c r="H1971" i="8"/>
  <c r="H2049" i="8"/>
  <c r="H2173" i="8"/>
  <c r="H2276" i="8"/>
  <c r="H2248" i="8"/>
  <c r="H2332" i="8"/>
  <c r="H2385" i="8"/>
  <c r="H2349" i="8"/>
  <c r="H2478" i="8"/>
  <c r="H1406" i="8"/>
  <c r="H1583" i="8"/>
  <c r="H1686" i="8"/>
  <c r="H1780" i="8"/>
  <c r="H1998" i="8"/>
  <c r="H1940" i="8"/>
  <c r="H2011" i="8"/>
  <c r="H2136" i="8"/>
  <c r="H2274" i="8"/>
  <c r="H2230" i="8"/>
  <c r="H2451" i="8"/>
  <c r="H2375" i="8"/>
  <c r="H2496" i="8"/>
  <c r="H2484" i="8"/>
  <c r="H1492" i="8"/>
  <c r="H1669" i="8"/>
  <c r="H1767" i="8"/>
  <c r="H1875" i="8"/>
  <c r="H1754" i="8"/>
  <c r="H1820" i="8"/>
  <c r="H1925" i="8"/>
  <c r="H1996" i="8"/>
  <c r="H2080" i="8"/>
  <c r="H2138" i="8"/>
  <c r="H2291" i="8"/>
  <c r="H2438" i="8"/>
  <c r="H2414" i="8"/>
  <c r="H2513" i="8"/>
  <c r="H2493" i="8"/>
  <c r="H1481" i="8"/>
  <c r="H1490" i="8"/>
  <c r="H1513" i="8"/>
  <c r="H1455" i="8"/>
  <c r="H1399" i="8"/>
  <c r="H1480" i="8"/>
  <c r="H1469" i="8"/>
  <c r="H1684" i="8"/>
  <c r="H1685" i="8"/>
  <c r="H1771" i="8"/>
  <c r="H1966" i="8"/>
  <c r="H2009" i="8"/>
  <c r="H2236" i="8"/>
  <c r="H2208" i="8"/>
  <c r="H2293" i="8"/>
  <c r="H2345" i="8"/>
  <c r="H2444" i="8"/>
  <c r="H2575" i="8"/>
  <c r="H2555" i="8"/>
  <c r="H1477" i="8"/>
  <c r="H1693" i="8"/>
  <c r="H1779" i="8"/>
  <c r="H1967" i="8"/>
  <c r="H2017" i="8"/>
  <c r="H2141" i="8"/>
  <c r="H2244" i="8"/>
  <c r="H2216" i="8"/>
  <c r="H2301" i="8"/>
  <c r="H2353" i="8"/>
  <c r="H2452" i="8"/>
  <c r="H2583" i="8"/>
  <c r="H2563" i="8"/>
  <c r="H1525" i="8"/>
  <c r="H1467" i="8"/>
  <c r="H1579" i="8"/>
  <c r="H1660" i="8"/>
  <c r="H1865" i="8"/>
  <c r="H1748" i="8"/>
  <c r="H1989" i="8"/>
  <c r="H1936" i="8"/>
  <c r="H2084" i="8"/>
  <c r="H2071" i="8"/>
  <c r="H2161" i="8"/>
  <c r="H2242" i="8"/>
  <c r="H2198" i="8"/>
  <c r="H2387" i="8"/>
  <c r="H2343" i="8"/>
  <c r="H2464" i="8"/>
  <c r="H2581" i="8"/>
  <c r="H1460" i="8"/>
  <c r="H1564" i="8"/>
  <c r="H1637" i="8"/>
  <c r="H1735" i="8"/>
  <c r="H1722" i="8"/>
  <c r="H1793" i="8"/>
  <c r="H1985" i="8"/>
  <c r="H2048" i="8"/>
  <c r="H2163" i="8"/>
  <c r="H2259" i="8"/>
  <c r="H2223" i="8"/>
  <c r="H2420" i="8"/>
  <c r="H2398" i="8"/>
  <c r="H2481" i="8"/>
  <c r="H2590" i="8"/>
  <c r="H2562" i="8"/>
  <c r="H1468" i="8"/>
  <c r="H1565" i="8"/>
  <c r="H1645" i="8"/>
  <c r="H1730" i="8"/>
  <c r="H1796" i="8"/>
  <c r="H1986" i="8"/>
  <c r="H2056" i="8"/>
  <c r="H2171" i="8"/>
  <c r="H2267" i="8"/>
  <c r="H2231" i="8"/>
  <c r="H2424" i="8"/>
  <c r="H2402" i="8"/>
  <c r="H2489" i="8"/>
  <c r="H2469" i="8"/>
  <c r="H2570" i="8"/>
  <c r="H1558" i="8"/>
  <c r="H1589" i="8"/>
  <c r="H1687" i="8"/>
  <c r="H1795" i="8"/>
  <c r="H1752" i="8"/>
  <c r="H1915" i="8"/>
  <c r="H1979" i="8"/>
  <c r="H2000" i="8"/>
  <c r="H2180" i="8"/>
  <c r="H2211" i="8"/>
  <c r="H2312" i="8"/>
  <c r="H2396" i="8"/>
  <c r="H2352" i="8"/>
  <c r="H2457" i="8"/>
  <c r="H2542" i="8"/>
  <c r="H2514" i="8"/>
  <c r="H1470" i="8"/>
  <c r="H1527" i="8"/>
  <c r="H1640" i="8"/>
  <c r="H1643" i="8"/>
  <c r="H1766" i="8"/>
  <c r="H1840" i="8"/>
  <c r="H1713" i="8"/>
  <c r="H2062" i="8"/>
  <c r="H1948" i="8"/>
  <c r="H2075" i="8"/>
  <c r="H2143" i="8"/>
  <c r="H2201" i="8"/>
  <c r="H2294" i="8"/>
  <c r="H2378" i="8"/>
  <c r="H2342" i="8"/>
  <c r="H2560" i="8"/>
  <c r="H2548" i="8"/>
  <c r="H1443" i="8"/>
  <c r="H1636" i="8"/>
  <c r="H1724" i="8"/>
  <c r="H1810" i="8"/>
  <c r="H2060" i="8"/>
  <c r="H2047" i="8"/>
  <c r="H2137" i="8"/>
  <c r="H2320" i="8"/>
  <c r="H2363" i="8"/>
  <c r="H2319" i="8"/>
  <c r="H2577" i="8"/>
  <c r="H2557" i="8"/>
  <c r="H1522" i="8"/>
  <c r="H1489" i="8"/>
  <c r="H1433" i="8"/>
  <c r="H1498" i="8"/>
  <c r="H1430" i="8"/>
  <c r="H1517" i="8"/>
  <c r="H1463" i="8"/>
  <c r="H1407" i="8"/>
  <c r="H1488" i="8"/>
  <c r="H1516" i="8"/>
  <c r="H1553" i="8"/>
  <c r="H1646" i="8"/>
  <c r="H1657" i="8"/>
  <c r="H1749" i="8"/>
  <c r="H1845" i="8"/>
  <c r="H1712" i="8"/>
  <c r="H1910" i="8"/>
  <c r="H1974" i="8"/>
  <c r="H2073" i="8"/>
  <c r="H2140" i="8"/>
  <c r="H2300" i="8"/>
  <c r="H2272" i="8"/>
  <c r="H2356" i="8"/>
  <c r="H2445" i="8"/>
  <c r="H2373" i="8"/>
  <c r="H2502" i="8"/>
  <c r="H2474" i="8"/>
  <c r="H1520" i="8"/>
  <c r="H1554" i="8"/>
  <c r="H1654" i="8"/>
  <c r="H1665" i="8"/>
  <c r="H1757" i="8"/>
  <c r="H1720" i="8"/>
  <c r="H1911" i="8"/>
  <c r="H1975" i="8"/>
  <c r="H2148" i="8"/>
  <c r="H2308" i="8"/>
  <c r="H2280" i="8"/>
  <c r="H2364" i="8"/>
  <c r="H2453" i="8"/>
  <c r="H2381" i="8"/>
  <c r="H2510" i="8"/>
  <c r="H2482" i="8"/>
  <c r="H1438" i="8"/>
  <c r="H1515" i="8"/>
  <c r="H1611" i="8"/>
  <c r="H1734" i="8"/>
  <c r="H1808" i="8"/>
  <c r="H2030" i="8"/>
  <c r="H1944" i="8"/>
  <c r="H2043" i="8"/>
  <c r="H2168" i="8"/>
  <c r="H2306" i="8"/>
  <c r="H2262" i="8"/>
  <c r="H2346" i="8"/>
  <c r="H2447" i="8"/>
  <c r="H2528" i="8"/>
  <c r="H2516" i="8"/>
  <c r="H1809" i="8"/>
  <c r="H1692" i="8"/>
  <c r="H1786" i="8"/>
  <c r="H1929" i="8"/>
  <c r="H2028" i="8"/>
  <c r="H2015" i="8"/>
  <c r="H2170" i="8"/>
  <c r="H2186" i="8"/>
  <c r="H2287" i="8"/>
  <c r="H2331" i="8"/>
  <c r="H2430" i="8"/>
  <c r="H2545" i="8"/>
  <c r="H2525" i="8"/>
  <c r="H2621" i="8"/>
  <c r="H1612" i="8"/>
  <c r="H1700" i="8"/>
  <c r="H1790" i="8"/>
  <c r="H1860" i="8"/>
  <c r="H2036" i="8"/>
  <c r="H2023" i="8"/>
  <c r="H2178" i="8"/>
  <c r="H2194" i="8"/>
  <c r="H2434" i="8"/>
  <c r="H2553" i="8"/>
  <c r="H2533" i="8"/>
  <c r="H1476" i="8"/>
  <c r="H1653" i="8"/>
  <c r="H1751" i="8"/>
  <c r="H1804" i="8"/>
  <c r="H1987" i="8"/>
  <c r="H2064" i="8"/>
  <c r="H2179" i="8"/>
  <c r="H2275" i="8"/>
  <c r="H2239" i="8"/>
  <c r="H2428" i="8"/>
  <c r="H2406" i="8"/>
  <c r="H2497" i="8"/>
  <c r="H2477" i="8"/>
  <c r="H2578" i="8"/>
  <c r="H1535" i="8"/>
  <c r="H1822" i="8"/>
  <c r="H1691" i="8"/>
  <c r="H1777" i="8"/>
  <c r="H2037" i="8"/>
  <c r="H1956" i="8"/>
  <c r="H2026" i="8"/>
  <c r="H2109" i="8"/>
  <c r="H2150" i="8"/>
  <c r="H2265" i="8"/>
  <c r="H2213" i="8"/>
  <c r="H2419" i="8"/>
  <c r="H2401" i="8"/>
  <c r="H2495" i="8"/>
  <c r="H2475" i="8"/>
  <c r="H1503" i="8"/>
  <c r="H1584" i="8"/>
  <c r="H1587" i="8"/>
  <c r="H1710" i="8"/>
  <c r="H1787" i="8"/>
  <c r="H2006" i="8"/>
  <c r="H1941" i="8"/>
  <c r="H2019" i="8"/>
  <c r="H2282" i="8"/>
  <c r="H2238" i="8"/>
  <c r="H2322" i="8"/>
  <c r="H2383" i="8"/>
  <c r="H2492" i="8"/>
  <c r="H1432" i="8"/>
  <c r="H1526" i="8"/>
  <c r="H1497" i="8"/>
  <c r="H1441" i="8"/>
  <c r="H1482" i="8"/>
  <c r="H1454" i="8"/>
  <c r="H1521" i="8"/>
  <c r="H1471" i="8"/>
  <c r="H1436" i="8"/>
  <c r="H1561" i="8"/>
  <c r="H1613" i="8"/>
  <c r="H1711" i="8"/>
  <c r="H1698" i="8"/>
  <c r="H1776" i="8"/>
  <c r="H1918" i="8"/>
  <c r="H1982" i="8"/>
  <c r="H2024" i="8"/>
  <c r="H2139" i="8"/>
  <c r="H2235" i="8"/>
  <c r="H2199" i="8"/>
  <c r="H2408" i="8"/>
  <c r="H2376" i="8"/>
  <c r="H2460" i="8"/>
  <c r="H2566" i="8"/>
  <c r="H2538" i="8"/>
  <c r="H1444" i="8"/>
  <c r="H1562" i="8"/>
  <c r="H1621" i="8"/>
  <c r="H1719" i="8"/>
  <c r="H1827" i="8"/>
  <c r="H1706" i="8"/>
  <c r="H1784" i="8"/>
  <c r="H1919" i="8"/>
  <c r="H1983" i="8"/>
  <c r="H2032" i="8"/>
  <c r="H2147" i="8"/>
  <c r="H2243" i="8"/>
  <c r="H2207" i="8"/>
  <c r="H2412" i="8"/>
  <c r="H2465" i="8"/>
  <c r="H2574" i="8"/>
  <c r="H2546" i="8"/>
  <c r="H1586" i="8"/>
  <c r="H1531" i="8"/>
  <c r="H1672" i="8"/>
  <c r="H1675" i="8"/>
  <c r="H1792" i="8"/>
  <c r="H2005" i="8"/>
  <c r="H1952" i="8"/>
  <c r="H1994" i="8"/>
  <c r="H2105" i="8"/>
  <c r="H2175" i="8"/>
  <c r="H2233" i="8"/>
  <c r="H2181" i="8"/>
  <c r="H2403" i="8"/>
  <c r="H2374" i="8"/>
  <c r="H2463" i="8"/>
  <c r="H2580" i="8"/>
  <c r="H1475" i="8"/>
  <c r="H1580" i="8"/>
  <c r="H1668" i="8"/>
  <c r="H1756" i="8"/>
  <c r="H1991" i="8"/>
  <c r="H1937" i="8"/>
  <c r="H2079" i="8"/>
  <c r="H2169" i="8"/>
  <c r="H2250" i="8"/>
  <c r="H2206" i="8"/>
  <c r="H2395" i="8"/>
  <c r="H2351" i="8"/>
  <c r="H2472" i="8"/>
  <c r="H2589" i="8"/>
  <c r="H1483" i="8"/>
  <c r="H1581" i="8"/>
  <c r="H1676" i="8"/>
  <c r="H1881" i="8"/>
  <c r="H1764" i="8"/>
  <c r="H1850" i="8"/>
  <c r="H1993" i="8"/>
  <c r="H1938" i="8"/>
  <c r="H1995" i="8"/>
  <c r="H2177" i="8"/>
  <c r="H2258" i="8"/>
  <c r="H2214" i="8"/>
  <c r="H2435" i="8"/>
  <c r="H2359" i="8"/>
  <c r="H2480" i="8"/>
  <c r="H2468" i="8"/>
  <c r="H1620" i="8"/>
  <c r="H1825" i="8"/>
  <c r="H1708" i="8"/>
  <c r="H1794" i="8"/>
  <c r="H1931" i="8"/>
  <c r="H2044" i="8"/>
  <c r="H2031" i="8"/>
  <c r="H2121" i="8"/>
  <c r="H2202" i="8"/>
  <c r="H2303" i="8"/>
  <c r="H2347" i="8"/>
  <c r="H2442" i="8"/>
  <c r="H2561" i="8"/>
  <c r="H2541" i="8"/>
  <c r="H1453" i="8"/>
  <c r="H1543" i="8"/>
  <c r="H1671" i="8"/>
  <c r="H1666" i="8"/>
  <c r="H1755" i="8"/>
  <c r="H1964" i="8"/>
  <c r="H2117" i="8"/>
  <c r="H2220" i="8"/>
  <c r="H2192" i="8"/>
  <c r="H2277" i="8"/>
  <c r="H2329" i="8"/>
  <c r="H2433" i="8"/>
  <c r="H2559" i="8"/>
  <c r="H2539" i="8"/>
  <c r="H1478" i="8"/>
  <c r="H1528" i="8"/>
  <c r="H1648" i="8"/>
  <c r="H1651" i="8"/>
  <c r="H1774" i="8"/>
  <c r="H1721" i="8"/>
  <c r="H2070" i="8"/>
  <c r="H2083" i="8"/>
  <c r="H2102" i="8"/>
  <c r="H2151" i="8"/>
  <c r="H2209" i="8"/>
  <c r="H2302" i="8"/>
  <c r="H2386" i="8"/>
  <c r="H2350" i="8"/>
  <c r="H2568" i="8"/>
  <c r="H2556" i="8"/>
  <c r="H1496" i="8"/>
  <c r="H1440" i="8"/>
  <c r="H1402" i="8"/>
  <c r="H1502" i="8"/>
  <c r="H1449" i="8"/>
  <c r="H1462" i="8"/>
  <c r="H1394" i="8"/>
  <c r="H1479" i="8"/>
  <c r="H1677" i="8"/>
  <c r="H1775" i="8"/>
  <c r="H1883" i="8"/>
  <c r="H1762" i="8"/>
  <c r="H1828" i="8"/>
  <c r="H2004" i="8"/>
  <c r="H2146" i="8"/>
  <c r="H2263" i="8"/>
  <c r="H2446" i="8"/>
  <c r="H2418" i="8"/>
  <c r="H2521" i="8"/>
  <c r="H2501" i="8"/>
  <c r="H1588" i="8"/>
  <c r="H1783" i="8"/>
  <c r="H1770" i="8"/>
  <c r="H1927" i="8"/>
  <c r="H2012" i="8"/>
  <c r="H1999" i="8"/>
  <c r="H2154" i="8"/>
  <c r="H2307" i="8"/>
  <c r="H2271" i="8"/>
  <c r="H2454" i="8"/>
  <c r="H2422" i="8"/>
  <c r="H2529" i="8"/>
  <c r="H2509" i="8"/>
  <c r="H1539" i="8"/>
  <c r="H1639" i="8"/>
  <c r="H1634" i="8"/>
  <c r="H1723" i="8"/>
  <c r="H2069" i="8"/>
  <c r="H1960" i="8"/>
  <c r="H2058" i="8"/>
  <c r="H2113" i="8"/>
  <c r="H2188" i="8"/>
  <c r="H2297" i="8"/>
  <c r="H2245" i="8"/>
  <c r="H2440" i="8"/>
  <c r="H2417" i="8"/>
  <c r="H2527" i="8"/>
  <c r="H2507" i="8"/>
  <c r="H1446" i="8"/>
  <c r="H1519" i="8"/>
  <c r="H1616" i="8"/>
  <c r="H1619" i="8"/>
  <c r="H1689" i="8"/>
  <c r="H2038" i="8"/>
  <c r="H1945" i="8"/>
  <c r="H2051" i="8"/>
  <c r="H2098" i="8"/>
  <c r="H2176" i="8"/>
  <c r="H2314" i="8"/>
  <c r="H2270" i="8"/>
  <c r="H2354" i="8"/>
  <c r="H2318" i="8"/>
  <c r="H2536" i="8"/>
  <c r="H2524" i="8"/>
  <c r="H1523" i="8"/>
  <c r="H1624" i="8"/>
  <c r="H1627" i="8"/>
  <c r="H1750" i="8"/>
  <c r="H1824" i="8"/>
  <c r="H1697" i="8"/>
  <c r="H2046" i="8"/>
  <c r="H1946" i="8"/>
  <c r="H2059" i="8"/>
  <c r="H2185" i="8"/>
  <c r="H2278" i="8"/>
  <c r="H2362" i="8"/>
  <c r="H2326" i="8"/>
  <c r="H2544" i="8"/>
  <c r="H2532" i="8"/>
  <c r="H1491" i="8"/>
  <c r="H1582" i="8"/>
  <c r="H1683" i="8"/>
  <c r="H1772" i="8"/>
  <c r="H1997" i="8"/>
  <c r="H1939" i="8"/>
  <c r="H2003" i="8"/>
  <c r="H2092" i="8"/>
  <c r="H2266" i="8"/>
  <c r="H2222" i="8"/>
  <c r="H2443" i="8"/>
  <c r="H2367" i="8"/>
  <c r="H2488" i="8"/>
  <c r="H2476" i="8"/>
  <c r="H1508" i="8"/>
  <c r="H1630" i="8"/>
  <c r="H1641" i="8"/>
  <c r="H1733" i="8"/>
  <c r="H1696" i="8"/>
  <c r="H1908" i="8"/>
  <c r="H1972" i="8"/>
  <c r="H2057" i="8"/>
  <c r="H2284" i="8"/>
  <c r="H2256" i="8"/>
  <c r="H2340" i="8"/>
  <c r="H2393" i="8"/>
  <c r="H2357" i="8"/>
  <c r="H2486" i="8"/>
  <c r="H2458" i="8"/>
  <c r="H1397" i="8"/>
  <c r="H1536" i="8"/>
  <c r="H1615" i="8"/>
  <c r="H1610" i="8"/>
  <c r="H1830" i="8"/>
  <c r="H1699" i="8"/>
  <c r="H1785" i="8"/>
  <c r="H2045" i="8"/>
  <c r="H1957" i="8"/>
  <c r="H2034" i="8"/>
  <c r="H2110" i="8"/>
  <c r="H2158" i="8"/>
  <c r="H2273" i="8"/>
  <c r="H2221" i="8"/>
  <c r="H2423" i="8"/>
  <c r="H2405" i="8"/>
  <c r="H2503" i="8"/>
  <c r="H2483" i="8"/>
  <c r="H1448" i="8"/>
  <c r="H1506" i="8"/>
  <c r="H1457" i="8"/>
  <c r="H1401" i="8"/>
  <c r="H1494" i="8"/>
  <c r="H1458" i="8"/>
  <c r="H1451" i="8"/>
  <c r="H1644" i="8"/>
  <c r="H1732" i="8"/>
  <c r="H1934" i="8"/>
  <c r="H2068" i="8"/>
  <c r="H2055" i="8"/>
  <c r="H2226" i="8"/>
  <c r="H2182" i="8"/>
  <c r="H2371" i="8"/>
  <c r="H2327" i="8"/>
  <c r="H2585" i="8"/>
  <c r="H2565" i="8"/>
  <c r="H1459" i="8"/>
  <c r="H1578" i="8"/>
  <c r="H1652" i="8"/>
  <c r="H1857" i="8"/>
  <c r="H1740" i="8"/>
  <c r="H1826" i="8"/>
  <c r="H1990" i="8"/>
  <c r="H1935" i="8"/>
  <c r="H2076" i="8"/>
  <c r="H2063" i="8"/>
  <c r="H2153" i="8"/>
  <c r="H2234" i="8"/>
  <c r="H2190" i="8"/>
  <c r="H2379" i="8"/>
  <c r="H2592" i="8"/>
  <c r="H2573" i="8"/>
  <c r="H1485" i="8"/>
  <c r="H1609" i="8"/>
  <c r="H1701" i="8"/>
  <c r="H1797" i="8"/>
  <c r="H1879" i="8"/>
  <c r="H1968" i="8"/>
  <c r="H2025" i="8"/>
  <c r="H2149" i="8"/>
  <c r="H2252" i="8"/>
  <c r="H2224" i="8"/>
  <c r="H2309" i="8"/>
  <c r="H2361" i="8"/>
  <c r="H2325" i="8"/>
  <c r="H2571" i="8"/>
  <c r="H1434" i="8"/>
  <c r="H1532" i="8"/>
  <c r="H1680" i="8"/>
  <c r="H1682" i="8"/>
  <c r="H1798" i="8"/>
  <c r="H1753" i="8"/>
  <c r="H2013" i="8"/>
  <c r="H2002" i="8"/>
  <c r="H2106" i="8"/>
  <c r="H2241" i="8"/>
  <c r="H2189" i="8"/>
  <c r="H2407" i="8"/>
  <c r="H2382" i="8"/>
  <c r="H2471" i="8"/>
  <c r="H2588" i="8"/>
  <c r="H1533" i="8"/>
  <c r="H1702" i="8"/>
  <c r="H1806" i="8"/>
  <c r="H1761" i="8"/>
  <c r="H2021" i="8"/>
  <c r="H2010" i="8"/>
  <c r="H2107" i="8"/>
  <c r="H2134" i="8"/>
  <c r="H2249" i="8"/>
  <c r="H2197" i="8"/>
  <c r="H2411" i="8"/>
  <c r="H2390" i="8"/>
  <c r="H2479" i="8"/>
  <c r="H2459" i="8"/>
  <c r="H1585" i="8"/>
  <c r="H1632" i="8"/>
  <c r="H1635" i="8"/>
  <c r="H1758" i="8"/>
  <c r="H1705" i="8"/>
  <c r="H2054" i="8"/>
  <c r="H1947" i="8"/>
  <c r="H2067" i="8"/>
  <c r="H2135" i="8"/>
  <c r="H2193" i="8"/>
  <c r="H2286" i="8"/>
  <c r="H2370" i="8"/>
  <c r="H2552" i="8"/>
  <c r="H2540" i="8"/>
  <c r="H1559" i="8"/>
  <c r="H1695" i="8"/>
  <c r="H1803" i="8"/>
  <c r="H1760" i="8"/>
  <c r="H1916" i="8"/>
  <c r="H1980" i="8"/>
  <c r="H2008" i="8"/>
  <c r="H2183" i="8"/>
  <c r="H2400" i="8"/>
  <c r="H2360" i="8"/>
  <c r="H2461" i="8"/>
  <c r="H2550" i="8"/>
  <c r="H2522" i="8"/>
  <c r="H1461" i="8"/>
  <c r="H1544" i="8"/>
  <c r="H1679" i="8"/>
  <c r="H1674" i="8"/>
  <c r="H1763" i="8"/>
  <c r="H1855" i="8"/>
  <c r="H1965" i="8"/>
  <c r="H2001" i="8"/>
  <c r="H2228" i="8"/>
  <c r="H2200" i="8"/>
  <c r="H2285" i="8"/>
  <c r="H2337" i="8"/>
  <c r="H2436" i="8"/>
  <c r="H2567" i="8"/>
  <c r="H2547" i="8"/>
  <c r="H1350" i="8"/>
  <c r="F195" i="6"/>
  <c r="F115" i="6"/>
  <c r="G5199" i="5"/>
  <c r="F18" i="6"/>
  <c r="F210" i="6"/>
  <c r="F128" i="6"/>
  <c r="F230" i="6"/>
  <c r="F205" i="6"/>
  <c r="G205" i="6"/>
  <c r="F122" i="6"/>
  <c r="F140" i="6"/>
  <c r="F134" i="6"/>
  <c r="F127" i="6"/>
  <c r="F301" i="6"/>
  <c r="H1302" i="8"/>
  <c r="H1342" i="8"/>
  <c r="H1312" i="8"/>
  <c r="H1313" i="8"/>
  <c r="H1303" i="8"/>
  <c r="H1311" i="8"/>
  <c r="H1325" i="8"/>
  <c r="H1304" i="8"/>
  <c r="H1309" i="8"/>
  <c r="H1343" i="8"/>
  <c r="H1306" i="8"/>
  <c r="H1326" i="8"/>
  <c r="H1307" i="8"/>
  <c r="H1327" i="8"/>
  <c r="H1314" i="8"/>
  <c r="H1335" i="8"/>
  <c r="H1305" i="8"/>
  <c r="H1308" i="8"/>
  <c r="H1329" i="8"/>
  <c r="H1310" i="8"/>
  <c r="H1328" i="8"/>
  <c r="H755" i="8"/>
  <c r="H703" i="8"/>
  <c r="H727" i="8"/>
  <c r="H747" i="8"/>
  <c r="H699" i="8"/>
  <c r="H695" i="8"/>
  <c r="H1167" i="8"/>
  <c r="H1236" i="8"/>
  <c r="H1197" i="8"/>
  <c r="H779" i="8"/>
  <c r="H1189" i="8"/>
  <c r="H797" i="8"/>
  <c r="H1013" i="8"/>
  <c r="H789" i="8"/>
  <c r="H743" i="8"/>
  <c r="H691" i="8"/>
  <c r="H707" i="8"/>
  <c r="H731" i="8"/>
  <c r="H763" i="8"/>
  <c r="H739" i="8"/>
  <c r="H711" i="8"/>
  <c r="H1005" i="8"/>
  <c r="H1055" i="8"/>
  <c r="H1150" i="8"/>
  <c r="H1023" i="8"/>
  <c r="H771" i="8"/>
  <c r="H837" i="8"/>
  <c r="H1212" i="8"/>
  <c r="H829" i="8"/>
  <c r="H1220" i="8"/>
  <c r="H1228" i="8"/>
  <c r="F28" i="7"/>
  <c r="F231" i="6"/>
  <c r="F121" i="6"/>
  <c r="F159" i="6"/>
  <c r="F34" i="6"/>
  <c r="F90" i="6"/>
  <c r="F67" i="6"/>
  <c r="F331" i="6"/>
  <c r="F330" i="6"/>
  <c r="F260" i="6"/>
  <c r="F160" i="6"/>
  <c r="F116" i="6"/>
  <c r="F53" i="6"/>
  <c r="F317" i="6"/>
  <c r="F190" i="6"/>
  <c r="F66" i="6"/>
  <c r="F272" i="6"/>
  <c r="F33" i="6"/>
  <c r="F196" i="6"/>
  <c r="F172" i="6"/>
  <c r="F209" i="6"/>
  <c r="F302" i="6"/>
  <c r="F184" i="6"/>
  <c r="F316" i="6"/>
  <c r="F109" i="6"/>
  <c r="F244" i="6"/>
  <c r="F133" i="6"/>
  <c r="F309" i="6"/>
  <c r="F308" i="6"/>
  <c r="F189" i="6"/>
  <c r="F110" i="6"/>
  <c r="F211" i="6"/>
  <c r="F19" i="6"/>
  <c r="F100" i="6"/>
  <c r="F14" i="7"/>
  <c r="F291" i="6"/>
  <c r="F245" i="6"/>
  <c r="F343" i="6"/>
  <c r="F139" i="6"/>
  <c r="F73" i="6"/>
  <c r="H1349" i="8"/>
  <c r="H1385" i="8"/>
  <c r="G638" i="6"/>
  <c r="G131" i="7"/>
  <c r="F624" i="6"/>
  <c r="F634" i="6"/>
  <c r="G633" i="6"/>
  <c r="F629" i="6"/>
  <c r="G628" i="6"/>
  <c r="H1345" i="8"/>
  <c r="H1346" i="8"/>
  <c r="F99" i="7"/>
  <c r="F111" i="7"/>
  <c r="F103" i="7"/>
  <c r="F126" i="7"/>
  <c r="F117" i="7"/>
  <c r="F98" i="7"/>
  <c r="F112" i="7"/>
  <c r="F113" i="7"/>
  <c r="F97" i="7"/>
  <c r="F102" i="7"/>
  <c r="F116" i="7"/>
  <c r="F127" i="7"/>
  <c r="F101" i="7"/>
  <c r="F115" i="7"/>
  <c r="F100" i="7"/>
  <c r="F592" i="6"/>
  <c r="F561" i="6"/>
  <c r="F114" i="7"/>
  <c r="F601" i="6"/>
  <c r="F560" i="6"/>
  <c r="F486" i="6"/>
  <c r="F600" i="6"/>
  <c r="F591" i="6"/>
  <c r="F578" i="6"/>
  <c r="F546" i="6"/>
  <c r="F509" i="6"/>
  <c r="F598" i="6"/>
  <c r="F519" i="6"/>
  <c r="F508" i="6"/>
  <c r="F497" i="6"/>
  <c r="F597" i="6"/>
  <c r="F528" i="6"/>
  <c r="F518" i="6"/>
  <c r="F496" i="6"/>
  <c r="F489" i="6"/>
  <c r="F596" i="6"/>
  <c r="F584" i="6"/>
  <c r="F517" i="6"/>
  <c r="F495" i="6"/>
  <c r="F488" i="6"/>
  <c r="F552" i="6"/>
  <c r="F505" i="6"/>
  <c r="F494" i="6"/>
  <c r="F487" i="6"/>
  <c r="F534" i="6"/>
  <c r="F580" i="6"/>
  <c r="F547" i="6"/>
  <c r="F491" i="6"/>
  <c r="F568" i="6"/>
  <c r="F599" i="6"/>
  <c r="F492" i="6"/>
  <c r="F579" i="6"/>
  <c r="F493" i="6"/>
  <c r="F520" i="6"/>
  <c r="F559" i="6"/>
  <c r="F541" i="6"/>
  <c r="F507" i="6"/>
  <c r="F558" i="6"/>
  <c r="F535" i="6"/>
  <c r="F585" i="6"/>
  <c r="F540" i="6"/>
  <c r="F506" i="6"/>
  <c r="F530" i="6"/>
  <c r="F586" i="6"/>
  <c r="F529" i="6"/>
  <c r="F490" i="6"/>
  <c r="F548" i="6"/>
  <c r="F553" i="6"/>
  <c r="F554" i="6"/>
  <c r="F570" i="6"/>
  <c r="F569" i="6"/>
  <c r="F567" i="6"/>
  <c r="F566" i="6"/>
  <c r="F565" i="6"/>
  <c r="F445" i="6"/>
  <c r="F75" i="7"/>
  <c r="F472" i="6"/>
  <c r="F88" i="7"/>
  <c r="F456" i="6"/>
  <c r="F443" i="6"/>
  <c r="F453" i="6"/>
  <c r="F475" i="6"/>
  <c r="F473" i="6"/>
  <c r="F77" i="7"/>
  <c r="F76" i="7"/>
  <c r="F474" i="6"/>
  <c r="F78" i="7"/>
  <c r="F85" i="7"/>
  <c r="F441" i="6"/>
  <c r="F442" i="6"/>
  <c r="F83" i="7"/>
  <c r="F86" i="7"/>
  <c r="F477" i="6"/>
  <c r="F84" i="7"/>
  <c r="F455" i="6"/>
  <c r="F478" i="6"/>
  <c r="F444" i="6"/>
  <c r="F476" i="6"/>
  <c r="F457" i="6"/>
  <c r="F89" i="7"/>
  <c r="F454" i="6"/>
  <c r="F87" i="7"/>
  <c r="H1351" i="8"/>
  <c r="H6055" i="5"/>
  <c r="F430" i="6"/>
  <c r="F433" i="6"/>
  <c r="F431" i="6"/>
  <c r="F432" i="6"/>
  <c r="F363" i="6"/>
  <c r="F361" i="6"/>
  <c r="F362" i="6"/>
  <c r="F422" i="6"/>
  <c r="F420" i="6"/>
  <c r="F418" i="6"/>
  <c r="F419" i="6"/>
  <c r="F421" i="6"/>
  <c r="F387" i="6"/>
  <c r="F402" i="6"/>
  <c r="F65" i="7"/>
  <c r="F383" i="6"/>
  <c r="F370" i="6"/>
  <c r="F399" i="6"/>
  <c r="F63" i="7"/>
  <c r="F64" i="7"/>
  <c r="F41" i="7"/>
  <c r="F400" i="6"/>
  <c r="F406" i="6"/>
  <c r="F368" i="6"/>
  <c r="F409" i="6"/>
  <c r="F410" i="6"/>
  <c r="F376" i="6"/>
  <c r="F49" i="7"/>
  <c r="F51" i="7"/>
  <c r="F367" i="6"/>
  <c r="F396" i="6"/>
  <c r="F369" i="6"/>
  <c r="F50" i="7"/>
  <c r="F408" i="6"/>
  <c r="F48" i="7"/>
  <c r="F52" i="7"/>
  <c r="F401" i="6"/>
  <c r="F397" i="6"/>
  <c r="F39" i="7"/>
  <c r="F391" i="6"/>
  <c r="F42" i="7"/>
  <c r="F398" i="6"/>
  <c r="F388" i="6"/>
  <c r="F38" i="7"/>
  <c r="F40" i="7"/>
  <c r="F377" i="6"/>
  <c r="F407" i="6"/>
  <c r="F382" i="6"/>
  <c r="F61" i="7"/>
  <c r="F43" i="7"/>
  <c r="F44" i="7"/>
  <c r="F62" i="7"/>
  <c r="G18" i="6"/>
  <c r="F389" i="6"/>
  <c r="H58" i="8"/>
  <c r="I58" i="8"/>
  <c r="H642" i="8"/>
  <c r="H405" i="8"/>
  <c r="H626" i="8"/>
  <c r="H66" i="8"/>
  <c r="I66" i="8"/>
  <c r="H765" i="8"/>
  <c r="H735" i="8"/>
  <c r="H60" i="8"/>
  <c r="I60" i="8"/>
  <c r="H409" i="8"/>
  <c r="I294" i="8"/>
  <c r="H294" i="8"/>
  <c r="H666" i="8"/>
  <c r="H738" i="8"/>
  <c r="H484" i="8"/>
  <c r="H140" i="8"/>
  <c r="I140" i="8"/>
  <c r="H542" i="8"/>
  <c r="H1015" i="8"/>
  <c r="H1200" i="8"/>
  <c r="H811" i="8"/>
  <c r="H426" i="8"/>
  <c r="H402" i="8"/>
  <c r="H706" i="8"/>
  <c r="H1234" i="8"/>
  <c r="H1192" i="8"/>
  <c r="H1029" i="8"/>
  <c r="H638" i="8"/>
  <c r="H606" i="8"/>
  <c r="H482" i="8"/>
  <c r="H415" i="8"/>
  <c r="H602" i="8"/>
  <c r="H486" i="8"/>
  <c r="H596" i="8"/>
  <c r="H480" i="8"/>
  <c r="H76" i="8"/>
  <c r="I76" i="8"/>
  <c r="H428" i="8"/>
  <c r="H396" i="8"/>
  <c r="H672" i="8"/>
  <c r="H616" i="8"/>
  <c r="H450" i="8"/>
  <c r="H783" i="8"/>
  <c r="H1028" i="8"/>
  <c r="H624" i="8"/>
  <c r="H1060" i="8"/>
  <c r="H818" i="8"/>
  <c r="H646" i="8"/>
  <c r="H598" i="8"/>
  <c r="H490" i="8"/>
  <c r="H436" i="8"/>
  <c r="H676" i="8"/>
  <c r="H660" i="8"/>
  <c r="H644" i="8"/>
  <c r="H628" i="8"/>
  <c r="H612" i="8"/>
  <c r="H544" i="8"/>
  <c r="H470" i="8"/>
  <c r="H710" i="8"/>
  <c r="H1047" i="8"/>
  <c r="H600" i="8"/>
  <c r="I292" i="8"/>
  <c r="H292" i="8"/>
  <c r="H634" i="8"/>
  <c r="H468" i="8"/>
  <c r="H664" i="8"/>
  <c r="H532" i="8"/>
  <c r="H785" i="8"/>
  <c r="H670" i="8"/>
  <c r="H538" i="8"/>
  <c r="H464" i="8"/>
  <c r="H702" i="8"/>
  <c r="H138" i="8"/>
  <c r="I138" i="8"/>
  <c r="H558" i="8"/>
  <c r="H536" i="8"/>
  <c r="H422" i="8"/>
  <c r="H406" i="8"/>
  <c r="H390" i="8"/>
  <c r="I168" i="8"/>
  <c r="H168" i="8"/>
  <c r="H1205" i="8"/>
  <c r="H791" i="8"/>
  <c r="H550" i="8"/>
  <c r="H452" i="8"/>
  <c r="H984" i="8"/>
  <c r="H640" i="8"/>
  <c r="H840" i="8"/>
  <c r="H594" i="8"/>
  <c r="H1215" i="8"/>
  <c r="H648" i="8"/>
  <c r="H592" i="8"/>
  <c r="H540" i="8"/>
  <c r="H442" i="8"/>
  <c r="H20" i="8"/>
  <c r="I20" i="8"/>
  <c r="H662" i="8"/>
  <c r="H614" i="8"/>
  <c r="H546" i="8"/>
  <c r="H440" i="8"/>
  <c r="H424" i="8"/>
  <c r="H408" i="8"/>
  <c r="H726" i="8"/>
  <c r="H831" i="8"/>
  <c r="H813" i="8"/>
  <c r="H1000" i="8"/>
  <c r="H802" i="8"/>
  <c r="H462" i="8"/>
  <c r="H446" i="8"/>
  <c r="H812" i="8"/>
  <c r="H832" i="8"/>
  <c r="H821" i="8"/>
  <c r="H52" i="8"/>
  <c r="I52" i="8"/>
  <c r="H64" i="8"/>
  <c r="I64" i="8"/>
  <c r="H68" i="8"/>
  <c r="I68" i="8"/>
  <c r="H687" i="8"/>
  <c r="H610" i="8"/>
  <c r="H1183" i="8"/>
  <c r="H358" i="8"/>
  <c r="H389" i="8"/>
  <c r="H658" i="8"/>
  <c r="H74" i="8"/>
  <c r="I74" i="8"/>
  <c r="H767" i="8"/>
  <c r="H759" i="8"/>
  <c r="H70" i="8"/>
  <c r="I70" i="8"/>
  <c r="H397" i="8"/>
  <c r="H674" i="8"/>
  <c r="H417" i="8"/>
  <c r="H478" i="8"/>
  <c r="H500" i="8"/>
  <c r="H758" i="8"/>
  <c r="H391" i="8"/>
  <c r="H1186" i="8"/>
  <c r="H1092" i="8"/>
  <c r="H458" i="8"/>
  <c r="H418" i="8"/>
  <c r="H386" i="8"/>
  <c r="H795" i="8"/>
  <c r="H1201" i="8"/>
  <c r="H1105" i="8"/>
  <c r="H1057" i="8"/>
  <c r="H622" i="8"/>
  <c r="H474" i="8"/>
  <c r="H1031" i="8"/>
  <c r="H520" i="8"/>
  <c r="H504" i="8"/>
  <c r="H488" i="8"/>
  <c r="H142" i="8"/>
  <c r="I142" i="8"/>
  <c r="H502" i="8"/>
  <c r="H404" i="8"/>
  <c r="H1231" i="8"/>
  <c r="H632" i="8"/>
  <c r="H466" i="8"/>
  <c r="H1063" i="8"/>
  <c r="H1002" i="8"/>
  <c r="H799" i="8"/>
  <c r="H72" i="8"/>
  <c r="I72" i="8"/>
  <c r="H1008" i="8"/>
  <c r="H678" i="8"/>
  <c r="H630" i="8"/>
  <c r="H590" i="8"/>
  <c r="H456" i="8"/>
  <c r="H1209" i="8"/>
  <c r="H460" i="8"/>
  <c r="H684" i="8"/>
  <c r="H668" i="8"/>
  <c r="H652" i="8"/>
  <c r="H636" i="8"/>
  <c r="H620" i="8"/>
  <c r="H604" i="8"/>
  <c r="H552" i="8"/>
  <c r="H528" i="8"/>
  <c r="H438" i="8"/>
  <c r="H357" i="8"/>
  <c r="H1207" i="8"/>
  <c r="H434" i="8"/>
  <c r="H394" i="8"/>
  <c r="H650" i="8"/>
  <c r="H618" i="8"/>
  <c r="H548" i="8"/>
  <c r="H492" i="8"/>
  <c r="H766" i="8"/>
  <c r="H753" i="8"/>
  <c r="H554" i="8"/>
  <c r="H522" i="8"/>
  <c r="H734" i="8"/>
  <c r="I57" i="8"/>
  <c r="H57" i="8"/>
  <c r="H407" i="8"/>
  <c r="H689" i="8"/>
  <c r="H430" i="8"/>
  <c r="H398" i="8"/>
  <c r="H296" i="8"/>
  <c r="I296" i="8"/>
  <c r="H694" i="8"/>
  <c r="H954" i="8"/>
  <c r="H682" i="8"/>
  <c r="H526" i="8"/>
  <c r="H656" i="8"/>
  <c r="H835" i="8"/>
  <c r="H444" i="8"/>
  <c r="H388" i="8"/>
  <c r="H680" i="8"/>
  <c r="H608" i="8"/>
  <c r="H556" i="8"/>
  <c r="H524" i="8"/>
  <c r="H681" i="8"/>
  <c r="H1021" i="8"/>
  <c r="H654" i="8"/>
  <c r="H530" i="8"/>
  <c r="H498" i="8"/>
  <c r="H432" i="8"/>
  <c r="H400" i="8"/>
  <c r="I170" i="8"/>
  <c r="H170" i="8"/>
  <c r="H1050" i="8"/>
  <c r="H534" i="8"/>
  <c r="H815" i="8"/>
  <c r="H824" i="8"/>
  <c r="H808" i="8"/>
  <c r="H560" i="8"/>
  <c r="H454" i="8"/>
  <c r="H770" i="8"/>
  <c r="H803" i="8"/>
  <c r="H805" i="8"/>
  <c r="F15" i="7"/>
  <c r="F10" i="6"/>
  <c r="G622" i="6"/>
  <c r="G591" i="6"/>
  <c r="G558" i="6"/>
  <c r="G528" i="6"/>
  <c r="G578" i="6"/>
  <c r="G552" i="6"/>
  <c r="G546" i="6"/>
  <c r="G126" i="7"/>
  <c r="G38" i="7"/>
  <c r="G396" i="6"/>
  <c r="H769" i="8"/>
  <c r="I63" i="8"/>
  <c r="H63" i="8"/>
  <c r="H403" i="8"/>
  <c r="H589" i="8"/>
  <c r="H1089" i="8"/>
  <c r="H1232" i="8"/>
  <c r="H491" i="8"/>
  <c r="H451" i="8"/>
  <c r="H693" i="8"/>
  <c r="I71" i="8"/>
  <c r="H71" i="8"/>
  <c r="H830" i="8"/>
  <c r="H167" i="8"/>
  <c r="I167" i="8"/>
  <c r="H481" i="8"/>
  <c r="I69" i="8"/>
  <c r="H69" i="8"/>
  <c r="H487" i="8"/>
  <c r="H1010" i="8"/>
  <c r="H613" i="8"/>
  <c r="H793" i="8"/>
  <c r="H677" i="8"/>
  <c r="H688" i="8"/>
  <c r="H804" i="8"/>
  <c r="H816" i="8"/>
  <c r="H809" i="8"/>
  <c r="H1195" i="8"/>
  <c r="H649" i="8"/>
  <c r="H1218" i="8"/>
  <c r="H761" i="8"/>
  <c r="H665" i="8"/>
  <c r="H1208" i="8"/>
  <c r="H736" i="8"/>
  <c r="H1235" i="8"/>
  <c r="H387" i="8"/>
  <c r="H545" i="8"/>
  <c r="H843" i="8"/>
  <c r="H527" i="8"/>
  <c r="H141" i="8"/>
  <c r="I141" i="8"/>
  <c r="H647" i="8"/>
  <c r="I77" i="8"/>
  <c r="H77" i="8"/>
  <c r="H555" i="8"/>
  <c r="H599" i="8"/>
  <c r="H539" i="8"/>
  <c r="H611" i="8"/>
  <c r="H651" i="8"/>
  <c r="H667" i="8"/>
  <c r="H683" i="8"/>
  <c r="H587" i="8"/>
  <c r="H607" i="8"/>
  <c r="H631" i="8"/>
  <c r="H531" i="8"/>
  <c r="H615" i="8"/>
  <c r="H595" i="8"/>
  <c r="H635" i="8"/>
  <c r="H655" i="8"/>
  <c r="H671" i="8"/>
  <c r="H441" i="8"/>
  <c r="H749" i="8"/>
  <c r="H701" i="8"/>
  <c r="H1151" i="8"/>
  <c r="H445" i="8"/>
  <c r="H433" i="8"/>
  <c r="H1091" i="8"/>
  <c r="H401" i="8"/>
  <c r="H744" i="8"/>
  <c r="H457" i="8"/>
  <c r="H704" i="8"/>
  <c r="H1080" i="8"/>
  <c r="H1101" i="8"/>
  <c r="H529" i="8"/>
  <c r="H1204" i="8"/>
  <c r="H455" i="8"/>
  <c r="H469" i="8"/>
  <c r="H817" i="8"/>
  <c r="H537" i="8"/>
  <c r="H692" i="8"/>
  <c r="H601" i="8"/>
  <c r="H1223" i="8"/>
  <c r="I55" i="8"/>
  <c r="H55" i="8"/>
  <c r="H621" i="8"/>
  <c r="H847" i="8"/>
  <c r="H1216" i="8"/>
  <c r="H826" i="8"/>
  <c r="H493" i="8"/>
  <c r="H788" i="8"/>
  <c r="H787" i="8"/>
  <c r="H1090" i="8"/>
  <c r="H1203" i="8"/>
  <c r="H629" i="8"/>
  <c r="H1227" i="8"/>
  <c r="H810" i="8"/>
  <c r="H768" i="8"/>
  <c r="H696" i="8"/>
  <c r="H746" i="8"/>
  <c r="H686" i="8"/>
  <c r="H661" i="8"/>
  <c r="H1214" i="8"/>
  <c r="H295" i="8"/>
  <c r="I295" i="8"/>
  <c r="H411" i="8"/>
  <c r="H609" i="8"/>
  <c r="H637" i="8"/>
  <c r="H669" i="8"/>
  <c r="H1096" i="8"/>
  <c r="H1222" i="8"/>
  <c r="H950" i="8"/>
  <c r="H827" i="8"/>
  <c r="H169" i="8"/>
  <c r="I169" i="8"/>
  <c r="H449" i="8"/>
  <c r="H741" i="8"/>
  <c r="H1188" i="8"/>
  <c r="H745" i="8"/>
  <c r="H561" i="8"/>
  <c r="H732" i="8"/>
  <c r="H673" i="8"/>
  <c r="H427" i="8"/>
  <c r="H459" i="8"/>
  <c r="H1027" i="8"/>
  <c r="H1033" i="8"/>
  <c r="H1001" i="8"/>
  <c r="H773" i="8"/>
  <c r="H1056" i="8"/>
  <c r="H1052" i="8"/>
  <c r="H754" i="8"/>
  <c r="H848" i="8"/>
  <c r="H1225" i="8"/>
  <c r="H1191" i="8"/>
  <c r="H1229" i="8"/>
  <c r="H1199" i="8"/>
  <c r="H617" i="8"/>
  <c r="H549" i="8"/>
  <c r="H708" i="8"/>
  <c r="H1011" i="8"/>
  <c r="H461" i="8"/>
  <c r="H729" i="8"/>
  <c r="H1233" i="8"/>
  <c r="H814" i="8"/>
  <c r="H485" i="8"/>
  <c r="H730" i="8"/>
  <c r="H1020" i="8"/>
  <c r="H1030" i="8"/>
  <c r="H806" i="8"/>
  <c r="H1032" i="8"/>
  <c r="H790" i="8"/>
  <c r="H1048" i="8"/>
  <c r="H1012" i="8"/>
  <c r="H794" i="8"/>
  <c r="H990" i="8"/>
  <c r="H998" i="8"/>
  <c r="H842" i="8"/>
  <c r="H825" i="8"/>
  <c r="H1054" i="8"/>
  <c r="H792" i="8"/>
  <c r="H1196" i="8"/>
  <c r="H1194" i="8"/>
  <c r="H435" i="8"/>
  <c r="H467" i="8"/>
  <c r="H786" i="8"/>
  <c r="H465" i="8"/>
  <c r="H757" i="8"/>
  <c r="H497" i="8"/>
  <c r="H801" i="8"/>
  <c r="H752" i="8"/>
  <c r="H479" i="8"/>
  <c r="H471" i="8"/>
  <c r="H944" i="8"/>
  <c r="H836" i="8"/>
  <c r="H772" i="8"/>
  <c r="H709" i="8"/>
  <c r="H1024" i="8"/>
  <c r="H1022" i="8"/>
  <c r="I293" i="8"/>
  <c r="H293" i="8"/>
  <c r="I65" i="8"/>
  <c r="H65" i="8"/>
  <c r="H748" i="8"/>
  <c r="H1187" i="8"/>
  <c r="H1213" i="8"/>
  <c r="H1086" i="8"/>
  <c r="H1014" i="8"/>
  <c r="H760" i="8"/>
  <c r="H543" i="8"/>
  <c r="H603" i="8"/>
  <c r="H623" i="8"/>
  <c r="H591" i="8"/>
  <c r="H563" i="8"/>
  <c r="H639" i="8"/>
  <c r="H659" i="8"/>
  <c r="H675" i="8"/>
  <c r="H139" i="8"/>
  <c r="I139" i="8"/>
  <c r="H619" i="8"/>
  <c r="H551" i="8"/>
  <c r="H559" i="8"/>
  <c r="H547" i="8"/>
  <c r="H627" i="8"/>
  <c r="H643" i="8"/>
  <c r="H663" i="8"/>
  <c r="H439" i="8"/>
  <c r="H429" i="8"/>
  <c r="H521" i="8"/>
  <c r="H535" i="8"/>
  <c r="H679" i="8"/>
  <c r="H523" i="8"/>
  <c r="H443" i="8"/>
  <c r="H425" i="8"/>
  <c r="H437" i="8"/>
  <c r="H393" i="8"/>
  <c r="H782" i="8"/>
  <c r="H1217" i="8"/>
  <c r="H525" i="8"/>
  <c r="H431" i="8"/>
  <c r="H1193" i="8"/>
  <c r="H1230" i="8"/>
  <c r="H423" i="8"/>
  <c r="H399" i="8"/>
  <c r="I59" i="8"/>
  <c r="H59" i="8"/>
  <c r="H553" i="8"/>
  <c r="H489" i="8"/>
  <c r="H685" i="8"/>
  <c r="H724" i="8"/>
  <c r="H946" i="8"/>
  <c r="H798" i="8"/>
  <c r="H137" i="8"/>
  <c r="I137" i="8"/>
  <c r="H776" i="8"/>
  <c r="H844" i="8"/>
  <c r="H565" i="8"/>
  <c r="H725" i="8"/>
  <c r="H1072" i="8"/>
  <c r="H541" i="8"/>
  <c r="H778" i="8"/>
  <c r="H297" i="8"/>
  <c r="I297" i="8"/>
  <c r="H700" i="8"/>
  <c r="H1053" i="8"/>
  <c r="H1026" i="8"/>
  <c r="I61" i="8"/>
  <c r="H61" i="8"/>
  <c r="H1084" i="8"/>
  <c r="H712" i="8"/>
  <c r="H728" i="8"/>
  <c r="H1202" i="8"/>
  <c r="H1108" i="8"/>
  <c r="I291" i="8"/>
  <c r="H291" i="8"/>
  <c r="H697" i="8"/>
  <c r="H657" i="8"/>
  <c r="H1190" i="8"/>
  <c r="H1198" i="8"/>
  <c r="H1051" i="8"/>
  <c r="H1226" i="8"/>
  <c r="H1149" i="8"/>
  <c r="H453" i="8"/>
  <c r="H483" i="8"/>
  <c r="H395" i="8"/>
  <c r="H1100" i="8"/>
  <c r="I73" i="8"/>
  <c r="H73" i="8"/>
  <c r="H737" i="8"/>
  <c r="H625" i="8"/>
  <c r="H764" i="8"/>
  <c r="H641" i="8"/>
  <c r="H1104" i="8"/>
  <c r="H1061" i="8"/>
  <c r="H1009" i="8"/>
  <c r="H557" i="8"/>
  <c r="H784" i="8"/>
  <c r="H828" i="8"/>
  <c r="H841" i="8"/>
  <c r="H839" i="8"/>
  <c r="H807" i="8"/>
  <c r="H800" i="8"/>
  <c r="H645" i="8"/>
  <c r="H756" i="8"/>
  <c r="H1221" i="8"/>
  <c r="H447" i="8"/>
  <c r="H690" i="8"/>
  <c r="H633" i="8"/>
  <c r="H740" i="8"/>
  <c r="H705" i="8"/>
  <c r="H463" i="8"/>
  <c r="H533" i="8"/>
  <c r="H1049" i="8"/>
  <c r="H762" i="8"/>
  <c r="H698" i="8"/>
  <c r="H605" i="8"/>
  <c r="H781" i="8"/>
  <c r="H780" i="8"/>
  <c r="H1003" i="8"/>
  <c r="H1025" i="8"/>
  <c r="H887" i="8"/>
  <c r="H1007" i="8"/>
  <c r="H1062" i="8"/>
  <c r="H1004" i="8"/>
  <c r="I67" i="8"/>
  <c r="H67" i="8"/>
  <c r="H653" i="8"/>
  <c r="H838" i="8"/>
  <c r="H823" i="8"/>
  <c r="H822" i="8"/>
  <c r="H796" i="8"/>
  <c r="H1297" i="8"/>
  <c r="H1298" i="8"/>
  <c r="H1299" i="8"/>
  <c r="H1295" i="8"/>
  <c r="H1296" i="8"/>
  <c r="H1243" i="8"/>
  <c r="H1282" i="8"/>
  <c r="H1244" i="8"/>
  <c r="H1280" i="8"/>
  <c r="H1258" i="8"/>
  <c r="H1259" i="8"/>
  <c r="H1281" i="8"/>
  <c r="H1279" i="8"/>
  <c r="H1242" i="8"/>
  <c r="F371" i="6"/>
  <c r="H2145" i="8"/>
  <c r="H2144" i="8"/>
  <c r="H2701" i="8"/>
  <c r="H2702" i="8"/>
  <c r="H2703" i="8"/>
  <c r="H2698" i="8"/>
  <c r="H2704" i="8"/>
  <c r="H2705" i="8"/>
  <c r="H2699" i="8"/>
  <c r="H2700" i="8"/>
  <c r="H392" i="8"/>
  <c r="H2610" i="8"/>
  <c r="H1542" i="8"/>
  <c r="H1950" i="8"/>
  <c r="H1556" i="8"/>
  <c r="H1239" i="8"/>
  <c r="F183" i="6"/>
  <c r="F63" i="6"/>
  <c r="F27" i="7"/>
  <c r="F71" i="6"/>
  <c r="F30" i="7"/>
  <c r="F188" i="6"/>
  <c r="G188" i="6"/>
  <c r="F98" i="6"/>
  <c r="F232" i="6"/>
  <c r="F315" i="6"/>
  <c r="F345" i="6"/>
  <c r="F64" i="6"/>
  <c r="F158" i="6"/>
  <c r="F35" i="6"/>
  <c r="F9" i="7"/>
  <c r="F344" i="6"/>
  <c r="F332" i="6"/>
  <c r="F170" i="6"/>
  <c r="F88" i="6"/>
  <c r="F9" i="6"/>
  <c r="F261" i="6"/>
  <c r="F243" i="6"/>
  <c r="F327" i="6"/>
  <c r="F246" i="6"/>
  <c r="F213" i="6"/>
  <c r="F132" i="6"/>
  <c r="G132" i="6"/>
  <c r="F288" i="6"/>
  <c r="F257" i="6"/>
  <c r="F218" i="6"/>
  <c r="F55" i="6"/>
  <c r="F318" i="6"/>
  <c r="F271" i="6"/>
  <c r="F171" i="6"/>
  <c r="F333" i="6"/>
  <c r="F247" i="6"/>
  <c r="F289" i="6"/>
  <c r="F50" i="6"/>
  <c r="F114" i="6"/>
  <c r="G114" i="6"/>
  <c r="F29" i="6"/>
  <c r="F8" i="7"/>
  <c r="F138" i="6"/>
  <c r="G138" i="6"/>
  <c r="F256" i="6"/>
  <c r="F241" i="6"/>
  <c r="F222" i="6"/>
  <c r="F99" i="6"/>
  <c r="F89" i="6"/>
  <c r="F36" i="6"/>
  <c r="F156" i="6"/>
  <c r="F31" i="6"/>
  <c r="F290" i="6"/>
  <c r="F157" i="6"/>
  <c r="F314" i="6"/>
  <c r="F329" i="6"/>
  <c r="F32" i="6"/>
  <c r="F30" i="6"/>
  <c r="F255" i="6"/>
  <c r="F313" i="6"/>
  <c r="F26" i="7"/>
  <c r="F8" i="6"/>
  <c r="F223" i="6"/>
  <c r="F341" i="6"/>
  <c r="F319" i="6"/>
  <c r="F307" i="6"/>
  <c r="G307" i="6"/>
  <c r="F227" i="6"/>
  <c r="F228" i="6"/>
  <c r="F270" i="6"/>
  <c r="F13" i="7"/>
  <c r="G13" i="7"/>
  <c r="F161" i="6"/>
  <c r="F173" i="6"/>
  <c r="F108" i="6"/>
  <c r="G108" i="6"/>
  <c r="F360" i="6"/>
  <c r="G360" i="6"/>
  <c r="F54" i="6"/>
  <c r="F52" i="6"/>
  <c r="F299" i="6"/>
  <c r="F342" i="6"/>
  <c r="F29" i="7"/>
  <c r="F262" i="6"/>
  <c r="F194" i="6"/>
  <c r="G194" i="6"/>
  <c r="F182" i="6"/>
  <c r="F72" i="6"/>
  <c r="F229" i="6"/>
  <c r="F242" i="6"/>
  <c r="F300" i="6"/>
  <c r="F212" i="6"/>
  <c r="F233" i="6"/>
  <c r="F174" i="6"/>
  <c r="F126" i="6"/>
  <c r="G126" i="6"/>
  <c r="F258" i="6"/>
  <c r="F120" i="6"/>
  <c r="G120" i="6"/>
  <c r="F217" i="6"/>
  <c r="F328" i="6"/>
  <c r="G8" i="7"/>
  <c r="G209" i="6"/>
  <c r="G182" i="6"/>
  <c r="G217" i="6"/>
  <c r="G29" i="6"/>
  <c r="G222" i="6"/>
  <c r="F119" i="7"/>
  <c r="F120" i="7"/>
  <c r="F105" i="7"/>
  <c r="F91" i="7"/>
  <c r="F90" i="7"/>
  <c r="F53" i="7"/>
  <c r="F54" i="7"/>
  <c r="F68" i="7"/>
  <c r="F67" i="7"/>
  <c r="F447" i="6"/>
  <c r="F446" i="6"/>
  <c r="F412" i="6"/>
  <c r="F392" i="6"/>
  <c r="F618" i="6"/>
  <c r="G614" i="6"/>
  <c r="F480" i="6"/>
  <c r="G83" i="7"/>
  <c r="G48" i="7"/>
  <c r="F479" i="6"/>
  <c r="G61" i="7"/>
  <c r="G26" i="7"/>
  <c r="G441" i="6"/>
  <c r="G75" i="7"/>
  <c r="F462" i="6"/>
  <c r="F459" i="6"/>
  <c r="F463" i="6"/>
  <c r="F460" i="6"/>
  <c r="F464" i="6"/>
  <c r="F461" i="6"/>
  <c r="F458" i="6"/>
  <c r="F435" i="6"/>
  <c r="F411" i="6"/>
  <c r="G406" i="6"/>
  <c r="F434" i="6"/>
  <c r="H152" i="8"/>
  <c r="H156" i="8"/>
  <c r="F423" i="6"/>
  <c r="F424" i="6"/>
  <c r="H126" i="8"/>
  <c r="G367" i="6"/>
  <c r="H36" i="8"/>
  <c r="H13" i="8"/>
  <c r="H48" i="8"/>
  <c r="H12" i="8"/>
  <c r="H14" i="8"/>
  <c r="H31" i="8"/>
  <c r="H299" i="8"/>
  <c r="H316" i="8"/>
  <c r="H154" i="8"/>
  <c r="H41" i="8"/>
  <c r="H46" i="8"/>
  <c r="H10" i="8"/>
  <c r="H298" i="8"/>
  <c r="H51" i="8"/>
  <c r="H315" i="8"/>
  <c r="H17" i="8"/>
  <c r="H35" i="8"/>
  <c r="H153" i="8"/>
  <c r="H30" i="8"/>
  <c r="H49" i="8"/>
  <c r="H201" i="8"/>
  <c r="H11" i="8"/>
  <c r="H21" i="8"/>
  <c r="H186" i="8"/>
  <c r="H22" i="8"/>
  <c r="H44" i="8"/>
  <c r="H42" i="8"/>
  <c r="H317" i="8"/>
  <c r="H123" i="8"/>
  <c r="H122" i="8"/>
  <c r="H32" i="8"/>
  <c r="H25" i="8"/>
  <c r="H15" i="8"/>
  <c r="H125" i="8"/>
  <c r="H26" i="8"/>
  <c r="H37" i="8"/>
  <c r="H39" i="8"/>
  <c r="H33" i="8"/>
  <c r="H164" i="8"/>
  <c r="H27" i="8"/>
  <c r="H7" i="8"/>
  <c r="H124" i="8"/>
  <c r="H47" i="8"/>
  <c r="H23" i="8"/>
  <c r="H28" i="8"/>
  <c r="H24" i="8"/>
  <c r="H43" i="8"/>
  <c r="F303" i="6"/>
  <c r="G299" i="6"/>
  <c r="F346" i="6"/>
  <c r="F175" i="6"/>
  <c r="F12" i="6"/>
  <c r="F101" i="6"/>
  <c r="F347" i="6"/>
  <c r="F74" i="6"/>
  <c r="F273" i="6"/>
  <c r="F293" i="6"/>
  <c r="F75" i="6"/>
  <c r="F56" i="6"/>
  <c r="F176" i="6"/>
  <c r="F163" i="6"/>
  <c r="F164" i="6"/>
  <c r="F57" i="6"/>
  <c r="F11" i="6"/>
  <c r="F92" i="6"/>
  <c r="F264" i="6"/>
  <c r="F249" i="6"/>
  <c r="F335" i="6"/>
  <c r="F91" i="6"/>
  <c r="F102" i="6"/>
  <c r="F292" i="6"/>
  <c r="F248" i="6"/>
  <c r="F235" i="6"/>
  <c r="F274" i="6"/>
  <c r="F234" i="6"/>
  <c r="F320" i="6"/>
  <c r="F334" i="6"/>
  <c r="F321" i="6"/>
  <c r="F263" i="6"/>
  <c r="H1127" i="8"/>
  <c r="G472" i="6"/>
  <c r="H2118" i="8"/>
  <c r="H2103" i="8"/>
  <c r="G430" i="6"/>
  <c r="I47" i="8"/>
  <c r="I24" i="8"/>
  <c r="I39" i="8"/>
  <c r="I317" i="8"/>
  <c r="I42" i="8"/>
  <c r="I30" i="8"/>
  <c r="I315" i="8"/>
  <c r="I43" i="8"/>
  <c r="I153" i="8"/>
  <c r="I37" i="8"/>
  <c r="I35" i="8"/>
  <c r="I51" i="8"/>
  <c r="I156" i="8"/>
  <c r="I26" i="8"/>
  <c r="I44" i="8"/>
  <c r="I316" i="8"/>
  <c r="I28" i="8"/>
  <c r="I27" i="8"/>
  <c r="I164" i="8"/>
  <c r="I125" i="8"/>
  <c r="I201" i="8"/>
  <c r="I17" i="8"/>
  <c r="I10" i="8"/>
  <c r="I14" i="8"/>
  <c r="I23" i="8"/>
  <c r="I124" i="8"/>
  <c r="I32" i="8"/>
  <c r="I22" i="8"/>
  <c r="I41" i="8"/>
  <c r="I13" i="8"/>
  <c r="I33" i="8"/>
  <c r="I15" i="8"/>
  <c r="I123" i="8"/>
  <c r="I186" i="8"/>
  <c r="I21" i="8"/>
  <c r="I49" i="8"/>
  <c r="I298" i="8"/>
  <c r="I299" i="8"/>
  <c r="I12" i="8"/>
  <c r="I154" i="8"/>
  <c r="I31" i="8"/>
  <c r="I126" i="8"/>
  <c r="I122" i="8"/>
  <c r="I7" i="8"/>
  <c r="I25" i="8"/>
  <c r="I11" i="8"/>
  <c r="I46" i="8"/>
  <c r="I48" i="8"/>
  <c r="I36" i="8"/>
  <c r="I152" i="8"/>
  <c r="H192" i="8"/>
  <c r="H330" i="8"/>
  <c r="H108" i="8"/>
  <c r="G418" i="6"/>
  <c r="H151" i="8"/>
  <c r="H133" i="8"/>
  <c r="H159" i="8"/>
  <c r="H16" i="8"/>
  <c r="H212" i="8"/>
  <c r="H98" i="8"/>
  <c r="H149" i="8"/>
  <c r="H177" i="8"/>
  <c r="H104" i="8"/>
  <c r="H118" i="8"/>
  <c r="H191" i="8"/>
  <c r="H226" i="8"/>
  <c r="H195" i="8"/>
  <c r="H206" i="8"/>
  <c r="H29" i="8"/>
  <c r="H302" i="8"/>
  <c r="H323" i="8"/>
  <c r="H272" i="8"/>
  <c r="H184" i="8"/>
  <c r="H221" i="8"/>
  <c r="H304" i="8"/>
  <c r="H50" i="8"/>
  <c r="H78" i="8"/>
  <c r="H75" i="8"/>
  <c r="H8" i="8"/>
  <c r="H161" i="8"/>
  <c r="H263" i="8"/>
  <c r="H144" i="8"/>
  <c r="H313" i="8"/>
  <c r="H183" i="8"/>
  <c r="H34" i="8"/>
  <c r="H157" i="8"/>
  <c r="H84" i="8"/>
  <c r="H158" i="8"/>
  <c r="H143" i="8"/>
  <c r="H100" i="8"/>
  <c r="H311" i="8"/>
  <c r="H308" i="8"/>
  <c r="H45" i="8"/>
  <c r="H222" i="8"/>
  <c r="H62" i="8"/>
  <c r="H342" i="8"/>
  <c r="H198" i="8"/>
  <c r="H277" i="8"/>
  <c r="H85" i="8"/>
  <c r="H38" i="8"/>
  <c r="H18" i="8"/>
  <c r="H321" i="8"/>
  <c r="H166" i="8"/>
  <c r="H200" i="8"/>
  <c r="H271" i="8"/>
  <c r="H301" i="8"/>
  <c r="H40" i="8"/>
  <c r="H303" i="8"/>
  <c r="H276" i="8"/>
  <c r="H273" i="8"/>
  <c r="G288" i="6"/>
  <c r="G88" i="6"/>
  <c r="G227" i="6"/>
  <c r="G71" i="6"/>
  <c r="G50" i="6"/>
  <c r="G270" i="6"/>
  <c r="G170" i="6"/>
  <c r="G255" i="6"/>
  <c r="G313" i="6"/>
  <c r="G327" i="6"/>
  <c r="G241" i="6"/>
  <c r="G8" i="6"/>
  <c r="G156" i="6"/>
  <c r="G98" i="6"/>
  <c r="G341" i="6"/>
  <c r="H2124" i="8"/>
  <c r="F466" i="6"/>
  <c r="F375" i="6"/>
  <c r="G375" i="6"/>
  <c r="H1599" i="8"/>
  <c r="H1603" i="8"/>
  <c r="H1602" i="8"/>
  <c r="H1598" i="8"/>
  <c r="H1601" i="8"/>
  <c r="H1600" i="8"/>
  <c r="H1597" i="8"/>
  <c r="H1596" i="8"/>
  <c r="H1595" i="8"/>
  <c r="H1594" i="8"/>
  <c r="H1593" i="8"/>
  <c r="H2119" i="8"/>
  <c r="H2123" i="8"/>
  <c r="H2133" i="8"/>
  <c r="H2126" i="8"/>
  <c r="H2125" i="8"/>
  <c r="H2127" i="8"/>
  <c r="H2120" i="8"/>
  <c r="H2097" i="8"/>
  <c r="H2128" i="8"/>
  <c r="H217" i="8"/>
  <c r="I217" i="8"/>
  <c r="H213" i="8"/>
  <c r="I213" i="8"/>
  <c r="I200" i="8"/>
  <c r="I40" i="8"/>
  <c r="I85" i="8"/>
  <c r="I330" i="8"/>
  <c r="I321" i="8"/>
  <c r="I158" i="8"/>
  <c r="I313" i="8"/>
  <c r="I8" i="8"/>
  <c r="I50" i="8"/>
  <c r="I177" i="8"/>
  <c r="I133" i="8"/>
  <c r="I277" i="8"/>
  <c r="I342" i="8"/>
  <c r="I62" i="8"/>
  <c r="I75" i="8"/>
  <c r="I184" i="8"/>
  <c r="I302" i="8"/>
  <c r="I151" i="8"/>
  <c r="I276" i="8"/>
  <c r="I18" i="8"/>
  <c r="I192" i="8"/>
  <c r="I308" i="8"/>
  <c r="I143" i="8"/>
  <c r="I157" i="8"/>
  <c r="I34" i="8"/>
  <c r="I159" i="8"/>
  <c r="I16" i="8"/>
  <c r="I303" i="8"/>
  <c r="I263" i="8"/>
  <c r="I304" i="8"/>
  <c r="I191" i="8"/>
  <c r="I149" i="8"/>
  <c r="I98" i="8"/>
  <c r="I183" i="8"/>
  <c r="I272" i="8"/>
  <c r="I195" i="8"/>
  <c r="I118" i="8"/>
  <c r="I104" i="8"/>
  <c r="I108" i="8"/>
  <c r="I273" i="8"/>
  <c r="I166" i="8"/>
  <c r="I198" i="8"/>
  <c r="I222" i="8"/>
  <c r="I311" i="8"/>
  <c r="I100" i="8"/>
  <c r="I84" i="8"/>
  <c r="I144" i="8"/>
  <c r="I221" i="8"/>
  <c r="I29" i="8"/>
  <c r="I226" i="8"/>
  <c r="I301" i="8"/>
  <c r="I271" i="8"/>
  <c r="I38" i="8"/>
  <c r="I45" i="8"/>
  <c r="I161" i="8"/>
  <c r="I78" i="8"/>
  <c r="I323" i="8"/>
  <c r="I206" i="8"/>
  <c r="I212" i="8"/>
  <c r="H339" i="8"/>
  <c r="H88" i="8"/>
  <c r="H337" i="8"/>
  <c r="H341" i="8"/>
  <c r="H196" i="8"/>
  <c r="H99" i="8"/>
  <c r="H203" i="8"/>
  <c r="H286" i="8"/>
  <c r="H211" i="8"/>
  <c r="H223" i="8"/>
  <c r="H172" i="8"/>
  <c r="H190" i="8"/>
  <c r="H102" i="8"/>
  <c r="H284" i="8"/>
  <c r="H343" i="8"/>
  <c r="H335" i="8"/>
  <c r="H205" i="8"/>
  <c r="H189" i="8"/>
  <c r="H81" i="8"/>
  <c r="H134" i="8"/>
  <c r="H163" i="8"/>
  <c r="H283" i="8"/>
  <c r="H146" i="8"/>
  <c r="H220" i="8"/>
  <c r="H344" i="8"/>
  <c r="H160" i="8"/>
  <c r="H241" i="8"/>
  <c r="H131" i="8"/>
  <c r="H207" i="8"/>
  <c r="H136" i="8"/>
  <c r="H132" i="8"/>
  <c r="H135" i="8"/>
  <c r="H267" i="8"/>
  <c r="H175" i="8"/>
  <c r="H320" i="8"/>
  <c r="H305" i="8"/>
  <c r="H176" i="8"/>
  <c r="H109" i="8"/>
  <c r="H319" i="8"/>
  <c r="H329" i="8"/>
  <c r="H268" i="8"/>
  <c r="H80" i="8"/>
  <c r="H258" i="8"/>
  <c r="H309" i="8"/>
  <c r="H264" i="8"/>
  <c r="H147" i="8"/>
  <c r="H307" i="8"/>
  <c r="H214" i="8"/>
  <c r="H215" i="8"/>
  <c r="H269" i="8"/>
  <c r="H204" i="8"/>
  <c r="H185" i="8"/>
  <c r="H218" i="8"/>
  <c r="H54" i="8"/>
  <c r="H179" i="8"/>
  <c r="H105" i="8"/>
  <c r="H155" i="8"/>
  <c r="H197" i="8"/>
  <c r="H117" i="8"/>
  <c r="H265" i="8"/>
  <c r="H127" i="8"/>
  <c r="H348" i="8"/>
  <c r="H314" i="8"/>
  <c r="H150" i="8"/>
  <c r="H199" i="8"/>
  <c r="H162" i="8"/>
  <c r="H202" i="8"/>
  <c r="H194" i="8"/>
  <c r="H90" i="8"/>
  <c r="H173" i="8"/>
  <c r="H93" i="8"/>
  <c r="H193" i="8"/>
  <c r="H56" i="8"/>
  <c r="H174" i="8"/>
  <c r="H145" i="8"/>
  <c r="H257" i="8"/>
  <c r="H210" i="8"/>
  <c r="H331" i="8"/>
  <c r="H116" i="8"/>
  <c r="H121" i="8"/>
  <c r="H260" i="8"/>
  <c r="H345" i="8"/>
  <c r="H19" i="8"/>
  <c r="H328" i="8"/>
  <c r="H256" i="8"/>
  <c r="H53" i="8"/>
  <c r="H238" i="8"/>
  <c r="H259" i="8"/>
  <c r="H219" i="8"/>
  <c r="H182" i="8"/>
  <c r="H181" i="8"/>
  <c r="H178" i="8"/>
  <c r="H208" i="8"/>
  <c r="H261" i="8"/>
  <c r="H92" i="8"/>
  <c r="H103" i="8"/>
  <c r="H6" i="8"/>
  <c r="H336" i="8"/>
  <c r="I336" i="8"/>
  <c r="F465" i="6"/>
  <c r="G453" i="6"/>
  <c r="H1592" i="8"/>
  <c r="H2093" i="8"/>
  <c r="H1590" i="8"/>
  <c r="H2101" i="8"/>
  <c r="H2089" i="8"/>
  <c r="I181" i="8"/>
  <c r="I345" i="8"/>
  <c r="I210" i="8"/>
  <c r="I56" i="8"/>
  <c r="I199" i="8"/>
  <c r="I109" i="8"/>
  <c r="I175" i="8"/>
  <c r="I132" i="8"/>
  <c r="I136" i="8"/>
  <c r="I283" i="8"/>
  <c r="I205" i="8"/>
  <c r="I223" i="8"/>
  <c r="I196" i="8"/>
  <c r="I259" i="8"/>
  <c r="I121" i="8"/>
  <c r="I257" i="8"/>
  <c r="I174" i="8"/>
  <c r="I127" i="8"/>
  <c r="I307" i="8"/>
  <c r="I268" i="8"/>
  <c r="I305" i="8"/>
  <c r="I267" i="8"/>
  <c r="I207" i="8"/>
  <c r="I211" i="8"/>
  <c r="I203" i="8"/>
  <c r="I256" i="8"/>
  <c r="I215" i="8"/>
  <c r="I220" i="8"/>
  <c r="I163" i="8"/>
  <c r="I103" i="8"/>
  <c r="I208" i="8"/>
  <c r="I193" i="8"/>
  <c r="I202" i="8"/>
  <c r="I197" i="8"/>
  <c r="I178" i="8"/>
  <c r="I182" i="8"/>
  <c r="I328" i="8"/>
  <c r="I93" i="8"/>
  <c r="I194" i="8"/>
  <c r="I162" i="8"/>
  <c r="I150" i="8"/>
  <c r="I265" i="8"/>
  <c r="I179" i="8"/>
  <c r="I204" i="8"/>
  <c r="I147" i="8"/>
  <c r="I309" i="8"/>
  <c r="I329" i="8"/>
  <c r="I320" i="8"/>
  <c r="I135" i="8"/>
  <c r="I131" i="8"/>
  <c r="I146" i="8"/>
  <c r="I284" i="8"/>
  <c r="I99" i="8"/>
  <c r="I238" i="8"/>
  <c r="I134" i="8"/>
  <c r="I335" i="8"/>
  <c r="I339" i="8"/>
  <c r="I92" i="8"/>
  <c r="I116" i="8"/>
  <c r="I145" i="8"/>
  <c r="I269" i="8"/>
  <c r="I261" i="8"/>
  <c r="I19" i="8"/>
  <c r="I314" i="8"/>
  <c r="I348" i="8"/>
  <c r="I54" i="8"/>
  <c r="I185" i="8"/>
  <c r="I264" i="8"/>
  <c r="I258" i="8"/>
  <c r="I319" i="8"/>
  <c r="I160" i="8"/>
  <c r="I81" i="8"/>
  <c r="I189" i="8"/>
  <c r="I102" i="8"/>
  <c r="I341" i="8"/>
  <c r="I260" i="8"/>
  <c r="I331" i="8"/>
  <c r="I173" i="8"/>
  <c r="I155" i="8"/>
  <c r="I176" i="8"/>
  <c r="I190" i="8"/>
  <c r="I172" i="8"/>
  <c r="I337" i="8"/>
  <c r="I219" i="8"/>
  <c r="I53" i="8"/>
  <c r="I90" i="8"/>
  <c r="I117" i="8"/>
  <c r="I105" i="8"/>
  <c r="I218" i="8"/>
  <c r="I214" i="8"/>
  <c r="I80" i="8"/>
  <c r="I241" i="8"/>
  <c r="I344" i="8"/>
  <c r="I343" i="8"/>
  <c r="I286" i="8"/>
  <c r="I88" i="8"/>
  <c r="I6" i="8"/>
  <c r="H324" i="8"/>
  <c r="H114" i="8"/>
  <c r="H180" i="8"/>
  <c r="H338" i="8"/>
  <c r="H129" i="8"/>
  <c r="H236" i="8"/>
  <c r="F381" i="6"/>
  <c r="G381" i="6"/>
  <c r="H233" i="8"/>
  <c r="H188" i="8"/>
  <c r="H9" i="8"/>
  <c r="H288" i="8"/>
  <c r="H209" i="8"/>
  <c r="H237" i="8"/>
  <c r="H318" i="8"/>
  <c r="H101" i="8"/>
  <c r="H240" i="8"/>
  <c r="H285" i="8"/>
  <c r="H270" i="8"/>
  <c r="H300" i="8"/>
  <c r="H216" i="8"/>
  <c r="H289" i="8"/>
  <c r="H274" i="8"/>
  <c r="H224" i="8"/>
  <c r="H239" i="8"/>
  <c r="H312" i="8"/>
  <c r="H106" i="8"/>
  <c r="H225" i="8"/>
  <c r="H333" i="8"/>
  <c r="H340" i="8"/>
  <c r="H266" i="8"/>
  <c r="F65" i="6"/>
  <c r="H1555" i="8"/>
  <c r="H1591" i="8"/>
  <c r="H2090" i="8"/>
  <c r="H2091" i="8"/>
  <c r="I106" i="8"/>
  <c r="I224" i="8"/>
  <c r="I318" i="8"/>
  <c r="I209" i="8"/>
  <c r="I188" i="8"/>
  <c r="I236" i="8"/>
  <c r="I338" i="8"/>
  <c r="I101" i="8"/>
  <c r="I312" i="8"/>
  <c r="I274" i="8"/>
  <c r="I300" i="8"/>
  <c r="I288" i="8"/>
  <c r="I129" i="8"/>
  <c r="I180" i="8"/>
  <c r="I233" i="8"/>
  <c r="I333" i="8"/>
  <c r="I216" i="8"/>
  <c r="I266" i="8"/>
  <c r="I340" i="8"/>
  <c r="I225" i="8"/>
  <c r="I289" i="8"/>
  <c r="I285" i="8"/>
  <c r="I114" i="8"/>
  <c r="I270" i="8"/>
  <c r="I237" i="8"/>
  <c r="I9" i="8"/>
  <c r="I324" i="8"/>
  <c r="I239" i="8"/>
  <c r="I240" i="8"/>
  <c r="H115" i="8"/>
  <c r="H112" i="8"/>
  <c r="F390" i="6"/>
  <c r="G387" i="6"/>
  <c r="H128" i="8"/>
  <c r="H322" i="8"/>
  <c r="H334" i="8"/>
  <c r="H113" i="8"/>
  <c r="H306" i="8"/>
  <c r="H287" i="8"/>
  <c r="H107" i="8"/>
  <c r="H97" i="8"/>
  <c r="H235" i="8"/>
  <c r="G63" i="6"/>
  <c r="H2094" i="8"/>
  <c r="H325" i="8"/>
  <c r="I325" i="8"/>
  <c r="I287" i="8"/>
  <c r="I113" i="8"/>
  <c r="I322" i="8"/>
  <c r="I306" i="8"/>
  <c r="I112" i="8"/>
  <c r="I97" i="8"/>
  <c r="I128" i="8"/>
  <c r="I115" i="8"/>
  <c r="I107" i="8"/>
  <c r="I334" i="8"/>
  <c r="I235" i="8"/>
  <c r="H119" i="8"/>
  <c r="H326" i="8"/>
  <c r="H187" i="8"/>
  <c r="H310" i="8"/>
  <c r="H148" i="8"/>
  <c r="H171" i="8"/>
  <c r="H327" i="8"/>
  <c r="H262" i="8"/>
  <c r="H332" i="8"/>
  <c r="I327" i="8"/>
  <c r="I187" i="8"/>
  <c r="I171" i="8"/>
  <c r="I148" i="8"/>
  <c r="I332" i="8"/>
  <c r="I326" i="8"/>
  <c r="I310" i="8"/>
  <c r="I119" i="8"/>
  <c r="I262" i="8"/>
  <c r="H275" i="8"/>
  <c r="H279" i="8"/>
  <c r="H165" i="8"/>
  <c r="H278" i="8"/>
  <c r="H282" i="8"/>
  <c r="H281" i="8"/>
  <c r="H280" i="8"/>
  <c r="I280" i="8"/>
  <c r="I279" i="8"/>
  <c r="I278" i="8"/>
  <c r="I275" i="8"/>
  <c r="I165" i="8"/>
  <c r="I281" i="8"/>
  <c r="I282" i="8"/>
  <c r="H227" i="8"/>
  <c r="H120" i="8"/>
  <c r="I227" i="8"/>
  <c r="I120" i="8"/>
  <c r="H290" i="8"/>
  <c r="H2741" i="8"/>
  <c r="H2773" i="8"/>
  <c r="H2790" i="8"/>
  <c r="H2803" i="8"/>
  <c r="H2810" i="8"/>
  <c r="H2826" i="8"/>
  <c r="H2842" i="8"/>
  <c r="H2941" i="8"/>
  <c r="H2961" i="8"/>
  <c r="H2977" i="8"/>
  <c r="H3009" i="8"/>
  <c r="H3061" i="8"/>
  <c r="H3077" i="8"/>
  <c r="H3109" i="8"/>
  <c r="H2718" i="8"/>
  <c r="H2734" i="8"/>
  <c r="H2766" i="8"/>
  <c r="H2782" i="8"/>
  <c r="H2921" i="8"/>
  <c r="H2835" i="8"/>
  <c r="H2851" i="8"/>
  <c r="H2867" i="8"/>
  <c r="H2954" i="8"/>
  <c r="H2970" i="8"/>
  <c r="H2986" i="8"/>
  <c r="H3070" i="8"/>
  <c r="H3086" i="8"/>
  <c r="H3102" i="8"/>
  <c r="H3118" i="8"/>
  <c r="H2723" i="8"/>
  <c r="H2739" i="8"/>
  <c r="H2755" i="8"/>
  <c r="H2771" i="8"/>
  <c r="H2787" i="8"/>
  <c r="H2799" i="8"/>
  <c r="H2808" i="8"/>
  <c r="H2840" i="8"/>
  <c r="H2856" i="8"/>
  <c r="H2888" i="8"/>
  <c r="H2959" i="8"/>
  <c r="H3007" i="8"/>
  <c r="H3016" i="8"/>
  <c r="H3059" i="8"/>
  <c r="H3075" i="8"/>
  <c r="H3107" i="8"/>
  <c r="H2728" i="8"/>
  <c r="H2760" i="8"/>
  <c r="H2776" i="8"/>
  <c r="H2796" i="8"/>
  <c r="H2915" i="8"/>
  <c r="H2845" i="8"/>
  <c r="H2947" i="8"/>
  <c r="H3055" i="8"/>
  <c r="H2964" i="8"/>
  <c r="H3021" i="8"/>
  <c r="H3064" i="8"/>
  <c r="H3080" i="8"/>
  <c r="H3112" i="8"/>
  <c r="H2745" i="8"/>
  <c r="H2761" i="8"/>
  <c r="H2777" i="8"/>
  <c r="H2798" i="8"/>
  <c r="H2916" i="8"/>
  <c r="H2846" i="8"/>
  <c r="H2862" i="8"/>
  <c r="H2949" i="8"/>
  <c r="H2965" i="8"/>
  <c r="H2997" i="8"/>
  <c r="H3065" i="8"/>
  <c r="H3081" i="8"/>
  <c r="H3113" i="8"/>
  <c r="H2738" i="8"/>
  <c r="H2754" i="8"/>
  <c r="H2770" i="8"/>
  <c r="H2786" i="8"/>
  <c r="H2797" i="8"/>
  <c r="H2807" i="8"/>
  <c r="H2839" i="8"/>
  <c r="H2935" i="8"/>
  <c r="H2944" i="8"/>
  <c r="H2958" i="8"/>
  <c r="H2974" i="8"/>
  <c r="H3006" i="8"/>
  <c r="H3015" i="8"/>
  <c r="H3058" i="8"/>
  <c r="H3074" i="8"/>
  <c r="H3106" i="8"/>
  <c r="H2727" i="8"/>
  <c r="H2743" i="8"/>
  <c r="H2759" i="8"/>
  <c r="H2775" i="8"/>
  <c r="H2794" i="8"/>
  <c r="H2914" i="8"/>
  <c r="H2844" i="8"/>
  <c r="H2963" i="8"/>
  <c r="H3063" i="8"/>
  <c r="H3079" i="8"/>
  <c r="H3111" i="8"/>
  <c r="H2716" i="8"/>
  <c r="H2732" i="8"/>
  <c r="H2764" i="8"/>
  <c r="H2780" i="8"/>
  <c r="H2804" i="8"/>
  <c r="H2919" i="8"/>
  <c r="H2849" i="8"/>
  <c r="H2865" i="8"/>
  <c r="H2913" i="8"/>
  <c r="H2952" i="8"/>
  <c r="H2968" i="8"/>
  <c r="H3000" i="8"/>
  <c r="H3056" i="8"/>
  <c r="H3068" i="8"/>
  <c r="H3084" i="8"/>
  <c r="H2717" i="8"/>
  <c r="H2733" i="8"/>
  <c r="H2749" i="8"/>
  <c r="H2781" i="8"/>
  <c r="H2920" i="8"/>
  <c r="H2834" i="8"/>
  <c r="H2850" i="8"/>
  <c r="H2866" i="8"/>
  <c r="H2925" i="8"/>
  <c r="H2953" i="8"/>
  <c r="H2969" i="8"/>
  <c r="H3010" i="8"/>
  <c r="H3069" i="8"/>
  <c r="H3085" i="8"/>
  <c r="H2726" i="8"/>
  <c r="H2758" i="8"/>
  <c r="H2774" i="8"/>
  <c r="H2792" i="8"/>
  <c r="H2805" i="8"/>
  <c r="H2811" i="8"/>
  <c r="H2827" i="8"/>
  <c r="H2843" i="8"/>
  <c r="H2943" i="8"/>
  <c r="H3054" i="8"/>
  <c r="H2962" i="8"/>
  <c r="H3062" i="8"/>
  <c r="H3078" i="8"/>
  <c r="H3110" i="8"/>
  <c r="H2731" i="8"/>
  <c r="H2763" i="8"/>
  <c r="H2779" i="8"/>
  <c r="H2802" i="8"/>
  <c r="H2918" i="8"/>
  <c r="H2848" i="8"/>
  <c r="H2864" i="8"/>
  <c r="H2951" i="8"/>
  <c r="H2967" i="8"/>
  <c r="H2983" i="8"/>
  <c r="H2999" i="8"/>
  <c r="H3067" i="8"/>
  <c r="H3083" i="8"/>
  <c r="H3099" i="8"/>
  <c r="H3115" i="8"/>
  <c r="H2720" i="8"/>
  <c r="H2768" i="8"/>
  <c r="H2784" i="8"/>
  <c r="H2793" i="8"/>
  <c r="H2837" i="8"/>
  <c r="H2956" i="8"/>
  <c r="H2972" i="8"/>
  <c r="H2988" i="8"/>
  <c r="H3072" i="8"/>
  <c r="H3088" i="8"/>
  <c r="H3104" i="8"/>
  <c r="H2721" i="8"/>
  <c r="H2737" i="8"/>
  <c r="H2769" i="8"/>
  <c r="H2785" i="8"/>
  <c r="H2795" i="8"/>
  <c r="H2838" i="8"/>
  <c r="H2942" i="8"/>
  <c r="H2957" i="8"/>
  <c r="H2973" i="8"/>
  <c r="H2989" i="8"/>
  <c r="H3005" i="8"/>
  <c r="H3057" i="8"/>
  <c r="H3073" i="8"/>
  <c r="H3105" i="8"/>
  <c r="H2730" i="8"/>
  <c r="H2746" i="8"/>
  <c r="H2762" i="8"/>
  <c r="H2778" i="8"/>
  <c r="H2800" i="8"/>
  <c r="H2917" i="8"/>
  <c r="H2847" i="8"/>
  <c r="H2863" i="8"/>
  <c r="H2928" i="8"/>
  <c r="H2950" i="8"/>
  <c r="H2966" i="8"/>
  <c r="H2998" i="8"/>
  <c r="H3023" i="8"/>
  <c r="H3066" i="8"/>
  <c r="H3082" i="8"/>
  <c r="H3114" i="8"/>
  <c r="H2719" i="8"/>
  <c r="H2751" i="8"/>
  <c r="H2767" i="8"/>
  <c r="H2791" i="8"/>
  <c r="H2922" i="8"/>
  <c r="H2836" i="8"/>
  <c r="H2852" i="8"/>
  <c r="H2955" i="8"/>
  <c r="H2971" i="8"/>
  <c r="H2987" i="8"/>
  <c r="H3071" i="8"/>
  <c r="H3087" i="8"/>
  <c r="H3103" i="8"/>
  <c r="H3119" i="8"/>
  <c r="H2756" i="8"/>
  <c r="H2772" i="8"/>
  <c r="H2788" i="8"/>
  <c r="H2801" i="8"/>
  <c r="H2809" i="8"/>
  <c r="H2841" i="8"/>
  <c r="H2889" i="8"/>
  <c r="H2960" i="8"/>
  <c r="H2976" i="8"/>
  <c r="H3008" i="8"/>
  <c r="H3017" i="8"/>
  <c r="H3060" i="8"/>
  <c r="H3076" i="8"/>
  <c r="H3108" i="8"/>
  <c r="I290" i="8"/>
  <c r="H79" i="8"/>
  <c r="H232" i="8"/>
  <c r="H234" i="8"/>
  <c r="H1743" i="8"/>
  <c r="H1744" i="8"/>
  <c r="I234" i="8"/>
  <c r="I79" i="8"/>
  <c r="I232" i="8"/>
  <c r="H247" i="8"/>
  <c r="H1745" i="8"/>
  <c r="H1742" i="8"/>
  <c r="H242" i="8"/>
  <c r="H246" i="8"/>
  <c r="H243" i="8"/>
  <c r="H245" i="8"/>
  <c r="H1741" i="8"/>
  <c r="H1739" i="8"/>
  <c r="I245" i="8"/>
  <c r="I246" i="8"/>
  <c r="I247" i="8"/>
  <c r="I242" i="8"/>
  <c r="I243" i="8"/>
  <c r="H244" i="8"/>
  <c r="H1738" i="8"/>
  <c r="I244" i="8"/>
  <c r="H248" i="8"/>
  <c r="I248" i="8"/>
  <c r="H91" i="8"/>
  <c r="H110" i="8"/>
  <c r="H251" i="8"/>
  <c r="H95" i="8"/>
  <c r="H255" i="8"/>
  <c r="H89" i="8"/>
  <c r="H252" i="8"/>
  <c r="H253" i="8"/>
  <c r="H250" i="8"/>
  <c r="H230" i="8"/>
  <c r="I91" i="8"/>
  <c r="I253" i="8"/>
  <c r="I89" i="8"/>
  <c r="I250" i="8"/>
  <c r="I255" i="8"/>
  <c r="I95" i="8"/>
  <c r="I110" i="8"/>
  <c r="I252" i="8"/>
  <c r="I230" i="8"/>
  <c r="I251" i="8"/>
  <c r="H228" i="8"/>
  <c r="H94" i="8"/>
  <c r="H231" i="8"/>
  <c r="H254" i="8"/>
  <c r="H130" i="8"/>
  <c r="H86" i="8"/>
  <c r="H111" i="8"/>
  <c r="H249" i="8"/>
  <c r="H96" i="8"/>
  <c r="H229" i="8"/>
  <c r="I231" i="8"/>
  <c r="I228" i="8"/>
  <c r="I86" i="8"/>
  <c r="I96" i="8"/>
  <c r="I249" i="8"/>
  <c r="I130" i="8"/>
  <c r="I229" i="8"/>
  <c r="I111" i="8"/>
  <c r="I254" i="8"/>
  <c r="I94" i="8"/>
  <c r="H83" i="8"/>
  <c r="H82" i="8"/>
  <c r="I82" i="8"/>
  <c r="I83" i="8"/>
  <c r="H87" i="8"/>
  <c r="I87" i="8"/>
  <c r="H347" i="8"/>
  <c r="H346" i="8"/>
  <c r="I346" i="8"/>
  <c r="I347" i="8"/>
  <c r="F511" i="6"/>
  <c r="F104" i="7"/>
  <c r="F510" i="6"/>
  <c r="G505" i="6"/>
  <c r="G97" i="7"/>
  <c r="F498" i="6"/>
  <c r="F499" i="6"/>
  <c r="G486" i="6"/>
  <c r="H2636" i="8"/>
  <c r="H2655" i="8"/>
  <c r="H2670" i="8"/>
  <c r="H2679" i="8"/>
  <c r="H2644" i="8"/>
  <c r="H2660" i="8"/>
  <c r="H2634" i="8"/>
  <c r="H2639" i="8"/>
  <c r="H2657" i="8"/>
  <c r="H2671" i="8"/>
  <c r="H2680" i="8"/>
  <c r="H2646" i="8"/>
  <c r="H2662" i="8"/>
  <c r="H2640" i="8"/>
  <c r="H2643" i="8"/>
  <c r="H2659" i="8"/>
  <c r="H2672" i="8"/>
  <c r="H2681" i="8"/>
  <c r="H2648" i="8"/>
  <c r="H2664" i="8"/>
  <c r="H2628" i="8"/>
  <c r="H2645" i="8"/>
  <c r="H2661" i="8"/>
  <c r="H2673" i="8"/>
  <c r="H2625" i="8"/>
  <c r="H2650" i="8"/>
  <c r="H2666" i="8"/>
  <c r="H2633" i="8"/>
  <c r="H2647" i="8"/>
  <c r="H2663" i="8"/>
  <c r="H2675" i="8"/>
  <c r="H2630" i="8"/>
  <c r="H2652" i="8"/>
  <c r="H2669" i="8"/>
  <c r="H2641" i="8"/>
  <c r="H2649" i="8"/>
  <c r="H2665" i="8"/>
  <c r="H2676" i="8"/>
  <c r="H2635" i="8"/>
  <c r="H2654" i="8"/>
  <c r="H2674" i="8"/>
  <c r="H2626" i="8"/>
  <c r="H2627" i="8"/>
  <c r="H2651" i="8"/>
  <c r="H2667" i="8"/>
  <c r="H2677" i="8"/>
  <c r="H2637" i="8"/>
  <c r="H2656" i="8"/>
  <c r="H2624" i="8"/>
  <c r="H2631" i="8"/>
  <c r="H2632" i="8"/>
  <c r="H2653" i="8"/>
  <c r="H2668" i="8"/>
  <c r="H2678" i="8"/>
  <c r="H2642" i="8"/>
  <c r="H2658" i="8"/>
  <c r="H2629" i="8"/>
  <c r="H2638" i="8"/>
  <c r="F587" i="6"/>
  <c r="G584" i="6"/>
  <c r="F118" i="7"/>
  <c r="G111" i="7"/>
  <c r="F521" i="6"/>
  <c r="F571" i="6"/>
  <c r="F602" i="6"/>
  <c r="F522" i="6"/>
  <c r="F572" i="6"/>
  <c r="F603" i="6"/>
  <c r="G596" i="6"/>
  <c r="G517" i="6"/>
  <c r="G565" i="6"/>
  <c r="F536" i="6"/>
  <c r="F542" i="6"/>
  <c r="G540" i="6"/>
  <c r="G534" i="6"/>
  <c r="I3143" i="8"/>
  <c r="I3142" i="8"/>
</calcChain>
</file>

<file path=xl/sharedStrings.xml><?xml version="1.0" encoding="utf-8"?>
<sst xmlns="http://schemas.openxmlformats.org/spreadsheetml/2006/main" count="25289" uniqueCount="7781">
  <si>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</si>
  <si>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</si>
  <si>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</si>
  <si>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</si>
  <si>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</si>
  <si>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</si>
  <si>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</si>
  <si>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</si>
  <si>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</si>
  <si>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</si>
  <si>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</si>
  <si>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</si>
  <si>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</si>
  <si>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</si>
  <si>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</si>
  <si>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</si>
  <si>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</si>
  <si>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</si>
  <si>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</si>
  <si>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</si>
  <si>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</si>
  <si>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</si>
  <si>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</si>
  <si>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</si>
  <si>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</si>
  <si>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</si>
  <si>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</si>
  <si>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</si>
  <si>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</si>
  <si>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</si>
  <si>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</si>
  <si>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</si>
  <si>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</si>
  <si>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</si>
  <si>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</si>
  <si>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</si>
  <si>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</si>
  <si>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</si>
  <si>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</si>
  <si>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</si>
  <si>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</si>
  <si>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</si>
  <si>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</si>
  <si>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</si>
  <si>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</si>
  <si>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</si>
  <si>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</si>
  <si>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</si>
  <si>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</si>
  <si>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</si>
  <si>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</si>
  <si>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</si>
  <si>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</si>
  <si>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</si>
  <si>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</si>
  <si>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</si>
  <si>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</si>
  <si>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</si>
  <si>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</si>
  <si>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</si>
  <si>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</si>
  <si>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</si>
  <si>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</si>
  <si>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</si>
  <si>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</si>
  <si>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</si>
  <si>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</si>
  <si>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</si>
  <si>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</si>
  <si>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</si>
  <si>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</si>
  <si>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</si>
  <si>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</si>
  <si>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</si>
  <si>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</si>
  <si>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</si>
  <si>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</si>
  <si>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</si>
  <si>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</si>
  <si>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</si>
  <si>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</si>
  <si>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</si>
  <si>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</si>
  <si>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</si>
  <si>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</si>
  <si>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</si>
  <si>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</si>
  <si>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</si>
  <si>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</si>
  <si>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</si>
  <si>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</si>
  <si>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</si>
  <si>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</si>
  <si>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</si>
  <si>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</si>
  <si>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</si>
  <si>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</si>
  <si>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</si>
  <si>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</si>
  <si>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</si>
  <si>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</si>
  <si>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</si>
  <si>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</si>
  <si>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</si>
  <si>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</si>
  <si>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</si>
  <si>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</si>
  <si>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</si>
  <si>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</si>
  <si>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</si>
  <si>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</si>
  <si>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</si>
  <si>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</si>
  <si>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</si>
  <si>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</si>
  <si>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</si>
  <si>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</si>
  <si>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</si>
  <si>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</si>
  <si>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</si>
  <si>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</si>
  <si>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</si>
  <si>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</si>
  <si>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</si>
  <si>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</si>
  <si>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</si>
  <si>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</si>
  <si>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</si>
  <si>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</si>
  <si>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</si>
  <si>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</si>
  <si>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</si>
  <si>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</si>
  <si>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</si>
  <si>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</si>
  <si>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</si>
  <si>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</si>
  <si>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</si>
  <si>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</si>
  <si>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</si>
  <si>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</si>
  <si>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</si>
  <si>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</si>
  <si>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</si>
  <si>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</si>
  <si>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</si>
  <si>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</si>
  <si>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</si>
  <si>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</si>
  <si>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</si>
  <si>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</si>
  <si>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</si>
  <si>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</si>
  <si>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</si>
  <si>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</si>
  <si>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</si>
  <si>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</si>
  <si>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</si>
  <si>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</si>
  <si>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</si>
  <si>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</si>
  <si>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</si>
  <si>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</si>
  <si>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</si>
  <si>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</si>
  <si>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</si>
  <si>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</si>
  <si>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</si>
  <si>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</si>
  <si>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</si>
  <si>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</si>
  <si>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</si>
  <si>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</si>
  <si>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</si>
  <si>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</si>
  <si>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</si>
  <si>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</si>
  <si>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</si>
  <si>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</si>
  <si>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</si>
  <si>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</si>
  <si>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</si>
  <si>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</si>
  <si>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</si>
  <si>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</si>
  <si>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</si>
  <si>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</si>
  <si>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</si>
  <si>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</si>
  <si>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</si>
  <si>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</si>
  <si>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</si>
  <si>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</si>
  <si>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</si>
  <si>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</si>
  <si>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</si>
  <si>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</si>
  <si>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</si>
  <si>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</si>
  <si>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</si>
  <si>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</si>
  <si>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</si>
  <si>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</si>
  <si>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</si>
  <si>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</si>
  <si>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</si>
  <si>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</si>
  <si>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</si>
  <si>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</si>
  <si>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</si>
  <si>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</si>
  <si>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</si>
  <si>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</si>
  <si>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</si>
  <si>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</si>
  <si>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</si>
  <si>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</si>
  <si>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</si>
  <si>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</si>
  <si>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</si>
  <si>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</si>
  <si>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</si>
  <si>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</si>
  <si>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</si>
  <si>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</si>
  <si>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</si>
  <si>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</si>
  <si>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</si>
  <si>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</si>
  <si>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</si>
  <si>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</si>
  <si>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</si>
  <si>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</si>
  <si>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</si>
  <si>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</si>
  <si>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</si>
  <si>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</si>
  <si>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</si>
  <si>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</si>
  <si>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</si>
  <si>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</si>
  <si>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</si>
  <si>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</si>
  <si>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</si>
  <si>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</si>
  <si>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</si>
  <si>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</si>
  <si>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</si>
  <si>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</si>
  <si>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</si>
  <si>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</si>
  <si>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</si>
  <si>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</si>
  <si>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</si>
  <si>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</si>
  <si>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</si>
  <si>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</si>
  <si>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</si>
  <si>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</si>
  <si>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</si>
  <si>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</si>
  <si>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</si>
  <si>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</si>
  <si>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</si>
  <si>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</si>
  <si>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</si>
  <si>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</si>
  <si>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</si>
  <si>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</si>
  <si>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</si>
  <si>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</si>
  <si>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</si>
  <si>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</si>
  <si>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</si>
  <si>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</si>
  <si>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</si>
  <si>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</si>
  <si>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</si>
  <si>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</si>
  <si>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</si>
  <si>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</si>
  <si>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</si>
  <si>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</si>
  <si>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</si>
  <si>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</si>
  <si>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</si>
  <si>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</si>
  <si>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</si>
  <si>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</si>
  <si>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</si>
  <si>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</si>
  <si>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</si>
  <si>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</si>
  <si>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</si>
  <si>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</si>
  <si>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</si>
  <si>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</si>
  <si>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</si>
  <si>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</si>
  <si>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</si>
  <si>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</si>
  <si>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</si>
  <si>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</si>
  <si>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</si>
  <si>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</si>
  <si>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</si>
  <si>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</si>
  <si>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</si>
  <si>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</si>
  <si>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</si>
  <si>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</si>
  <si>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</si>
  <si>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</si>
  <si>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</si>
  <si>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</si>
  <si>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</si>
  <si>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</si>
  <si>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</si>
  <si>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</si>
  <si>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</si>
  <si>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</si>
  <si>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</si>
  <si>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</si>
  <si>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</si>
  <si>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</si>
  <si>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</si>
  <si>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</si>
  <si>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</si>
  <si>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</si>
  <si>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</si>
  <si>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</si>
  <si>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</si>
  <si>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</si>
  <si>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</si>
  <si>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</si>
  <si>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</si>
  <si>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</si>
  <si>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</si>
  <si>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</si>
  <si>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</si>
  <si>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</si>
  <si>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</si>
  <si>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</si>
  <si>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</si>
  <si>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</si>
  <si>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</si>
  <si>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</si>
  <si>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</si>
  <si>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</si>
  <si>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</si>
  <si>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</si>
  <si>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</si>
  <si>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</si>
  <si>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</si>
  <si>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</si>
  <si>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</si>
  <si>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</si>
  <si>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</si>
  <si>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</si>
  <si>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</si>
  <si>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</si>
  <si>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</si>
  <si>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</si>
  <si>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</si>
  <si>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</si>
  <si>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</si>
  <si>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</si>
  <si>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</si>
  <si>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</si>
  <si>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</si>
  <si>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</si>
  <si>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</si>
  <si>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</si>
  <si>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</si>
  <si>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</si>
  <si>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</si>
  <si>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</si>
  <si>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</si>
  <si>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</si>
  <si>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</si>
  <si>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</si>
  <si>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</si>
  <si>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</si>
  <si>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</si>
  <si>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</si>
  <si>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</si>
  <si>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</si>
  <si>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</si>
  <si>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</si>
  <si>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</si>
  <si>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</si>
  <si>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</si>
  <si>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</si>
  <si>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</si>
  <si>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</si>
  <si>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</si>
  <si>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</si>
  <si>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</si>
  <si>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</si>
  <si>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</si>
  <si>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</si>
  <si>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</si>
  <si>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</si>
  <si>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</si>
  <si>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</si>
  <si>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</si>
  <si>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</si>
  <si>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</si>
  <si>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</si>
  <si>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</si>
  <si>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</si>
  <si>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</si>
  <si>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</si>
  <si>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</si>
  <si>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</si>
  <si>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</si>
  <si>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</si>
  <si>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</si>
  <si>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</si>
  <si>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</si>
  <si>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</si>
  <si>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</si>
  <si>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</si>
  <si>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</si>
  <si>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</si>
  <si>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</si>
  <si>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</si>
  <si>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</si>
  <si>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</si>
  <si>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</si>
  <si>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</si>
  <si>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</si>
  <si>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</si>
  <si>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</si>
  <si>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</si>
  <si>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</si>
  <si>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</si>
  <si>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</si>
  <si>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</si>
  <si>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</si>
  <si>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</si>
  <si>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</si>
  <si>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</si>
  <si>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</si>
  <si>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</si>
  <si>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</si>
  <si>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</si>
  <si>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</si>
  <si>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</si>
  <si>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</si>
  <si>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</si>
  <si>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</si>
  <si>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</si>
  <si>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</si>
  <si>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</si>
  <si>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</si>
  <si>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</si>
  <si>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</si>
  <si>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</si>
  <si>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</si>
  <si>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</si>
  <si>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</si>
  <si>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</si>
  <si>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</si>
  <si>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</si>
  <si>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</si>
  <si>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</si>
  <si>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</si>
  <si>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</si>
  <si>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</si>
  <si>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</si>
  <si>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</si>
  <si>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</si>
  <si>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</si>
  <si>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</si>
  <si>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</si>
  <si>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</si>
  <si>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</si>
  <si>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</si>
  <si>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</si>
  <si>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</si>
  <si>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</si>
  <si>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</si>
  <si>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</si>
  <si>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</si>
  <si>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</si>
  <si>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</si>
  <si>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</si>
  <si>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</si>
  <si>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</si>
  <si>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</si>
  <si>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</si>
  <si>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</si>
  <si>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</si>
  <si>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</si>
  <si>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</si>
  <si>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</si>
  <si>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</si>
  <si>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</si>
  <si>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</si>
  <si>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</si>
  <si>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</si>
  <si>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</si>
  <si>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</si>
  <si>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</si>
  <si>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</si>
  <si>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</si>
  <si>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</si>
  <si>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</si>
  <si>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</si>
  <si>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</si>
  <si>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</si>
  <si>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</si>
  <si>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</si>
  <si>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</si>
  <si>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</si>
  <si>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</si>
  <si>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</si>
  <si>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</si>
  <si>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</si>
  <si>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</si>
  <si>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</si>
  <si>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</si>
  <si>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</si>
  <si>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</si>
  <si>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</si>
  <si>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</si>
  <si>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</si>
  <si>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</si>
  <si>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</si>
  <si>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</si>
  <si>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</si>
  <si>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</si>
  <si>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</si>
  <si>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</si>
  <si>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</si>
  <si>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</si>
  <si>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</si>
  <si>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</si>
  <si>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</si>
  <si>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</si>
  <si>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</si>
  <si>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</si>
  <si>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</si>
  <si>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</si>
  <si>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</si>
  <si>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</si>
  <si>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</si>
  <si>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</si>
  <si>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</si>
  <si>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</si>
  <si>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</si>
  <si>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</si>
  <si>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</si>
  <si>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</si>
  <si>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</si>
  <si>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</si>
  <si>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</si>
  <si>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</si>
  <si>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</si>
  <si>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</si>
  <si>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</si>
  <si>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</si>
  <si>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</si>
  <si>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</si>
  <si>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</si>
  <si>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</si>
  <si>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</si>
  <si>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</si>
  <si>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</si>
  <si>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</si>
  <si>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</si>
  <si>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</si>
  <si>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</si>
  <si>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</si>
  <si>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</si>
  <si>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</si>
  <si>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</si>
  <si>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</si>
  <si>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</si>
  <si>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</si>
  <si>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</si>
  <si>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</si>
  <si>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</si>
  <si>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</si>
  <si>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</si>
  <si>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</si>
  <si>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</si>
  <si>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</si>
  <si>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</si>
  <si>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</si>
  <si>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</si>
  <si>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</si>
  <si>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</si>
  <si>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</si>
  <si>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</si>
  <si>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</si>
  <si>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</si>
  <si>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</si>
  <si>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</si>
  <si>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</si>
  <si>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</si>
  <si>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</si>
  <si>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</si>
  <si>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</si>
  <si>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</si>
  <si>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</si>
  <si>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</si>
  <si>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</si>
  <si>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</si>
  <si>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</si>
  <si>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</si>
  <si>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</si>
  <si>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</si>
  <si>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</si>
  <si>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</si>
  <si>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</si>
  <si>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</si>
  <si>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</si>
  <si>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</si>
  <si>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</si>
  <si>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</si>
  <si>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</si>
  <si>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</si>
  <si>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</si>
  <si>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</si>
  <si>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</si>
  <si>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</si>
  <si>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</si>
  <si>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</si>
  <si>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</si>
  <si>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</si>
  <si>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</si>
  <si>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</si>
  <si>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</si>
  <si>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</si>
  <si>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</si>
  <si>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</si>
  <si>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</si>
  <si>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</si>
  <si>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</si>
  <si>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</si>
  <si>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</si>
  <si>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</si>
  <si>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</si>
  <si>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</si>
  <si>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</si>
  <si>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</si>
  <si>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</si>
  <si>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</si>
  <si>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</si>
  <si>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</si>
  <si>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</si>
  <si>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</si>
  <si>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</si>
  <si>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</si>
  <si>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</si>
  <si>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</si>
  <si>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</si>
  <si>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</si>
  <si>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</si>
  <si>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</si>
  <si>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</si>
  <si>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</si>
  <si>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</si>
  <si>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</si>
  <si>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</si>
  <si>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</si>
  <si>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</si>
  <si>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</si>
  <si>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</si>
  <si>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</si>
  <si>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</si>
  <si>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</si>
  <si>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</si>
  <si>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</si>
  <si>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</si>
  <si>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</si>
  <si>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</si>
  <si>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</si>
  <si>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</si>
  <si>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</si>
  <si>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</si>
  <si>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</si>
  <si>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</si>
  <si>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</si>
  <si>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</si>
  <si>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</si>
  <si>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</si>
  <si>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</si>
  <si>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</si>
  <si>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</si>
  <si>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</si>
  <si>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</si>
  <si>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</si>
  <si>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</si>
  <si>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</si>
  <si>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</si>
  <si>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</si>
  <si>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</si>
  <si>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</si>
  <si>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</si>
  <si>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</si>
  <si>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</si>
  <si>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</si>
  <si>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</si>
  <si>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</si>
  <si>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</si>
  <si>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</si>
  <si>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</si>
  <si>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</si>
  <si>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</si>
  <si>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</si>
  <si>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</si>
  <si>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</si>
  <si>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</si>
  <si>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</si>
  <si>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</si>
  <si>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</si>
  <si>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</si>
  <si>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</si>
  <si>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</si>
  <si>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</si>
  <si>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</si>
  <si>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</si>
  <si>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</si>
  <si>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</si>
  <si>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</si>
  <si>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</si>
  <si>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</si>
  <si>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</si>
  <si>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</si>
  <si>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</si>
  <si>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</si>
  <si>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</si>
  <si>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</si>
  <si>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</si>
  <si>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</si>
  <si>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</si>
  <si>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</si>
  <si>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</si>
  <si>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</si>
  <si>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</si>
  <si>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</si>
  <si>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</si>
  <si>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</si>
  <si>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</si>
  <si>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</si>
  <si>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</si>
  <si>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</si>
  <si>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</si>
  <si>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</si>
  <si>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</si>
  <si>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</si>
  <si>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</si>
  <si>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</si>
  <si>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</si>
  <si>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</si>
  <si>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</si>
  <si>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</si>
  <si>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</si>
  <si>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</si>
  <si>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</si>
  <si>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</si>
  <si>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</si>
  <si>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</si>
  <si>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</si>
  <si>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</si>
  <si>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</si>
  <si>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</si>
  <si>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</si>
  <si>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</si>
  <si>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</si>
  <si>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</si>
  <si>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</si>
  <si>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</si>
  <si>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</si>
  <si>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</si>
  <si>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</si>
  <si>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</si>
  <si>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</si>
  <si>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</si>
  <si>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</si>
  <si>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</si>
  <si>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</si>
  <si>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</si>
  <si>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</si>
  <si>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</si>
  <si>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</si>
  <si>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</si>
  <si>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</si>
  <si>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</si>
  <si>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</si>
  <si>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</si>
  <si>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</si>
  <si>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</si>
  <si>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</si>
  <si>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</si>
  <si>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</si>
  <si>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</si>
  <si>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</si>
  <si>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</si>
  <si>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</si>
  <si>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</si>
  <si>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</si>
  <si>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</si>
  <si>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</si>
  <si>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</si>
  <si>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</si>
  <si>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</si>
  <si>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</si>
  <si>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</si>
  <si>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</si>
  <si>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</si>
  <si>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</si>
  <si>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</si>
  <si>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</si>
  <si>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</si>
  <si>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</si>
  <si>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</si>
  <si>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</si>
  <si>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</si>
  <si>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</si>
  <si>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</si>
  <si>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</si>
  <si>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</si>
  <si>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</si>
  <si>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</si>
  <si>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</si>
  <si>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</si>
  <si>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</si>
  <si>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</si>
  <si>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</si>
  <si>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</si>
  <si>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</si>
  <si>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</si>
  <si>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</si>
  <si>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</si>
  <si>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</si>
  <si>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</si>
  <si>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</si>
  <si>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</si>
  <si>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</si>
  <si>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</si>
  <si>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</si>
  <si>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</si>
  <si>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</si>
  <si>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</si>
  <si>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</si>
  <si>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</si>
  <si>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</si>
  <si>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</si>
  <si>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</si>
  <si>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</si>
  <si>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</si>
  <si>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</si>
  <si>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</si>
  <si>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</si>
  <si>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</si>
  <si>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</si>
  <si>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</si>
  <si>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</si>
  <si>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</si>
  <si>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</si>
  <si>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</si>
  <si>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</si>
  <si>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</si>
  <si>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</si>
  <si>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</si>
  <si>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</si>
  <si>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</si>
  <si>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</si>
  <si>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</si>
  <si>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</si>
  <si>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</si>
  <si>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</si>
  <si>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</si>
  <si>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</si>
  <si>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</si>
  <si>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</si>
  <si>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</si>
  <si>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</si>
  <si>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</si>
  <si>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</si>
  <si>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</si>
  <si>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</si>
  <si>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</si>
  <si>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</si>
  <si>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</si>
  <si>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</si>
  <si>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</si>
  <si>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</si>
  <si>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</si>
  <si>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</si>
  <si>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</si>
  <si>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</si>
  <si>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</si>
  <si>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</si>
  <si>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</si>
  <si>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</si>
  <si>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</si>
  <si>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</si>
  <si>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</si>
  <si>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</si>
  <si>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</si>
  <si>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</si>
  <si>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</si>
  <si>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</si>
  <si>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</si>
  <si>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</si>
  <si>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</si>
  <si>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</si>
  <si>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</si>
  <si>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</si>
  <si>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</si>
  <si>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</si>
  <si>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</si>
  <si>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</si>
  <si>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</si>
  <si>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</si>
  <si>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</si>
  <si>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</si>
  <si>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</si>
  <si>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</si>
  <si>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</si>
  <si>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</si>
  <si>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</si>
  <si>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</si>
  <si>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</si>
  <si>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</si>
  <si>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</si>
  <si>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</si>
  <si>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</si>
  <si>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</si>
  <si>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</si>
  <si>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</si>
  <si>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</si>
  <si>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</si>
  <si>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</si>
  <si>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</si>
  <si>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</si>
  <si>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</si>
  <si>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</si>
  <si>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</si>
  <si>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</si>
  <si>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</si>
  <si>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</si>
  <si>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</si>
  <si>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</si>
  <si>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</si>
  <si>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</si>
  <si>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</si>
  <si>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</si>
  <si>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</si>
  <si>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</si>
  <si>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</si>
  <si>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</si>
  <si>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</si>
  <si>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</si>
  <si>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</si>
  <si>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</si>
  <si>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</si>
  <si>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</si>
  <si>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</si>
  <si>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</si>
  <si>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</si>
  <si>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</si>
  <si>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</si>
  <si>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</si>
  <si>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</si>
  <si>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</si>
  <si>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</si>
  <si>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</si>
  <si>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</si>
  <si>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</si>
  <si>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</si>
  <si>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</si>
  <si>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</si>
  <si>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</si>
  <si>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</si>
  <si>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</si>
  <si>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</si>
  <si>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</si>
  <si>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</si>
  <si>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</si>
  <si>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</si>
  <si>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</si>
  <si>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</si>
  <si>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</si>
  <si>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</si>
  <si>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</si>
  <si>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</si>
  <si>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</si>
  <si>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</si>
  <si>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</si>
  <si>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</si>
  <si>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</si>
  <si>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</si>
  <si>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</si>
  <si>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</si>
  <si>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</si>
  <si>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</si>
  <si>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</si>
  <si>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</si>
  <si>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</si>
  <si>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</si>
  <si>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</si>
  <si>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</si>
  <si>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</si>
  <si>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</si>
  <si>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</si>
  <si>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</si>
  <si>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</si>
  <si>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</si>
  <si>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</si>
  <si>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</si>
  <si>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</si>
  <si>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</si>
  <si>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</si>
  <si>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</si>
  <si>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</si>
  <si>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</si>
  <si>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</si>
  <si>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</si>
  <si>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</si>
  <si>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</si>
  <si>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</si>
  <si>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</si>
  <si>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</si>
  <si>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</si>
  <si>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</si>
  <si>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</si>
  <si>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</si>
  <si>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</si>
  <si>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</si>
  <si>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</si>
  <si>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</si>
  <si>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</si>
  <si>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</si>
  <si>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</si>
  <si>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</si>
  <si>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</si>
  <si>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</si>
  <si>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</si>
  <si>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</si>
  <si>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</si>
  <si>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</si>
  <si>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</si>
  <si>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</si>
  <si>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</si>
  <si>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</si>
  <si>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</si>
  <si>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</si>
  <si>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</si>
  <si>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</si>
  <si>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</si>
  <si>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</si>
  <si>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</si>
  <si>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</si>
  <si>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</si>
  <si>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</si>
  <si>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</si>
  <si>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</si>
  <si>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</si>
  <si>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</si>
  <si>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</si>
  <si>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</si>
  <si>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</si>
  <si>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</si>
  <si>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</si>
  <si>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</si>
  <si>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</si>
  <si>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</si>
  <si>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</si>
  <si>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</si>
  <si>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</si>
  <si>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</si>
  <si>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</si>
  <si>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</si>
  <si>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</si>
  <si>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</si>
  <si>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</si>
  <si>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</si>
  <si>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</si>
  <si>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</si>
  <si>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</si>
  <si>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</si>
  <si>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</si>
  <si>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</si>
  <si>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</si>
  <si>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</si>
  <si>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</si>
  <si>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</si>
  <si>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</si>
  <si>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</si>
  <si>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</si>
  <si>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</si>
  <si>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</si>
  <si>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</si>
  <si>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</si>
  <si>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</si>
  <si>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</si>
  <si>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</si>
  <si>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</si>
  <si>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</si>
  <si>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</si>
  <si>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</si>
  <si>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</si>
  <si>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</si>
  <si>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</si>
  <si>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</si>
  <si>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</si>
  <si>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</si>
  <si>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</si>
  <si>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</si>
  <si>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</si>
  <si>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</si>
  <si>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</si>
  <si>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</si>
  <si>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</si>
  <si>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</si>
  <si>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</si>
  <si>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</si>
  <si>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</si>
  <si>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</si>
  <si>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</si>
  <si>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</si>
  <si>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</si>
  <si>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</si>
  <si>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</si>
  <si>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</si>
  <si>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</si>
  <si>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</si>
  <si>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</si>
  <si>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</si>
  <si>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</si>
  <si>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</si>
  <si>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</si>
  <si>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</si>
  <si>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</si>
  <si>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</si>
  <si>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</si>
  <si>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</si>
  <si>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</si>
  <si>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</si>
  <si>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</si>
  <si>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</si>
  <si>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</si>
  <si>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</si>
  <si>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</si>
  <si>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</si>
  <si>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</si>
  <si>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</si>
  <si>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</si>
  <si>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</si>
  <si>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</si>
  <si>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</si>
  <si>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</si>
  <si>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</si>
  <si>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</si>
  <si>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</si>
  <si>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</si>
  <si>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CONCRETO FCK = 15MPA, TRAÇO 1:3,4:3,5 (CIMENTO/ AREIA MÉDIA/ BRITA 1)  - PREPARO MECÂNICO COM BETONEIRA 600 L. AF_07/2016</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</si>
  <si>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</si>
  <si>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</si>
  <si>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</si>
  <si>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</si>
  <si>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</si>
  <si>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</si>
  <si>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</si>
  <si>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</si>
  <si>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</si>
  <si>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</si>
  <si>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</si>
  <si>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</si>
  <si>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</si>
  <si>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</si>
  <si>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</si>
  <si>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</si>
  <si>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</si>
  <si>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</si>
  <si>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</si>
  <si>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</si>
  <si>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</si>
  <si>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</si>
  <si>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</si>
  <si>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</si>
  <si>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</si>
  <si>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</si>
  <si>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</si>
  <si>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</si>
  <si>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</si>
  <si>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</si>
  <si>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</si>
  <si>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</si>
  <si>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</si>
  <si>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</si>
  <si>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</si>
  <si>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</si>
  <si>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</si>
  <si>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</si>
  <si>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</si>
  <si>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</si>
  <si>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</si>
  <si>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</si>
  <si>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</si>
  <si>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</si>
  <si>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</si>
  <si>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</si>
  <si>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</si>
  <si>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</si>
  <si>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</si>
  <si>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</si>
  <si>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</si>
  <si>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</si>
  <si>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</si>
  <si>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</si>
  <si>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</si>
  <si>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</si>
  <si>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</si>
  <si>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</si>
  <si>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</si>
  <si>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</si>
  <si>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</si>
  <si>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</si>
  <si>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</si>
  <si>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</si>
  <si>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</si>
  <si>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</si>
  <si>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</si>
  <si>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</si>
  <si>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</si>
  <si>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</si>
  <si>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</si>
  <si>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</si>
  <si>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</si>
  <si>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</si>
  <si>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</si>
  <si>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</si>
  <si>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</si>
  <si>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</si>
  <si>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</si>
  <si>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</si>
  <si>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</si>
  <si>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</si>
  <si>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</si>
  <si>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</si>
  <si>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</si>
  <si>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</si>
  <si>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</si>
  <si>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</si>
  <si>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</si>
  <si>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</si>
  <si>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</si>
  <si>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</si>
  <si>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</si>
  <si>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</si>
  <si>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</si>
  <si>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</si>
  <si>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</si>
  <si>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</si>
  <si>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</si>
  <si>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</si>
  <si>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</si>
  <si>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</si>
  <si>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</si>
  <si>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</si>
  <si>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</si>
  <si>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</si>
  <si>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</si>
  <si>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</si>
  <si>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</si>
  <si>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</si>
  <si>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</si>
  <si>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</si>
  <si>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</si>
  <si>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</si>
  <si>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</si>
  <si>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</si>
  <si>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</si>
  <si>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</si>
  <si>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</si>
  <si>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</si>
  <si>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</si>
  <si>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</si>
  <si>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</si>
  <si>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</si>
  <si>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</si>
  <si>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</si>
  <si>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</si>
  <si>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</si>
  <si>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</si>
  <si>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</si>
  <si>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</si>
  <si>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</si>
  <si>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</si>
  <si>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</si>
  <si>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</si>
  <si>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</si>
  <si>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</si>
  <si>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</si>
  <si>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</si>
  <si>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</si>
  <si>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</si>
  <si>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</si>
  <si>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</si>
  <si>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</si>
  <si>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</si>
  <si>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</si>
  <si>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</si>
  <si>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</si>
  <si>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</si>
  <si>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</si>
  <si>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</si>
  <si>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</si>
  <si>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</si>
  <si>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</si>
  <si>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</si>
  <si>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</si>
  <si>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</si>
  <si>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</si>
  <si>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</si>
  <si>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</si>
  <si>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</si>
  <si>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</si>
  <si>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</si>
  <si>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</si>
  <si>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</si>
  <si>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</si>
  <si>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</si>
  <si>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</si>
  <si>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</si>
  <si>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</si>
  <si>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</si>
  <si>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</si>
  <si>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</si>
  <si>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</si>
  <si>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</si>
  <si>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</si>
  <si>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</si>
  <si>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</si>
  <si>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</si>
  <si>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</si>
  <si>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</si>
  <si>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</si>
  <si>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</si>
  <si>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</si>
  <si>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</si>
  <si>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</si>
  <si>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</si>
  <si>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</si>
  <si>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</si>
  <si>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</si>
  <si>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</si>
  <si>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</si>
  <si>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</si>
  <si>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</si>
  <si>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</si>
  <si>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</si>
  <si>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</si>
  <si>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</si>
  <si>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</si>
  <si>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</si>
  <si>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</si>
  <si>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</si>
  <si>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</si>
  <si>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</si>
  <si>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</si>
  <si>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</si>
  <si>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</si>
  <si>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</si>
  <si>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</si>
  <si>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</si>
  <si>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</si>
  <si>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</si>
  <si>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</si>
  <si>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</si>
  <si>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</si>
  <si>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</si>
  <si>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</si>
  <si>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</si>
  <si>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</si>
  <si>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</si>
  <si>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</si>
  <si>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</si>
  <si>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</si>
  <si>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</si>
  <si>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</si>
  <si>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</si>
  <si>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</si>
  <si>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</si>
  <si>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</si>
  <si>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</si>
  <si>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</si>
  <si>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</si>
  <si>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</si>
  <si>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</si>
  <si>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</si>
  <si>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</si>
  <si>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</si>
  <si>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</si>
  <si>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</si>
  <si>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</si>
  <si>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</si>
  <si>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</si>
  <si>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</si>
  <si>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</si>
  <si>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</si>
  <si>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</si>
  <si>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</si>
  <si>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</si>
  <si>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</si>
  <si>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</si>
  <si>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</si>
  <si>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</si>
  <si>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</si>
  <si>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</si>
  <si>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</si>
  <si>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</si>
  <si>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</si>
  <si>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</si>
  <si>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</si>
  <si>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</si>
  <si>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</si>
  <si>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</si>
  <si>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</si>
  <si>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</si>
  <si>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</si>
  <si>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</si>
  <si>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</si>
  <si>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</si>
  <si>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</si>
  <si>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</si>
  <si>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</si>
  <si>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</si>
  <si>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</si>
  <si>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</si>
  <si>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</si>
  <si>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Abracadeira em aco para amarracao de eletrodutos, tipo D, com 2" e parafuso de fixacao</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</si>
  <si>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</si>
  <si>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</si>
  <si>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ACO CA-50, 20,0 MM OU 25,0 MM, VERGALHAO</t>
  </si>
  <si>
    <t>Vibrador de imersão, diâmetro de ponteira 45mm, motor elétrico trifásico potência de 2 CV - CHP diurno. AF_06/2015</t>
  </si>
  <si>
    <t>Vibrador de imersão, diâmetro de ponteira 45mm, motor elétrico trifásico potência de 2 CV - CHI diurno. AF_06/2015</t>
  </si>
  <si>
    <t>M3XKM</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</si>
  <si>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</si>
  <si>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</si>
  <si>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</si>
  <si>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</si>
  <si>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JG</t>
  </si>
  <si>
    <t>PREGO DE ACO POLIDO COM CABECA 12 X 12</t>
  </si>
  <si>
    <t>CORTE E DOBRA DE AÇO CA-60, DIÂMETRO DE 4,2 MM, UTILIZADO EM LAJE. AF_12/2015</t>
  </si>
  <si>
    <t>Abracadeira em aco para amarracao de eletrodutos, tipo D, com 1 1/2" e parafuso de fixacao</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</si>
  <si>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</si>
  <si>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</si>
  <si>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</si>
  <si>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</si>
  <si>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</si>
  <si>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</si>
  <si>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</si>
  <si>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</si>
  <si>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</si>
  <si>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</si>
  <si>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</si>
  <si>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</si>
  <si>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</si>
  <si>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</si>
  <si>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</si>
  <si>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</si>
  <si>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</si>
  <si>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</si>
  <si>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</si>
  <si>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</si>
  <si>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</si>
  <si>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</si>
  <si>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</si>
  <si>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</si>
  <si>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</si>
  <si>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</si>
  <si>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</si>
  <si>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</si>
  <si>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</si>
  <si>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</si>
  <si>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</si>
  <si>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</si>
  <si>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</si>
  <si>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</si>
  <si>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</si>
  <si>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</si>
  <si>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</si>
  <si>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</si>
  <si>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</si>
  <si>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</si>
  <si>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</si>
  <si>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</si>
  <si>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</si>
  <si>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</si>
  <si>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</si>
  <si>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</si>
  <si>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</si>
  <si>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</si>
  <si>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</si>
  <si>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</si>
  <si>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</si>
  <si>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</si>
  <si>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</si>
  <si>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</si>
  <si>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</si>
  <si>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</si>
  <si>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</si>
  <si>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</si>
  <si>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</si>
  <si>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</si>
  <si>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</si>
  <si>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</si>
  <si>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</si>
  <si>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</si>
  <si>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</si>
  <si>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</si>
  <si>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</si>
  <si>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</si>
  <si>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</si>
  <si>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</si>
  <si>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</si>
  <si>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</si>
  <si>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</si>
  <si>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</si>
  <si>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</si>
  <si>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</si>
  <si>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</si>
  <si>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</si>
  <si>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</si>
  <si>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</si>
  <si>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</si>
  <si>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</si>
  <si>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</si>
  <si>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</si>
  <si>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</si>
  <si>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</si>
  <si>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</si>
  <si>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</si>
  <si>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</si>
  <si>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</si>
  <si>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</si>
  <si>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</si>
  <si>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</si>
  <si>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</si>
  <si>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</si>
  <si>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</si>
  <si>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</si>
  <si>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</si>
  <si>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</si>
  <si>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</si>
  <si>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</si>
  <si>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</si>
  <si>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</si>
  <si>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</si>
  <si>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</si>
  <si>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</si>
  <si>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</si>
  <si>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</si>
  <si>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</si>
  <si>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</si>
  <si>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</si>
  <si>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</si>
  <si>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</si>
  <si>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</si>
  <si>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</si>
  <si>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</si>
  <si>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</si>
  <si>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</si>
  <si>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</si>
  <si>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</si>
  <si>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</si>
  <si>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</si>
  <si>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</si>
  <si>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</si>
  <si>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</si>
  <si>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</si>
  <si>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</si>
  <si>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</si>
  <si>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</si>
  <si>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</si>
  <si>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</si>
  <si>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</si>
  <si>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</si>
  <si>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</si>
  <si>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</si>
  <si>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</si>
  <si>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</si>
  <si>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</si>
  <si>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</si>
  <si>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</si>
  <si>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</si>
  <si>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</si>
  <si>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</si>
  <si>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</si>
  <si>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</si>
  <si>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</si>
  <si>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</si>
  <si>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</si>
  <si>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</si>
  <si>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</si>
  <si>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</si>
  <si>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</si>
  <si>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</si>
  <si>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</si>
  <si>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</si>
  <si>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</si>
  <si>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</si>
  <si>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</si>
  <si>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</si>
  <si>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</si>
  <si>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</si>
  <si>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</si>
  <si>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</si>
  <si>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</si>
  <si>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</si>
  <si>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</si>
  <si>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</si>
  <si>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</si>
  <si>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</si>
  <si>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</si>
  <si>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</si>
  <si>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</si>
  <si>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</si>
  <si>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</si>
  <si>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</si>
  <si>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</si>
  <si>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</si>
  <si>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</si>
  <si>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</si>
  <si>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</si>
  <si>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</si>
  <si>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</si>
  <si>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</si>
  <si>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</si>
  <si>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</si>
  <si>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</si>
  <si>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</si>
  <si>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</si>
  <si>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</si>
  <si>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</si>
  <si>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</si>
  <si>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</si>
  <si>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</si>
  <si>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</si>
  <si>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</si>
  <si>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</si>
  <si>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</si>
  <si>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</si>
  <si>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</si>
  <si>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</si>
  <si>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</si>
  <si>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</si>
  <si>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</si>
  <si>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</si>
  <si>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</si>
  <si>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Base registro gaveta 3/4"</t>
  </si>
  <si>
    <t>Caixa sifonada de PVC DN 150mm</t>
  </si>
  <si>
    <t>Caixa sifonada de PVC DN 250mm</t>
  </si>
  <si>
    <t>Grelha quadrada para ralo 10x10cm</t>
  </si>
  <si>
    <t>Grelha quadrada para ralo 15x15cm</t>
  </si>
  <si>
    <t>Ralo seco PVC DN 100x40mm</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</si>
  <si>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</si>
  <si>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</si>
  <si>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</si>
  <si>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</si>
  <si>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</si>
  <si>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</si>
  <si>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</si>
  <si>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</si>
  <si>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</si>
  <si>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</si>
  <si>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</si>
  <si>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</si>
  <si>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</si>
  <si>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</si>
  <si>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</si>
  <si>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</si>
  <si>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</si>
  <si>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</si>
  <si>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</si>
  <si>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</si>
  <si>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</si>
  <si>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</si>
  <si>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</si>
  <si>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</si>
  <si>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</si>
  <si>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</si>
  <si>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</si>
  <si>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</si>
  <si>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</si>
  <si>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</si>
  <si>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</si>
  <si>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</si>
  <si>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</si>
  <si>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</si>
  <si>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</si>
  <si>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</si>
  <si>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</si>
  <si>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</si>
  <si>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</si>
  <si>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</si>
  <si>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</si>
  <si>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</si>
  <si>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</si>
  <si>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</si>
  <si>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</si>
  <si>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</si>
  <si>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</si>
  <si>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</si>
  <si>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</si>
  <si>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</si>
  <si>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</si>
  <si>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</si>
  <si>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</si>
  <si>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</si>
  <si>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</si>
  <si>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</si>
  <si>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</si>
  <si>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</si>
  <si>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</si>
  <si>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</si>
  <si>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</si>
  <si>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</si>
  <si>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</si>
  <si>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</si>
  <si>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</si>
  <si>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</si>
  <si>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</si>
  <si>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</si>
  <si>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</si>
  <si>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</si>
  <si>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</si>
  <si>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</si>
  <si>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</si>
  <si>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</si>
  <si>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</si>
  <si>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</si>
  <si>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</si>
  <si>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</si>
  <si>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</si>
  <si>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</si>
  <si>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</si>
  <si>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</si>
  <si>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</si>
  <si>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</si>
  <si>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</si>
  <si>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</si>
  <si>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</si>
  <si>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</si>
  <si>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</si>
  <si>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</si>
  <si>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</si>
  <si>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</si>
  <si>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</si>
  <si>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</si>
  <si>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</si>
  <si>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</si>
  <si>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</si>
  <si>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</si>
  <si>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</si>
  <si>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</si>
  <si>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</si>
  <si>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</si>
  <si>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</si>
  <si>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</si>
  <si>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</si>
  <si>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</si>
  <si>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</si>
  <si>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</si>
  <si>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</si>
  <si>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</si>
  <si>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</si>
  <si>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</si>
  <si>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</si>
  <si>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</si>
  <si>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</si>
  <si>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</si>
  <si>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</si>
  <si>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</si>
  <si>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</si>
  <si>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</si>
  <si>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</si>
  <si>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</si>
  <si>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</si>
  <si>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</si>
  <si>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</si>
  <si>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</si>
  <si>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</si>
  <si>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</si>
  <si>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</si>
  <si>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</si>
  <si>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</si>
  <si>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</si>
  <si>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</si>
  <si>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</si>
  <si>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</si>
  <si>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</si>
  <si>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</si>
  <si>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</si>
  <si>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</si>
  <si>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</si>
  <si>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</si>
  <si>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</si>
  <si>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</si>
  <si>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</si>
  <si>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</si>
  <si>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</si>
  <si>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</si>
  <si>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</si>
  <si>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</si>
  <si>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</si>
  <si>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</si>
  <si>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</si>
  <si>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</si>
  <si>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</si>
  <si>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</si>
  <si>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</si>
  <si>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</si>
  <si>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</si>
  <si>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</si>
  <si>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</si>
  <si>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</si>
  <si>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</si>
  <si>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</si>
  <si>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</si>
  <si>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</si>
  <si>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</si>
  <si>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</si>
  <si>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</si>
  <si>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</si>
  <si>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</si>
  <si>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</si>
  <si>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</si>
  <si>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</si>
  <si>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</si>
  <si>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</si>
  <si>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</si>
  <si>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</si>
  <si>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</si>
  <si>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</si>
  <si>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</si>
  <si>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</si>
  <si>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</si>
  <si>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</si>
  <si>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</si>
  <si>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</si>
  <si>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</si>
  <si>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</si>
  <si>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</si>
  <si>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</si>
  <si>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</si>
  <si>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</si>
  <si>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</si>
  <si>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</si>
  <si>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</si>
  <si>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</si>
  <si>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</si>
  <si>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</si>
  <si>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</si>
  <si>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</si>
  <si>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</si>
  <si>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</si>
  <si>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</si>
  <si>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</si>
  <si>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</si>
  <si>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</si>
  <si>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</si>
  <si>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</si>
  <si>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</si>
  <si>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</si>
  <si>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</si>
  <si>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</si>
  <si>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</si>
  <si>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</si>
  <si>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</si>
  <si>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</si>
  <si>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</si>
  <si>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</si>
  <si>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</si>
  <si>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</si>
  <si>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</si>
  <si>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</si>
  <si>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</si>
  <si>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</si>
  <si>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</si>
  <si>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</si>
  <si>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</si>
  <si>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</si>
  <si>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</si>
  <si>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</si>
  <si>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</si>
  <si>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</si>
  <si>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</si>
  <si>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</si>
  <si>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</si>
  <si>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</si>
  <si>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</si>
  <si>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</si>
  <si>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</si>
  <si>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</si>
  <si>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</si>
  <si>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</si>
  <si>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</si>
  <si>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</si>
  <si>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</si>
  <si>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</si>
  <si>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</si>
  <si>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</si>
  <si>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</si>
  <si>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</si>
  <si>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</si>
  <si>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</si>
  <si>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</si>
  <si>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</si>
  <si>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</si>
  <si>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</si>
  <si>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</si>
  <si>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</si>
  <si>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</si>
  <si>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</si>
  <si>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</si>
  <si>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</si>
  <si>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</si>
  <si>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</si>
  <si>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</si>
  <si>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</si>
  <si>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</si>
  <si>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</si>
  <si>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</si>
  <si>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</si>
  <si>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</si>
  <si>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</si>
  <si>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</si>
  <si>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</si>
  <si>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</si>
  <si>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</si>
  <si>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</si>
  <si>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</si>
  <si>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</si>
  <si>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</si>
  <si>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</si>
  <si>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</si>
  <si>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</si>
  <si>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</si>
  <si>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</si>
  <si>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</si>
  <si>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</si>
  <si>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</si>
  <si>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</si>
  <si>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</si>
  <si>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</si>
  <si>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</si>
  <si>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</si>
  <si>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</si>
  <si>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</si>
  <si>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</si>
  <si>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</si>
  <si>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</si>
  <si>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</si>
  <si>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</si>
  <si>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</si>
  <si>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</si>
  <si>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</si>
  <si>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</si>
  <si>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</si>
  <si>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</si>
  <si>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</si>
  <si>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</si>
  <si>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</si>
  <si>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</si>
  <si>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</si>
  <si>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</si>
  <si>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</si>
  <si>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</si>
  <si>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</si>
  <si>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</si>
  <si>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</si>
  <si>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</si>
  <si>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</si>
  <si>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</si>
  <si>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</si>
  <si>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</si>
  <si>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</si>
  <si>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</si>
  <si>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</si>
  <si>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</si>
  <si>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</si>
  <si>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</si>
  <si>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</si>
  <si>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</si>
  <si>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</si>
  <si>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</si>
  <si>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</si>
  <si>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</si>
  <si>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</si>
  <si>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</si>
  <si>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</si>
  <si>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</si>
  <si>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</si>
  <si>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</si>
  <si>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</si>
  <si>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</si>
  <si>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</si>
  <si>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</si>
  <si>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</si>
  <si>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</si>
  <si>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</si>
  <si>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</si>
  <si>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</si>
  <si>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</si>
  <si>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</si>
  <si>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</si>
  <si>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</si>
  <si>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</si>
  <si>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</si>
  <si>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</si>
  <si>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</si>
  <si>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</si>
  <si>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</si>
  <si>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</si>
  <si>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</si>
  <si>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</si>
  <si>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</si>
  <si>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</si>
  <si>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</si>
  <si>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</si>
  <si>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</si>
  <si>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</si>
  <si>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</si>
  <si>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</si>
  <si>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</si>
  <si>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</si>
  <si>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</si>
  <si>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</si>
  <si>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</si>
  <si>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</si>
  <si>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</si>
  <si>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</si>
  <si>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</si>
  <si>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</si>
  <si>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</si>
  <si>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</si>
  <si>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</si>
  <si>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</si>
  <si>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</si>
  <si>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</si>
  <si>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</si>
  <si>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</si>
  <si>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</si>
  <si>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</si>
  <si>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</si>
  <si>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</si>
  <si>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</si>
  <si>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</si>
  <si>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</si>
  <si>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</si>
  <si>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</si>
  <si>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</si>
  <si>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</si>
  <si>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</si>
  <si>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</si>
  <si>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</si>
  <si>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</si>
  <si>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</si>
  <si>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</si>
  <si>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</si>
  <si>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</si>
  <si>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</si>
  <si>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</si>
  <si>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</si>
  <si>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</si>
  <si>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</si>
  <si>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</si>
  <si>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</si>
  <si>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</si>
  <si>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</si>
  <si>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</si>
  <si>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</si>
  <si>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</si>
  <si>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</si>
  <si>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</si>
  <si>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</si>
  <si>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</si>
  <si>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</si>
  <si>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</si>
  <si>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</si>
  <si>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</si>
  <si>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</si>
  <si>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</si>
  <si>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</si>
  <si>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</si>
  <si>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</si>
  <si>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</si>
  <si>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</si>
  <si>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</si>
  <si>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</si>
  <si>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</si>
  <si>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</si>
  <si>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</si>
  <si>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</si>
  <si>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</si>
  <si>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</si>
  <si>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</si>
  <si>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</si>
  <si>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</si>
  <si>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</si>
  <si>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</si>
  <si>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</si>
  <si>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</si>
  <si>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</si>
  <si>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</si>
  <si>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</si>
  <si>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</si>
  <si>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</si>
  <si>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</si>
  <si>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</si>
  <si>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</si>
  <si>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</si>
  <si>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</si>
  <si>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</si>
  <si>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</si>
  <si>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</si>
  <si>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</si>
  <si>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</si>
  <si>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</si>
  <si>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</si>
  <si>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</si>
  <si>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</si>
  <si>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</si>
  <si>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</si>
  <si>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</si>
  <si>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</si>
  <si>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</si>
  <si>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</si>
  <si>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</si>
  <si>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</si>
  <si>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</si>
  <si>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</si>
  <si>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</si>
  <si>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</si>
  <si>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</si>
  <si>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</si>
  <si>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</si>
  <si>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</si>
  <si>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</si>
  <si>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</si>
  <si>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</si>
  <si>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</si>
  <si>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</si>
  <si>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</si>
  <si>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</si>
  <si>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</si>
  <si>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</si>
  <si>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</si>
  <si>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</si>
  <si>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</si>
  <si>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</si>
  <si>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</si>
  <si>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</si>
  <si>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</si>
  <si>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</si>
  <si>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</si>
  <si>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</si>
  <si>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</si>
  <si>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</si>
  <si>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</si>
  <si>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</si>
  <si>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</si>
  <si>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</si>
  <si>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</si>
  <si>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</si>
  <si>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</si>
  <si>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</si>
  <si>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</si>
  <si>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</si>
  <si>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</si>
  <si>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</si>
  <si>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</si>
  <si>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</si>
  <si>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</si>
  <si>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</si>
  <si>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</si>
  <si>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</si>
  <si>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</si>
  <si>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</si>
  <si>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</si>
  <si>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</si>
  <si>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</si>
  <si>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</si>
  <si>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</si>
  <si>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</si>
  <si>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</si>
  <si>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</si>
  <si>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</si>
  <si>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</si>
  <si>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</si>
  <si>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</si>
  <si>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</si>
  <si>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</si>
  <si>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</si>
  <si>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</si>
  <si>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</si>
  <si>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</si>
  <si>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</si>
  <si>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</si>
  <si>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</si>
  <si>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</si>
  <si>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</si>
  <si>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</si>
  <si>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</si>
  <si>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</si>
  <si>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</si>
  <si>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</si>
  <si>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</si>
  <si>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</si>
  <si>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</si>
  <si>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</si>
  <si>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</si>
  <si>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</si>
  <si>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</si>
  <si>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</si>
  <si>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</si>
  <si>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</si>
  <si>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</si>
  <si>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</si>
  <si>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</si>
  <si>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</si>
  <si>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</si>
  <si>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</si>
  <si>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</si>
  <si>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</si>
  <si>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</si>
  <si>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</si>
  <si>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</si>
  <si>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</si>
  <si>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</si>
  <si>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</si>
  <si>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</si>
  <si>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</si>
  <si>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</si>
  <si>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</si>
  <si>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</si>
  <si>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</si>
  <si>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</si>
  <si>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</si>
  <si>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</si>
  <si>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</si>
  <si>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</si>
  <si>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</si>
  <si>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</si>
  <si>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</si>
  <si>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</si>
  <si>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</si>
  <si>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</si>
  <si>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</si>
  <si>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</si>
  <si>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</si>
  <si>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</si>
  <si>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</si>
  <si>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</si>
  <si>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</si>
  <si>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</si>
  <si>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</si>
  <si>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</si>
  <si>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</si>
  <si>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</si>
  <si>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</si>
  <si>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</si>
  <si>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</si>
  <si>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</si>
  <si>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</si>
  <si>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</si>
  <si>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</si>
  <si>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</si>
  <si>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</si>
  <si>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</si>
  <si>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</si>
  <si>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</si>
  <si>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</si>
  <si>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</si>
  <si>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</si>
  <si>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</si>
  <si>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</si>
  <si>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</si>
  <si>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</si>
  <si>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</si>
  <si>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</si>
  <si>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</si>
  <si>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</si>
  <si>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</si>
  <si>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</si>
  <si>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</si>
  <si>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</si>
  <si>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</si>
  <si>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</si>
  <si>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</si>
  <si>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</si>
  <si>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</si>
  <si>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</si>
  <si>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</si>
  <si>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</si>
  <si>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</si>
  <si>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</si>
  <si>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</si>
  <si>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</si>
  <si>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</si>
  <si>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</si>
  <si>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</si>
  <si>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</si>
  <si>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</si>
  <si>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</si>
  <si>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</si>
  <si>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</si>
  <si>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</si>
  <si>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</si>
  <si>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</si>
  <si>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</si>
  <si>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</si>
  <si>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</si>
  <si>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</si>
  <si>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</si>
  <si>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</si>
  <si>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</si>
  <si>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</si>
  <si>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</si>
  <si>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</si>
  <si>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</si>
  <si>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</si>
  <si>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</si>
  <si>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</si>
  <si>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</si>
  <si>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</si>
  <si>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</si>
  <si>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</si>
  <si>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</si>
  <si>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</si>
  <si>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</si>
  <si>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</si>
  <si>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</si>
  <si>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</si>
  <si>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</si>
  <si>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</si>
  <si>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</si>
  <si>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</si>
  <si>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</si>
  <si>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</si>
  <si>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</si>
  <si>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</si>
  <si>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</si>
  <si>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</si>
  <si>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</si>
  <si>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</si>
  <si>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</si>
  <si>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</si>
  <si>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</si>
  <si>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</si>
  <si>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</si>
  <si>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</si>
  <si>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</si>
  <si>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</si>
  <si>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</si>
  <si>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</si>
  <si>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</si>
  <si>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</si>
  <si>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</si>
  <si>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</si>
  <si>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</si>
  <si>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</si>
  <si>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</si>
  <si>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</si>
  <si>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</si>
  <si>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</si>
  <si>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</si>
  <si>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</si>
  <si>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</si>
  <si>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</si>
  <si>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</si>
  <si>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</si>
  <si>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</si>
  <si>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</si>
  <si>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</si>
  <si>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</si>
  <si>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</si>
  <si>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</si>
  <si>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</si>
  <si>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</si>
  <si>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</si>
  <si>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</si>
  <si>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</si>
  <si>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</si>
  <si>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</si>
  <si>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</si>
  <si>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</si>
  <si>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</si>
  <si>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</si>
  <si>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</si>
  <si>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</si>
  <si>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</si>
  <si>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</si>
  <si>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</si>
  <si>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</si>
  <si>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</si>
  <si>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</si>
  <si>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</si>
  <si>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</si>
  <si>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</si>
  <si>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</si>
  <si>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</si>
  <si>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</si>
  <si>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</si>
  <si>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</si>
  <si>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</si>
  <si>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</si>
  <si>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</si>
  <si>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</si>
  <si>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</si>
  <si>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</si>
  <si>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</si>
  <si>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</si>
  <si>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</si>
  <si>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</si>
  <si>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</si>
  <si>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</si>
  <si>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</si>
  <si>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</si>
  <si>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</si>
  <si>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</si>
  <si>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</si>
  <si>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</si>
  <si>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</si>
  <si>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</si>
  <si>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</si>
  <si>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</si>
  <si>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</si>
  <si>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</si>
  <si>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</si>
  <si>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</si>
  <si>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</si>
  <si>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</si>
  <si>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</si>
  <si>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</si>
  <si>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</si>
  <si>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</si>
  <si>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</si>
  <si>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</si>
  <si>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</si>
  <si>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</si>
  <si>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</si>
  <si>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</si>
  <si>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</si>
  <si>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</si>
  <si>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</si>
  <si>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</si>
  <si>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</si>
  <si>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</si>
  <si>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</si>
  <si>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</si>
  <si>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</si>
  <si>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</si>
  <si>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</si>
  <si>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</si>
  <si>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</si>
  <si>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</si>
  <si>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</si>
  <si>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</si>
  <si>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</si>
  <si>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</si>
  <si>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</si>
  <si>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</si>
  <si>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</si>
  <si>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</si>
  <si>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</si>
  <si>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</si>
  <si>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</si>
  <si>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</si>
  <si>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</si>
  <si>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</si>
  <si>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</si>
  <si>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</si>
  <si>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</si>
  <si>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</si>
  <si>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</si>
  <si>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</si>
  <si>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</si>
  <si>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</si>
  <si>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</si>
  <si>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</si>
  <si>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</si>
  <si>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</si>
  <si>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</si>
  <si>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</si>
  <si>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</si>
  <si>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</si>
  <si>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</si>
  <si>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</si>
  <si>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</si>
  <si>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</si>
  <si>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</si>
  <si>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</si>
  <si>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</si>
  <si>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</si>
  <si>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</si>
  <si>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</si>
  <si>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</si>
  <si>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</si>
  <si>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</si>
  <si>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</si>
  <si>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</si>
  <si>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</si>
  <si>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</si>
  <si>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</si>
  <si>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</si>
  <si>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</si>
  <si>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</si>
  <si>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</si>
  <si>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</si>
  <si>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</si>
  <si>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</si>
  <si>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</si>
  <si>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</si>
  <si>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</si>
  <si>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</si>
  <si>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</si>
  <si>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</si>
  <si>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</si>
  <si>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</si>
  <si>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</si>
  <si>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</si>
  <si>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</si>
  <si>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</si>
  <si>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</si>
  <si>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</si>
  <si>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</si>
  <si>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</si>
  <si>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</si>
  <si>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</si>
  <si>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</si>
  <si>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</si>
  <si>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</si>
  <si>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</si>
  <si>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</si>
  <si>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</si>
  <si>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</si>
  <si>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</si>
  <si>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</si>
  <si>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</si>
  <si>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</si>
  <si>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</si>
  <si>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</si>
  <si>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</si>
  <si>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</si>
  <si>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</si>
  <si>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</si>
  <si>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</si>
  <si>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</si>
  <si>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</si>
  <si>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</si>
  <si>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</si>
  <si>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</si>
  <si>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</si>
  <si>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</si>
  <si>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</si>
  <si>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</si>
  <si>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</si>
  <si>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</si>
  <si>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</si>
  <si>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</si>
  <si>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</si>
  <si>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</si>
  <si>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</si>
  <si>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</si>
  <si>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Régua de alumínio para pedreiro com 2m</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</si>
  <si>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</si>
  <si>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</si>
  <si>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</si>
  <si>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</si>
  <si>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</si>
  <si>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</si>
  <si>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</si>
  <si>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</si>
  <si>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</si>
  <si>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</si>
  <si>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</si>
  <si>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</si>
  <si>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</si>
  <si>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</si>
  <si>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</si>
  <si>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</si>
  <si>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</si>
  <si>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</si>
  <si>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</si>
  <si>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</si>
  <si>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</si>
  <si>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</si>
  <si>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</si>
  <si>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</si>
  <si>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</si>
  <si>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</si>
  <si>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</si>
  <si>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</si>
  <si>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</si>
  <si>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</si>
  <si>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</si>
  <si>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</si>
  <si>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</si>
  <si>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</si>
  <si>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</si>
  <si>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</si>
  <si>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</si>
  <si>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</si>
  <si>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</si>
  <si>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</si>
  <si>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</si>
  <si>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</si>
  <si>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</si>
  <si>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</si>
  <si>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</si>
  <si>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</si>
  <si>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</si>
  <si>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</si>
  <si>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</si>
  <si>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</si>
  <si>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</si>
  <si>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</si>
  <si>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</si>
  <si>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</si>
  <si>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</si>
  <si>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</si>
  <si>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</si>
  <si>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</si>
  <si>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</si>
  <si>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</si>
  <si>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</si>
  <si>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</si>
  <si>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</si>
  <si>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</si>
  <si>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</si>
  <si>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</si>
  <si>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</si>
  <si>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</si>
  <si>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</si>
  <si>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</si>
  <si>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</si>
  <si>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</si>
  <si>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</si>
  <si>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</si>
  <si>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</si>
  <si>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</si>
  <si>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</si>
  <si>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</si>
  <si>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</si>
  <si>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</si>
  <si>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</si>
  <si>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</si>
  <si>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</si>
  <si>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</si>
  <si>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</si>
  <si>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</si>
  <si>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</si>
  <si>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</si>
  <si>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</si>
  <si>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</si>
  <si>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</si>
  <si>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</si>
  <si>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</si>
  <si>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</si>
  <si>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</si>
  <si>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</si>
  <si>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</si>
  <si>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</si>
  <si>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</si>
  <si>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</si>
  <si>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</si>
  <si>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</si>
  <si>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</si>
  <si>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</si>
  <si>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</si>
  <si>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</si>
  <si>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</si>
  <si>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</si>
  <si>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</si>
  <si>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</si>
  <si>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</si>
  <si>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</si>
  <si>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</si>
  <si>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</si>
  <si>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</si>
  <si>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</si>
  <si>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</si>
  <si>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</si>
  <si>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</si>
  <si>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</si>
  <si>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</si>
  <si>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</si>
  <si>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</si>
  <si>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</si>
  <si>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</si>
  <si>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</si>
  <si>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</si>
  <si>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</si>
  <si>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</si>
  <si>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</si>
  <si>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</si>
  <si>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</si>
  <si>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</si>
  <si>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</si>
  <si>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</si>
  <si>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</si>
  <si>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</si>
  <si>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</si>
  <si>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</si>
  <si>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</si>
  <si>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</si>
  <si>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</si>
  <si>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</si>
  <si>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</si>
  <si>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</si>
  <si>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</si>
  <si>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</si>
  <si>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</si>
  <si>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</si>
  <si>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</si>
  <si>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</si>
  <si>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</si>
  <si>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</si>
  <si>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</si>
  <si>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</si>
  <si>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</si>
  <si>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</si>
  <si>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</si>
  <si>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</si>
  <si>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</si>
  <si>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</si>
  <si>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</si>
  <si>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</si>
  <si>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</si>
  <si>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</si>
  <si>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</si>
  <si>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</si>
  <si>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</si>
  <si>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</si>
  <si>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</si>
  <si>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</si>
  <si>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</si>
  <si>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</si>
  <si>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</si>
  <si>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</si>
  <si>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</si>
  <si>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</si>
  <si>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</si>
  <si>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</si>
  <si>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</si>
  <si>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</si>
  <si>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</si>
  <si>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</si>
  <si>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</si>
  <si>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</si>
  <si>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</si>
  <si>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</si>
  <si>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</si>
  <si>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</si>
  <si>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</si>
  <si>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</si>
  <si>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</si>
  <si>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</si>
  <si>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</si>
  <si>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</si>
  <si>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</si>
  <si>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</si>
  <si>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</si>
  <si>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</si>
  <si>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</si>
  <si>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</si>
  <si>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</si>
  <si>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</si>
  <si>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</si>
  <si>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</si>
  <si>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</si>
  <si>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</si>
  <si>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</si>
  <si>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</si>
  <si>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</si>
  <si>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</si>
  <si>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</si>
  <si>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</si>
  <si>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</si>
  <si>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</si>
  <si>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</si>
  <si>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</si>
  <si>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</si>
  <si>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</si>
  <si>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</si>
  <si>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</si>
  <si>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</si>
  <si>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</si>
  <si>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</si>
  <si>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</si>
  <si>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</si>
  <si>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</si>
  <si>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</si>
  <si>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</si>
  <si>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</si>
  <si>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</si>
  <si>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</si>
  <si>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</si>
  <si>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</si>
  <si>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</si>
  <si>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</si>
  <si>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</si>
  <si>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</si>
  <si>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</si>
  <si>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</si>
  <si>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</si>
  <si>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</si>
  <si>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</si>
  <si>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</si>
  <si>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</si>
  <si>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</si>
  <si>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</si>
  <si>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</si>
  <si>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</si>
  <si>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</si>
  <si>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</si>
  <si>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</si>
  <si>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</si>
  <si>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</si>
  <si>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</si>
  <si>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</si>
  <si>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</si>
  <si>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</si>
  <si>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</si>
  <si>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</si>
  <si>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</si>
  <si>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</si>
  <si>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</si>
  <si>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</si>
  <si>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</si>
  <si>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</si>
  <si>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</si>
  <si>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</si>
  <si>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</si>
  <si>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</si>
  <si>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</si>
  <si>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</si>
  <si>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</si>
  <si>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</si>
  <si>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</si>
  <si>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</si>
  <si>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</si>
  <si>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</si>
  <si>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</si>
  <si>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</si>
  <si>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</si>
  <si>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</si>
  <si>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</si>
  <si>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</si>
  <si>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</si>
  <si>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</si>
  <si>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</si>
  <si>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</si>
  <si>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</si>
  <si>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</si>
  <si>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</si>
  <si>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</si>
  <si>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</si>
  <si>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</si>
  <si>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</si>
  <si>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</si>
  <si>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</si>
  <si>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</si>
  <si>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</si>
  <si>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</si>
  <si>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</si>
  <si>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</si>
  <si>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</si>
  <si>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</si>
  <si>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</si>
  <si>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</si>
  <si>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</si>
  <si>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</si>
  <si>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</si>
  <si>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</si>
  <si>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</si>
  <si>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</si>
  <si>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</si>
  <si>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</si>
  <si>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</si>
  <si>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</si>
  <si>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</si>
  <si>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</si>
  <si>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</si>
  <si>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</si>
  <si>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</si>
  <si>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</si>
  <si>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</si>
  <si>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</si>
  <si>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</si>
  <si>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</si>
  <si>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</si>
  <si>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</si>
  <si>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</si>
  <si>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</si>
  <si>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</si>
  <si>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</si>
  <si>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</si>
  <si>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</si>
  <si>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</si>
  <si>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</si>
  <si>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</si>
  <si>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</si>
  <si>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</si>
  <si>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</si>
  <si>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</si>
  <si>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</si>
  <si>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</si>
  <si>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</si>
  <si>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</si>
  <si>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</si>
  <si>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</si>
  <si>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</si>
  <si>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</si>
  <si>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</si>
  <si>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</si>
  <si>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</si>
  <si>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</si>
  <si>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</si>
  <si>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</si>
  <si>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</si>
  <si>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</si>
  <si>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</si>
  <si>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</si>
  <si>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</si>
  <si>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</si>
  <si>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</si>
  <si>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</si>
  <si>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</si>
  <si>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</si>
  <si>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</si>
  <si>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</si>
  <si>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</si>
  <si>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</si>
  <si>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</si>
  <si>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</si>
  <si>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</si>
  <si>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</si>
  <si>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</si>
  <si>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</si>
  <si>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</si>
  <si>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</si>
  <si>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</si>
  <si>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</si>
  <si>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</si>
  <si>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</si>
  <si>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</si>
  <si>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</si>
  <si>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</si>
  <si>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</si>
  <si>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</si>
  <si>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</si>
  <si>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</si>
  <si>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</si>
  <si>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</si>
  <si>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</si>
  <si>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</si>
  <si>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</si>
  <si>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</si>
  <si>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</si>
  <si>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</si>
  <si>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</si>
  <si>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</si>
  <si>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</si>
  <si>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</si>
  <si>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</si>
  <si>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</si>
  <si>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</si>
  <si>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</si>
  <si>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</si>
  <si>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</si>
  <si>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</si>
  <si>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</si>
  <si>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</si>
  <si>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</si>
  <si>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</si>
  <si>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</si>
  <si>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</si>
  <si>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</si>
  <si>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</si>
  <si>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</si>
  <si>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</si>
  <si>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</si>
  <si>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</si>
  <si>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</si>
  <si>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</si>
  <si>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</si>
  <si>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</si>
  <si>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</si>
  <si>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</si>
  <si>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</si>
  <si>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</si>
  <si>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</si>
  <si>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</si>
  <si>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</si>
  <si>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</si>
  <si>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</si>
  <si>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</si>
  <si>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</si>
  <si>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</si>
  <si>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</si>
  <si>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</si>
  <si>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</si>
  <si>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</si>
  <si>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</si>
  <si>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</si>
  <si>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</si>
  <si>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</si>
  <si>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</si>
  <si>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</si>
  <si>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</si>
  <si>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</si>
  <si>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</si>
  <si>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</si>
  <si>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</si>
  <si>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</si>
  <si>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</si>
  <si>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</si>
  <si>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</si>
  <si>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</si>
  <si>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</si>
  <si>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</si>
  <si>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</si>
  <si>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</si>
  <si>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</si>
  <si>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</si>
  <si>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</si>
  <si>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</si>
  <si>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</si>
  <si>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</si>
  <si>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</si>
  <si>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</si>
  <si>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</si>
  <si>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</si>
  <si>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</si>
  <si>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</si>
  <si>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</si>
  <si>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</si>
  <si>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</si>
  <si>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</si>
  <si>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</si>
  <si>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</si>
  <si>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</si>
  <si>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</si>
  <si>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</si>
  <si>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</si>
  <si>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</si>
  <si>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</si>
  <si>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</si>
  <si>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</si>
  <si>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</si>
  <si>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</si>
  <si>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</si>
  <si>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</si>
  <si>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</si>
  <si>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</si>
  <si>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</si>
  <si>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</si>
  <si>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</si>
  <si>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</si>
  <si>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</si>
  <si>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</si>
  <si>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</si>
  <si>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</si>
  <si>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</si>
  <si>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</si>
  <si>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</si>
  <si>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</si>
  <si>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</si>
  <si>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</si>
  <si>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</si>
  <si>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</si>
  <si>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</si>
  <si>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</si>
  <si>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</si>
  <si>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</si>
  <si>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</si>
  <si>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</si>
  <si>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</si>
  <si>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</si>
  <si>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</si>
  <si>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</si>
  <si>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</si>
  <si>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</si>
  <si>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</si>
  <si>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</si>
  <si>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</si>
  <si>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</si>
  <si>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</si>
  <si>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</si>
  <si>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</si>
  <si>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</si>
  <si>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</si>
  <si>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</si>
  <si>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</si>
  <si>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</si>
  <si>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</si>
  <si>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</si>
  <si>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</si>
  <si>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</si>
  <si>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</si>
  <si>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</si>
  <si>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</si>
  <si>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</si>
  <si>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</si>
  <si>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</si>
  <si>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</si>
  <si>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</si>
  <si>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</si>
  <si>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</si>
  <si>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</si>
  <si>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</si>
  <si>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</si>
  <si>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</si>
  <si>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</si>
  <si>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</si>
  <si>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</si>
  <si>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</si>
  <si>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</si>
  <si>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</si>
  <si>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</si>
  <si>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</si>
  <si>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</si>
  <si>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</si>
  <si>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</si>
  <si>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</si>
  <si>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</si>
  <si>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</si>
  <si>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</si>
  <si>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</si>
  <si>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</si>
  <si>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</si>
  <si>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</si>
  <si>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</si>
  <si>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</si>
  <si>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</si>
  <si>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</si>
  <si>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</si>
  <si>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</si>
  <si>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</si>
  <si>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</si>
  <si>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</si>
  <si>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</si>
  <si>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</si>
  <si>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</si>
  <si>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</si>
  <si>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</si>
  <si>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</si>
  <si>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</si>
  <si>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</si>
  <si>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</si>
  <si>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</si>
  <si>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</si>
  <si>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</si>
  <si>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</si>
  <si>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</si>
  <si>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</si>
  <si>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</si>
  <si>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</si>
  <si>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</si>
  <si>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</si>
  <si>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</si>
  <si>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</si>
  <si>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</si>
  <si>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</si>
  <si>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</si>
  <si>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</si>
  <si>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</si>
  <si>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</si>
  <si>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</si>
  <si>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</si>
  <si>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</si>
  <si>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</si>
  <si>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</si>
  <si>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</si>
  <si>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</si>
  <si>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</si>
  <si>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</si>
  <si>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</si>
  <si>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</si>
  <si>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</si>
  <si>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</si>
  <si>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</si>
  <si>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</si>
  <si>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</si>
  <si>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</si>
  <si>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</si>
  <si>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</si>
  <si>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</si>
  <si>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</si>
  <si>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</si>
  <si>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</si>
  <si>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</si>
  <si>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</si>
  <si>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</si>
  <si>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</si>
  <si>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</si>
  <si>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</si>
  <si>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</si>
  <si>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</si>
  <si>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</si>
  <si>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</si>
  <si>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</si>
  <si>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</si>
  <si>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</si>
  <si>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CA-50, DIÂMETRO DE 6,3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</si>
  <si>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</si>
  <si>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</si>
  <si>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</si>
  <si>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</si>
  <si>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</si>
  <si>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</si>
  <si>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</si>
  <si>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</si>
  <si>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</si>
  <si>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</si>
  <si>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</si>
  <si>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</si>
  <si>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</si>
  <si>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</si>
  <si>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</si>
  <si>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</si>
  <si>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</si>
  <si>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</si>
  <si>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</si>
  <si>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</si>
  <si>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</si>
  <si>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</si>
  <si>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</si>
  <si>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</si>
  <si>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</si>
  <si>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</si>
  <si>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</si>
  <si>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</si>
  <si>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</si>
  <si>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</si>
  <si>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</si>
  <si>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</si>
  <si>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</si>
  <si>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</si>
  <si>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</si>
  <si>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</si>
  <si>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</si>
  <si>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</si>
  <si>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</si>
  <si>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</si>
  <si>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</si>
  <si>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</si>
  <si>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</si>
  <si>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</si>
  <si>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</si>
  <si>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</si>
  <si>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</si>
  <si>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</si>
  <si>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</si>
  <si>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</si>
  <si>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</si>
  <si>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</si>
  <si>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</si>
  <si>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</si>
  <si>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</si>
  <si>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</si>
  <si>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</si>
  <si>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</si>
  <si>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</si>
  <si>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</si>
  <si>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</si>
  <si>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</si>
  <si>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</si>
  <si>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</si>
  <si>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</si>
  <si>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</si>
  <si>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</si>
  <si>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</si>
  <si>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</si>
  <si>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</si>
  <si>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</si>
  <si>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</si>
  <si>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</si>
  <si>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</si>
  <si>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</si>
  <si>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</si>
  <si>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</si>
  <si>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</si>
  <si>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</si>
  <si>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</si>
  <si>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</si>
  <si>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</si>
  <si>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</si>
  <si>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</si>
  <si>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</si>
  <si>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</si>
  <si>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</si>
  <si>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</si>
  <si>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</si>
  <si>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</si>
  <si>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</si>
  <si>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</si>
  <si>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</si>
  <si>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</si>
  <si>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</si>
  <si>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</si>
  <si>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</si>
  <si>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</si>
  <si>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</si>
  <si>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</si>
  <si>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</si>
  <si>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</si>
  <si>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</si>
  <si>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</si>
  <si>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</si>
  <si>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</si>
  <si>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</si>
  <si>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</si>
  <si>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</si>
  <si>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</si>
  <si>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</si>
  <si>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</si>
  <si>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</si>
  <si>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</si>
  <si>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</si>
  <si>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</si>
  <si>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</si>
  <si>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</si>
  <si>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</si>
  <si>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</si>
  <si>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</si>
  <si>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</si>
  <si>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</si>
  <si>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</si>
  <si>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</si>
  <si>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</si>
  <si>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</si>
  <si>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</si>
  <si>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</si>
  <si>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</si>
  <si>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</si>
  <si>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</si>
  <si>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</si>
  <si>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</si>
  <si>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</si>
  <si>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</si>
  <si>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</si>
  <si>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</si>
  <si>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</si>
  <si>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</si>
  <si>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</si>
  <si>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</si>
  <si>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</si>
  <si>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</si>
  <si>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</si>
  <si>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</si>
  <si>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</si>
  <si>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</si>
  <si>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</si>
  <si>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</si>
  <si>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</si>
  <si>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</si>
  <si>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</si>
  <si>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</si>
  <si>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</si>
  <si>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</si>
  <si>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</si>
  <si>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</si>
  <si>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</si>
  <si>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</si>
  <si>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</si>
  <si>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</si>
  <si>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</si>
  <si>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</si>
  <si>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</si>
  <si>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</si>
  <si>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</si>
  <si>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</si>
  <si>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</si>
  <si>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</si>
  <si>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</si>
  <si>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</si>
  <si>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</si>
  <si>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</si>
  <si>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</si>
  <si>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</si>
  <si>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</si>
  <si>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</si>
  <si>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</si>
  <si>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</si>
  <si>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</si>
  <si>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</si>
  <si>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</si>
  <si>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</si>
  <si>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</si>
  <si>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</si>
  <si>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</si>
  <si>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</si>
  <si>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</si>
  <si>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</si>
  <si>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</si>
  <si>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</si>
  <si>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</si>
  <si>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</si>
  <si>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</si>
  <si>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</si>
  <si>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</si>
  <si>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</si>
  <si>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</si>
  <si>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</si>
  <si>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</si>
  <si>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</si>
  <si>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</si>
  <si>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</si>
  <si>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</si>
  <si>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</si>
  <si>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</si>
  <si>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</si>
  <si>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</si>
  <si>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</si>
  <si>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</si>
  <si>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</si>
  <si>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</si>
  <si>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</si>
  <si>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</si>
  <si>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</si>
  <si>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</si>
  <si>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</si>
  <si>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</si>
  <si>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</si>
  <si>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</si>
  <si>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</si>
  <si>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</si>
  <si>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</si>
  <si>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</si>
  <si>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</si>
  <si>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</si>
  <si>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</si>
  <si>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</si>
  <si>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</si>
  <si>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</si>
  <si>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</si>
  <si>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</si>
  <si>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</si>
  <si>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</si>
  <si>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</si>
  <si>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</si>
  <si>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</si>
  <si>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</si>
  <si>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</si>
  <si>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</si>
  <si>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</si>
  <si>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</si>
  <si>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</si>
  <si>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</si>
  <si>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</si>
  <si>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</si>
  <si>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</si>
  <si>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</si>
  <si>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</si>
  <si>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</si>
  <si>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</si>
  <si>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</si>
  <si>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</si>
  <si>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</si>
  <si>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</si>
  <si>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</si>
  <si>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</si>
  <si>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</si>
  <si>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</si>
  <si>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</si>
  <si>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</si>
  <si>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</si>
  <si>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</si>
  <si>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</si>
  <si>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</si>
  <si>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</si>
  <si>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</si>
  <si>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</si>
  <si>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</si>
  <si>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</si>
  <si>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</si>
  <si>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</si>
  <si>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</si>
  <si>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</si>
  <si>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</si>
  <si>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</si>
  <si>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</si>
  <si>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</si>
  <si>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</si>
  <si>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</si>
  <si>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</si>
  <si>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</si>
  <si>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</si>
  <si>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</si>
  <si>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</si>
  <si>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</si>
  <si>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</si>
  <si>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</si>
  <si>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</si>
  <si>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</si>
  <si>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</si>
  <si>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</si>
  <si>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</si>
  <si>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</si>
  <si>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</si>
  <si>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</si>
  <si>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</si>
  <si>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</si>
  <si>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</si>
  <si>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</si>
  <si>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</si>
  <si>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BLOCO DE CONCRETO ESTRUTURAL 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</si>
  <si>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</si>
  <si>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</si>
  <si>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</si>
  <si>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</si>
  <si>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</si>
  <si>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</si>
  <si>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</si>
  <si>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</si>
  <si>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</si>
  <si>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</si>
  <si>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</si>
  <si>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</si>
  <si>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</si>
  <si>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</si>
  <si>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</si>
  <si>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</si>
  <si>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</si>
  <si>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</si>
  <si>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</si>
  <si>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</si>
  <si>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</si>
  <si>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</si>
  <si>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</si>
  <si>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</si>
  <si>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</si>
  <si>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</si>
  <si>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</si>
  <si>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</si>
  <si>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</si>
  <si>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</si>
  <si>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</si>
  <si>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</si>
  <si>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</si>
  <si>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</si>
  <si>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</si>
  <si>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</si>
  <si>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</si>
  <si>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</si>
  <si>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</si>
  <si>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</si>
  <si>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</si>
  <si>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</si>
  <si>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</si>
  <si>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</si>
  <si>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</si>
  <si>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</si>
  <si>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</si>
  <si>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</si>
  <si>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</si>
  <si>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</si>
  <si>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</si>
  <si>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</si>
  <si>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</si>
  <si>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</si>
  <si>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</si>
  <si>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</si>
  <si>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</si>
  <si>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</si>
  <si>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</si>
  <si>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</si>
  <si>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</si>
  <si>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</si>
  <si>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</si>
  <si>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</si>
  <si>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</si>
  <si>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</si>
  <si>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</si>
  <si>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</si>
  <si>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</si>
  <si>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</si>
  <si>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</si>
  <si>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</si>
  <si>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</si>
  <si>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</si>
  <si>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</si>
  <si>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</si>
  <si>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</si>
  <si>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</si>
  <si>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</si>
  <si>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</si>
  <si>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</si>
  <si>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</si>
  <si>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</si>
  <si>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</si>
  <si>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</si>
  <si>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</si>
  <si>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</si>
  <si>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</si>
  <si>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</si>
  <si>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</si>
  <si>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</si>
  <si>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</si>
  <si>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</si>
  <si>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</si>
  <si>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</si>
  <si>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</si>
  <si>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</si>
  <si>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</si>
  <si>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</si>
  <si>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</si>
  <si>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</si>
  <si>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</si>
  <si>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</si>
  <si>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</si>
  <si>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</si>
  <si>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</si>
  <si>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</si>
  <si>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</si>
  <si>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</si>
  <si>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</si>
  <si>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</si>
  <si>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</si>
  <si>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</si>
  <si>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</si>
  <si>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</si>
  <si>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</si>
  <si>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</si>
  <si>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</si>
  <si>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</si>
  <si>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</si>
  <si>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</si>
  <si>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</si>
  <si>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</si>
  <si>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</si>
  <si>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</si>
  <si>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</si>
  <si>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</si>
  <si>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</si>
  <si>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</si>
  <si>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</si>
  <si>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</si>
  <si>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</si>
  <si>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</si>
  <si>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</si>
  <si>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</si>
  <si>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</si>
  <si>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</si>
  <si>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</si>
  <si>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</si>
  <si>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</si>
  <si>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</si>
  <si>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</si>
  <si>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</si>
  <si>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</si>
  <si>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</si>
  <si>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</si>
  <si>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</si>
  <si>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</si>
  <si>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</si>
  <si>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</si>
  <si>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</si>
  <si>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</si>
  <si>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</si>
  <si>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</si>
  <si>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</si>
  <si>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</si>
  <si>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</si>
  <si>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</si>
  <si>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</si>
  <si>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</si>
  <si>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</si>
  <si>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</si>
  <si>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</si>
  <si>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</si>
  <si>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</si>
  <si>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</si>
  <si>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</si>
  <si>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</si>
  <si>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</si>
  <si>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</si>
  <si>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</si>
  <si>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</si>
  <si>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</si>
  <si>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</si>
  <si>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</si>
  <si>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</si>
  <si>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</si>
  <si>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</si>
  <si>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</si>
  <si>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</si>
  <si>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</si>
  <si>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</si>
  <si>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</si>
  <si>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</si>
  <si>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</si>
  <si>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</si>
  <si>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</si>
  <si>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</si>
  <si>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</si>
  <si>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</si>
  <si>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</si>
  <si>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</si>
  <si>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</si>
  <si>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</si>
  <si>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</si>
  <si>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</si>
  <si>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</si>
  <si>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</si>
  <si>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</si>
  <si>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</si>
  <si>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</si>
  <si>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</si>
  <si>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</si>
  <si>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</si>
  <si>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</si>
  <si>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ci</t>
  </si>
  <si>
    <t>PREÇO TOTAL</t>
  </si>
  <si>
    <t>SF-01380</t>
  </si>
  <si>
    <t>Relatório técnico de qualidade do ar</t>
  </si>
  <si>
    <t>SF-01379</t>
  </si>
  <si>
    <t>Detector de fumaça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</si>
  <si>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</si>
  <si>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</si>
  <si>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</si>
  <si>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</si>
  <si>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</si>
  <si>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</si>
  <si>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LOCACAO DE ANDAIME METALICO TUBULAR DE ENCAIXE, TIPO DE TORRE, COM LARGURA DE 1 ATE 1,5 M E ALTURA DE *1,00* M (INCLUSO SAPATAS FIXAS OU RODIZIOS)</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</si>
  <si>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</si>
  <si>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</si>
  <si>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</si>
  <si>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</si>
  <si>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</si>
  <si>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</si>
  <si>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</si>
  <si>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</si>
  <si>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</si>
  <si>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</si>
  <si>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</si>
  <si>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</si>
  <si>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</si>
  <si>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</si>
  <si>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</si>
  <si>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</si>
  <si>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</si>
  <si>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</si>
  <si>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</si>
  <si>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</si>
  <si>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</si>
  <si>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</si>
  <si>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</si>
  <si>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</si>
  <si>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</si>
  <si>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</si>
  <si>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</si>
  <si>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</si>
  <si>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</si>
  <si>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</si>
  <si>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</si>
  <si>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</si>
  <si>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</si>
  <si>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</si>
  <si>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</si>
  <si>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</si>
  <si>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</si>
  <si>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</si>
  <si>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</si>
  <si>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</si>
  <si>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</si>
  <si>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</si>
  <si>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</si>
  <si>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</si>
  <si>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</si>
  <si>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</si>
  <si>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</si>
  <si>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</si>
  <si>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</si>
  <si>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</si>
  <si>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</si>
  <si>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</si>
  <si>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</si>
  <si>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</si>
  <si>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</si>
  <si>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</si>
  <si>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</si>
  <si>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</si>
  <si>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</si>
  <si>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</si>
  <si>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</si>
  <si>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</si>
  <si>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</si>
  <si>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</si>
  <si>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</si>
  <si>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</si>
  <si>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</si>
  <si>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</si>
  <si>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</si>
  <si>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</si>
  <si>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</si>
  <si>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</si>
  <si>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</si>
  <si>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</si>
  <si>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</si>
  <si>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</si>
  <si>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</si>
  <si>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</si>
  <si>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</si>
  <si>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</si>
  <si>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</si>
  <si>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</si>
  <si>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</si>
  <si>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</si>
  <si>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</si>
  <si>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</si>
  <si>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</si>
  <si>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</si>
  <si>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</si>
  <si>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</si>
  <si>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</si>
  <si>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</si>
  <si>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</si>
  <si>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</si>
  <si>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</si>
  <si>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</si>
  <si>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</si>
  <si>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</si>
  <si>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</si>
  <si>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</si>
  <si>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</si>
  <si>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</si>
  <si>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</si>
  <si>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</si>
  <si>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</si>
  <si>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</si>
  <si>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</si>
  <si>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</si>
  <si>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</si>
  <si>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</si>
  <si>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</si>
  <si>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</si>
  <si>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</si>
  <si>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</si>
  <si>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</si>
  <si>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</si>
  <si>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</si>
  <si>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</si>
  <si>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</si>
  <si>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</si>
  <si>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</si>
  <si>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</si>
  <si>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</si>
  <si>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</si>
  <si>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</si>
  <si>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</si>
  <si>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</si>
  <si>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</si>
  <si>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</si>
  <si>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</si>
  <si>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</si>
  <si>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</si>
  <si>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</si>
  <si>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</si>
  <si>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</si>
  <si>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</si>
  <si>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</si>
  <si>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</si>
  <si>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</si>
  <si>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</si>
  <si>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</si>
  <si>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</si>
  <si>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</si>
  <si>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</si>
  <si>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</si>
  <si>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Trilho DIN 35mm</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</si>
  <si>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</si>
  <si>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</si>
  <si>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</si>
  <si>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</si>
  <si>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</si>
  <si>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</si>
  <si>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</si>
  <si>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</si>
  <si>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</si>
  <si>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</si>
  <si>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Spira-duto 1/8</t>
  </si>
  <si>
    <t>Spira-duto 1/4</t>
  </si>
  <si>
    <t>Spira-duto 1/2</t>
  </si>
  <si>
    <t>Spira-duto 3/4</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</si>
  <si>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</si>
  <si>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</si>
  <si>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</si>
  <si>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</si>
  <si>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</si>
  <si>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</si>
  <si>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</si>
  <si>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</si>
  <si>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</si>
  <si>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</si>
  <si>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</si>
  <si>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</si>
  <si>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</si>
  <si>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</si>
  <si>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</si>
  <si>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</si>
  <si>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</si>
  <si>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</si>
  <si>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</si>
  <si>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</si>
  <si>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</si>
  <si>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</si>
  <si>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</si>
  <si>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</si>
  <si>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</si>
  <si>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</si>
  <si>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</si>
  <si>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</si>
  <si>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</si>
  <si>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</si>
  <si>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</si>
  <si>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</si>
  <si>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</si>
  <si>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</si>
  <si>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</si>
  <si>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</si>
  <si>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</si>
  <si>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</si>
  <si>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</si>
  <si>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</si>
  <si>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</si>
  <si>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</si>
  <si>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</si>
  <si>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Ventoinha 120mm</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</si>
  <si>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</si>
  <si>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</si>
  <si>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</si>
  <si>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</si>
  <si>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</si>
  <si>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</si>
  <si>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</si>
  <si>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</si>
  <si>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Canaleta em alumínio 73mm x 25mm</t>
  </si>
  <si>
    <t>Curva para canaleta em alumínio 73mm x 25mm</t>
  </si>
  <si>
    <t>Porta equipamentos para canaleta de alumínio</t>
  </si>
  <si>
    <t>Adaptador de eletroduto para canaleta em alumínio 73mm x 25mm</t>
  </si>
  <si>
    <t>Tampa terminal para canaleta em alumínio 73mm x 25mm</t>
  </si>
  <si>
    <t>Derivação tipo X para canaleta em alumínio 73mm x 25mm</t>
  </si>
  <si>
    <t>Canaleta em alumínio 53mm x 14mm</t>
  </si>
  <si>
    <t>Curva para canaleta em alumínio 53mm x 14mm</t>
  </si>
  <si>
    <t>Tampa terminal para canaleta em alumínio 53mm x 14mm</t>
  </si>
  <si>
    <t>Adaptador de porta equipamentos para canaleta em alumínio 53mm x 14mm</t>
  </si>
  <si>
    <t>Canaleta em PVC 20mm x 12 mm</t>
  </si>
  <si>
    <t>Acessório para canaleta em PVC 20mm x 12 mm</t>
  </si>
  <si>
    <t>Caixa de sobrepor para canaleta em PVC 20mm x 12 mm</t>
  </si>
  <si>
    <t>Tomada para canaleta em PVC 20mm x 12 mm</t>
  </si>
  <si>
    <t>Interruptor para canaleta em PVC 20mm x 12 mm</t>
  </si>
  <si>
    <t>Pulsador para canaleta em PVC 20mm x 12 mm</t>
  </si>
  <si>
    <t>Módulo cego para canaleta em PVC 20mm x 12 mm</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</si>
  <si>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</si>
  <si>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</si>
  <si>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</si>
  <si>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</si>
  <si>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</si>
  <si>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</si>
  <si>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</si>
  <si>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</si>
  <si>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</si>
  <si>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</si>
  <si>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</si>
  <si>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</si>
  <si>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</si>
  <si>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</si>
  <si>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</si>
  <si>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</si>
  <si>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</si>
  <si>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</si>
  <si>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</si>
  <si>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Gateway Modbus Ethernet/RS485</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</si>
  <si>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</si>
  <si>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</si>
  <si>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</si>
  <si>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</si>
  <si>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</si>
  <si>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</si>
  <si>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</si>
  <si>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</si>
  <si>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</si>
  <si>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</si>
  <si>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</si>
  <si>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</si>
  <si>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</si>
  <si>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</si>
  <si>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</si>
  <si>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</si>
  <si>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</si>
  <si>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</si>
  <si>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</si>
  <si>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</si>
  <si>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</si>
  <si>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</si>
  <si>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</si>
  <si>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</si>
  <si>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</si>
  <si>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</si>
  <si>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</si>
  <si>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</si>
  <si>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</si>
  <si>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</si>
  <si>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</si>
  <si>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</si>
  <si>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</si>
  <si>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</si>
  <si>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</si>
  <si>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</si>
  <si>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</si>
  <si>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</si>
  <si>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</si>
  <si>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</si>
  <si>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</si>
  <si>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</si>
  <si>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</si>
  <si>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</si>
  <si>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</si>
  <si>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</si>
  <si>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</si>
  <si>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</si>
  <si>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</si>
  <si>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</si>
  <si>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</si>
  <si>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</si>
  <si>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</si>
  <si>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</si>
  <si>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</si>
  <si>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</si>
  <si>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</si>
  <si>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</si>
  <si>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3x1,5 mm²</t>
  </si>
  <si>
    <t>Cabo 3x2,5 mm²</t>
  </si>
  <si>
    <t>Cabo 3x4 mm²</t>
  </si>
  <si>
    <t>Cabo 3x6 mm²</t>
  </si>
  <si>
    <t>Cabo PP 2x1 mm²</t>
  </si>
  <si>
    <t>Cabo PP 2x1,5 mm²</t>
  </si>
  <si>
    <t>Cabo PP 2x2,5 mm²</t>
  </si>
  <si>
    <t>Cabo PP 3x1 mm²</t>
  </si>
  <si>
    <t>Cabo PP 3x1,5 mm²</t>
  </si>
  <si>
    <t>Cabo PP 3x2,5 mm²</t>
  </si>
  <si>
    <t>Cabo Blindado 2x0,75mm²</t>
  </si>
  <si>
    <t>Cabo Blindado 2x1mm²</t>
  </si>
  <si>
    <t>Cabo Blindado 2x1,5mm²</t>
  </si>
  <si>
    <t>Cabo Blindado 2x2,5mm²</t>
  </si>
  <si>
    <t>Cabo Blindado 2x4mm²</t>
  </si>
  <si>
    <t>Cabo Blindado 3x0,75mm²</t>
  </si>
  <si>
    <t>Cabo Blindado 3x1,50mm²</t>
  </si>
  <si>
    <t>Cabo Blindado 3x2,50mm²</t>
  </si>
  <si>
    <t>Cabo 4x1 mm²</t>
  </si>
  <si>
    <t>Cabo 5x1 mm²</t>
  </si>
  <si>
    <t>Cabo 7x1 mm²</t>
  </si>
  <si>
    <t>Mufla de média tensão</t>
  </si>
  <si>
    <t>Contator auxiliar AC</t>
  </si>
  <si>
    <t>Contator auxiliar DC</t>
  </si>
  <si>
    <t>Minicontator 12A AC</t>
  </si>
  <si>
    <t>Minicontator 12A DC</t>
  </si>
  <si>
    <t>Minicontator 16A AC</t>
  </si>
  <si>
    <t>Minicontator 16A DC</t>
  </si>
  <si>
    <t>Contator 18A</t>
  </si>
  <si>
    <t>Contator 25A</t>
  </si>
  <si>
    <t>Contator 32A</t>
  </si>
  <si>
    <t>Contator 40A</t>
  </si>
  <si>
    <t>Contator 50A</t>
  </si>
  <si>
    <t>Contator 65A</t>
  </si>
  <si>
    <t>Contator 80A</t>
  </si>
  <si>
    <t>Contator Especial 18A</t>
  </si>
  <si>
    <t>Contator Especial 25A</t>
  </si>
  <si>
    <t>Contator Especial 30A</t>
  </si>
  <si>
    <t>Contator Especial 38A</t>
  </si>
  <si>
    <t>Contator Especial 50A</t>
  </si>
  <si>
    <t>Contator Especial 65A</t>
  </si>
  <si>
    <t>Contator Especial 150A</t>
  </si>
  <si>
    <t>Contator Especial 250A</t>
  </si>
  <si>
    <t>Bloco de contato auxiliar simples</t>
  </si>
  <si>
    <t>Bloco de contato auxiliar duplo</t>
  </si>
  <si>
    <t>Bloco de contato auxiliar quádruplo</t>
  </si>
  <si>
    <t>Relé de sobrecarga para contator até 25A</t>
  </si>
  <si>
    <t>Relé de sobrecarga para contator até 40A</t>
  </si>
  <si>
    <t>Relé de sobrecarga para contator até 80A</t>
  </si>
  <si>
    <t>Capacitor 2,5 kVAr</t>
  </si>
  <si>
    <t>Capacitor 5 kVAr</t>
  </si>
  <si>
    <t>Capacitor 10 kVAr</t>
  </si>
  <si>
    <t>Capacitor 15 kVAr</t>
  </si>
  <si>
    <t>Capacitor 20 kVAr</t>
  </si>
  <si>
    <t>Capacitor 25 kVAr</t>
  </si>
  <si>
    <t>Capacitor 30 kVAr</t>
  </si>
  <si>
    <t>Contator para capacitor 22A</t>
  </si>
  <si>
    <t>Contator para capacitor 30A</t>
  </si>
  <si>
    <t>Contator para capacitor 40A</t>
  </si>
  <si>
    <t>Contator para capacitor 60A</t>
  </si>
  <si>
    <t>Controlador de fator de potência</t>
  </si>
  <si>
    <t>Disjuntor monopolar trilho DIN até 4A</t>
  </si>
  <si>
    <t>Disjuntor monopolar trilho DIN até 6A</t>
  </si>
  <si>
    <t>Disjuntor monopolar trilho DIN até 32A</t>
  </si>
  <si>
    <t>Disjuntor monopolar trilho DIN até 63A</t>
  </si>
  <si>
    <t>Disjuntor bipolar trilho DIN até 4A</t>
  </si>
  <si>
    <t>Disjuntor bipolar trilho DIN até 6A</t>
  </si>
  <si>
    <t>Disjuntor bipolar trilho DIN até 32A</t>
  </si>
  <si>
    <t>Disjuntor tripolar trilho DIN até 4A</t>
  </si>
  <si>
    <t>Disjuntor tripolar trilho DIN até 6A</t>
  </si>
  <si>
    <t>Disjuntor tripolar trilho DIN até 50A</t>
  </si>
  <si>
    <t>Disjuntor tripolar trilho DIN até 63A</t>
  </si>
  <si>
    <t>Disjuntor tripolar trilho DIN até 70A</t>
  </si>
  <si>
    <t>Disjuntor tripolar trilho DIN até 100A</t>
  </si>
  <si>
    <t>Disjuntor monopolar trilho DIN até 6A, 10 kA</t>
  </si>
  <si>
    <t>Disjuntor monopolar trilho DIN até 32A, 10 kA</t>
  </si>
  <si>
    <t>Disjuntor monopolar trilho DIN até 63A, 10 kA</t>
  </si>
  <si>
    <t>Disjuntor bipolar trilho DIN até 6A, 10 kA</t>
  </si>
  <si>
    <t>Disjuntor bipolar trilho DIN até 32A, 10 kA</t>
  </si>
  <si>
    <t>Disjuntor tripolar trilho DIN até 6A, 10kA</t>
  </si>
  <si>
    <t>Disjuntor tripolar trilho DIN até 32A, 10kA</t>
  </si>
  <si>
    <t>Disjuntor tripolar trilho DIN até 63A, 10kA</t>
  </si>
  <si>
    <t>Interruptor diferencial residual bipolar de 25A</t>
  </si>
  <si>
    <t>Interruptor diferencial residual bipolar de 40A</t>
  </si>
  <si>
    <t>Interruptor diferencial residual tetrapolar de 25A</t>
  </si>
  <si>
    <t>Interruptor diferencial residual tetrapolar de 40A</t>
  </si>
  <si>
    <t>Interruptor diferencial residual tetrapolar de 63A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</si>
  <si>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</si>
  <si>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</si>
  <si>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</si>
  <si>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</si>
  <si>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</si>
  <si>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</si>
  <si>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Disjuntor de caixa moldada de 100A / 18kA</t>
  </si>
  <si>
    <t>Disjuntor de caixa moldada de 100A / 36kA</t>
  </si>
  <si>
    <t>Disjuntor de caixa moldada de 100A / 50kA</t>
  </si>
  <si>
    <t>Disjuntor de caixa moldada de 100A / 70kA</t>
  </si>
  <si>
    <t>Disjuntor de caixa moldada de 160A / 18kA</t>
  </si>
  <si>
    <t>Disjuntor de caixa moldada de 160A / 36kA</t>
  </si>
  <si>
    <t>Disjuntor de caixa moldada de 160A / 50kA</t>
  </si>
  <si>
    <t>Disjuntor de caixa moldada de 160A / 70kA</t>
  </si>
  <si>
    <t>Disjuntor de caixa moldada de 250A / 25kA</t>
  </si>
  <si>
    <t>Disjuntor de caixa moldada de 250A / 36kA</t>
  </si>
  <si>
    <t>Disjuntor de caixa moldada de 250A / 50kA</t>
  </si>
  <si>
    <t>Disjuntor de caixa moldada de 250A / 70kA</t>
  </si>
  <si>
    <t>Disjuntor de caixa moldada de 250A / 100kA</t>
  </si>
  <si>
    <t>Disjuntor de caixa moldada de 400A / 36kA</t>
  </si>
  <si>
    <t>Disjuntor de caixa moldada de 400A / 50kA</t>
  </si>
  <si>
    <t>Disjuntor de caixa moldada de 400A / 70kA</t>
  </si>
  <si>
    <t>Disjuntor de caixa moldada de 400A / 100kA</t>
  </si>
  <si>
    <t>Disjuntor de caixa moldada de 630A / 36kA</t>
  </si>
  <si>
    <t>Disjuntor de caixa moldada de 630A / 50kA</t>
  </si>
  <si>
    <t>Disjuntor de caixa moldada de 630A / 70kA</t>
  </si>
  <si>
    <t>Disjuntor de caixa moldada de 630A / 100kA</t>
  </si>
  <si>
    <t>Disjuntor de caixa moldada de 800A / 36kA</t>
  </si>
  <si>
    <t>Disjuntor de caixa moldada de 800A / 50kA</t>
  </si>
  <si>
    <t>Disjuntor de caixa moldada de 800A / 70kA</t>
  </si>
  <si>
    <t>Disjuntor de caixa moldada de 800A / 100kA</t>
  </si>
  <si>
    <t>Disjuntor de caixa aberta de 630A / 50kA</t>
  </si>
  <si>
    <t>Disjuntor de caixa aberta de 800A / 65kA</t>
  </si>
  <si>
    <t>Disjuntor de caixa aberta de 800A / 100kA</t>
  </si>
  <si>
    <t>Disjuntor de caixa aberta de 1000A / 65kA</t>
  </si>
  <si>
    <t>Disjuntor de caixa aberta de 1000A / 100kA</t>
  </si>
  <si>
    <t>Disjuntor de caixa aberta de 1250A / 65kA</t>
  </si>
  <si>
    <t>Disjuntor de caixa aberta de 1250A / 100kA</t>
  </si>
  <si>
    <t>Disjuntor de caixa aberta de 1600A / 65kA</t>
  </si>
  <si>
    <t>Disjuntor de caixa aberta de 1600A / 100kA</t>
  </si>
  <si>
    <t>Disjuntor motor até 25A</t>
  </si>
  <si>
    <t>Disjuntor motor até 40A</t>
  </si>
  <si>
    <t>Eletrocalha 150x50 mm</t>
  </si>
  <si>
    <t>Eletrocalha 400x100 mm</t>
  </si>
  <si>
    <t>Eletrocalha 500x100 mm</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</si>
  <si>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</si>
  <si>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</si>
  <si>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</si>
  <si>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</si>
  <si>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</si>
  <si>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</si>
  <si>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</si>
  <si>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</si>
  <si>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</si>
  <si>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</si>
  <si>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</si>
  <si>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</si>
  <si>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Curva horizontal 90 graus para eletrocalha 50x50 mm</t>
  </si>
  <si>
    <t>Curva vertical 90 graus para eletrocalha 50x50 mm</t>
  </si>
  <si>
    <t>Tê horizontal 90 graus para eletrocalha 50x50 mm</t>
  </si>
  <si>
    <t>Suspensão ômega para eletrocalha 50x50 mm</t>
  </si>
  <si>
    <t>Junção integral (emenda) para eletrocalha_x000D_
 50x50 mm</t>
  </si>
  <si>
    <t>Curva horizontal 90 graus para eletrocalha 100x50 mm</t>
  </si>
  <si>
    <t>Curva vertical 90 graus para eletrocalha 100x50 mm</t>
  </si>
  <si>
    <t>Tê horizontal 90 graus para eletrocalha 100x50 mm</t>
  </si>
  <si>
    <t>Suspensão ômega para eletrocalha 100x50 mm</t>
  </si>
  <si>
    <t>Junção integral (emenda) para eletrocalha 100x50 mm</t>
  </si>
  <si>
    <t>Curva horizontal 90 graus para eletrocalha 150x50 mm</t>
  </si>
  <si>
    <t>Curva vertical 90 graus para eletrocalha 150x50 mm</t>
  </si>
  <si>
    <t>Tê horizontal 90 graus para eletrocalha 150x50 mm</t>
  </si>
  <si>
    <t>Suspensão ômega para eletrocalha 150x50 mm</t>
  </si>
  <si>
    <t>Junção integral (emenda) para eletrocalha_x000D_
 150x50 mm</t>
  </si>
  <si>
    <t>Curva horizontal 90 graus para eletrocalha 200x50 mm</t>
  </si>
  <si>
    <t>Curva vertical 90 graus para eletrocalha 200x50 mm</t>
  </si>
  <si>
    <t>Tê horizontal 90 graus para eletrocalha 200x50 mm</t>
  </si>
  <si>
    <t>Suspensão ômega para eletrocalha 200x50 mm</t>
  </si>
  <si>
    <t>Junção integral (emenda) para eletrocalha 200x50 mm</t>
  </si>
  <si>
    <t>Curva horizontal 90 graus para eletrocalha 200x100 mm</t>
  </si>
  <si>
    <t>Curva vertical 90 graus para eletrocalha 200x100 mm</t>
  </si>
  <si>
    <t>Tê horizontal 90 graus para eletrocalha 200x100 mm</t>
  </si>
  <si>
    <t>Suspensão ômega para eletrocalha 200x100 mm</t>
  </si>
  <si>
    <t>Junção integral (emenda) para eletrocalha 200x100 mm</t>
  </si>
  <si>
    <t>Curva horizontal 90 graus para eletrocalha 300x50 mm</t>
  </si>
  <si>
    <t>Curva vertical 90 graus para eletrocalha 300x50 mm</t>
  </si>
  <si>
    <t>Tê horizontal 90 graus para eletrocalha 300x50 mm</t>
  </si>
  <si>
    <t>Suspensão ômega para eletrocalha 300x50 mm</t>
  </si>
  <si>
    <t>Junção integral (emenda) para eletrocalha 300x50 mm</t>
  </si>
  <si>
    <t>Curva horizontal 90 graus para eletrocalha 300x100 mm</t>
  </si>
  <si>
    <t>Curva vertical 90 graus para eletrocalha 300x100 mm</t>
  </si>
  <si>
    <t>Tê horizontal 90 graus para eletrocalha 300x100 mm</t>
  </si>
  <si>
    <t>Suspensão ômega para eletrocalha 300x100 mm</t>
  </si>
  <si>
    <t>Junção integral (emenda) para eletrocalha 300x100 mm</t>
  </si>
  <si>
    <t>Curva horizontal 90 graus para eletrocalha 400x50 mm</t>
  </si>
  <si>
    <t>Curva vertical 90 graus para eletrocalha 400x50 mm</t>
  </si>
  <si>
    <t>Tê horizontal 90 graus para eletrocalha 400x50 mm</t>
  </si>
  <si>
    <t>Suspensão ômega para eletrocalha 400x50 mm</t>
  </si>
  <si>
    <t>Junção integral (emenda) para eletrocalha 400x50 mm</t>
  </si>
  <si>
    <t>Curva horizontal 90 graus para eletrocalha 400x100 mm</t>
  </si>
  <si>
    <t>Curva vertical 90 graus para eletrocalha 400x100 mm</t>
  </si>
  <si>
    <t>Tê horizontal 90 graus para eletrocalha 400x100 mm</t>
  </si>
  <si>
    <t>Suspensão ômega para eletrocalha 400x100 mm</t>
  </si>
  <si>
    <t>Junção integral (emenda) para eletrocalha 400x100 mm</t>
  </si>
  <si>
    <t>Curva horizontal 90 graus para eletrocalha 500x100 mm</t>
  </si>
  <si>
    <t>Curva vertical 90 graus para eletrocalha 500x100 mm</t>
  </si>
  <si>
    <t>Tê horizontal 90 graus para eletrocalha 500x100 mm</t>
  </si>
  <si>
    <t>Suspensão ômega para eletrocalha 500x100 mm</t>
  </si>
  <si>
    <t>Junção integral (emenda) para eletrocalha 500x100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</si>
  <si>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</si>
  <si>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</si>
  <si>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</si>
  <si>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</si>
  <si>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</si>
  <si>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</si>
  <si>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</si>
  <si>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</si>
  <si>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</si>
  <si>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</si>
  <si>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</si>
  <si>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</si>
  <si>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</si>
  <si>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</si>
  <si>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</si>
  <si>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</si>
  <si>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</si>
  <si>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</si>
  <si>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</si>
  <si>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</si>
  <si>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</si>
  <si>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</si>
  <si>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</si>
  <si>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</si>
  <si>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</si>
  <si>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</si>
  <si>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</si>
  <si>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</si>
  <si>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</si>
  <si>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</si>
  <si>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</si>
  <si>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</si>
  <si>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</si>
  <si>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</si>
  <si>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</si>
  <si>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</si>
  <si>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</si>
  <si>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</si>
  <si>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</si>
  <si>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</si>
  <si>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</si>
  <si>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</si>
  <si>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</si>
  <si>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</si>
  <si>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</si>
  <si>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</si>
  <si>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</si>
  <si>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</si>
  <si>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</si>
  <si>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</si>
  <si>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</si>
  <si>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</si>
  <si>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</si>
  <si>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</si>
  <si>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</si>
  <si>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</si>
  <si>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</si>
  <si>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</si>
  <si>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</si>
  <si>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</si>
  <si>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</si>
  <si>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</si>
  <si>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</si>
  <si>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</si>
  <si>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</si>
  <si>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</si>
  <si>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</si>
  <si>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</si>
  <si>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</si>
  <si>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</si>
  <si>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</si>
  <si>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</si>
  <si>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</si>
  <si>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</si>
  <si>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</si>
  <si>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</si>
  <si>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</si>
  <si>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</si>
  <si>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</si>
  <si>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</si>
  <si>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</si>
  <si>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</si>
  <si>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</si>
  <si>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</si>
  <si>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</si>
  <si>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</si>
  <si>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</si>
  <si>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</si>
  <si>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</si>
  <si>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</si>
  <si>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</si>
  <si>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</si>
  <si>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</si>
  <si>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</si>
  <si>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</si>
  <si>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</si>
  <si>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</si>
  <si>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Fonte industrial 15W</t>
  </si>
  <si>
    <t>Fonte industrial 35W</t>
  </si>
  <si>
    <t>Fonte industrial 60W</t>
  </si>
  <si>
    <t>Fonte industrial 120W</t>
  </si>
  <si>
    <t>Transformador de comando 100VA</t>
  </si>
  <si>
    <t>Transformador de comando 300VA</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</si>
  <si>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</si>
  <si>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</si>
  <si>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</si>
  <si>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</si>
  <si>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</si>
  <si>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</si>
  <si>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</si>
  <si>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</si>
  <si>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</si>
  <si>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</si>
  <si>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</si>
  <si>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</si>
  <si>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</si>
  <si>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</si>
  <si>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</si>
  <si>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</si>
  <si>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</si>
  <si>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</si>
  <si>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</si>
  <si>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</si>
  <si>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</si>
  <si>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</si>
  <si>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LED para poste 20W</t>
  </si>
  <si>
    <t>Luminária LED para poste 30W</t>
  </si>
  <si>
    <t>Luminária LED para poste 60W</t>
  </si>
  <si>
    <t>Luminária LED para poste 90W</t>
  </si>
  <si>
    <t>Luminária LED para poste 120W</t>
  </si>
  <si>
    <t>Luminária LED para poste 150W</t>
  </si>
  <si>
    <t>Luminária LED para poste 210W</t>
  </si>
  <si>
    <t>Luminária LED Wall Washer 36W</t>
  </si>
  <si>
    <t>Luminária LED Wall Washer 72W</t>
  </si>
  <si>
    <t>Luminária tipo balizador de solo</t>
  </si>
  <si>
    <t>Luminária para poste 70W</t>
  </si>
  <si>
    <t>Luminária para poste 250W</t>
  </si>
  <si>
    <t>Luminária para poste 400W</t>
  </si>
  <si>
    <t>Poste reto 3m</t>
  </si>
  <si>
    <t>Poste reto 5m</t>
  </si>
  <si>
    <t>Poste curvo simples 8m</t>
  </si>
  <si>
    <t>Poste curvo simples 12m</t>
  </si>
  <si>
    <t>Poste curvo duplo 8m</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</si>
  <si>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</si>
  <si>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</si>
  <si>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</si>
  <si>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</si>
  <si>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</si>
  <si>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</si>
  <si>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</si>
  <si>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</si>
  <si>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</si>
  <si>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</si>
  <si>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</si>
  <si>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</si>
  <si>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</si>
  <si>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</si>
  <si>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</si>
  <si>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</si>
  <si>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</si>
  <si>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</si>
  <si>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</si>
  <si>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</si>
  <si>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</si>
  <si>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</si>
  <si>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</si>
  <si>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Bulbo 6W</t>
  </si>
  <si>
    <t>Lâmpada LED Bulbo 8W</t>
  </si>
  <si>
    <t>Lâmpada LED Bulbo 9,5W</t>
  </si>
  <si>
    <t>Lâmpada LED Bulbo 12W</t>
  </si>
  <si>
    <t>Lâmpada LED 17W</t>
  </si>
  <si>
    <t>Lâmpada LED 30W</t>
  </si>
  <si>
    <t>Lâmpada LED 40W</t>
  </si>
  <si>
    <t>Lâmpada LED 65W</t>
  </si>
  <si>
    <t>Lâmpada LED 80W</t>
  </si>
  <si>
    <t>Lâmpada LED 100W</t>
  </si>
  <si>
    <t>Lâmpada LED 120W</t>
  </si>
  <si>
    <t>Lâmpada LED Tipo Vela</t>
  </si>
  <si>
    <t>Lâmpada LED Tipo Bolinha</t>
  </si>
  <si>
    <t>Lâmpada LED Tipo R 63</t>
  </si>
  <si>
    <t>Tubo LED T5 7,5W</t>
  </si>
  <si>
    <t>Tubo LED T5 15W</t>
  </si>
  <si>
    <t>Tubo LED T5 26W HO</t>
  </si>
  <si>
    <t>Tubo LED T8 9W</t>
  </si>
  <si>
    <t>Tubo LED T8 18W</t>
  </si>
  <si>
    <t>Tubo LED T8 18W HO</t>
  </si>
  <si>
    <t>Lâmpada fluorescente T5 14W</t>
  </si>
  <si>
    <t>Lâmpada fluorescente T5 28W</t>
  </si>
  <si>
    <t>Lâmpada fluorescente T8 16W</t>
  </si>
  <si>
    <t>Lâmpada fluorescente T8 32W</t>
  </si>
  <si>
    <t>Lâmpada PL 9W</t>
  </si>
  <si>
    <t>Lâmpada PL 26W</t>
  </si>
  <si>
    <t>Lâmpada PL 36W</t>
  </si>
  <si>
    <t>Lâmpada Vapor Metálico 70 W</t>
  </si>
  <si>
    <t>Lâmpada Vapor Metálico 150 W</t>
  </si>
  <si>
    <t>Lâmpada Vapor Metálico 250 W</t>
  </si>
  <si>
    <t>Lâmpada Vapor Metálico 400 W</t>
  </si>
  <si>
    <t>Lâmpada Vapor Metálico 2000 W</t>
  </si>
  <si>
    <t>Lâmpada Halógena 300W</t>
  </si>
  <si>
    <t>Luminária Plafon LED Slim 15 W</t>
  </si>
  <si>
    <t>Luminária Plafon LED Slim 24 W</t>
  </si>
  <si>
    <t>Luminária LED Downlight 14W</t>
  </si>
  <si>
    <t>Luminária LED Downlight 25W</t>
  </si>
  <si>
    <t>Luminária LED Downlight 35W</t>
  </si>
  <si>
    <t>Luminária Hermética 2x14W</t>
  </si>
  <si>
    <t>Luminária Hermética 1x28W</t>
  </si>
  <si>
    <t>Luminária Hermética 2x28W</t>
  </si>
  <si>
    <t>Luminária LED Highbay 60W</t>
  </si>
  <si>
    <t>Luminária LED Highbay 80W</t>
  </si>
  <si>
    <t>Luminária LED Highbay 120W</t>
  </si>
  <si>
    <t>Luminária LED Highbay 150W</t>
  </si>
  <si>
    <t>Luminária LED Highbay 200W</t>
  </si>
  <si>
    <t>Luminária LED Linear 8W</t>
  </si>
  <si>
    <t>Luminária LED Linear 14W</t>
  </si>
  <si>
    <t>Luminária LED Linear 20W</t>
  </si>
  <si>
    <t>Luminária LED Linear tipo calha 16W</t>
  </si>
  <si>
    <t>Luminária LED Linear tipo calha 32W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</si>
  <si>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</si>
  <si>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</si>
  <si>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</si>
  <si>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</si>
  <si>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</si>
  <si>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</si>
  <si>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</si>
  <si>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</si>
  <si>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</si>
  <si>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</si>
  <si>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</si>
  <si>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</si>
  <si>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</si>
  <si>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</si>
  <si>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</si>
  <si>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30W</t>
  </si>
  <si>
    <t>Driver para LED 60W</t>
  </si>
  <si>
    <t>Driver para LED 30W IP65</t>
  </si>
  <si>
    <t>Driver para LED 60W IP65</t>
  </si>
  <si>
    <t>Driver para LED 320W</t>
  </si>
  <si>
    <t>Driver para LED corrente constante 350 mA</t>
  </si>
  <si>
    <t>Driver para LED corrente constante 700 mA</t>
  </si>
  <si>
    <t>Reator para 1 lâmpada fluorescente T5</t>
  </si>
  <si>
    <t>Reator para 2 lâmpadas fluorescentes T5</t>
  </si>
  <si>
    <t>Reator para 1 lâmpada fluorescente T8 16W</t>
  </si>
  <si>
    <t>Reator para 2 lâmpadas fluorescentes T8 16W</t>
  </si>
  <si>
    <t>Reator para 1 lâmpada fluorescente T8 32W</t>
  </si>
  <si>
    <t>Reator para 2 lâmpadas fluorescentes T8 32W</t>
  </si>
  <si>
    <t>Reator para lâmpadas de descarga 70 W</t>
  </si>
  <si>
    <t>Reator para lâmpadas de descarga 150 W</t>
  </si>
  <si>
    <t>Reator para lâmpadas de descarga 250 W</t>
  </si>
  <si>
    <t>Reator para lâmpadas de descarga 400 W</t>
  </si>
  <si>
    <t>Reator para lâmpadas de descarga 2000 W</t>
  </si>
  <si>
    <t>Reator para lâmpada PL até 42W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</si>
  <si>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</si>
  <si>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</si>
  <si>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</si>
  <si>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</si>
  <si>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</si>
  <si>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</si>
  <si>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</si>
  <si>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</si>
  <si>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</si>
  <si>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</si>
  <si>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</si>
  <si>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</si>
  <si>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</si>
  <si>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</si>
  <si>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</si>
  <si>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</si>
  <si>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</si>
  <si>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</si>
  <si>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</si>
  <si>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</si>
  <si>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</si>
  <si>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</si>
  <si>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</si>
  <si>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</si>
  <si>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</si>
  <si>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Caixa de passagem em alumínio 150x150x100mm</t>
  </si>
  <si>
    <t>Caixa de passagem em alumínio 400x400x200mm</t>
  </si>
  <si>
    <t>Caixa de passagem em aço 400x400x150mm</t>
  </si>
  <si>
    <t>Caixa de passagem em PVC 200x200x85mm</t>
  </si>
  <si>
    <t>Abraçadeira tipo D para eletroduto</t>
  </si>
  <si>
    <t>Abraçadeira tipo copo para eletroduto</t>
  </si>
  <si>
    <t>Passa cabo para piso elevado</t>
  </si>
  <si>
    <t>Tampa unha simples metálica para caixas de piso 4x2</t>
  </si>
  <si>
    <t>Tampa unha simples metálica para caixas de piso 4x4</t>
  </si>
  <si>
    <t>Tampa unha dupla metálica para caixas de piso 4x4</t>
  </si>
  <si>
    <t>Caixa de piso 4x2</t>
  </si>
  <si>
    <t>Caixa de piso 4x4</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</si>
  <si>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</si>
  <si>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</si>
  <si>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</si>
  <si>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</si>
  <si>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</si>
  <si>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</si>
  <si>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</si>
  <si>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</si>
  <si>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Suporte para espelho 4x2</t>
  </si>
  <si>
    <t>Suporte para espelho 4x4</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</si>
  <si>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</si>
  <si>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</si>
  <si>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</si>
  <si>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</si>
  <si>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</si>
  <si>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</si>
  <si>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</si>
  <si>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</si>
  <si>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Tomada 10A para móveis</t>
  </si>
  <si>
    <t>Tomada 20A para móveis</t>
  </si>
  <si>
    <t>Módulo tomada 10A de encaixe</t>
  </si>
  <si>
    <t>Módulo tomada 20A de encaixe</t>
  </si>
  <si>
    <t>Módulo campainha</t>
  </si>
  <si>
    <t>Módulo dimmer</t>
  </si>
  <si>
    <t>Curva horizontal 90 graus para leito 400x100 mm</t>
  </si>
  <si>
    <t>Curva vertical 90 graus para leito 400x100 mm</t>
  </si>
  <si>
    <t>Tê horizontal 90 graus para leito 400x100 mm</t>
  </si>
  <si>
    <t>Curva horizontal 90 graus para leito 600x100 mm</t>
  </si>
  <si>
    <t>Curva vertical 90 graus para leito 600x100 mm</t>
  </si>
  <si>
    <t>Tê horizontal 90 graus para leito 600x100 mm</t>
  </si>
  <si>
    <t>Curva horizontal 90 graus para leito 800x100 mm</t>
  </si>
  <si>
    <t>Curva vertical 90 graus para leito 800x100 mm</t>
  </si>
  <si>
    <t>Tê horizontal 90 graus para leito 800x100 mm</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</si>
  <si>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</si>
  <si>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</si>
  <si>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</si>
  <si>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</si>
  <si>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</si>
  <si>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</si>
  <si>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</si>
  <si>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</si>
  <si>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</si>
  <si>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</si>
  <si>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</si>
  <si>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</si>
  <si>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</si>
  <si>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</si>
  <si>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</si>
  <si>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</si>
  <si>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</si>
  <si>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</si>
  <si>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</si>
  <si>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</si>
  <si>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</si>
  <si>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</si>
  <si>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</si>
  <si>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industrial 2500kg</t>
  </si>
  <si>
    <t>Conjunto motor de portão industrial 2200kg</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</si>
  <si>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</si>
  <si>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</si>
  <si>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</si>
  <si>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</si>
  <si>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</si>
  <si>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</si>
  <si>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</si>
  <si>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</si>
  <si>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</si>
  <si>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</si>
  <si>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</si>
  <si>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</si>
  <si>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</si>
  <si>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</si>
  <si>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</si>
  <si>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</si>
  <si>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</si>
  <si>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de comando plástico 300x200x130mm tampa opaca</t>
  </si>
  <si>
    <t>Quadro de comando plástico 300x200x130mm tampa transparente</t>
  </si>
  <si>
    <t>Quadro de comando plástico 300x300x150mm tampa opaca</t>
  </si>
  <si>
    <t>Quadro de comando plástico 300x300x150mm tampa transparente</t>
  </si>
  <si>
    <t>Quadro de comando plástico 450x300x200mm tampa opaca</t>
  </si>
  <si>
    <t>Quadro de comando plástico 450x300x200mm tampa transparente</t>
  </si>
  <si>
    <t>Caixa para montagem 210x185x160mm</t>
  </si>
  <si>
    <t>Quadro 200x200x120</t>
  </si>
  <si>
    <t>Quadro 400x300x200</t>
  </si>
  <si>
    <t>Quadro 400x400x250</t>
  </si>
  <si>
    <t>Quadro 600x400x250</t>
  </si>
  <si>
    <t>Quadro 600x600x250</t>
  </si>
  <si>
    <t>Quadro 800x600x250</t>
  </si>
  <si>
    <t>Quadro 1000x600x300</t>
  </si>
  <si>
    <t>Quadro 1200x800x300</t>
  </si>
  <si>
    <t>Quadro autoportante 1800x600x600</t>
  </si>
  <si>
    <t>Quadro autoportante 1800x800x600</t>
  </si>
  <si>
    <t>Quadro autoportante 2000x600x600</t>
  </si>
  <si>
    <t>Quadro autoportante 2000x800x800</t>
  </si>
  <si>
    <t>Quadro termoplástico para 12 disjuntores</t>
  </si>
  <si>
    <t>Quadro termoplástico para 24 disjuntores</t>
  </si>
  <si>
    <t>Quadro termoplástico para 36 disjuntores</t>
  </si>
  <si>
    <t>Caixa de passagem 80x80x45mm</t>
  </si>
  <si>
    <t>Caixa de passagem 100x100x55mm</t>
  </si>
  <si>
    <t>Caixa de passagem 150x110x70mm</t>
  </si>
  <si>
    <t>Caixa de passagem 170x145x90mm</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</si>
  <si>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</si>
  <si>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</si>
  <si>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</si>
  <si>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</si>
  <si>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</si>
  <si>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</si>
  <si>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</si>
  <si>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</si>
  <si>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</si>
  <si>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</si>
  <si>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</si>
  <si>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</si>
  <si>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</si>
  <si>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</si>
  <si>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</si>
  <si>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</si>
  <si>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</si>
  <si>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</si>
  <si>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</si>
  <si>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</si>
  <si>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</si>
  <si>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</si>
  <si>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</si>
  <si>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</si>
  <si>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</si>
  <si>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</si>
  <si>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</si>
  <si>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</si>
  <si>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</si>
  <si>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</si>
  <si>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</si>
  <si>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</si>
  <si>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</si>
  <si>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</si>
  <si>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</si>
  <si>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</si>
  <si>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</si>
  <si>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</si>
  <si>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</si>
  <si>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</si>
  <si>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</si>
  <si>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</si>
  <si>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</si>
  <si>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</si>
  <si>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</si>
  <si>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</si>
  <si>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</si>
  <si>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</si>
  <si>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</si>
  <si>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</si>
  <si>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</si>
  <si>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</si>
  <si>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</si>
  <si>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</si>
  <si>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</si>
  <si>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</si>
  <si>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</si>
  <si>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</si>
  <si>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</si>
  <si>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</si>
  <si>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</si>
  <si>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Haste de aterramento 5/8 x 2,4 m</t>
  </si>
  <si>
    <t>Haste de aterramento 5/8 x 3 m</t>
  </si>
  <si>
    <t>Haste de aterramento 3/4 x 2,4 m</t>
  </si>
  <si>
    <t>Haste de aterramento 3/4 x 3 m</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</si>
  <si>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</si>
  <si>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</si>
  <si>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</si>
  <si>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</si>
  <si>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</si>
  <si>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</si>
  <si>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</si>
  <si>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</si>
  <si>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</si>
  <si>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Mastro 2m</t>
  </si>
  <si>
    <t>Mastro 3m</t>
  </si>
  <si>
    <t>Mastro 4m</t>
  </si>
  <si>
    <t>Mastro 6m</t>
  </si>
  <si>
    <t>Base para mastro</t>
  </si>
  <si>
    <t>Estaiamento para mastro 1,5m</t>
  </si>
  <si>
    <t>Estaiamento para mastro 2m</t>
  </si>
  <si>
    <t>Estaiamento para mastro 3m</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</si>
  <si>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</si>
  <si>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</si>
  <si>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</si>
  <si>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</si>
  <si>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</si>
  <si>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</si>
  <si>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</si>
  <si>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</si>
  <si>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</si>
  <si>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</si>
  <si>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</si>
  <si>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</si>
  <si>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</si>
  <si>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</si>
  <si>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</si>
  <si>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</si>
  <si>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</si>
  <si>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</si>
  <si>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</si>
  <si>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</si>
  <si>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</si>
  <si>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</si>
  <si>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</si>
  <si>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</si>
  <si>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</si>
  <si>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</si>
  <si>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</si>
  <si>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</si>
  <si>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</si>
  <si>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</si>
  <si>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</si>
  <si>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</si>
  <si>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</si>
  <si>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</si>
  <si>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</si>
  <si>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</si>
  <si>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</si>
  <si>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</si>
  <si>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</si>
  <si>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</si>
  <si>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</si>
  <si>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</si>
  <si>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</si>
  <si>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</si>
  <si>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</si>
  <si>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</si>
  <si>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</si>
  <si>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</si>
  <si>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</si>
  <si>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</si>
  <si>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</si>
  <si>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</si>
  <si>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</si>
  <si>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</si>
  <si>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</si>
  <si>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</si>
  <si>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</si>
  <si>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</si>
  <si>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</si>
  <si>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</si>
  <si>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</si>
  <si>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</si>
  <si>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Placa de sinalização em PVC 2mm</t>
  </si>
  <si>
    <t>Claviculário 20 chaves</t>
  </si>
  <si>
    <t>Autotransformador 300VA</t>
  </si>
  <si>
    <t>Autotransformador 500VA</t>
  </si>
  <si>
    <t>Autotransformador 1000VA</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</si>
  <si>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</si>
  <si>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</si>
  <si>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</si>
  <si>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</si>
  <si>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</si>
  <si>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</si>
  <si>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</si>
  <si>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</si>
  <si>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</si>
  <si>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</si>
  <si>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</si>
  <si>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</si>
  <si>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</si>
  <si>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</si>
  <si>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</si>
  <si>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</si>
  <si>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</si>
  <si>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</si>
  <si>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</si>
  <si>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</si>
  <si>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</si>
  <si>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</si>
  <si>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</si>
  <si>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</si>
  <si>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</si>
  <si>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</si>
  <si>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</si>
  <si>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</si>
  <si>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</si>
  <si>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</si>
  <si>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</si>
  <si>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</si>
  <si>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</si>
  <si>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</si>
  <si>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</si>
  <si>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</si>
  <si>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</si>
  <si>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</si>
  <si>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</si>
  <si>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</si>
  <si>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</si>
  <si>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</si>
  <si>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</si>
  <si>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</si>
  <si>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</si>
  <si>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</si>
  <si>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</si>
  <si>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</si>
  <si>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</si>
  <si>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</si>
  <si>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</si>
  <si>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</si>
  <si>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</si>
  <si>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</si>
  <si>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</si>
  <si>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</si>
  <si>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</si>
  <si>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</si>
  <si>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Grupo motor-gerador 3kVA</t>
  </si>
  <si>
    <t>Grupo motor-gerador 6kVA</t>
  </si>
  <si>
    <t>Ferro de solda 25W</t>
  </si>
  <si>
    <t>Ferro de solda 50W</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</si>
  <si>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</si>
  <si>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</si>
  <si>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</si>
  <si>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</si>
  <si>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</si>
  <si>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</si>
  <si>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</si>
  <si>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</si>
  <si>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</si>
  <si>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</si>
  <si>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</si>
  <si>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</si>
  <si>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</si>
  <si>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</si>
  <si>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</si>
  <si>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</si>
  <si>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</si>
  <si>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</si>
  <si>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</si>
  <si>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</si>
  <si>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</si>
  <si>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</si>
  <si>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</si>
  <si>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</si>
  <si>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</si>
  <si>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</si>
  <si>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</si>
  <si>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</si>
  <si>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</si>
  <si>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</si>
  <si>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</si>
  <si>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</si>
  <si>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</si>
  <si>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</si>
  <si>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</si>
  <si>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</si>
  <si>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</si>
  <si>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</si>
  <si>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</si>
  <si>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</si>
  <si>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</si>
  <si>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</si>
  <si>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</si>
  <si>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</si>
  <si>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</si>
  <si>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</si>
  <si>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</si>
  <si>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</si>
  <si>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</si>
  <si>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</si>
  <si>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</si>
  <si>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</si>
  <si>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</si>
  <si>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</si>
  <si>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</si>
  <si>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</si>
  <si>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</si>
  <si>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</si>
  <si>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</si>
  <si>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</si>
  <si>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</si>
  <si>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tubular até 6mm²</t>
  </si>
  <si>
    <t>Alicate crimpador com catraca para terminal pré-isolado até 6mm²</t>
  </si>
  <si>
    <t>Alicate crimpador manual para terminal pré-isolado até 16mm²</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</si>
  <si>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</si>
  <si>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</si>
  <si>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</si>
  <si>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</si>
  <si>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</si>
  <si>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</si>
  <si>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</si>
  <si>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</si>
  <si>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</si>
  <si>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</si>
  <si>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</si>
  <si>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</si>
  <si>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</si>
  <si>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</si>
  <si>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</si>
  <si>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</si>
  <si>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</si>
  <si>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</si>
  <si>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</si>
  <si>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</si>
  <si>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</si>
  <si>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</si>
  <si>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</si>
  <si>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</si>
  <si>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</si>
  <si>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</si>
  <si>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</si>
  <si>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</si>
  <si>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</si>
  <si>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</si>
  <si>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</si>
  <si>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</si>
  <si>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</si>
  <si>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</si>
  <si>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</si>
  <si>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</si>
  <si>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</si>
  <si>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</si>
  <si>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Marreta oitavada 1000g</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</si>
  <si>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</si>
  <si>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</si>
  <si>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</si>
  <si>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</si>
  <si>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</si>
  <si>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</si>
  <si>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</si>
  <si>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</si>
  <si>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</si>
  <si>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</si>
  <si>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</si>
  <si>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</si>
  <si>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</si>
  <si>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</si>
  <si>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</si>
  <si>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</si>
  <si>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</si>
  <si>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</si>
  <si>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</si>
  <si>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</si>
  <si>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</si>
  <si>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</si>
  <si>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</si>
  <si>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</si>
  <si>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</si>
  <si>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</si>
  <si>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</si>
  <si>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</si>
  <si>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</si>
  <si>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</si>
  <si>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</si>
  <si>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</si>
  <si>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</si>
  <si>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</si>
  <si>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</si>
  <si>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</si>
  <si>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</si>
  <si>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</si>
  <si>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</si>
  <si>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</si>
  <si>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</si>
  <si>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</si>
  <si>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</si>
  <si>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</si>
  <si>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</si>
  <si>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</si>
  <si>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</si>
  <si>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</si>
  <si>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</si>
  <si>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</si>
  <si>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</si>
  <si>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</si>
  <si>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</si>
  <si>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</si>
  <si>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</si>
  <si>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</si>
  <si>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</si>
  <si>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100MPa</t>
  </si>
  <si>
    <t>Armação de aço CA-25 bitola de 16mm</t>
  </si>
  <si>
    <t>Concreto virado em betoneira, fck = 20MPa</t>
  </si>
  <si>
    <t>Furo em concreto de até 40mm de diâmetro</t>
  </si>
  <si>
    <t>Adesivo Estrutural Epóxi Bicomponente – fornecimento e aplicação</t>
  </si>
  <si>
    <t>Estaca escavada manualmente de diâmetro 30cm</t>
  </si>
  <si>
    <t>Arrasamento mecânico de estacas de concreto armado com diâmetros de até 40cm</t>
  </si>
  <si>
    <t>Quadro 400x300x200 mm – fornecimento e instalação</t>
  </si>
  <si>
    <t>Concreto Usinado, fck = 25MPa</t>
  </si>
  <si>
    <t>Estaca escavada mecanicamente - 40cm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</si>
  <si>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</si>
  <si>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</si>
  <si>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</si>
  <si>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</si>
  <si>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</si>
  <si>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</si>
  <si>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</si>
  <si>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</si>
  <si>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</si>
  <si>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</si>
  <si>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</si>
  <si>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</si>
  <si>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</si>
  <si>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</si>
  <si>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</si>
  <si>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</si>
  <si>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</si>
  <si>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</si>
  <si>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</si>
  <si>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</si>
  <si>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</si>
  <si>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</si>
  <si>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</si>
  <si>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</si>
  <si>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</si>
  <si>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</si>
  <si>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</si>
  <si>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</si>
  <si>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</si>
  <si>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</si>
  <si>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</si>
  <si>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</si>
  <si>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</si>
  <si>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</si>
  <si>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</si>
  <si>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</si>
  <si>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</si>
  <si>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</si>
  <si>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</si>
  <si>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</si>
  <si>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</si>
  <si>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</si>
  <si>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</si>
  <si>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</si>
  <si>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</si>
  <si>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</si>
  <si>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</si>
  <si>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</si>
  <si>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</si>
  <si>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</si>
  <si>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</si>
  <si>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</si>
  <si>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</si>
  <si>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</si>
  <si>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</si>
  <si>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</si>
  <si>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</si>
  <si>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</si>
  <si>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</si>
  <si>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</si>
  <si>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</si>
  <si>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</si>
  <si>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</si>
  <si>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</si>
  <si>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</si>
  <si>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</si>
  <si>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</si>
  <si>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</si>
  <si>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</si>
  <si>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</si>
  <si>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</si>
  <si>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</si>
  <si>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</si>
  <si>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</si>
  <si>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</si>
  <si>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</si>
  <si>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</si>
  <si>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</si>
  <si>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</si>
  <si>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</si>
  <si>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</si>
  <si>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</si>
  <si>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</si>
  <si>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</si>
  <si>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</si>
  <si>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</si>
  <si>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</si>
  <si>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</si>
  <si>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</si>
  <si>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</si>
  <si>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</si>
  <si>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</si>
  <si>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</si>
  <si>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</si>
  <si>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</si>
  <si>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</si>
  <si>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</si>
  <si>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</si>
  <si>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</si>
  <si>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</si>
  <si>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</si>
  <si>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</si>
  <si>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</si>
  <si>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</si>
  <si>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</si>
  <si>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</si>
  <si>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</si>
  <si>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</si>
  <si>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</si>
  <si>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</si>
  <si>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</si>
  <si>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</si>
  <si>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</si>
  <si>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</si>
  <si>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</si>
  <si>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</si>
  <si>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</si>
  <si>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</si>
  <si>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</si>
  <si>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</si>
  <si>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</si>
  <si>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</si>
  <si>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</si>
  <si>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</si>
  <si>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</si>
  <si>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</si>
  <si>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</si>
  <si>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</si>
  <si>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</si>
  <si>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</si>
  <si>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</si>
  <si>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</si>
  <si>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</si>
  <si>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</si>
  <si>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</si>
  <si>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</si>
  <si>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</si>
  <si>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</si>
  <si>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</si>
  <si>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</si>
  <si>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</si>
  <si>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</si>
  <si>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</si>
  <si>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</si>
  <si>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</si>
  <si>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</si>
  <si>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</si>
  <si>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</si>
  <si>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</si>
  <si>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</si>
  <si>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</si>
  <si>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</si>
  <si>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</si>
  <si>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</si>
  <si>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</si>
  <si>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</si>
  <si>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</si>
  <si>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</si>
  <si>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</si>
  <si>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</si>
  <si>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</si>
  <si>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</si>
  <si>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</si>
  <si>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</si>
  <si>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</si>
  <si>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</si>
  <si>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</si>
  <si>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</si>
  <si>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</si>
  <si>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</si>
  <si>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</si>
  <si>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</si>
  <si>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</si>
  <si>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</si>
  <si>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</si>
  <si>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</si>
  <si>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</si>
  <si>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</si>
  <si>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</si>
  <si>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</si>
  <si>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</si>
  <si>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</si>
  <si>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</si>
  <si>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</si>
  <si>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</si>
  <si>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</si>
  <si>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</si>
  <si>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</si>
  <si>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</si>
  <si>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</si>
  <si>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</si>
  <si>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</si>
  <si>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</si>
  <si>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</si>
  <si>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</si>
  <si>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</si>
  <si>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</si>
  <si>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</si>
  <si>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</si>
  <si>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</si>
  <si>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</si>
  <si>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</si>
  <si>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</si>
  <si>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</si>
  <si>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</si>
  <si>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</si>
  <si>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</si>
  <si>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</si>
  <si>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</si>
  <si>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</si>
  <si>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</si>
  <si>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</si>
  <si>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</si>
  <si>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</si>
  <si>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</si>
  <si>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</si>
  <si>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</si>
  <si>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</si>
  <si>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</si>
  <si>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</si>
  <si>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</si>
  <si>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</si>
  <si>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</si>
  <si>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</si>
  <si>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</si>
  <si>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</si>
  <si>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</si>
  <si>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</si>
  <si>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</si>
  <si>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</si>
  <si>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</si>
  <si>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</si>
  <si>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</si>
  <si>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</si>
  <si>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</si>
  <si>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</si>
  <si>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</si>
  <si>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</si>
  <si>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</si>
  <si>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</si>
  <si>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</si>
  <si>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</si>
  <si>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</si>
  <si>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</si>
  <si>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</si>
  <si>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</si>
  <si>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</si>
  <si>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</si>
  <si>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</si>
  <si>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</si>
  <si>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</si>
  <si>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</si>
  <si>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</si>
  <si>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</si>
  <si>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</si>
  <si>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</si>
  <si>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</si>
  <si>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</si>
  <si>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</si>
  <si>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</si>
  <si>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</si>
  <si>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</si>
  <si>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</si>
  <si>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</si>
  <si>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</si>
  <si>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</si>
  <si>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</si>
  <si>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</si>
  <si>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</si>
  <si>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</si>
  <si>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</si>
  <si>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</si>
  <si>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</si>
  <si>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</si>
  <si>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</si>
  <si>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</si>
  <si>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</si>
  <si>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</si>
  <si>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</si>
  <si>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</si>
  <si>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</si>
  <si>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</si>
  <si>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</si>
  <si>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</si>
  <si>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</si>
  <si>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</si>
  <si>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</si>
  <si>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</si>
  <si>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</si>
  <si>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</si>
  <si>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</si>
  <si>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</si>
  <si>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</si>
  <si>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</si>
  <si>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</si>
  <si>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</si>
  <si>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</si>
  <si>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</si>
  <si>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</si>
  <si>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</si>
  <si>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</si>
  <si>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</si>
  <si>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</si>
  <si>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</si>
  <si>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</si>
  <si>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</si>
  <si>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</si>
  <si>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</si>
  <si>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</si>
  <si>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</si>
  <si>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</si>
  <si>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</si>
  <si>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</si>
  <si>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</si>
  <si>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</si>
  <si>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</si>
  <si>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</si>
  <si>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</si>
  <si>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</si>
  <si>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</si>
  <si>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</si>
  <si>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</si>
  <si>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</si>
  <si>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</si>
  <si>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</si>
  <si>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</si>
  <si>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</si>
  <si>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</si>
  <si>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</si>
  <si>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</si>
  <si>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</si>
  <si>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</si>
  <si>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</si>
  <si>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</si>
  <si>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</si>
  <si>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</si>
  <si>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</si>
  <si>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</si>
  <si>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</si>
  <si>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</si>
  <si>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</si>
  <si>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</si>
  <si>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</si>
  <si>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</si>
  <si>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</si>
  <si>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</si>
  <si>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</si>
  <si>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</si>
  <si>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</si>
  <si>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</si>
  <si>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</si>
  <si>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</si>
  <si>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</si>
  <si>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</si>
  <si>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</si>
  <si>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</si>
  <si>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</si>
  <si>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</si>
  <si>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</si>
  <si>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</si>
  <si>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</si>
  <si>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</si>
  <si>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</si>
  <si>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</si>
  <si>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</si>
  <si>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</si>
  <si>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</si>
  <si>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</si>
  <si>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</si>
  <si>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</si>
  <si>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</si>
  <si>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</si>
  <si>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</si>
  <si>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</si>
  <si>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</si>
  <si>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</si>
  <si>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</si>
  <si>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</si>
  <si>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</si>
  <si>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</si>
  <si>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</si>
  <si>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</si>
  <si>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</si>
  <si>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</si>
  <si>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</si>
  <si>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</si>
  <si>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</si>
  <si>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</si>
  <si>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</si>
  <si>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</si>
  <si>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</si>
  <si>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</si>
  <si>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</si>
  <si>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</si>
  <si>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</si>
  <si>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</si>
  <si>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</si>
  <si>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</si>
  <si>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</si>
  <si>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</si>
  <si>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</si>
  <si>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</si>
  <si>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</si>
  <si>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</si>
  <si>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</si>
  <si>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</si>
  <si>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</si>
  <si>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</si>
  <si>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</si>
  <si>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</si>
  <si>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</si>
  <si>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</si>
  <si>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</si>
  <si>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</si>
  <si>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</si>
  <si>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</si>
  <si>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</si>
  <si>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</si>
  <si>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</si>
  <si>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</si>
  <si>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</si>
  <si>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</si>
  <si>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</si>
  <si>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</si>
  <si>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</si>
  <si>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</si>
  <si>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</si>
  <si>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</si>
  <si>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</si>
  <si>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</si>
  <si>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</si>
  <si>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</si>
  <si>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</si>
  <si>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</si>
  <si>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</si>
  <si>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</si>
  <si>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</si>
  <si>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</si>
  <si>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</si>
  <si>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</si>
  <si>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</si>
  <si>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</si>
  <si>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</si>
  <si>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</si>
  <si>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</si>
  <si>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</si>
  <si>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</si>
  <si>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</si>
  <si>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</si>
  <si>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</si>
  <si>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</si>
  <si>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</si>
  <si>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</si>
  <si>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</si>
  <si>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</si>
  <si>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</si>
  <si>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</si>
  <si>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</si>
  <si>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</si>
  <si>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</si>
  <si>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</si>
  <si>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</si>
  <si>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</si>
  <si>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</si>
  <si>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</si>
  <si>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</si>
  <si>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</si>
  <si>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</si>
  <si>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</si>
  <si>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</si>
  <si>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</si>
  <si>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</si>
  <si>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</si>
  <si>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</si>
  <si>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</si>
  <si>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</si>
  <si>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</si>
  <si>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</si>
  <si>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</si>
  <si>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</si>
  <si>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</si>
  <si>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</si>
  <si>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</si>
  <si>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</si>
  <si>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</si>
  <si>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</si>
  <si>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</si>
  <si>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</si>
  <si>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</si>
  <si>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</si>
  <si>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</si>
  <si>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</si>
  <si>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</si>
  <si>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</si>
  <si>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</si>
  <si>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</si>
  <si>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</si>
  <si>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</si>
  <si>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</si>
  <si>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</si>
  <si>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</si>
  <si>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</si>
  <si>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</si>
  <si>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</si>
  <si>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</si>
  <si>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</si>
  <si>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</si>
  <si>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</si>
  <si>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</si>
  <si>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</si>
  <si>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</si>
  <si>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</si>
  <si>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</si>
  <si>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</si>
  <si>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</si>
  <si>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</si>
  <si>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</si>
  <si>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</si>
  <si>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</si>
  <si>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</si>
  <si>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</si>
  <si>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</si>
  <si>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</si>
  <si>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</si>
  <si>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</si>
  <si>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</si>
  <si>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</si>
  <si>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</si>
  <si>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</si>
  <si>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</si>
  <si>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</si>
  <si>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</si>
  <si>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</si>
  <si>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</si>
  <si>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</si>
  <si>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</si>
  <si>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</si>
  <si>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</si>
  <si>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</si>
  <si>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</si>
  <si>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</si>
  <si>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</si>
  <si>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</si>
  <si>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</si>
  <si>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</si>
  <si>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</si>
  <si>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</si>
  <si>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</si>
  <si>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</si>
  <si>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</si>
  <si>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</si>
  <si>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</si>
  <si>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</si>
  <si>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</si>
  <si>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</si>
  <si>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</si>
  <si>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</si>
  <si>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</si>
  <si>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</si>
  <si>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</si>
  <si>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</si>
  <si>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</si>
  <si>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</si>
  <si>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</si>
  <si>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</si>
  <si>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</si>
  <si>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</si>
  <si>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</si>
  <si>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</si>
  <si>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</si>
  <si>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</si>
  <si>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</si>
  <si>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</si>
  <si>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</si>
  <si>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</si>
  <si>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</si>
  <si>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</si>
  <si>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</si>
  <si>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</si>
  <si>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</si>
  <si>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</si>
  <si>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</si>
  <si>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</si>
  <si>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</si>
  <si>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</si>
  <si>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</si>
  <si>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</si>
  <si>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</si>
  <si>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</si>
  <si>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</si>
  <si>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</si>
  <si>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</si>
  <si>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</si>
  <si>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</si>
  <si>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</si>
  <si>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</si>
  <si>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</si>
  <si>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</si>
  <si>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</si>
  <si>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</si>
  <si>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</si>
  <si>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</si>
  <si>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</si>
  <si>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</si>
  <si>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</si>
  <si>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</si>
  <si>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</si>
  <si>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</si>
  <si>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</si>
  <si>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</si>
  <si>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</si>
  <si>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</si>
  <si>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</si>
  <si>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</si>
  <si>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</si>
  <si>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</si>
  <si>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</si>
  <si>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</si>
  <si>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</si>
  <si>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</si>
  <si>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</si>
  <si>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</si>
  <si>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</si>
  <si>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</si>
  <si>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</si>
  <si>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</si>
  <si>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</si>
  <si>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</si>
  <si>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</si>
  <si>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</si>
  <si>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</si>
  <si>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</si>
  <si>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</si>
  <si>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</si>
  <si>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</si>
  <si>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</si>
  <si>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</si>
  <si>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</si>
  <si>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</si>
  <si>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</si>
  <si>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</si>
  <si>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</si>
  <si>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</si>
  <si>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</si>
  <si>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</si>
  <si>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</si>
  <si>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</si>
  <si>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</si>
  <si>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</si>
  <si>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</si>
  <si>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</si>
  <si>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</si>
  <si>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</si>
  <si>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</si>
  <si>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</si>
  <si>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</si>
  <si>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</si>
  <si>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</si>
  <si>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</si>
  <si>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</si>
  <si>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</si>
  <si>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</si>
  <si>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</si>
  <si>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</si>
  <si>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</si>
  <si>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</si>
  <si>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</si>
  <si>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</si>
  <si>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</si>
  <si>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</si>
  <si>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</si>
  <si>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</si>
  <si>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</si>
  <si>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</si>
  <si>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</si>
  <si>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</si>
  <si>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</si>
  <si>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</si>
  <si>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</si>
  <si>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</si>
  <si>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</si>
  <si>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</si>
  <si>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</si>
  <si>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</si>
  <si>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</si>
  <si>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</si>
  <si>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</si>
  <si>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</si>
  <si>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</si>
  <si>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</si>
  <si>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</si>
  <si>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</si>
  <si>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</si>
  <si>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</si>
  <si>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</si>
  <si>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</si>
  <si>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</si>
  <si>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</si>
  <si>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</si>
  <si>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</si>
  <si>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</si>
  <si>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</si>
  <si>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</si>
  <si>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</si>
  <si>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</si>
  <si>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</si>
  <si>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</si>
  <si>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</si>
  <si>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</si>
  <si>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</si>
  <si>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</si>
  <si>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</si>
  <si>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</si>
  <si>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</si>
  <si>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</si>
  <si>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</si>
  <si>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</si>
  <si>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</si>
  <si>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</si>
  <si>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</si>
  <si>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</si>
  <si>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</si>
  <si>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</si>
  <si>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</si>
  <si>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</si>
  <si>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</si>
  <si>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</si>
  <si>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</si>
  <si>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</si>
  <si>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</si>
  <si>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</si>
  <si>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</si>
  <si>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</si>
  <si>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</si>
  <si>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</si>
  <si>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</si>
  <si>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</si>
  <si>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</si>
  <si>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</si>
  <si>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</si>
  <si>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</si>
  <si>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</si>
  <si>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</si>
  <si>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</si>
  <si>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</si>
  <si>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</si>
  <si>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</si>
  <si>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</si>
  <si>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</si>
  <si>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</si>
  <si>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</si>
  <si>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</si>
  <si>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</si>
  <si>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</si>
  <si>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</si>
  <si>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</si>
  <si>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</si>
  <si>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</si>
  <si>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</si>
  <si>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</si>
  <si>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</si>
  <si>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</si>
  <si>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</si>
  <si>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</si>
  <si>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</si>
  <si>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</si>
  <si>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</si>
  <si>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</si>
  <si>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</si>
  <si>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</si>
  <si>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</si>
  <si>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</si>
  <si>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</si>
  <si>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</si>
  <si>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</si>
  <si>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</si>
  <si>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</si>
  <si>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</si>
  <si>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</si>
  <si>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</si>
  <si>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</si>
  <si>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</si>
  <si>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</si>
  <si>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</si>
  <si>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</si>
  <si>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</si>
  <si>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</si>
  <si>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</si>
  <si>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</si>
  <si>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</si>
  <si>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</si>
  <si>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</si>
  <si>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</si>
  <si>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</si>
  <si>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</si>
  <si>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</si>
  <si>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</si>
  <si>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</si>
  <si>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</si>
  <si>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</si>
  <si>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</si>
  <si>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</si>
  <si>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</si>
  <si>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</si>
  <si>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</si>
  <si>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</si>
  <si>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</si>
  <si>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</si>
  <si>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</si>
  <si>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</si>
  <si>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</si>
  <si>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</si>
  <si>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</si>
  <si>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</si>
  <si>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</si>
  <si>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</si>
  <si>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</si>
  <si>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</si>
  <si>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</si>
  <si>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</si>
  <si>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</si>
  <si>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</si>
  <si>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</si>
  <si>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</si>
  <si>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</si>
  <si>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</si>
  <si>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</si>
  <si>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</si>
  <si>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</si>
  <si>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</si>
  <si>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</si>
  <si>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</si>
  <si>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</si>
  <si>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</si>
  <si>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</si>
  <si>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</si>
  <si>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</si>
  <si>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</si>
  <si>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</si>
  <si>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</si>
  <si>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</si>
  <si>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</si>
  <si>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</si>
  <si>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</si>
  <si>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</si>
  <si>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</si>
  <si>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</si>
  <si>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</si>
  <si>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</si>
  <si>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</si>
  <si>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</si>
  <si>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</si>
  <si>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</si>
  <si>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</si>
  <si>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</si>
  <si>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</si>
  <si>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</si>
  <si>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</si>
  <si>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</si>
  <si>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</si>
  <si>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</si>
  <si>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</si>
  <si>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</si>
  <si>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</si>
  <si>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</si>
  <si>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</si>
  <si>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</si>
  <si>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</si>
  <si>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</si>
  <si>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</si>
  <si>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</si>
  <si>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</si>
  <si>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</si>
  <si>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</si>
  <si>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</si>
  <si>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</si>
  <si>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</si>
  <si>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</si>
  <si>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</si>
  <si>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</si>
  <si>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</si>
  <si>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</si>
  <si>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</si>
  <si>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</si>
  <si>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</si>
  <si>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</si>
  <si>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</si>
  <si>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</si>
  <si>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</si>
  <si>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</si>
  <si>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</si>
  <si>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</si>
  <si>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</si>
  <si>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</si>
  <si>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</si>
  <si>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</si>
  <si>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</si>
  <si>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</si>
  <si>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</si>
  <si>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</si>
  <si>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</si>
  <si>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</si>
  <si>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</si>
  <si>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</si>
  <si>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</si>
  <si>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</si>
  <si>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</si>
  <si>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</si>
  <si>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</si>
  <si>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</si>
  <si>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</si>
  <si>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</si>
  <si>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</si>
  <si>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</si>
  <si>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</si>
  <si>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</si>
  <si>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</si>
  <si>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</si>
  <si>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</si>
  <si>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</si>
  <si>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</si>
  <si>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</si>
  <si>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</si>
  <si>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</si>
  <si>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</si>
  <si>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</si>
  <si>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</si>
  <si>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</si>
  <si>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</si>
  <si>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</si>
  <si>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</si>
  <si>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</si>
  <si>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</si>
  <si>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</si>
  <si>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</si>
  <si>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</si>
  <si>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</si>
  <si>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</si>
  <si>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</si>
  <si>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</si>
  <si>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</si>
  <si>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</si>
  <si>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</si>
  <si>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</si>
  <si>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</si>
  <si>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</si>
  <si>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</si>
  <si>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</si>
  <si>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</si>
  <si>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</si>
  <si>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</si>
  <si>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</si>
  <si>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</si>
  <si>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</si>
  <si>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</si>
  <si>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</si>
  <si>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</si>
  <si>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</si>
  <si>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</si>
  <si>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</si>
  <si>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</si>
  <si>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</si>
  <si>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</si>
  <si>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</si>
  <si>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</si>
  <si>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</si>
  <si>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</si>
  <si>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</si>
  <si>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</si>
  <si>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</si>
  <si>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</si>
  <si>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</si>
  <si>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</si>
  <si>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</si>
  <si>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</si>
  <si>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</si>
  <si>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</si>
  <si>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</si>
  <si>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</si>
  <si>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</si>
  <si>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</si>
  <si>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</si>
  <si>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</si>
  <si>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</si>
  <si>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</si>
  <si>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</si>
  <si>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</si>
  <si>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</si>
  <si>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</si>
  <si>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</si>
  <si>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</si>
  <si>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</si>
  <si>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</si>
  <si>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</si>
  <si>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</si>
  <si>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</si>
  <si>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</si>
  <si>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</si>
  <si>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</si>
  <si>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</si>
  <si>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</si>
  <si>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</si>
  <si>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</si>
  <si>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</si>
  <si>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</si>
  <si>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</si>
  <si>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</si>
  <si>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</si>
  <si>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</si>
  <si>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</si>
  <si>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</si>
  <si>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</si>
  <si>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</si>
  <si>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</si>
  <si>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</si>
  <si>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</si>
  <si>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</si>
  <si>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</si>
  <si>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</si>
  <si>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</si>
  <si>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</si>
  <si>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</si>
  <si>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</si>
  <si>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</si>
  <si>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</si>
  <si>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</si>
  <si>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</si>
  <si>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</si>
  <si>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</si>
  <si>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</si>
  <si>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</si>
  <si>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</si>
  <si>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</si>
  <si>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</si>
  <si>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</si>
  <si>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</si>
  <si>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</si>
  <si>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</si>
  <si>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</si>
  <si>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</si>
  <si>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</si>
  <si>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</si>
  <si>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</si>
  <si>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</si>
  <si>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</si>
  <si>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</si>
  <si>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</si>
  <si>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</si>
  <si>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</si>
  <si>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</si>
  <si>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</si>
  <si>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</si>
  <si>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</si>
  <si>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</si>
  <si>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</si>
  <si>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</si>
  <si>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</si>
  <si>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</si>
  <si>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</si>
  <si>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</si>
  <si>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</si>
  <si>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</si>
  <si>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</si>
  <si>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</si>
  <si>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</si>
  <si>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</si>
  <si>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</si>
  <si>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</si>
  <si>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</si>
  <si>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</si>
  <si>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</si>
  <si>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</si>
  <si>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</si>
  <si>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</si>
  <si>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</si>
  <si>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</si>
  <si>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</si>
  <si>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</si>
  <si>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</si>
  <si>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</si>
  <si>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</si>
  <si>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</si>
  <si>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</si>
  <si>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</si>
  <si>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</si>
  <si>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</si>
  <si>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</si>
  <si>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</si>
  <si>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</si>
  <si>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</si>
  <si>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</si>
  <si>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</si>
  <si>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</si>
  <si>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</si>
  <si>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</si>
  <si>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</si>
  <si>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</si>
  <si>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</si>
  <si>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</si>
  <si>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</si>
  <si>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</si>
  <si>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</si>
  <si>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</si>
  <si>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</si>
  <si>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</si>
  <si>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</si>
  <si>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</si>
  <si>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</si>
  <si>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</si>
  <si>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</si>
  <si>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</si>
  <si>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</si>
  <si>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</si>
  <si>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</si>
  <si>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</si>
  <si>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</si>
  <si>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</si>
  <si>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</si>
  <si>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</si>
  <si>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</si>
  <si>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</si>
  <si>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</si>
  <si>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</si>
  <si>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</si>
  <si>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</si>
  <si>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</si>
  <si>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</si>
  <si>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</si>
  <si>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</si>
  <si>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</si>
  <si>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</si>
  <si>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</si>
  <si>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</si>
  <si>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</si>
  <si>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</si>
  <si>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</si>
  <si>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</si>
  <si>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</si>
  <si>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</si>
  <si>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</si>
  <si>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</si>
  <si>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</si>
  <si>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</si>
  <si>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</si>
  <si>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</si>
  <si>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</si>
  <si>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</si>
  <si>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</si>
  <si>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</si>
  <si>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</si>
  <si>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</si>
  <si>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</si>
  <si>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</si>
  <si>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</si>
  <si>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</si>
  <si>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</si>
  <si>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</si>
  <si>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</si>
  <si>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</si>
  <si>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</si>
  <si>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</si>
  <si>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</si>
  <si>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</si>
  <si>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</si>
  <si>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</si>
  <si>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</si>
  <si>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</si>
  <si>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</si>
  <si>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</si>
  <si>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</si>
  <si>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</si>
  <si>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</si>
  <si>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</si>
  <si>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</si>
  <si>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</si>
  <si>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</si>
  <si>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</si>
  <si>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</si>
  <si>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</si>
  <si>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</si>
  <si>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</si>
  <si>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</si>
  <si>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</si>
  <si>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</si>
  <si>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</si>
  <si>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</si>
  <si>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</si>
  <si>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</si>
  <si>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</si>
  <si>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</si>
  <si>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</si>
  <si>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</si>
  <si>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</si>
  <si>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</si>
  <si>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</si>
  <si>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</si>
  <si>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</si>
  <si>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</si>
  <si>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</si>
  <si>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</si>
  <si>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</si>
  <si>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</si>
  <si>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</si>
  <si>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</si>
  <si>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</si>
  <si>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</si>
  <si>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</si>
  <si>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</si>
  <si>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</si>
  <si>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</si>
  <si>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</si>
  <si>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</si>
  <si>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</si>
  <si>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</si>
  <si>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</si>
  <si>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</si>
  <si>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</si>
  <si>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</si>
  <si>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</si>
  <si>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</si>
  <si>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</si>
  <si>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</si>
  <si>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</si>
  <si>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</si>
  <si>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</si>
  <si>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</si>
  <si>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</si>
  <si>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</si>
  <si>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</si>
  <si>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</si>
  <si>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</si>
  <si>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</si>
  <si>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</si>
  <si>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</si>
  <si>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</si>
  <si>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</si>
  <si>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</si>
  <si>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</si>
  <si>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</si>
  <si>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</si>
  <si>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</si>
  <si>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</si>
  <si>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</si>
  <si>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</si>
  <si>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</si>
  <si>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</si>
  <si>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</si>
  <si>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</si>
  <si>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</si>
  <si>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</si>
  <si>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</si>
  <si>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Leito 800x100 mm (material)</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</si>
  <si>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</si>
  <si>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</si>
  <si>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</si>
  <si>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</si>
  <si>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</si>
  <si>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</si>
  <si>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</si>
  <si>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</si>
  <si>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</si>
  <si>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</si>
  <si>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</si>
  <si>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</si>
  <si>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</si>
  <si>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Furo em concreto de 40mm até 75mm de diâmetro</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</si>
  <si>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</si>
  <si>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</si>
  <si>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</si>
  <si>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</si>
  <si>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</si>
  <si>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</si>
  <si>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</si>
  <si>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</si>
  <si>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</si>
  <si>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</si>
  <si>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</si>
  <si>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</si>
  <si>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</si>
  <si>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</si>
  <si>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</si>
  <si>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</si>
  <si>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</si>
  <si>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</si>
  <si>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</si>
  <si>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</si>
  <si>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</si>
  <si>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</si>
  <si>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</si>
  <si>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</si>
  <si>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</si>
  <si>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</si>
  <si>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</si>
  <si>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</si>
  <si>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</si>
  <si>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</si>
  <si>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</si>
  <si>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</si>
  <si>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</si>
  <si>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</si>
  <si>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</si>
  <si>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Puxador metálico - diâmetro de 22mm a 25mm</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</si>
  <si>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</si>
  <si>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</si>
  <si>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</si>
  <si>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</si>
  <si>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</si>
  <si>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</si>
  <si>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</si>
  <si>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</si>
  <si>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</si>
  <si>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</si>
  <si>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</si>
  <si>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</si>
  <si>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</si>
  <si>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</si>
  <si>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</si>
  <si>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</si>
  <si>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</si>
  <si>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</si>
  <si>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</si>
  <si>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</si>
  <si>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</si>
  <si>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</si>
  <si>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</si>
  <si>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</si>
  <si>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</si>
  <si>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</si>
  <si>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</si>
  <si>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</si>
  <si>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</si>
  <si>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</si>
  <si>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</si>
  <si>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</si>
  <si>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</si>
  <si>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</si>
  <si>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</si>
  <si>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</si>
  <si>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</si>
  <si>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</si>
  <si>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</si>
  <si>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</si>
  <si>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Tubo PVC soldável água fria DN 25mm</t>
  </si>
  <si>
    <t>Tubo PVC soldável água fria DN 32mm</t>
  </si>
  <si>
    <t>Tubo PVC soldável água fria DN 40mm</t>
  </si>
  <si>
    <t>Tubo PVC soldável água fria DN 50mm</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</si>
  <si>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</si>
  <si>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</si>
  <si>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</si>
  <si>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</si>
  <si>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</si>
  <si>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</si>
  <si>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</si>
  <si>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</si>
  <si>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</si>
  <si>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</si>
  <si>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</si>
  <si>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</si>
  <si>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</si>
  <si>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</si>
  <si>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</si>
  <si>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</si>
  <si>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</si>
  <si>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</si>
  <si>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</si>
  <si>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</si>
  <si>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</si>
  <si>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</si>
  <si>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</si>
  <si>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</si>
  <si>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</si>
  <si>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</si>
  <si>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e=30 mm, instalação em fixadores metálicos existentes (modelo Edifício Principal)</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</si>
  <si>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</si>
  <si>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</si>
  <si>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</si>
  <si>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</si>
  <si>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</si>
  <si>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</si>
  <si>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</si>
  <si>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</si>
  <si>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</si>
  <si>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</si>
  <si>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</si>
  <si>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</si>
  <si>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</si>
  <si>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</si>
  <si>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</si>
  <si>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</si>
  <si>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</si>
  <si>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</si>
  <si>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</si>
  <si>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</si>
  <si>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</si>
  <si>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</si>
  <si>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</si>
  <si>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</si>
  <si>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</si>
  <si>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</si>
  <si>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</si>
  <si>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</si>
  <si>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</si>
  <si>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</si>
  <si>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</si>
  <si>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</si>
  <si>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</si>
  <si>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</si>
  <si>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</si>
  <si>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</si>
  <si>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</si>
  <si>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</si>
  <si>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</si>
  <si>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</si>
  <si>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</si>
  <si>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</si>
  <si>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</si>
  <si>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</si>
  <si>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</si>
  <si>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</si>
  <si>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</si>
  <si>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</si>
  <si>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</si>
  <si>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</si>
  <si>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</si>
  <si>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</si>
  <si>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</si>
  <si>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</si>
  <si>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</si>
  <si>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</si>
  <si>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</si>
  <si>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</si>
  <si>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</si>
  <si>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</si>
  <si>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Suporte para luminária para poste simples (1 luminária)</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</si>
  <si>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</si>
  <si>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</si>
  <si>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</si>
  <si>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</si>
  <si>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</si>
  <si>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</si>
  <si>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</si>
  <si>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</si>
  <si>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</si>
  <si>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</si>
  <si>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</si>
  <si>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</si>
  <si>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</si>
  <si>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</si>
  <si>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</si>
  <si>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</si>
  <si>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</si>
  <si>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</si>
  <si>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</si>
  <si>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</si>
  <si>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</si>
  <si>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</si>
  <si>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</si>
  <si>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</si>
  <si>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Eletrocalha 50x50 mm </t>
  </si>
  <si>
    <t xml:space="preserve">Eletrocalha 100x50 mm </t>
  </si>
  <si>
    <t xml:space="preserve">Eletrocalha 200x50 mm </t>
  </si>
  <si>
    <t xml:space="preserve">Eletrocalha 200x100 mm </t>
  </si>
  <si>
    <t xml:space="preserve">Eletrocalha 300x50 mm </t>
  </si>
  <si>
    <t xml:space="preserve">Eletrocalha 300x100 mm </t>
  </si>
  <si>
    <t xml:space="preserve">Eletrocalha 400x50 mm </t>
  </si>
  <si>
    <t xml:space="preserve">Eletroduto de aço galvanizado de 3” </t>
  </si>
  <si>
    <t xml:space="preserve">Caixa 4x2 de embutir para alvenaria </t>
  </si>
  <si>
    <t xml:space="preserve">Caixa 4x4 de embutir para alvenaria </t>
  </si>
  <si>
    <t xml:space="preserve">Caixa 4x2 para drywall </t>
  </si>
  <si>
    <t xml:space="preserve">Caixa 4x4 para drywall </t>
  </si>
  <si>
    <t xml:space="preserve">Caixa de passagem em alumínio 100x100x50mm </t>
  </si>
  <si>
    <t xml:space="preserve">Caixa de passagem em alumínio 200x200x100mm </t>
  </si>
  <si>
    <t xml:space="preserve">Caixa de passagem em PVC 150x150x75mm </t>
  </si>
  <si>
    <t xml:space="preserve">Caixa para piso elevado </t>
  </si>
  <si>
    <t xml:space="preserve">Tampa cega metálica para caixas de piso 4x2 </t>
  </si>
  <si>
    <t xml:space="preserve">Tampa cega metálica para caixas de piso 4x4 </t>
  </si>
  <si>
    <t xml:space="preserve">Tomada para perfilado e eletrocalha </t>
  </si>
  <si>
    <t xml:space="preserve">Espelho 4x2 </t>
  </si>
  <si>
    <t xml:space="preserve">Espelho 4x4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</si>
  <si>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</si>
  <si>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</si>
  <si>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</si>
  <si>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</si>
  <si>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</si>
  <si>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</si>
  <si>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</si>
  <si>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Leito 400x100 mm </t>
  </si>
  <si>
    <t xml:space="preserve">Leito 600x100 mm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</si>
  <si>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</si>
  <si>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</si>
  <si>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</si>
  <si>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</si>
  <si>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</si>
  <si>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</si>
  <si>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</si>
  <si>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</si>
  <si>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</si>
  <si>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</si>
  <si>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</si>
  <si>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</si>
  <si>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</si>
  <si>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</si>
  <si>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</si>
  <si>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</si>
  <si>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</si>
  <si>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</si>
  <si>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</si>
  <si>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</si>
  <si>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</si>
  <si>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</si>
  <si>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</si>
  <si>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</si>
  <si>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</si>
  <si>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</si>
  <si>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</si>
  <si>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</si>
  <si>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</si>
  <si>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</si>
  <si>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</si>
  <si>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</si>
  <si>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</si>
  <si>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</si>
  <si>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</si>
  <si>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</si>
  <si>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</si>
  <si>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</si>
  <si>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</si>
  <si>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</si>
  <si>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</si>
  <si>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</si>
  <si>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</si>
  <si>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</si>
  <si>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</si>
  <si>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</si>
  <si>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</si>
  <si>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</si>
  <si>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</si>
  <si>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</si>
  <si>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</si>
  <si>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</si>
  <si>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</si>
  <si>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</si>
  <si>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</si>
  <si>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</si>
  <si>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</si>
  <si>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</si>
  <si>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</si>
  <si>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</si>
  <si>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</si>
  <si>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</si>
  <si>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</si>
  <si>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</si>
  <si>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</si>
  <si>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</si>
  <si>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</si>
  <si>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</si>
  <si>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</si>
  <si>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</si>
  <si>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</si>
  <si>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</si>
  <si>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</si>
  <si>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</si>
  <si>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</si>
  <si>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</si>
  <si>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</si>
  <si>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</si>
  <si>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</si>
  <si>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</si>
  <si>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</si>
  <si>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</si>
  <si>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</si>
  <si>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</si>
  <si>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</si>
  <si>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</si>
  <si>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</si>
  <si>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</si>
  <si>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</si>
  <si>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</si>
  <si>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</si>
  <si>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</si>
  <si>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</si>
  <si>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</si>
  <si>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</si>
  <si>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</si>
  <si>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</si>
  <si>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</si>
  <si>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</si>
  <si>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</si>
  <si>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</si>
  <si>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</si>
  <si>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</si>
  <si>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</si>
  <si>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</si>
  <si>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</si>
  <si>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</si>
  <si>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</si>
  <si>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</si>
  <si>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</si>
  <si>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</si>
  <si>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</si>
  <si>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</si>
  <si>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</si>
  <si>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</si>
  <si>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</si>
  <si>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</si>
  <si>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</si>
  <si>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</si>
  <si>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</si>
  <si>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</si>
  <si>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</si>
  <si>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</si>
  <si>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</si>
  <si>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</si>
  <si>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</si>
  <si>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</si>
  <si>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</si>
  <si>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</si>
  <si>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</si>
  <si>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</si>
  <si>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</si>
  <si>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</si>
  <si>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</si>
  <si>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</si>
  <si>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</si>
  <si>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</si>
  <si>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</si>
  <si>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</si>
  <si>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</si>
  <si>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</si>
  <si>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</si>
  <si>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</si>
  <si>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</si>
  <si>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</si>
  <si>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</si>
  <si>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</si>
  <si>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</si>
  <si>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</si>
  <si>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</si>
  <si>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</si>
  <si>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</si>
  <si>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</si>
  <si>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</si>
  <si>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</si>
  <si>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</si>
  <si>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</si>
  <si>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</si>
  <si>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</si>
  <si>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</si>
  <si>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</si>
  <si>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ABRACADEIRA EM ACO PARA AMARRACAO DE ELETRODUTOS, TIPO D, COM 1/2" E PARAFUSO DE FIXACAO</t>
  </si>
  <si>
    <t>BATENTE / PORTAL / ADUELA / MARCO EM MADEIRA MACICA COM REBAIXO, E = *3* CM, L = *14* CM, PARA PORTAS DE GIRO DE *60 CM A 120* CM X *210* CM, CEDRINHO / ANGELIM COMERCIAL / TAURI / CURUPIXA / PEROBA / CUMARU OU EQUIVALENTE DA REGIAO (NAO INCLUI ALIZARES)</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</si>
  <si>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</si>
  <si>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</si>
  <si>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</si>
  <si>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</si>
  <si>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</si>
  <si>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</si>
  <si>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</si>
  <si>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</si>
  <si>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</si>
  <si>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</si>
  <si>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</si>
  <si>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</si>
  <si>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</si>
  <si>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</si>
  <si>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</si>
  <si>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</si>
  <si>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</si>
  <si>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</si>
  <si>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</si>
  <si>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</si>
  <si>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</si>
  <si>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</si>
  <si>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</si>
  <si>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</si>
  <si>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</si>
  <si>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</si>
  <si>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</si>
  <si>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</si>
  <si>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</si>
  <si>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</si>
  <si>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</si>
  <si>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</si>
  <si>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</si>
  <si>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</si>
  <si>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</si>
  <si>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</si>
  <si>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</si>
  <si>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</si>
  <si>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</si>
  <si>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</si>
  <si>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</si>
  <si>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</si>
  <si>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</si>
  <si>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</si>
  <si>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</si>
  <si>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</si>
  <si>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</si>
  <si>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</si>
  <si>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</si>
  <si>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</si>
  <si>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</si>
  <si>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</si>
  <si>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</si>
  <si>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</si>
  <si>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</si>
  <si>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</si>
  <si>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</si>
  <si>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</si>
  <si>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</si>
  <si>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</si>
  <si>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</si>
  <si>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</si>
  <si>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</si>
  <si>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</si>
  <si>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Lâmina de madeira - cerejeira</t>
  </si>
  <si>
    <t>COMPENSADO NAVAL - CHAPA/PAINEL EM MADEIRA COMPENSADA PRENSADA, DE 2200 X 1600 MM, E = 20 MM</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</si>
  <si>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</si>
  <si>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</si>
  <si>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</si>
  <si>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</si>
  <si>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</si>
  <si>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</si>
  <si>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</si>
  <si>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</si>
  <si>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</si>
  <si>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</si>
  <si>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</si>
  <si>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</si>
  <si>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</si>
  <si>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</si>
  <si>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</si>
  <si>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</si>
  <si>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</si>
  <si>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</si>
  <si>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</si>
  <si>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</si>
  <si>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</si>
  <si>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</si>
  <si>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</si>
  <si>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</si>
  <si>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</si>
  <si>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</si>
  <si>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</si>
  <si>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</si>
  <si>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</si>
  <si>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</si>
  <si>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</si>
  <si>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</si>
  <si>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</si>
  <si>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</si>
  <si>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</si>
  <si>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</si>
  <si>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</si>
  <si>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</si>
  <si>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</si>
  <si>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</si>
  <si>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</si>
  <si>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</si>
  <si>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</si>
  <si>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</si>
  <si>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</si>
  <si>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</si>
  <si>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</si>
  <si>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</si>
  <si>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</si>
  <si>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</si>
  <si>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</si>
  <si>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</si>
  <si>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</si>
  <si>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</si>
  <si>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</si>
  <si>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</si>
  <si>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</si>
  <si>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</si>
  <si>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</si>
  <si>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</si>
  <si>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</si>
  <si>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</si>
  <si>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</si>
  <si>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</si>
  <si>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</si>
  <si>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</si>
  <si>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</si>
  <si>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</si>
  <si>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</si>
  <si>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</si>
  <si>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BLOCO CERAMICO / TIJOLO VAZADO PARA ALVENARIA DE VEDACAO, FUROS NA VERTICAL,, 9 X 19 X 39 CM (NBR 15270)</t>
  </si>
  <si>
    <t>BLOCO CERAMICO / TIJOLO VAZADO PARA ALVENARIA DE VEDACAO, 8 FUROS NA HORIZONTAL, DE 9 X 19 X 19 CM (L XA X C)</t>
  </si>
  <si>
    <t>BLOCO CERAMICO / TIJOLO VAZADO PARA ALVENARIA DE VEDACAO, 8 FUROS NA HORIZONTAL, 9 X 19 X 19 CM (L X A X C)</t>
  </si>
  <si>
    <t>CHAPA/PAINEL DE MADEIRA COMPENSADA PLASTIFICADA (MADEIRITE PLASTIFICADO) PARA FORMA DE CONCRETO, DE 2200 x 1100 MM, E = *17* MM</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</si>
  <si>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</si>
  <si>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</si>
  <si>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</si>
  <si>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</si>
  <si>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</si>
  <si>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</si>
  <si>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</si>
  <si>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</si>
  <si>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</si>
  <si>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</si>
  <si>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</si>
  <si>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</si>
  <si>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Disjuntor tripolar trilho DIN até 40A</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</si>
  <si>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</si>
  <si>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</si>
  <si>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</si>
  <si>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</si>
  <si>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POLIESTIRENO EXPANDIDO/EPS (ISOPOR), TIPO 2F, BLOCO</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</si>
  <si>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</si>
  <si>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</si>
  <si>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</si>
  <si>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</si>
  <si>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</si>
  <si>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</si>
  <si>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</si>
  <si>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</si>
  <si>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</si>
  <si>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</si>
  <si>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</si>
  <si>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</si>
  <si>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</si>
  <si>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</si>
  <si>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</si>
  <si>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</si>
  <si>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</si>
  <si>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Bacia conforto (h=44cm) – Linha Acessibilidade</t>
  </si>
  <si>
    <t>Barra de apoio 40cm - Linha Acessibilidade</t>
  </si>
  <si>
    <t>Barra de apoio 70 cm - Linha Acessibilidade</t>
  </si>
  <si>
    <t>Barra de apoio 80 cm - Linha Acessibilidade</t>
  </si>
  <si>
    <t>Barra de apoio lateral fixa 30cm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</si>
  <si>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</si>
  <si>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</si>
  <si>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</si>
  <si>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</si>
  <si>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</si>
  <si>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</si>
  <si>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</si>
  <si>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</si>
  <si>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</si>
  <si>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</si>
  <si>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Prolongador de PVC para Caixa de Gordura - DN300</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</si>
  <si>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</si>
  <si>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</si>
  <si>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</si>
  <si>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</si>
  <si>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</si>
  <si>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</si>
  <si>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</si>
  <si>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</si>
  <si>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</si>
  <si>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</si>
  <si>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</si>
  <si>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</si>
  <si>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</si>
  <si>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</si>
  <si>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</si>
  <si>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</si>
  <si>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</si>
  <si>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</si>
  <si>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</si>
  <si>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</si>
  <si>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</si>
  <si>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</si>
  <si>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</si>
  <si>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</si>
  <si>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</si>
  <si>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</si>
  <si>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</si>
  <si>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Ligação flexível em PVC - 40cm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</si>
  <si>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</si>
  <si>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</si>
  <si>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</si>
  <si>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</si>
  <si>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</si>
  <si>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</si>
  <si>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</si>
  <si>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</si>
  <si>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</si>
  <si>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</si>
  <si>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</si>
  <si>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</si>
  <si>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</si>
  <si>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</si>
  <si>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</si>
  <si>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</si>
  <si>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</si>
  <si>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</si>
  <si>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</si>
  <si>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</si>
  <si>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150psi - COM glicerina</t>
  </si>
  <si>
    <t>SF-02777</t>
  </si>
  <si>
    <t>Manômetro DN63 (2 1/2”) até 150psi - COM glicerina</t>
  </si>
  <si>
    <t>SF-02778</t>
  </si>
  <si>
    <t>Manômetro DN63 (2 1/2”) até 150psi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</si>
  <si>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</si>
  <si>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</si>
  <si>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</si>
  <si>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</si>
  <si>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</si>
  <si>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</si>
  <si>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</si>
  <si>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</si>
  <si>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</si>
  <si>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</si>
  <si>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</si>
  <si>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</si>
  <si>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</si>
  <si>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</si>
  <si>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</si>
  <si>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</si>
  <si>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</si>
  <si>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</si>
  <si>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</si>
  <si>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</si>
  <si>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</si>
  <si>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</si>
  <si>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</si>
  <si>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</si>
  <si>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</si>
  <si>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</si>
  <si>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</si>
  <si>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</si>
  <si>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</si>
  <si>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</si>
  <si>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</si>
  <si>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</si>
  <si>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</si>
  <si>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</si>
  <si>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</si>
  <si>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</si>
  <si>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</si>
  <si>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</si>
  <si>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</si>
  <si>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</si>
  <si>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</si>
  <si>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</si>
  <si>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</si>
  <si>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</si>
  <si>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</si>
  <si>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</si>
  <si>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</si>
  <si>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</si>
  <si>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</si>
  <si>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</si>
  <si>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</si>
  <si>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</si>
  <si>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</si>
  <si>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</si>
  <si>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</si>
  <si>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</si>
  <si>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</si>
  <si>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</si>
  <si>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</si>
  <si>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</si>
  <si>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</si>
  <si>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</si>
  <si>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</si>
  <si>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</si>
  <si>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</si>
  <si>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</si>
  <si>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</si>
  <si>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</si>
  <si>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</si>
  <si>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</si>
  <si>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</si>
  <si>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</si>
  <si>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</si>
  <si>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</si>
  <si>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</si>
  <si>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</si>
  <si>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</si>
  <si>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</si>
  <si>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</si>
  <si>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</si>
  <si>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</si>
  <si>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</si>
  <si>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</si>
  <si>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</si>
  <si>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</si>
  <si>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</si>
  <si>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</si>
  <si>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Registro Esfera PVC VS Soldável 60mm</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</si>
  <si>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</si>
  <si>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</si>
  <si>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</si>
  <si>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</si>
  <si>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</si>
  <si>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</si>
  <si>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</si>
  <si>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</si>
  <si>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</si>
  <si>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</si>
  <si>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</si>
  <si>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</si>
  <si>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</si>
  <si>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</si>
  <si>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</si>
  <si>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</si>
  <si>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</si>
  <si>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</si>
  <si>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</si>
  <si>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</si>
  <si>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</si>
  <si>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</si>
  <si>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</si>
  <si>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</si>
  <si>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</si>
  <si>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</si>
  <si>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</si>
  <si>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</si>
  <si>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</si>
  <si>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</si>
  <si>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</si>
  <si>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</si>
  <si>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</si>
  <si>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</si>
  <si>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</si>
  <si>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</si>
  <si>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</si>
  <si>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</si>
  <si>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</si>
  <si>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</si>
  <si>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</si>
  <si>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</si>
  <si>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</si>
  <si>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</si>
  <si>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</si>
  <si>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</si>
  <si>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</si>
  <si>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</si>
  <si>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</si>
  <si>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</si>
  <si>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</si>
  <si>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</si>
  <si>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</si>
  <si>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</si>
  <si>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</si>
  <si>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</si>
  <si>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</si>
  <si>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</si>
  <si>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</si>
  <si>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</si>
  <si>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</si>
  <si>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</si>
  <si>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Tubo de cobre classe “E” 22mm</t>
  </si>
  <si>
    <t>SF-02864</t>
  </si>
  <si>
    <t>Tubo de cobre classe “E” 28 mm</t>
  </si>
  <si>
    <t>SF-02865</t>
  </si>
  <si>
    <t>Tubo de cobre classe “E” 42mm</t>
  </si>
  <si>
    <t>SF-02866</t>
  </si>
  <si>
    <t>Tubo de cobre classe “E” 35mm</t>
  </si>
  <si>
    <t>SF-02867</t>
  </si>
  <si>
    <t>Tubo de cobre classe “E” 54mm</t>
  </si>
  <si>
    <t>SF-02868</t>
  </si>
  <si>
    <t>Tubo de cobre classe “E” 66mm</t>
  </si>
  <si>
    <t>SF-02869</t>
  </si>
  <si>
    <t>Tubo de cobre classe “E” 79mm</t>
  </si>
  <si>
    <t>SF-02870</t>
  </si>
  <si>
    <t>Tubo de cobre classe “E” 104mm</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</si>
  <si>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</si>
  <si>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</si>
  <si>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</si>
  <si>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</si>
  <si>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</si>
  <si>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</si>
  <si>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</si>
  <si>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</si>
  <si>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</si>
  <si>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</si>
  <si>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</si>
  <si>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</si>
  <si>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</si>
  <si>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</si>
  <si>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</si>
  <si>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</si>
  <si>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</si>
  <si>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</si>
  <si>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</si>
  <si>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</si>
  <si>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</si>
  <si>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</si>
  <si>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</si>
  <si>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</si>
  <si>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</si>
  <si>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</si>
  <si>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</si>
  <si>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</si>
  <si>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</si>
  <si>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</si>
  <si>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</si>
  <si>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Tubo PVC esgoto ou águas pluviais predial DN 100mm</t>
  </si>
  <si>
    <t>SF-02887</t>
  </si>
  <si>
    <t>SF-02888</t>
  </si>
  <si>
    <t>Tubo PVC esgoto ou águas pluviais predial DN 40 mm</t>
  </si>
  <si>
    <t>SF-02889</t>
  </si>
  <si>
    <t>Tubo PVC esgoto ou águas pluviais predial DN 50mm</t>
  </si>
  <si>
    <t>SF-02890</t>
  </si>
  <si>
    <t>Tubo PVC esgoto ou águas pluviais predial DN 75mm</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</si>
  <si>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</si>
  <si>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</si>
  <si>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</si>
  <si>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</si>
  <si>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</si>
  <si>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</si>
  <si>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</si>
  <si>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</si>
  <si>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</si>
  <si>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</si>
  <si>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</si>
  <si>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</si>
  <si>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</si>
  <si>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</si>
  <si>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</si>
  <si>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</si>
  <si>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</si>
  <si>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Tubo PVC soldável água fria DN 20mm</t>
  </si>
  <si>
    <t>SF-02900</t>
  </si>
  <si>
    <t>SF-02901</t>
  </si>
  <si>
    <t>SF-02902</t>
  </si>
  <si>
    <t>SF-02903</t>
  </si>
  <si>
    <t>SF-02904</t>
  </si>
  <si>
    <t>Tubo PVC soldável água fria DN 60mm</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</si>
  <si>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</si>
  <si>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</si>
  <si>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</si>
  <si>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</si>
  <si>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</si>
  <si>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</si>
  <si>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</si>
  <si>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</si>
  <si>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</si>
  <si>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</si>
  <si>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</si>
  <si>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</si>
  <si>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</si>
  <si>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</si>
  <si>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</si>
  <si>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</si>
  <si>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</si>
  <si>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</si>
  <si>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</si>
  <si>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</si>
  <si>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</si>
  <si>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</si>
  <si>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</si>
  <si>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</si>
  <si>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</si>
  <si>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</si>
  <si>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</si>
  <si>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</si>
  <si>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</si>
  <si>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</si>
  <si>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</si>
  <si>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</si>
  <si>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</si>
  <si>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</si>
  <si>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</si>
  <si>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</si>
  <si>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</si>
  <si>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</si>
  <si>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</si>
  <si>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</si>
  <si>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</si>
  <si>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</si>
  <si>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</si>
  <si>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</si>
  <si>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</si>
  <si>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</si>
  <si>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</si>
  <si>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</si>
  <si>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</si>
  <si>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</si>
  <si>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</si>
  <si>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</si>
  <si>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Acoplamento Circular PVC 88mm</t>
  </si>
  <si>
    <t>SF-02935</t>
  </si>
  <si>
    <t>Adaptador com Flange e Anel 85mm x 3”</t>
  </si>
  <si>
    <t>SF-02936</t>
  </si>
  <si>
    <t>Adaptador em 90° para filtro cromado 1/2 x 1/4 - Bico fino</t>
  </si>
  <si>
    <t>SF-02937</t>
  </si>
  <si>
    <t>Adaptador em 90° para filtro cromado 1/2 x 3/4</t>
  </si>
  <si>
    <t>SF-02938</t>
  </si>
  <si>
    <t>Adaptador de saída para vaso sanitário - 100mm</t>
  </si>
  <si>
    <t>SF-02939</t>
  </si>
  <si>
    <t>Adaptador JR com anel 100mm - Tubo de Ferro Fundido para PVC</t>
  </si>
  <si>
    <t>SF-02940</t>
  </si>
  <si>
    <t>Adaptador PVC água fria- 60 mm x 2”</t>
  </si>
  <si>
    <t>SF-02941</t>
  </si>
  <si>
    <t>Manilha para Poço – 1,10x0,50x0,05 m</t>
  </si>
  <si>
    <t>SF-02942</t>
  </si>
  <si>
    <t>Adaptador para filtro 3/8 x 1/2 - Rosca macho</t>
  </si>
  <si>
    <t>SF-02943</t>
  </si>
  <si>
    <t>Aquecedor elétrico horizontal – 200L – Linha Residencial</t>
  </si>
  <si>
    <t>SF-02944</t>
  </si>
  <si>
    <t>Válvula Alívio/Segurança 4 Bar- 1/2” para Aquecedor (Boiler)</t>
  </si>
  <si>
    <t>SF-02945</t>
  </si>
  <si>
    <t>Bomba para Hidromassagem Syllent Mb63 1/3Cv Monofásica 220V</t>
  </si>
  <si>
    <t>SF-02946</t>
  </si>
  <si>
    <t>Motobomba Centrífuga Submersível 1cv – trifásica - Ø máx. sólidos ≥ 20mm</t>
  </si>
  <si>
    <t>SF-02947</t>
  </si>
  <si>
    <t>Motobomba Centrífuga Submersível 2cv - trifásica - Ø máx. sólidos ≥ 20mm</t>
  </si>
  <si>
    <t>SF-02948</t>
  </si>
  <si>
    <t>Motobomba Centrífuga Submersível 3cv - trifásica - Ø máx. sólidos ≥ 20mm</t>
  </si>
  <si>
    <t>SF-02949</t>
  </si>
  <si>
    <t>Motobomba Centrífuga Submersível 4cv - trifásica - Ø máx. sólidos ≥ 20mm</t>
  </si>
  <si>
    <t>SF-02950</t>
  </si>
  <si>
    <t>Motobomba Centrífuga Submersível 5cv – trifásica - Ø máx. sólidos ≥ 60mm</t>
  </si>
  <si>
    <t>SF-02951</t>
  </si>
  <si>
    <t>Motobomba Centrífuga Submersível 7,5cv - trifásica - Ø máx. sólidos ≥ 70mm</t>
  </si>
  <si>
    <t>SF-02952</t>
  </si>
  <si>
    <t>Motobomba Centrífuga Submersível 10cv – trifásica - Ø máx. sólidos ≥ 70mm</t>
  </si>
  <si>
    <t>SF-02953</t>
  </si>
  <si>
    <t>Motobomba Centrífuga Submersível 15cv – trifásica - Ø máx. sólidos ≥ 65mm</t>
  </si>
  <si>
    <t>SF-02954</t>
  </si>
  <si>
    <t>Motobomba centrífuga de superfície monoestágio 1,5cv - monofásica</t>
  </si>
  <si>
    <t>SF-02955</t>
  </si>
  <si>
    <t>Motobomba centrífuga de superfície monoestágio 2cv - monofásica</t>
  </si>
  <si>
    <t>SF-02956</t>
  </si>
  <si>
    <t>Motobomba centrífuga de superfície monoestágio 2cv - trifásica - Combate a Incêndio</t>
  </si>
  <si>
    <t>SF-02957</t>
  </si>
  <si>
    <t>Motobomba centrífuga de superfície monoestágio 3cv - trifásica</t>
  </si>
  <si>
    <t>SF-02958</t>
  </si>
  <si>
    <t>Motobomba centrífuga de superfície monoestágio 5cv - trifásica</t>
  </si>
  <si>
    <t>SF-02959</t>
  </si>
  <si>
    <t>Motobomba centrífuga de superfície monoestágio 5cv - trifásica – Combate a Incêndio</t>
  </si>
  <si>
    <t>SF-02960</t>
  </si>
  <si>
    <t>Motobomba centrífuga de superfície monoestágio 7,5cv - trifásica</t>
  </si>
  <si>
    <t>SF-02961</t>
  </si>
  <si>
    <t>Motobomba centrífuga de superfície monoestágio 7,5cv - trifásica – Combate a Incêndio</t>
  </si>
  <si>
    <t>SF-02962</t>
  </si>
  <si>
    <t>Motobomba centrífuga de superfície monoestágio 10cv - trifásica</t>
  </si>
  <si>
    <t>SF-02963</t>
  </si>
  <si>
    <t>Motobomba centrífuga de superfície monoestágio 15cv - trifásica – Combate a Incêndio</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</si>
  <si>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</si>
  <si>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</si>
  <si>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</si>
  <si>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</si>
  <si>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</si>
  <si>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</si>
  <si>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</si>
  <si>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</si>
  <si>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</si>
  <si>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</si>
  <si>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</si>
  <si>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</si>
  <si>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</si>
  <si>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Bucha de Redução em CPVC 28 x 22mm</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</si>
  <si>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</si>
  <si>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</si>
  <si>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</si>
  <si>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</si>
  <si>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</si>
  <si>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</si>
  <si>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</si>
  <si>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</si>
  <si>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</si>
  <si>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Canopla para Sprinkler de 1/2”, em latão cromado, diâmetro externo de 6,5cm</t>
  </si>
  <si>
    <t>SF-02976</t>
  </si>
  <si>
    <t>Sprinkler Pendente 1/2” Cromado 68°C, Fator K80 (5,6)</t>
  </si>
  <si>
    <t>SF-02977</t>
  </si>
  <si>
    <t>Cap PVC Soldável 60 mm</t>
  </si>
  <si>
    <t>SF-02978</t>
  </si>
  <si>
    <t>Capa prensável para mangueira 3/4”</t>
  </si>
  <si>
    <t>SF-02979</t>
  </si>
  <si>
    <t>Tê 90° em cobre 22 mm</t>
  </si>
  <si>
    <t>SF-02980</t>
  </si>
  <si>
    <t>Conector em cobre ou bronze 22mm x 3/4” fêmea</t>
  </si>
  <si>
    <t>SF-02981</t>
  </si>
  <si>
    <t>Conector em cobre ou bronze 22mm x 3/4” macho</t>
  </si>
  <si>
    <t>SF-02982</t>
  </si>
  <si>
    <t>Conector em cobre ou bronze 28 mm x 1” macho</t>
  </si>
  <si>
    <t>SF-02983</t>
  </si>
  <si>
    <t>União em Cobre 22mm</t>
  </si>
  <si>
    <t>SF-02984</t>
  </si>
  <si>
    <t>União em Cobre 28mm</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</si>
  <si>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</si>
  <si>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</si>
  <si>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</si>
  <si>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</si>
  <si>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</si>
  <si>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</si>
  <si>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</si>
  <si>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</si>
  <si>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</si>
  <si>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Fita perfurada em aço-carbono - 17x0,40mm - rolo 30m</t>
  </si>
  <si>
    <t>SF-02990</t>
  </si>
  <si>
    <t>Flange PVC soldável água fria DN 60mm</t>
  </si>
  <si>
    <t>SF-02991</t>
  </si>
  <si>
    <t>Flange PVC soldável água fria DN 25mm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</si>
  <si>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</si>
  <si>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</si>
  <si>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</si>
  <si>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</si>
  <si>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</si>
  <si>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</si>
  <si>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</si>
  <si>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</si>
  <si>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</si>
  <si>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Joelho 45° CPVC 28mm – Linha Residencial</t>
  </si>
  <si>
    <t>SF-02997</t>
  </si>
  <si>
    <t>Joelho 45° PVC soldável água fria DN 60mm</t>
  </si>
  <si>
    <t>SF-02998</t>
  </si>
  <si>
    <t>Joelho 45° CPVC 22mm – Linha Residencial</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</si>
  <si>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</si>
  <si>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</si>
  <si>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</si>
  <si>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</si>
  <si>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</si>
  <si>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</si>
  <si>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</si>
  <si>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</si>
  <si>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</si>
  <si>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</si>
  <si>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</si>
  <si>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</si>
  <si>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</si>
  <si>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Joelho 90° em Cobre classe “E” 22mm x 1/2” - rosca fêmea</t>
  </si>
  <si>
    <t>SF-03006</t>
  </si>
  <si>
    <t>Joelho 90° CPVC 22mm – Linha Residencial</t>
  </si>
  <si>
    <t>SF-03007</t>
  </si>
  <si>
    <t>Joelho 90° CPVC 28mm – Linha Residencial</t>
  </si>
  <si>
    <t>SF-03008</t>
  </si>
  <si>
    <t>Joelho 90° PVC soldável água fria DN 60mm</t>
  </si>
  <si>
    <t>SF-03009</t>
  </si>
  <si>
    <t>Tê 90° PVC soldável água fria DN 60mm</t>
  </si>
  <si>
    <t>SF-03010</t>
  </si>
  <si>
    <t>Tê de redução PVC soldável água fria 60 x 50mm</t>
  </si>
  <si>
    <t>SF-03011</t>
  </si>
  <si>
    <t>Joelho em cobre 22mm x 1/2” – rosca fêmea</t>
  </si>
  <si>
    <t>SF-03012</t>
  </si>
  <si>
    <t>Junta Papelão Hidráulico 6” x 1/16”</t>
  </si>
  <si>
    <t>SF-03013</t>
  </si>
  <si>
    <t>Tubo PEAD corrugado para drenagem – Diâmetro 110mm</t>
  </si>
  <si>
    <t>SF-03014</t>
  </si>
  <si>
    <t>Tubo PVC para Calha 88mm</t>
  </si>
  <si>
    <t>SF-03015</t>
  </si>
  <si>
    <t>Luva de Correr PVC esgoto ou águas pluviais predial DN 100mm</t>
  </si>
  <si>
    <t>SF-03016</t>
  </si>
  <si>
    <t>Luva de transição CPVC 1” x 28mm – Linha Residencial</t>
  </si>
  <si>
    <t>SF-03017</t>
  </si>
  <si>
    <t>Luva de transição CPVC 1/2” x 22mm  – Linha Residencial</t>
  </si>
  <si>
    <t>SF-03018</t>
  </si>
  <si>
    <t>Luva de transição CPVC 3/4” x 22mm – Linha Residencial</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</si>
  <si>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</si>
  <si>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</si>
  <si>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</si>
  <si>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</si>
  <si>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</si>
  <si>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</si>
  <si>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</si>
  <si>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</si>
  <si>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</si>
  <si>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</si>
  <si>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</si>
  <si>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</si>
  <si>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</si>
  <si>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Tê 45° (Junção) PVC esgoto ou águas pluviais predial DN 75mm</t>
  </si>
  <si>
    <t>SF-03026</t>
  </si>
  <si>
    <t>União CPVC 22mm – Linha Residencial</t>
  </si>
  <si>
    <t>SF-03027</t>
  </si>
  <si>
    <t>União CPVC 28mm– Linha Residencial</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</si>
  <si>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</si>
  <si>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</si>
  <si>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</si>
  <si>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</si>
  <si>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</si>
  <si>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</si>
  <si>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</si>
  <si>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</si>
  <si>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</si>
  <si>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</si>
  <si>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</si>
  <si>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</si>
  <si>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</si>
  <si>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</si>
  <si>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</si>
  <si>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</si>
  <si>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</si>
  <si>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</si>
  <si>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</si>
  <si>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</si>
  <si>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</si>
  <si>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</si>
  <si>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</si>
  <si>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Tê de redução em aço-carbono galvanizado 2”x1 1/2” – Água Potável e Combate a Incêndio</t>
  </si>
  <si>
    <t>SF-03040</t>
  </si>
  <si>
    <t>Tê 90° CPVC 22mm – Linha Residencial</t>
  </si>
  <si>
    <t>SF-03041</t>
  </si>
  <si>
    <t>Tê 90° CPVC 28mm – Linha Residencial</t>
  </si>
  <si>
    <t>SF-03042</t>
  </si>
  <si>
    <t>Luva CPVC 22mm – Linha Residencial</t>
  </si>
  <si>
    <t>SF-03043</t>
  </si>
  <si>
    <t>Luva CPVC 28mm– Linha Residencial</t>
  </si>
  <si>
    <t>SF-03044</t>
  </si>
  <si>
    <t>Luva PVC roscável para água fria 1 1/2”</t>
  </si>
  <si>
    <t>SF-03045</t>
  </si>
  <si>
    <t>Luva PVC roscável para água fria 2”</t>
  </si>
  <si>
    <t>SF-03046</t>
  </si>
  <si>
    <t>Luva de PVC soldável água fria DN 60mm</t>
  </si>
  <si>
    <t>SF-03047</t>
  </si>
  <si>
    <t>União PVC soldável 60mm</t>
  </si>
  <si>
    <t>SF-03048</t>
  </si>
  <si>
    <t>União PVC soldável 85mm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</si>
  <si>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</si>
  <si>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</si>
  <si>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</si>
  <si>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</si>
  <si>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</si>
  <si>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</si>
  <si>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</si>
  <si>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</si>
  <si>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</si>
  <si>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</si>
  <si>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</si>
  <si>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</si>
  <si>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</si>
  <si>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</si>
  <si>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</si>
  <si>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</si>
  <si>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</si>
  <si>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</si>
  <si>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</si>
  <si>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</si>
  <si>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</si>
  <si>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</si>
  <si>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</si>
  <si>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</si>
  <si>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</si>
  <si>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</si>
  <si>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</si>
  <si>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</si>
  <si>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</si>
  <si>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</si>
  <si>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</si>
  <si>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</si>
  <si>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</si>
  <si>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</si>
  <si>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</si>
  <si>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</si>
  <si>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</si>
  <si>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50mm)</t>
  </si>
  <si>
    <t>SF-03068</t>
  </si>
  <si>
    <t>Jogo de chave cachimbo de nº 6 a 32 mm</t>
  </si>
  <si>
    <t>SF-03069</t>
  </si>
  <si>
    <t>Desentupidora manual 12m</t>
  </si>
  <si>
    <t>SF-03070</t>
  </si>
  <si>
    <t>Desentupidora manual 4m</t>
  </si>
  <si>
    <t>SF-03071</t>
  </si>
  <si>
    <t>Torno de bancada fixo nº 4</t>
  </si>
  <si>
    <t>SF-03072</t>
  </si>
  <si>
    <t>Bomba manual para graxa 500g</t>
  </si>
  <si>
    <t>SF-03073</t>
  </si>
  <si>
    <t>Bomba manual para graxa 5 a 7kg</t>
  </si>
  <si>
    <t>SF-03074</t>
  </si>
  <si>
    <t>Bomba manual para Teste Hidrostático - Vazão 80 L/h - com Manômetro</t>
  </si>
  <si>
    <t>SF-03075</t>
  </si>
  <si>
    <t>Rádio comunicador bidirecional - alcance até 25km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</si>
  <si>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</si>
  <si>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</si>
  <si>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</si>
  <si>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</si>
  <si>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</si>
  <si>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</si>
  <si>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</si>
  <si>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</si>
  <si>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</si>
  <si>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</si>
  <si>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</si>
  <si>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</si>
  <si>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</si>
  <si>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</si>
  <si>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</si>
  <si>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</si>
  <si>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</si>
  <si>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</si>
  <si>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</si>
  <si>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</si>
  <si>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</si>
  <si>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</si>
  <si>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</si>
  <si>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</si>
  <si>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</si>
  <si>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</si>
  <si>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</si>
  <si>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</si>
  <si>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</si>
  <si>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</si>
  <si>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</si>
  <si>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</si>
  <si>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</si>
  <si>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</si>
  <si>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</si>
  <si>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</si>
  <si>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</si>
  <si>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</si>
  <si>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</si>
  <si>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Mangueira de incêndio tipo 2 - engate 2 1/2” - lance 15m</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</si>
  <si>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</si>
  <si>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</si>
  <si>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</si>
  <si>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</si>
  <si>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</si>
  <si>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</si>
  <si>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</si>
  <si>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</si>
  <si>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</si>
  <si>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</si>
  <si>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</si>
  <si>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</si>
  <si>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</si>
  <si>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</si>
  <si>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</si>
  <si>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</si>
  <si>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</si>
  <si>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</si>
  <si>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</si>
  <si>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</si>
  <si>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</si>
  <si>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</si>
  <si>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</si>
  <si>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</si>
  <si>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</si>
  <si>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Selo mecânico tipo 21 - Ø1 1/4” para bombas centrífugas</t>
  </si>
  <si>
    <t>SF-03109</t>
  </si>
  <si>
    <t>Selo mecânico tipo 21 - Ø3/4” para bombas centrífugas</t>
  </si>
  <si>
    <t>SF-03110</t>
  </si>
  <si>
    <t>Selo mecânico tipo 21 - Ø5/8” para bombas centrífugas</t>
  </si>
  <si>
    <t>SF-03111</t>
  </si>
  <si>
    <t>Bucha de redução em ferro galvanizado 3” X 2 1/2”</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</si>
  <si>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</si>
  <si>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</si>
  <si>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</si>
  <si>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</si>
  <si>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</si>
  <si>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</si>
  <si>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</si>
  <si>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</si>
  <si>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</si>
  <si>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</si>
  <si>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</si>
  <si>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</si>
  <si>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</si>
  <si>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</si>
  <si>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</si>
  <si>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</si>
  <si>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</si>
  <si>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</si>
  <si>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</si>
  <si>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</si>
  <si>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</si>
  <si>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</si>
  <si>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</si>
  <si>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</si>
  <si>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</si>
  <si>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</si>
  <si>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</si>
  <si>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</si>
  <si>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</si>
  <si>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</si>
  <si>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</si>
  <si>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</si>
  <si>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</si>
  <si>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</si>
  <si>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</si>
  <si>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</si>
  <si>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</si>
  <si>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</si>
  <si>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</si>
  <si>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</si>
  <si>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</si>
  <si>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</si>
  <si>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</si>
  <si>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</si>
  <si>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</si>
  <si>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</si>
  <si>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</si>
  <si>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</si>
  <si>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</si>
  <si>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CANOPLA ACABAMENTO CROMADO PARA INSTALACAO DE SPRINKLER, SOB FORRO, 15 MM</t>
  </si>
  <si>
    <t>CAP PVC, SOLDAVEL, 60 MM, PARA AGUA FRIA PREDIAL</t>
  </si>
  <si>
    <t>CARRINHO DE MAO DE ACO CAPACIDADE 50 A 60 L, PNEU COM CAMARA</t>
  </si>
  <si>
    <t>CHUMBADOR, DIAMETRO 1/4" COM PARAFUSO 1/4" X 40 MM</t>
  </si>
  <si>
    <t>CONDULETE DE ALUMINIO TIPO LR, PARA ELETRODUTO ROSCAVEL DE 1 1/2", COM TAMPA CEGA</t>
  </si>
  <si>
    <t>CONDUTOR PLUVIAL, PVC, CIRCULAR, DIAMETRO ENTRE 80 E 100 MM, PARA DRENAGEM PREDIAL</t>
  </si>
  <si>
    <t>CONECTOR BRONZE/LATAO (REF 603) SEM ANEL DE SOLDA, BOLSA X ROSCA F, 22 MM X 3/4"</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</si>
  <si>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</si>
  <si>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</si>
  <si>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</si>
  <si>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</si>
  <si>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</si>
  <si>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</si>
  <si>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</si>
  <si>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</si>
  <si>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</si>
  <si>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</si>
  <si>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</si>
  <si>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</si>
  <si>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</si>
  <si>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</si>
  <si>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</si>
  <si>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</si>
  <si>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</si>
  <si>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</si>
  <si>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</si>
  <si>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</si>
  <si>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</si>
  <si>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</si>
  <si>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</si>
  <si>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</si>
  <si>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</si>
  <si>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</si>
  <si>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</si>
  <si>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</si>
  <si>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</si>
  <si>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</si>
  <si>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</si>
  <si>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</si>
  <si>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</si>
  <si>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</si>
  <si>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</si>
  <si>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</si>
  <si>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</si>
  <si>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</si>
  <si>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</si>
  <si>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</si>
  <si>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</si>
  <si>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</si>
  <si>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</si>
  <si>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</si>
  <si>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</si>
  <si>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</si>
  <si>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</si>
  <si>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</si>
  <si>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</si>
  <si>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</si>
  <si>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</si>
  <si>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</si>
  <si>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</si>
  <si>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</si>
  <si>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</si>
  <si>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</si>
  <si>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</si>
  <si>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</si>
  <si>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</si>
  <si>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</si>
  <si>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</si>
  <si>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</si>
  <si>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</si>
  <si>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</si>
  <si>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</si>
  <si>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</si>
  <si>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</si>
  <si>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</si>
  <si>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</si>
  <si>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</si>
  <si>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</si>
  <si>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</si>
  <si>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</si>
  <si>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</si>
  <si>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</si>
  <si>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</si>
  <si>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</si>
  <si>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</si>
  <si>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</si>
  <si>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</si>
  <si>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</si>
  <si>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</si>
  <si>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</si>
  <si>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</si>
  <si>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</si>
  <si>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</si>
  <si>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</si>
  <si>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</si>
  <si>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</si>
  <si>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</si>
  <si>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</si>
  <si>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</si>
  <si>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</si>
  <si>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</si>
  <si>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</si>
  <si>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</si>
  <si>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</si>
  <si>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</si>
  <si>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</si>
  <si>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</si>
  <si>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</si>
  <si>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</si>
  <si>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</si>
  <si>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</si>
  <si>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</si>
  <si>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</si>
  <si>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</si>
  <si>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</si>
  <si>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</si>
  <si>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</si>
  <si>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</si>
  <si>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</si>
  <si>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</si>
  <si>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</si>
  <si>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</si>
  <si>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</si>
  <si>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</si>
  <si>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</si>
  <si>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</si>
  <si>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</si>
  <si>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</si>
  <si>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</si>
  <si>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</si>
  <si>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</si>
  <si>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</si>
  <si>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</si>
  <si>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</si>
  <si>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</si>
  <si>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</si>
  <si>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</si>
  <si>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</si>
  <si>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</si>
  <si>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</si>
  <si>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</si>
  <si>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</si>
  <si>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</si>
  <si>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</si>
  <si>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</si>
  <si>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</si>
  <si>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</si>
  <si>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</si>
  <si>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</si>
  <si>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</si>
  <si>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</si>
  <si>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</si>
  <si>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</si>
  <si>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</si>
  <si>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</si>
  <si>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</si>
  <si>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</si>
  <si>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</si>
  <si>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</si>
  <si>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</si>
  <si>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</si>
  <si>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</si>
  <si>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</si>
  <si>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</si>
  <si>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</si>
  <si>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</si>
  <si>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</si>
  <si>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</si>
  <si>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</si>
  <si>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</si>
  <si>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</si>
  <si>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</si>
  <si>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Condulete de alumínio de 3" – fornecimento e instalação</t>
  </si>
  <si>
    <t>Grupo motor-gerador 140 kVA</t>
  </si>
  <si>
    <t>Projeto executivo de engenharia elétrica - Sistema de geração de energia elétrica – Bloco 02 (Interlegis)</t>
  </si>
  <si>
    <t>Ar-condicionado fancolete hidrônico dutado 0,58 TR (7000 BTU/h)</t>
  </si>
  <si>
    <t>Grelha para retorno quadrada 225x225 mm</t>
  </si>
  <si>
    <t>Ar-condicionado fancolete hidrônico dutado 1,5 TR</t>
  </si>
  <si>
    <t>Bomba Centrífuga Mancalizada, 02 estágios, Potência 25cv (motor não incluído)</t>
  </si>
  <si>
    <t>Vestimenta tipo macacão para saneamento com botas e luvas</t>
  </si>
  <si>
    <t>Instalação de quadros elétricos ou de telecomunicações</t>
  </si>
  <si>
    <t>Adequação da infraestrutura dos closets de rede</t>
  </si>
  <si>
    <t>Instalação de forro metálico reaproveitado</t>
  </si>
  <si>
    <t>Painel de automação para sistema de revezamento entre equipamentos de climatização split</t>
  </si>
  <si>
    <t xml:space="preserve">Grelha para retorno de ar com lâminas fixas e registro, 225 mm x 225 mm </t>
  </si>
  <si>
    <t>Data: Julho de 2022</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</si>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</sst>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 numFmtId="175" formatCode="_([$R$ -416]* #,##0.00_);_([$R$ -416]* \(#,##0.00\);_([$R$ -416]* &quot;-&quot;??_);_(@_)"/>
  </numFmts>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b/>
      <u/>
      <sz val="11"/>
      <color theme="10"/>
      <name val="Calibri"/>
      <family val="2"/>
      <scheme val="minor"/>
    </font>
    <font>
      <u/>
      <sz val="10"/>
      <color indexed="12"/>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s>
  <cellStyleXfs count="2920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xf numFmtId="0" fontId="32"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75" fontId="2" fillId="0" borderId="0"/>
    <xf numFmtId="0" fontId="2" fillId="0" borderId="0"/>
    <xf numFmtId="0" fontId="2" fillId="0" borderId="0">
      <protection locked="0"/>
    </xf>
    <xf numFmtId="175"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cellStyleXfs>
  <cellXfs count="261">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167" fontId="17" fillId="4" borderId="12" xfId="0" applyNumberFormat="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4"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7"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18"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18"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5" xfId="3" applyFont="1" applyBorder="1" applyAlignment="1">
      <alignment horizontal="center" vertical="center" wrapText="1"/>
    </xf>
    <xf numFmtId="166" fontId="3" fillId="0" borderId="10"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18" xfId="5" applyFont="1" applyFill="1" applyBorder="1" applyAlignment="1" applyProtection="1">
      <alignment horizontal="center" vertical="center" wrapText="1"/>
    </xf>
    <xf numFmtId="166" fontId="3" fillId="0" borderId="18"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166" fontId="5" fillId="0" borderId="18"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18" xfId="0" applyFont="1" applyBorder="1" applyAlignment="1">
      <alignment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4" xfId="0" applyNumberFormat="1" applyFont="1" applyBorder="1" applyAlignment="1">
      <alignment horizontal="center" vertical="center" wrapText="1"/>
    </xf>
    <xf numFmtId="166" fontId="2" fillId="0" borderId="4" xfId="5" applyFont="1" applyFill="1" applyBorder="1" applyAlignment="1" applyProtection="1">
      <alignment horizontal="center" vertical="center" wrapText="1"/>
    </xf>
    <xf numFmtId="166" fontId="2" fillId="0" borderId="4" xfId="5" applyFont="1" applyBorder="1" applyAlignment="1" applyProtection="1">
      <alignment horizontal="center" vertical="center" wrapText="1"/>
    </xf>
    <xf numFmtId="166" fontId="2" fillId="0" borderId="20" xfId="5" applyFont="1" applyFill="1" applyBorder="1" applyAlignment="1" applyProtection="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20" xfId="3" applyFont="1" applyBorder="1" applyAlignment="1">
      <alignment vertical="center" wrapText="1"/>
    </xf>
    <xf numFmtId="166" fontId="2" fillId="0" borderId="18"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4" xfId="5" applyFont="1" applyBorder="1" applyAlignment="1" applyProtection="1">
      <alignment horizontal="center" vertical="center"/>
    </xf>
    <xf numFmtId="166" fontId="2" fillId="0" borderId="20"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4" xfId="0" applyFont="1" applyBorder="1" applyAlignment="1">
      <alignment horizontal="center"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168" fontId="22" fillId="4" borderId="12"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170" fontId="3" fillId="0" borderId="4"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10" xfId="3" applyNumberFormat="1" applyFont="1" applyBorder="1" applyAlignment="1">
      <alignment vertical="center" wrapText="1"/>
    </xf>
    <xf numFmtId="166" fontId="0" fillId="0" borderId="0" xfId="0" applyNumberFormat="1"/>
    <xf numFmtId="170" fontId="2" fillId="0" borderId="4"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18"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4" xfId="0" applyFont="1" applyFill="1" applyBorder="1" applyAlignment="1" applyProtection="1">
      <alignment horizontal="center" vertical="center" wrapText="1"/>
      <protection locked="0"/>
    </xf>
    <xf numFmtId="0" fontId="27" fillId="6" borderId="4" xfId="0" applyFont="1" applyFill="1" applyBorder="1" applyAlignment="1" applyProtection="1">
      <alignment vertical="center" wrapText="1"/>
      <protection locked="0"/>
    </xf>
    <xf numFmtId="171" fontId="27" fillId="6" borderId="4" xfId="0" applyNumberFormat="1" applyFont="1" applyFill="1" applyBorder="1" applyAlignment="1" applyProtection="1">
      <alignment horizontal="centerContinuous" vertical="center" wrapText="1"/>
      <protection locked="0"/>
    </xf>
    <xf numFmtId="0" fontId="27" fillId="6" borderId="4" xfId="0" applyFont="1" applyFill="1" applyBorder="1" applyAlignment="1" applyProtection="1">
      <alignment horizontal="centerContinuous" vertical="center" wrapText="1"/>
      <protection locked="0"/>
    </xf>
    <xf numFmtId="3" fontId="2" fillId="0" borderId="7" xfId="4" applyNumberFormat="1" applyFont="1" applyFill="1" applyBorder="1" applyAlignment="1" applyProtection="1">
      <alignment horizontal="center" vertical="center" wrapText="1"/>
      <protection locked="0"/>
    </xf>
    <xf numFmtId="49" fontId="2" fillId="0" borderId="8" xfId="4" applyNumberFormat="1" applyFont="1" applyFill="1" applyBorder="1" applyAlignment="1" applyProtection="1">
      <alignment horizontal="left" vertical="center" wrapText="1"/>
      <protection locked="0"/>
    </xf>
    <xf numFmtId="4" fontId="2" fillId="0" borderId="8"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4"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9" xfId="0" applyNumberFormat="1" applyFont="1" applyBorder="1" applyAlignment="1" applyProtection="1">
      <alignment horizontal="center" vertical="center"/>
      <protection locked="0"/>
    </xf>
    <xf numFmtId="0" fontId="17" fillId="4" borderId="2" xfId="0" applyFont="1" applyFill="1" applyBorder="1" applyAlignment="1">
      <alignment horizontal="center" vertical="center"/>
    </xf>
    <xf numFmtId="169"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0" fontId="0" fillId="0" borderId="0" xfId="0" applyBorder="1"/>
    <xf numFmtId="0" fontId="10" fillId="4" borderId="0" xfId="0" applyFont="1" applyFill="1" applyAlignment="1" applyProtection="1">
      <alignment horizontal="centerContinuous" vertical="center" wrapText="1"/>
    </xf>
    <xf numFmtId="166" fontId="2" fillId="0" borderId="8" xfId="5" applyFont="1" applyFill="1" applyBorder="1" applyAlignment="1" applyProtection="1">
      <alignment vertical="center" wrapText="1"/>
    </xf>
    <xf numFmtId="166" fontId="2" fillId="0" borderId="8" xfId="5" applyFont="1" applyFill="1" applyBorder="1" applyAlignment="1" applyProtection="1">
      <alignment horizontal="right" vertical="center" wrapText="1"/>
    </xf>
    <xf numFmtId="10" fontId="2" fillId="0" borderId="8" xfId="2" applyNumberFormat="1" applyFont="1" applyFill="1" applyBorder="1" applyAlignment="1" applyProtection="1">
      <alignment horizontal="center" vertical="center" wrapText="1"/>
    </xf>
    <xf numFmtId="166" fontId="2" fillId="0" borderId="8" xfId="5" applyFont="1" applyFill="1" applyBorder="1" applyAlignment="1" applyProtection="1">
      <alignment horizontal="center" vertical="center" wrapText="1"/>
    </xf>
    <xf numFmtId="172" fontId="28" fillId="2" borderId="22" xfId="0" applyNumberFormat="1" applyFont="1" applyFill="1" applyBorder="1" applyAlignment="1" applyProtection="1">
      <alignment horizontal="center" wrapText="1"/>
    </xf>
    <xf numFmtId="172" fontId="28" fillId="2" borderId="5" xfId="0" applyNumberFormat="1" applyFont="1" applyFill="1" applyBorder="1" applyAlignment="1" applyProtection="1">
      <alignment horizontal="center" wrapText="1"/>
    </xf>
    <xf numFmtId="10" fontId="28" fillId="2" borderId="22" xfId="2" applyNumberFormat="1" applyFont="1" applyFill="1" applyBorder="1" applyAlignment="1" applyProtection="1">
      <alignment wrapText="1"/>
    </xf>
    <xf numFmtId="173" fontId="28" fillId="2" borderId="21"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8" fontId="30" fillId="4" borderId="0" xfId="5" applyNumberFormat="1" applyFont="1" applyFill="1" applyBorder="1" applyAlignment="1" applyProtection="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70" fontId="2" fillId="0" borderId="0" xfId="0" applyNumberFormat="1" applyFont="1" applyBorder="1" applyAlignment="1">
      <alignment horizontal="center" vertical="center" wrapText="1"/>
    </xf>
    <xf numFmtId="0" fontId="2" fillId="0" borderId="0" xfId="3" applyBorder="1" applyAlignment="1">
      <alignment vertical="center" wrapText="1"/>
    </xf>
    <xf numFmtId="167" fontId="2" fillId="0" borderId="0" xfId="3" applyNumberFormat="1" applyBorder="1" applyAlignment="1">
      <alignment vertical="center" wrapText="1"/>
    </xf>
    <xf numFmtId="0" fontId="2" fillId="0" borderId="0" xfId="0" applyFont="1" applyBorder="1" applyAlignment="1">
      <alignment horizontal="center" vertical="center" wrapText="1"/>
    </xf>
    <xf numFmtId="167" fontId="2" fillId="0" borderId="0" xfId="0" applyNumberFormat="1" applyFont="1" applyBorder="1" applyAlignment="1">
      <alignment horizontal="center" vertical="center" wrapText="1"/>
    </xf>
    <xf numFmtId="169" fontId="2" fillId="0" borderId="0" xfId="0" applyNumberFormat="1" applyFont="1" applyBorder="1" applyAlignment="1">
      <alignment horizontal="center" vertical="center" wrapText="1"/>
    </xf>
    <xf numFmtId="169" fontId="2" fillId="0" borderId="4" xfId="0" applyNumberFormat="1" applyFont="1" applyBorder="1" applyAlignment="1">
      <alignment horizontal="center" vertical="center" wrapText="1"/>
    </xf>
    <xf numFmtId="0" fontId="3" fillId="0" borderId="19" xfId="3" applyFont="1" applyBorder="1" applyAlignment="1">
      <alignment horizontal="center" vertical="center" wrapText="1"/>
    </xf>
    <xf numFmtId="0" fontId="2" fillId="0" borderId="0" xfId="3" applyFont="1" applyAlignment="1">
      <alignment vertical="center" wrapText="1"/>
    </xf>
    <xf numFmtId="167" fontId="2" fillId="0" borderId="0" xfId="3" applyNumberFormat="1" applyFont="1" applyAlignment="1">
      <alignment vertical="center" wrapText="1"/>
    </xf>
    <xf numFmtId="0" fontId="2" fillId="0" borderId="0" xfId="3" applyFont="1" applyBorder="1" applyAlignment="1">
      <alignment vertical="center" wrapText="1"/>
    </xf>
    <xf numFmtId="167" fontId="2" fillId="0" borderId="0" xfId="3" applyNumberFormat="1" applyFont="1" applyBorder="1" applyAlignment="1">
      <alignment vertical="center" wrapText="1"/>
    </xf>
    <xf numFmtId="0" fontId="2" fillId="0" borderId="0" xfId="0" applyFont="1" applyFill="1" applyAlignment="1">
      <alignment horizontal="center" vertical="center" wrapText="1"/>
    </xf>
    <xf numFmtId="0" fontId="3" fillId="0" borderId="19" xfId="3" applyFont="1" applyBorder="1" applyAlignment="1">
      <alignment horizontal="center" vertical="center" wrapText="1"/>
    </xf>
    <xf numFmtId="0" fontId="17" fillId="4" borderId="12" xfId="0" applyFont="1" applyFill="1" applyBorder="1" applyAlignment="1">
      <alignment horizontal="center" vertical="center"/>
    </xf>
    <xf numFmtId="0" fontId="31" fillId="0" borderId="0" xfId="6" applyFont="1" applyAlignment="1">
      <alignment horizontal="center" vertical="center" wrapText="1"/>
    </xf>
    <xf numFmtId="0" fontId="2" fillId="0" borderId="0" xfId="0" applyFont="1" applyFill="1" applyBorder="1" applyAlignment="1">
      <alignment horizontal="center" vertical="center" wrapText="1"/>
    </xf>
    <xf numFmtId="170" fontId="2" fillId="0" borderId="0" xfId="3" applyNumberFormat="1" applyBorder="1" applyAlignment="1">
      <alignment vertical="center" wrapText="1"/>
    </xf>
    <xf numFmtId="0" fontId="2" fillId="0" borderId="4" xfId="0" applyFont="1" applyBorder="1" applyAlignment="1">
      <alignment wrapText="1"/>
    </xf>
    <xf numFmtId="166" fontId="3" fillId="0" borderId="20" xfId="5" applyFont="1" applyFill="1" applyBorder="1" applyAlignment="1" applyProtection="1">
      <alignment horizontal="center" vertical="center" wrapText="1"/>
    </xf>
    <xf numFmtId="0" fontId="0" fillId="0" borderId="0" xfId="0"/>
    <xf numFmtId="164" fontId="0" fillId="0" borderId="0" xfId="7" applyFont="1"/>
    <xf numFmtId="0" fontId="7" fillId="6" borderId="4" xfId="0" applyFont="1" applyFill="1" applyBorder="1" applyAlignment="1" applyProtection="1">
      <alignment horizontal="center" vertical="center"/>
      <protection locked="0"/>
    </xf>
    <xf numFmtId="0" fontId="17" fillId="6" borderId="0" xfId="0" applyFont="1" applyFill="1" applyAlignment="1" applyProtection="1">
      <alignment horizontal="center" vertical="center" wrapText="1"/>
      <protection locked="0"/>
    </xf>
    <xf numFmtId="0" fontId="0" fillId="6" borderId="0" xfId="0" applyFill="1"/>
    <xf numFmtId="0" fontId="24" fillId="6" borderId="4" xfId="0" applyFont="1" applyFill="1" applyBorder="1" applyAlignment="1">
      <alignment vertical="center" wrapText="1"/>
    </xf>
    <xf numFmtId="0" fontId="25" fillId="6" borderId="4" xfId="0" applyFont="1" applyFill="1" applyBorder="1" applyAlignment="1">
      <alignment vertical="center" wrapText="1"/>
    </xf>
    <xf numFmtId="0" fontId="25" fillId="6" borderId="4" xfId="0" applyFont="1" applyFill="1" applyBorder="1" applyAlignment="1">
      <alignment vertical="center"/>
    </xf>
    <xf numFmtId="0" fontId="25" fillId="6" borderId="0" xfId="0" applyFont="1" applyFill="1" applyAlignment="1">
      <alignment vertical="center" wrapText="1"/>
    </xf>
    <xf numFmtId="168" fontId="24" fillId="6" borderId="4" xfId="0" applyNumberFormat="1" applyFont="1" applyFill="1" applyBorder="1" applyAlignment="1">
      <alignment vertical="center" wrapText="1"/>
    </xf>
    <xf numFmtId="0" fontId="20" fillId="6" borderId="0" xfId="0" applyFont="1" applyFill="1" applyAlignment="1">
      <alignment vertical="center" wrapText="1"/>
    </xf>
    <xf numFmtId="0" fontId="20" fillId="6" borderId="0" xfId="0" applyFont="1" applyFill="1" applyAlignment="1">
      <alignment vertical="center"/>
    </xf>
    <xf numFmtId="167" fontId="20" fillId="6" borderId="0" xfId="0" applyNumberFormat="1" applyFont="1" applyFill="1" applyAlignment="1">
      <alignment vertical="center" wrapText="1"/>
    </xf>
    <xf numFmtId="0" fontId="21" fillId="6" borderId="0" xfId="0" applyFont="1" applyFill="1" applyAlignment="1">
      <alignment horizontal="center" vertical="center" wrapText="1"/>
    </xf>
    <xf numFmtId="2" fontId="20" fillId="6" borderId="0" xfId="0" applyNumberFormat="1" applyFont="1" applyFill="1" applyAlignment="1">
      <alignment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0" fillId="0" borderId="0" xfId="0" applyProtection="1"/>
    <xf numFmtId="3" fontId="2" fillId="0" borderId="7" xfId="4" applyNumberFormat="1" applyFont="1" applyFill="1" applyBorder="1" applyAlignment="1" applyProtection="1">
      <alignment horizontal="center" vertical="center" wrapText="1"/>
    </xf>
    <xf numFmtId="49" fontId="2" fillId="0" borderId="8" xfId="4" applyNumberFormat="1" applyFont="1" applyFill="1" applyBorder="1" applyAlignment="1" applyProtection="1">
      <alignment horizontal="left" vertical="center" wrapText="1"/>
    </xf>
    <xf numFmtId="4" fontId="2" fillId="0" borderId="8" xfId="4" applyNumberFormat="1" applyFont="1" applyFill="1" applyBorder="1" applyAlignment="1" applyProtection="1">
      <alignment horizontal="center" vertical="center" wrapText="1"/>
    </xf>
    <xf numFmtId="3" fontId="2" fillId="0" borderId="30" xfId="4" applyNumberFormat="1" applyFont="1" applyFill="1" applyBorder="1" applyAlignment="1" applyProtection="1">
      <alignment horizontal="center" vertical="center" wrapText="1"/>
    </xf>
    <xf numFmtId="49" fontId="2" fillId="0" borderId="23" xfId="4" applyNumberFormat="1" applyFont="1" applyFill="1" applyBorder="1" applyAlignment="1" applyProtection="1">
      <alignment horizontal="left" vertical="center" wrapText="1"/>
    </xf>
    <xf numFmtId="172" fontId="21" fillId="2" borderId="21" xfId="0" applyNumberFormat="1"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2" fontId="21" fillId="2" borderId="22" xfId="0" applyNumberFormat="1" applyFont="1" applyFill="1" applyBorder="1" applyAlignment="1" applyProtection="1">
      <alignment vertical="center" wrapText="1"/>
    </xf>
    <xf numFmtId="172" fontId="28" fillId="2" borderId="22" xfId="0" applyNumberFormat="1" applyFont="1" applyFill="1" applyBorder="1" applyAlignment="1" applyProtection="1">
      <alignment vertical="center" wrapText="1"/>
    </xf>
    <xf numFmtId="10" fontId="2" fillId="2" borderId="23" xfId="2" applyNumberFormat="1" applyFont="1" applyFill="1" applyBorder="1" applyAlignment="1" applyProtection="1">
      <alignment horizontal="center" vertical="center" wrapText="1"/>
    </xf>
    <xf numFmtId="166" fontId="2" fillId="2" borderId="23" xfId="5" applyFont="1" applyFill="1" applyBorder="1" applyAlignment="1" applyProtection="1">
      <alignment horizontal="center" vertical="center" wrapText="1"/>
    </xf>
    <xf numFmtId="172" fontId="28" fillId="2" borderId="22" xfId="0" applyNumberFormat="1" applyFont="1" applyFill="1" applyBorder="1" applyAlignment="1" applyProtection="1">
      <alignment wrapText="1"/>
    </xf>
    <xf numFmtId="172" fontId="28" fillId="2" borderId="22" xfId="0" applyNumberFormat="1" applyFont="1" applyFill="1" applyBorder="1" applyAlignment="1" applyProtection="1">
      <alignment horizontal="centerContinuous" wrapText="1"/>
    </xf>
    <xf numFmtId="172" fontId="28" fillId="2" borderId="5" xfId="0" applyNumberFormat="1" applyFont="1" applyFill="1" applyBorder="1" applyAlignment="1" applyProtection="1">
      <alignment wrapText="1"/>
    </xf>
    <xf numFmtId="172" fontId="28" fillId="2" borderId="10" xfId="0" applyNumberFormat="1" applyFont="1" applyFill="1" applyBorder="1" applyAlignment="1" applyProtection="1">
      <alignment wrapText="1"/>
    </xf>
    <xf numFmtId="172" fontId="28" fillId="2" borderId="10" xfId="0" applyNumberFormat="1" applyFont="1" applyFill="1" applyBorder="1" applyAlignment="1" applyProtection="1">
      <alignment horizontal="centerContinuous" wrapText="1"/>
    </xf>
    <xf numFmtId="172" fontId="28" fillId="2" borderId="5" xfId="0" applyNumberFormat="1" applyFont="1" applyFill="1" applyBorder="1" applyAlignment="1" applyProtection="1">
      <alignment horizontal="centerContinuous" wrapText="1"/>
    </xf>
    <xf numFmtId="166" fontId="2" fillId="0" borderId="8" xfId="5" applyFont="1" applyFill="1" applyBorder="1" applyAlignment="1" applyProtection="1">
      <alignment vertical="center" wrapText="1"/>
      <protection locked="0"/>
    </xf>
    <xf numFmtId="43" fontId="17" fillId="4" borderId="3" xfId="1" applyFont="1" applyFill="1" applyBorder="1" applyAlignment="1" applyProtection="1">
      <alignment horizontal="center" vertical="center" wrapText="1"/>
    </xf>
    <xf numFmtId="166" fontId="2" fillId="0" borderId="9" xfId="5" applyFont="1" applyFill="1" applyBorder="1" applyAlignment="1" applyProtection="1">
      <alignment horizontal="right" vertical="center" wrapText="1"/>
    </xf>
    <xf numFmtId="166" fontId="2" fillId="2" borderId="18" xfId="5" applyFont="1" applyFill="1" applyBorder="1" applyAlignment="1" applyProtection="1">
      <alignment horizontal="right" vertical="center" wrapText="1"/>
    </xf>
    <xf numFmtId="174" fontId="28" fillId="2" borderId="18" xfId="1" applyNumberFormat="1" applyFont="1" applyFill="1" applyBorder="1" applyAlignment="1" applyProtection="1">
      <alignment horizontal="right" wrapText="1"/>
    </xf>
    <xf numFmtId="174" fontId="28" fillId="2" borderId="20" xfId="1" applyNumberFormat="1" applyFont="1" applyFill="1" applyBorder="1" applyAlignment="1" applyProtection="1">
      <alignment horizontal="right" wrapText="1"/>
    </xf>
    <xf numFmtId="0" fontId="17" fillId="4" borderId="5" xfId="0" applyFont="1" applyFill="1" applyBorder="1" applyAlignment="1" applyProtection="1">
      <alignment horizontal="centerContinuous" vertical="center"/>
    </xf>
    <xf numFmtId="0" fontId="17" fillId="4" borderId="6" xfId="0" applyFont="1" applyFill="1" applyBorder="1" applyAlignment="1" applyProtection="1">
      <alignment horizontal="centerContinuous" vertical="center"/>
    </xf>
    <xf numFmtId="0" fontId="29" fillId="0" borderId="25" xfId="0" applyFont="1" applyBorder="1" applyAlignment="1" applyProtection="1">
      <alignment horizontal="center" vertical="center"/>
    </xf>
    <xf numFmtId="0" fontId="27" fillId="0" borderId="0" xfId="0" applyFont="1" applyAlignment="1" applyProtection="1">
      <alignment horizontal="center" vertical="center"/>
    </xf>
    <xf numFmtId="0" fontId="21" fillId="0" borderId="27" xfId="0" applyFont="1" applyBorder="1" applyAlignment="1" applyProtection="1">
      <alignment horizontal="center" vertical="center"/>
    </xf>
    <xf numFmtId="0" fontId="11" fillId="0" borderId="9" xfId="0" applyFont="1" applyBorder="1" applyAlignment="1" applyProtection="1">
      <alignment horizontal="center" vertical="center"/>
    </xf>
    <xf numFmtId="0" fontId="22" fillId="0" borderId="7" xfId="0" applyFont="1" applyBorder="1" applyAlignment="1" applyProtection="1">
      <alignment horizontal="center" vertical="center"/>
    </xf>
    <xf numFmtId="0" fontId="2" fillId="0" borderId="18" xfId="0" applyFont="1" applyBorder="1" applyAlignment="1" applyProtection="1">
      <alignment vertical="center"/>
    </xf>
    <xf numFmtId="0" fontId="2" fillId="0" borderId="0" xfId="0" applyFont="1" applyAlignment="1" applyProtection="1">
      <alignment horizontal="center" vertical="center"/>
    </xf>
    <xf numFmtId="0" fontId="3" fillId="4" borderId="21" xfId="0" applyFont="1" applyFill="1" applyBorder="1" applyAlignment="1" applyProtection="1">
      <alignment horizontal="center" vertical="center" wrapText="1"/>
    </xf>
    <xf numFmtId="10" fontId="3" fillId="4" borderId="29" xfId="0" applyNumberFormat="1"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2" fillId="0" borderId="15" xfId="0" applyFont="1" applyBorder="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2" fillId="0" borderId="0" xfId="0" applyFont="1" applyBorder="1" applyAlignment="1" applyProtection="1">
      <alignment vertical="center"/>
    </xf>
    <xf numFmtId="3" fontId="3" fillId="0" borderId="16" xfId="3" applyNumberFormat="1" applyFont="1" applyBorder="1" applyAlignment="1">
      <alignment horizontal="center" vertical="center"/>
    </xf>
    <xf numFmtId="0" fontId="3" fillId="0" borderId="15" xfId="3" applyFont="1" applyBorder="1" applyAlignment="1">
      <alignment horizontal="center" vertical="center"/>
    </xf>
    <xf numFmtId="0" fontId="3" fillId="0" borderId="19" xfId="3" applyFont="1" applyBorder="1" applyAlignment="1">
      <alignment horizontal="center" vertical="center"/>
    </xf>
    <xf numFmtId="0" fontId="3" fillId="0" borderId="17" xfId="3" applyFont="1" applyBorder="1" applyAlignment="1">
      <alignment horizontal="center" vertical="center" wrapText="1"/>
    </xf>
    <xf numFmtId="0" fontId="3" fillId="0" borderId="0" xfId="3" applyFont="1" applyBorder="1" applyAlignment="1">
      <alignment horizontal="center" vertical="center" wrapText="1"/>
    </xf>
    <xf numFmtId="0" fontId="3" fillId="0" borderId="4" xfId="3" applyFont="1" applyBorder="1" applyAlignment="1">
      <alignment horizontal="center" vertical="center" wrapText="1"/>
    </xf>
    <xf numFmtId="3" fontId="3" fillId="0" borderId="15" xfId="3" applyNumberFormat="1" applyFont="1" applyBorder="1" applyAlignment="1">
      <alignment horizontal="center" vertical="center"/>
    </xf>
    <xf numFmtId="3" fontId="3" fillId="0" borderId="19" xfId="3" applyNumberFormat="1" applyFont="1" applyBorder="1" applyAlignment="1">
      <alignment horizontal="center" vertical="center"/>
    </xf>
    <xf numFmtId="0" fontId="3" fillId="3" borderId="17" xfId="3" applyFont="1" applyFill="1" applyBorder="1" applyAlignment="1">
      <alignment horizontal="center" vertical="center" wrapText="1"/>
    </xf>
    <xf numFmtId="0" fontId="3" fillId="3" borderId="0" xfId="3" applyFont="1" applyFill="1" applyBorder="1" applyAlignment="1">
      <alignment horizontal="center" vertical="center" wrapText="1"/>
    </xf>
    <xf numFmtId="0" fontId="3" fillId="3" borderId="4" xfId="3" applyFont="1" applyFill="1" applyBorder="1" applyAlignment="1">
      <alignment horizontal="center" vertical="center" wrapText="1"/>
    </xf>
    <xf numFmtId="0" fontId="3" fillId="0" borderId="17"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4" xfId="3" applyFont="1" applyFill="1" applyBorder="1" applyAlignment="1">
      <alignment horizontal="center" vertical="center" wrapText="1"/>
    </xf>
    <xf numFmtId="3" fontId="3" fillId="0" borderId="16" xfId="3" applyNumberFormat="1" applyFont="1" applyFill="1" applyBorder="1" applyAlignment="1">
      <alignment horizontal="center" vertical="center"/>
    </xf>
    <xf numFmtId="0" fontId="3" fillId="0" borderId="15" xfId="3" applyFont="1" applyFill="1" applyBorder="1" applyAlignment="1">
      <alignment horizontal="center" vertical="center"/>
    </xf>
    <xf numFmtId="0" fontId="3" fillId="0" borderId="19" xfId="3" applyFont="1" applyFill="1" applyBorder="1" applyAlignment="1">
      <alignment horizontal="center" vertical="center"/>
    </xf>
    <xf numFmtId="3" fontId="3" fillId="0" borderId="15" xfId="3" applyNumberFormat="1" applyFont="1" applyFill="1" applyBorder="1" applyAlignment="1">
      <alignment horizontal="center" vertical="center"/>
    </xf>
    <xf numFmtId="3" fontId="3" fillId="0" borderId="19" xfId="3" applyNumberFormat="1" applyFont="1" applyFill="1" applyBorder="1" applyAlignment="1">
      <alignment horizontal="center" vertical="center"/>
    </xf>
    <xf numFmtId="0" fontId="3" fillId="0" borderId="0" xfId="3" applyFont="1" applyAlignment="1">
      <alignment horizontal="center" vertical="center" wrapText="1"/>
    </xf>
    <xf numFmtId="0" fontId="3" fillId="0" borderId="0" xfId="3" applyFont="1" applyFill="1" applyAlignment="1">
      <alignment horizontal="center" vertical="center" wrapText="1"/>
    </xf>
    <xf numFmtId="3" fontId="3" fillId="0" borderId="16" xfId="3" applyNumberFormat="1" applyFont="1" applyBorder="1" applyAlignment="1">
      <alignment horizontal="center" vertical="center" wrapText="1"/>
    </xf>
    <xf numFmtId="0" fontId="3" fillId="0" borderId="15" xfId="3" applyFont="1" applyBorder="1" applyAlignment="1">
      <alignment horizontal="center" vertical="center" wrapText="1"/>
    </xf>
    <xf numFmtId="3" fontId="3" fillId="3" borderId="16" xfId="3" applyNumberFormat="1" applyFont="1" applyFill="1" applyBorder="1" applyAlignment="1">
      <alignment horizontal="center" vertical="center"/>
    </xf>
    <xf numFmtId="0" fontId="3" fillId="3" borderId="15" xfId="3" applyFont="1" applyFill="1" applyBorder="1" applyAlignment="1">
      <alignment horizontal="center" vertical="center"/>
    </xf>
    <xf numFmtId="0" fontId="3" fillId="3" borderId="19" xfId="3" applyFont="1" applyFill="1" applyBorder="1" applyAlignment="1">
      <alignment horizontal="center" vertical="center"/>
    </xf>
    <xf numFmtId="0" fontId="3" fillId="3" borderId="0" xfId="3" applyFont="1" applyFill="1" applyAlignment="1">
      <alignment horizontal="center" vertical="center" wrapText="1"/>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10" fillId="4" borderId="0" xfId="0" applyFont="1" applyFill="1" applyAlignment="1">
      <alignment horizontal="center" vertical="center"/>
    </xf>
    <xf numFmtId="0" fontId="13" fillId="4" borderId="0" xfId="0" applyFont="1" applyFill="1" applyAlignment="1">
      <alignment horizontal="center" vertical="center" wrapText="1"/>
    </xf>
    <xf numFmtId="0" fontId="15" fillId="0" borderId="0" xfId="0" applyFont="1" applyAlignment="1">
      <alignment horizontal="center" vertical="center" wrapText="1"/>
    </xf>
    <xf numFmtId="0" fontId="11" fillId="0" borderId="24"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6" fillId="0" borderId="0" xfId="0" applyFont="1" applyAlignment="1" applyProtection="1">
      <alignment horizontal="left"/>
    </xf>
  </cellXfs>
  <cellStyles count="29208">
    <cellStyle name="Cancel" xfId="28"/>
    <cellStyle name="Hiperlink" xfId="6" builtinId="8"/>
    <cellStyle name="Hiperlink 2" xfId="11"/>
    <cellStyle name="Moeda" xfId="7" builtinId="4"/>
    <cellStyle name="Moeda 10" xfId="29205"/>
    <cellStyle name="Moeda 11" xfId="4194"/>
    <cellStyle name="Moeda 2" xfId="5"/>
    <cellStyle name="Moeda 2 2" xfId="8"/>
    <cellStyle name="Moeda 2 2 2" xfId="29206"/>
    <cellStyle name="Moeda 2 2 4 3 3 2" xfId="7987"/>
    <cellStyle name="Moeda 2 2 4 3 3 2 2" xfId="14376"/>
    <cellStyle name="Moeda 2 2 4 3 3 3" xfId="6286"/>
    <cellStyle name="Moeda 2 2 4 3 3 4" xfId="12675"/>
    <cellStyle name="Moeda 2 2 4 3 4" xfId="6070"/>
    <cellStyle name="Moeda 2 2 4 3 4 2" xfId="7770"/>
    <cellStyle name="Moeda 2 2 4 3 4 2 2" xfId="14159"/>
    <cellStyle name="Moeda 2 2 4 3 4 3" xfId="12458"/>
    <cellStyle name="Moeda 2 2 4 3 5" xfId="6395"/>
    <cellStyle name="Moeda 2 2 4 3 5 2" xfId="12784"/>
    <cellStyle name="Moeda 2 2 4 3 6" xfId="4692"/>
    <cellStyle name="Moeda 2 2 4 3 7" xfId="11083"/>
    <cellStyle name="Moeda 2 2 4 4" xfId="4301"/>
    <cellStyle name="Moeda 2 2 4 4 2" xfId="7702"/>
    <cellStyle name="Moeda 2 2 4 4 2 2" xfId="14091"/>
    <cellStyle name="Moeda 2 2 4 4 3" xfId="6002"/>
    <cellStyle name="Moeda 2 2 4 4 4" xfId="12390"/>
    <cellStyle name="Moeda 2 2 4 5" xfId="4409"/>
    <cellStyle name="Moeda 2 2 4 5 2" xfId="7811"/>
    <cellStyle name="Moeda 2 2 4 5 2 2" xfId="14200"/>
    <cellStyle name="Moeda 2 2 4 5 3" xfId="6111"/>
    <cellStyle name="Moeda 2 2 4 5 4" xfId="12499"/>
    <cellStyle name="Moeda 2 2 4 6" xfId="4517"/>
    <cellStyle name="Moeda 2 2 4 6 2" xfId="7919"/>
    <cellStyle name="Moeda 2 2 4 6 2 2" xfId="14308"/>
    <cellStyle name="Moeda 2 2 4 6 3" xfId="6218"/>
    <cellStyle name="Moeda 2 2 4 6 4" xfId="12607"/>
    <cellStyle name="Moeda 2 2 4 7" xfId="5925"/>
    <cellStyle name="Moeda 2 2 4 7 2" xfId="7625"/>
    <cellStyle name="Moeda 2 2 4 7 2 2" xfId="14014"/>
    <cellStyle name="Moeda 2 2 4 7 3" xfId="12313"/>
    <cellStyle name="Moeda 2 2 4 8" xfId="6327"/>
    <cellStyle name="Moeda 2 2 4 8 2" xfId="12716"/>
    <cellStyle name="Moeda 2 2 4 9" xfId="8019"/>
    <cellStyle name="Moeda 2 2 4 9 2" xfId="14408"/>
    <cellStyle name="Moeda 2 2 5" xfId="4209"/>
    <cellStyle name="Moeda 2 2 5 2" xfId="4285"/>
    <cellStyle name="Moeda 2 2 5 2 2" xfId="7686"/>
    <cellStyle name="Moeda 2 2 5 2 2 2" xfId="14075"/>
    <cellStyle name="Moeda 2 2 5 2 3" xfId="5986"/>
    <cellStyle name="Moeda 2 2 5 2 4" xfId="12374"/>
    <cellStyle name="Moeda 2 2 5 3" xfId="4393"/>
    <cellStyle name="Moeda 2 2 5 3 2" xfId="7795"/>
    <cellStyle name="Moeda 2 2 5 3 2 2" xfId="14184"/>
    <cellStyle name="Moeda 2 2 5 3 3" xfId="6095"/>
    <cellStyle name="Moeda 2 2 5 3 4" xfId="12483"/>
    <cellStyle name="Moeda 2 2 5 4" xfId="4501"/>
    <cellStyle name="Moeda 2 2 5 4 2" xfId="7903"/>
    <cellStyle name="Moeda 2 2 5 4 2 2" xfId="14292"/>
    <cellStyle name="Moeda 2 2 5 4 3" xfId="6202"/>
    <cellStyle name="Moeda 2 2 5 4 4" xfId="12591"/>
    <cellStyle name="Moeda 2 2 5 5" xfId="5910"/>
    <cellStyle name="Moeda 2 2 5 5 2" xfId="7609"/>
    <cellStyle name="Moeda 2 2 5 5 2 2" xfId="13998"/>
    <cellStyle name="Moeda 2 2 5 5 3" xfId="12297"/>
    <cellStyle name="Moeda 2 2 5 6" xfId="6311"/>
    <cellStyle name="Moeda 2 2 5 6 2" xfId="12700"/>
    <cellStyle name="Moeda 2 2 5 7" xfId="4609"/>
    <cellStyle name="Moeda 2 2 5 8" xfId="11000"/>
    <cellStyle name="Moeda 2 2 6" xfId="4244"/>
    <cellStyle name="Moeda 2 2 6 2" xfId="4321"/>
    <cellStyle name="Moeda 2 2 6 2 2" xfId="7722"/>
    <cellStyle name="Moeda 2 2 6 2 2 2" xfId="14111"/>
    <cellStyle name="Moeda 2 2 6 2 3" xfId="6022"/>
    <cellStyle name="Moeda 2 2 6 2 4" xfId="12410"/>
    <cellStyle name="Moeda 2 2 6 3" xfId="4429"/>
    <cellStyle name="Moeda 2 2 6 3 2" xfId="7831"/>
    <cellStyle name="Moeda 2 2 6 3 2 2" xfId="14220"/>
    <cellStyle name="Moeda 2 2 6 3 3" xfId="6131"/>
    <cellStyle name="Moeda 2 2 6 3 4" xfId="12519"/>
    <cellStyle name="Moeda 2 2 6 4" xfId="4537"/>
    <cellStyle name="Moeda 2 2 6 4 2" xfId="7939"/>
    <cellStyle name="Moeda 2 2 6 4 2 2" xfId="14328"/>
    <cellStyle name="Moeda 2 2 6 4 3" xfId="6238"/>
    <cellStyle name="Moeda 2 2 6 4 4" xfId="12627"/>
    <cellStyle name="Moeda 2 2 6 5" xfId="5945"/>
    <cellStyle name="Moeda 2 2 6 5 2" xfId="7645"/>
    <cellStyle name="Moeda 2 2 6 5 2 2" xfId="14034"/>
    <cellStyle name="Moeda 2 2 6 5 3" xfId="12333"/>
    <cellStyle name="Moeda 2 2 6 6" xfId="6347"/>
    <cellStyle name="Moeda 2 2 6 6 2" xfId="12736"/>
    <cellStyle name="Moeda 2 2 6 7" xfId="4644"/>
    <cellStyle name="Moeda 2 2 6 8" xfId="11035"/>
    <cellStyle name="Moeda 2 2 7" xfId="4353"/>
    <cellStyle name="Moeda 2 2 7 2" xfId="4461"/>
    <cellStyle name="Moeda 2 2 7 2 2" xfId="7863"/>
    <cellStyle name="Moeda 2 2 7 2 2 2" xfId="14252"/>
    <cellStyle name="Moeda 2 2 7 2 3" xfId="6162"/>
    <cellStyle name="Moeda 2 2 7 2 4" xfId="12551"/>
    <cellStyle name="Moeda 2 2 7 3" xfId="4569"/>
    <cellStyle name="Moeda 2 2 7 3 2" xfId="7971"/>
    <cellStyle name="Moeda 2 2 7 3 2 2" xfId="14360"/>
    <cellStyle name="Moeda 2 2 7 3 3" xfId="6270"/>
    <cellStyle name="Moeda 2 2 7 3 4" xfId="12659"/>
    <cellStyle name="Moeda 2 2 7 4" xfId="6054"/>
    <cellStyle name="Moeda 2 2 7 4 2" xfId="7754"/>
    <cellStyle name="Moeda 2 2 7 4 2 2" xfId="14143"/>
    <cellStyle name="Moeda 2 2 7 4 3" xfId="12442"/>
    <cellStyle name="Moeda 2 2 7 5" xfId="6379"/>
    <cellStyle name="Moeda 2 2 7 5 2" xfId="12768"/>
    <cellStyle name="Moeda 2 2 7 6" xfId="4676"/>
    <cellStyle name="Moeda 2 2 7 7" xfId="11067"/>
    <cellStyle name="Moeda 2 2 8" xfId="4765"/>
    <cellStyle name="Moeda 2 2 8 2" xfId="6466"/>
    <cellStyle name="Moeda 2 2 8 2 2" xfId="12855"/>
    <cellStyle name="Moeda 2 2 8 3" xfId="11154"/>
    <cellStyle name="Moeda 2 2 9" xfId="8003"/>
    <cellStyle name="Moeda 2 2 9 2" xfId="14392"/>
    <cellStyle name="Moeda 2 3" xfId="302"/>
    <cellStyle name="Moeda 2 3 10" xfId="4599"/>
    <cellStyle name="Moeda 2 3 11" xfId="10990"/>
    <cellStyle name="Moeda 2 3 2" xfId="1999"/>
    <cellStyle name="Moeda 2 3 2 2" xfId="4239"/>
    <cellStyle name="Moeda 2 3 2 2 2" xfId="7640"/>
    <cellStyle name="Moeda 2 3 2 2 2 2" xfId="14029"/>
    <cellStyle name="Moeda 2 3 2 2 3" xfId="5940"/>
    <cellStyle name="Moeda 2 3 2 2 4" xfId="12328"/>
    <cellStyle name="Moeda 2 3 2 3" xfId="4316"/>
    <cellStyle name="Moeda 2 3 2 3 2" xfId="7717"/>
    <cellStyle name="Moeda 2 3 2 3 2 2" xfId="14106"/>
    <cellStyle name="Moeda 2 3 2 3 3" xfId="6017"/>
    <cellStyle name="Moeda 2 3 2 3 4" xfId="12405"/>
    <cellStyle name="Moeda 2 3 2 4" xfId="4424"/>
    <cellStyle name="Moeda 2 3 2 4 2" xfId="7826"/>
    <cellStyle name="Moeda 2 3 2 4 2 2" xfId="14215"/>
    <cellStyle name="Moeda 2 3 2 4 3" xfId="6126"/>
    <cellStyle name="Moeda 2 3 2 4 4" xfId="12514"/>
    <cellStyle name="Moeda 2 3 2 5" xfId="4532"/>
    <cellStyle name="Moeda 2 3 2 5 2" xfId="7934"/>
    <cellStyle name="Moeda 2 3 2 5 2 2" xfId="14323"/>
    <cellStyle name="Moeda 2 3 2 5 3" xfId="6233"/>
    <cellStyle name="Moeda 2 3 2 5 4" xfId="12622"/>
    <cellStyle name="Moeda 2 3 2 6" xfId="5286"/>
    <cellStyle name="Moeda 2 3 2 6 2" xfId="6985"/>
    <cellStyle name="Moeda 2 3 2 6 2 2" xfId="13374"/>
    <cellStyle name="Moeda 2 3 2 6 3" xfId="11673"/>
    <cellStyle name="Moeda 2 3 2 7" xfId="6342"/>
    <cellStyle name="Moeda 2 3 2 7 2" xfId="12731"/>
    <cellStyle name="Moeda 2 3 2 8" xfId="4639"/>
    <cellStyle name="Moeda 2 3 2 9" xfId="11030"/>
    <cellStyle name="Moeda 2 3 3" xfId="4203"/>
    <cellStyle name="Moeda 2 3 3 2" xfId="4279"/>
    <cellStyle name="Moeda 2 3 3 2 2" xfId="7680"/>
    <cellStyle name="Moeda 2 3 3 2 2 2" xfId="14069"/>
    <cellStyle name="Moeda 2 3 3 2 3" xfId="5980"/>
    <cellStyle name="Moeda 2 3 3 2 4" xfId="12368"/>
    <cellStyle name="Moeda 2 3 3 3" xfId="4387"/>
    <cellStyle name="Moeda 2 3 3 3 2" xfId="7789"/>
    <cellStyle name="Moeda 2 3 3 3 2 2" xfId="14178"/>
    <cellStyle name="Moeda 2 3 3 3 3" xfId="6089"/>
    <cellStyle name="Moeda 2 3 3 3 4" xfId="12477"/>
    <cellStyle name="Moeda 2 3 3 4" xfId="4495"/>
    <cellStyle name="Moeda 2 3 3 4 2" xfId="7897"/>
    <cellStyle name="Moeda 2 3 3 4 2 2" xfId="14286"/>
    <cellStyle name="Moeda 2 3 3 4 3" xfId="6196"/>
    <cellStyle name="Moeda 2 3 3 4 4" xfId="12585"/>
    <cellStyle name="Moeda 2 3 3 5" xfId="5904"/>
    <cellStyle name="Moeda 2 3 3 5 2" xfId="7603"/>
    <cellStyle name="Moeda 2 3 3 5 2 2" xfId="13992"/>
    <cellStyle name="Moeda 2 3 3 5 3" xfId="12291"/>
    <cellStyle name="Moeda 2 3 3 6" xfId="6305"/>
    <cellStyle name="Moeda 2 3 3 6 2" xfId="12694"/>
    <cellStyle name="Moeda 2 3 3 7" xfId="4603"/>
    <cellStyle name="Moeda 2 3 3 8" xfId="10994"/>
    <cellStyle name="Moeda 2 3 4" xfId="4197"/>
    <cellStyle name="Moeda 2 3 4 2" xfId="7599"/>
    <cellStyle name="Moeda 2 3 4 2 2" xfId="13988"/>
    <cellStyle name="Moeda 2 3 4 3" xfId="5900"/>
    <cellStyle name="Moeda 2 3 4 4" xfId="12287"/>
    <cellStyle name="Moeda 2 3 5" xfId="4275"/>
    <cellStyle name="Moeda 2 3 5 2" xfId="7676"/>
    <cellStyle name="Moeda 2 3 5 2 2" xfId="14065"/>
    <cellStyle name="Moeda 2 3 5 3" xfId="5976"/>
    <cellStyle name="Moeda 2 3 5 4" xfId="12364"/>
    <cellStyle name="Moeda 2 3 6" xfId="4383"/>
    <cellStyle name="Moeda 2 3 6 2" xfId="7785"/>
    <cellStyle name="Moeda 2 3 6 2 2" xfId="14174"/>
    <cellStyle name="Moeda 2 3 6 3" xfId="6085"/>
    <cellStyle name="Moeda 2 3 6 4" xfId="12473"/>
    <cellStyle name="Moeda 2 3 7" xfId="4491"/>
    <cellStyle name="Moeda 2 3 7 2" xfId="7893"/>
    <cellStyle name="Moeda 2 3 7 2 2" xfId="14282"/>
    <cellStyle name="Moeda 2 3 7 3" xfId="6192"/>
    <cellStyle name="Moeda 2 3 7 4" xfId="12581"/>
    <cellStyle name="Moeda 2 3 8" xfId="4796"/>
    <cellStyle name="Moeda 2 3 8 2" xfId="6497"/>
    <cellStyle name="Moeda 2 3 8 2 2" xfId="12886"/>
    <cellStyle name="Moeda 2 3 8 3" xfId="11185"/>
    <cellStyle name="Moeda 2 3 9" xfId="6301"/>
    <cellStyle name="Moeda 2 3 9 2" xfId="12690"/>
    <cellStyle name="Moeda 2 4" xfId="650"/>
    <cellStyle name="Moeda 2 4 2" xfId="8264"/>
    <cellStyle name="Moeda 2 4 2 2" xfId="26478"/>
    <cellStyle name="Moeda 2 4 2 3" xfId="20564"/>
    <cellStyle name="Moeda 2 4 3" xfId="23521"/>
    <cellStyle name="Moeda 2 4 4" xfId="17607"/>
    <cellStyle name="Moeda 2 5" xfId="29204"/>
    <cellStyle name="Moeda 3" xfId="9"/>
    <cellStyle name="Moeda 3 10" xfId="4276"/>
    <cellStyle name="Moeda 3 10 2" xfId="7677"/>
    <cellStyle name="Moeda 3 10 2 2" xfId="14066"/>
    <cellStyle name="Moeda 3 10 3" xfId="5977"/>
    <cellStyle name="Moeda 3 10 4" xfId="12365"/>
    <cellStyle name="Moeda 3 11" xfId="4384"/>
    <cellStyle name="Moeda 3 11 2" xfId="7786"/>
    <cellStyle name="Moeda 3 11 2 2" xfId="14175"/>
    <cellStyle name="Moeda 3 11 3" xfId="6086"/>
    <cellStyle name="Moeda 3 11 4" xfId="12474"/>
    <cellStyle name="Moeda 3 12" xfId="4492"/>
    <cellStyle name="Moeda 3 12 2" xfId="7894"/>
    <cellStyle name="Moeda 3 12 2 2" xfId="14283"/>
    <cellStyle name="Moeda 3 12 3" xfId="6193"/>
    <cellStyle name="Moeda 3 12 4" xfId="12582"/>
    <cellStyle name="Moeda 3 13" xfId="4736"/>
    <cellStyle name="Moeda 3 13 2" xfId="6437"/>
    <cellStyle name="Moeda 3 13 2 2" xfId="12826"/>
    <cellStyle name="Moeda 3 13 3" xfId="11125"/>
    <cellStyle name="Moeda 3 14" xfId="6302"/>
    <cellStyle name="Moeda 3 14 2" xfId="12691"/>
    <cellStyle name="Moeda 3 15" xfId="8004"/>
    <cellStyle name="Moeda 3 15 2" xfId="14393"/>
    <cellStyle name="Moeda 3 16" xfId="4600"/>
    <cellStyle name="Moeda 3 17" xfId="10991"/>
    <cellStyle name="Moeda 3 18" xfId="29207"/>
    <cellStyle name="Moeda 3 19" xfId="115"/>
    <cellStyle name="Moeda 3 2" xfId="208"/>
    <cellStyle name="Moeda 3 2 10" xfId="8009"/>
    <cellStyle name="Moeda 3 2 10 2" xfId="14398"/>
    <cellStyle name="Moeda 3 2 11" xfId="4615"/>
    <cellStyle name="Moeda 3 2 12" xfId="11006"/>
    <cellStyle name="Moeda 3 2 2" xfId="2001"/>
    <cellStyle name="Moeda 3 2 2 10" xfId="4630"/>
    <cellStyle name="Moeda 3 2 2 11" xfId="11021"/>
    <cellStyle name="Moeda 3 2 2 2" xfId="4265"/>
    <cellStyle name="Moeda 3 2 2 2 2" xfId="4342"/>
    <cellStyle name="Moeda 3 2 2 2 2 2" xfId="7743"/>
    <cellStyle name="Moeda 3 2 2 2 2 2 2" xfId="14132"/>
    <cellStyle name="Moeda 3 2 2 2 2 3" xfId="6043"/>
    <cellStyle name="Moeda 3 2 2 2 2 4" xfId="12431"/>
    <cellStyle name="Moeda 3 2 2 2 3" xfId="4450"/>
    <cellStyle name="Moeda 3 2 2 2 3 2" xfId="7852"/>
    <cellStyle name="Moeda 3 2 2 2 3 2 2" xfId="14241"/>
    <cellStyle name="Moeda 3 2 2 2 3 3" xfId="6152"/>
    <cellStyle name="Moeda 3 2 2 2 3 4" xfId="12540"/>
    <cellStyle name="Moeda 3 2 2 2 4" xfId="4558"/>
    <cellStyle name="Moeda 3 2 2 2 4 2" xfId="7960"/>
    <cellStyle name="Moeda 3 2 2 2 4 2 2" xfId="14349"/>
    <cellStyle name="Moeda 3 2 2 2 4 3" xfId="6259"/>
    <cellStyle name="Moeda 3 2 2 2 4 4" xfId="12648"/>
    <cellStyle name="Moeda 3 2 2 2 5" xfId="5966"/>
    <cellStyle name="Moeda 3 2 2 2 5 2" xfId="7666"/>
    <cellStyle name="Moeda 3 2 2 2 5 2 2" xfId="14055"/>
    <cellStyle name="Moeda 3 2 2 2 5 3" xfId="12354"/>
    <cellStyle name="Moeda 3 2 2 2 6" xfId="6368"/>
    <cellStyle name="Moeda 3 2 2 2 6 2" xfId="12757"/>
    <cellStyle name="Moeda 3 2 2 2 7" xfId="4665"/>
    <cellStyle name="Moeda 3 2 2 2 8" xfId="11056"/>
    <cellStyle name="Moeda 3 2 2 3" xfId="4230"/>
    <cellStyle name="Moeda 3 2 2 3 2" xfId="4374"/>
    <cellStyle name="Moeda 3 2 2 3 2 2" xfId="7776"/>
    <cellStyle name="Moeda 3 2 2 3 2 2 2" xfId="14165"/>
    <cellStyle name="Moeda 3 2 2 3 2 3" xfId="6076"/>
    <cellStyle name="Moeda 3 2 2 3 2 4" xfId="12464"/>
    <cellStyle name="Moeda 3 2 2 3 3" xfId="4482"/>
    <cellStyle name="Moeda 3 2 2 3 3 2" xfId="7884"/>
    <cellStyle name="Moeda 3 2 2 3 3 2 2" xfId="14273"/>
    <cellStyle name="Moeda 3 2 2 3 3 3" xfId="6183"/>
    <cellStyle name="Moeda 3 2 2 3 3 4" xfId="12572"/>
    <cellStyle name="Moeda 3 2 2 3 4" xfId="4590"/>
    <cellStyle name="Moeda 3 2 2 3 4 2" xfId="7993"/>
    <cellStyle name="Moeda 3 2 2 3 4 2 2" xfId="14382"/>
    <cellStyle name="Moeda 3 2 2 3 4 3" xfId="6292"/>
    <cellStyle name="Moeda 3 2 2 3 4 4" xfId="12681"/>
    <cellStyle name="Moeda 3 2 2 3 5" xfId="5931"/>
    <cellStyle name="Moeda 3 2 2 3 5 2" xfId="7631"/>
    <cellStyle name="Moeda 3 2 2 3 5 2 2" xfId="14020"/>
    <cellStyle name="Moeda 3 2 2 3 5 3" xfId="12319"/>
    <cellStyle name="Moeda 3 2 2 3 6" xfId="6401"/>
    <cellStyle name="Moeda 3 2 2 3 6 2" xfId="12790"/>
    <cellStyle name="Moeda 3 2 2 3 7" xfId="4698"/>
    <cellStyle name="Moeda 3 2 2 3 8" xfId="11089"/>
    <cellStyle name="Moeda 3 2 2 4" xfId="4307"/>
    <cellStyle name="Moeda 3 2 2 4 2" xfId="7708"/>
    <cellStyle name="Moeda 3 2 2 4 2 2" xfId="14097"/>
    <cellStyle name="Moeda 3 2 2 4 3" xfId="6008"/>
    <cellStyle name="Moeda 3 2 2 4 4" xfId="12396"/>
    <cellStyle name="Moeda 3 2 2 5" xfId="4415"/>
    <cellStyle name="Moeda 3 2 2 5 2" xfId="7817"/>
    <cellStyle name="Moeda 3 2 2 5 2 2" xfId="14206"/>
    <cellStyle name="Moeda 3 2 2 5 3" xfId="6117"/>
    <cellStyle name="Moeda 3 2 2 5 4" xfId="12505"/>
    <cellStyle name="Moeda 3 2 2 6" xfId="4523"/>
    <cellStyle name="Moeda 3 2 2 6 2" xfId="7925"/>
    <cellStyle name="Moeda 3 2 2 6 2 2" xfId="14314"/>
    <cellStyle name="Moeda 3 2 2 6 3" xfId="6224"/>
    <cellStyle name="Moeda 3 2 2 6 4" xfId="12613"/>
    <cellStyle name="Moeda 3 2 2 7" xfId="5288"/>
    <cellStyle name="Moeda 3 2 2 7 2" xfId="6987"/>
    <cellStyle name="Moeda 3 2 2 7 2 2" xfId="13376"/>
    <cellStyle name="Moeda 3 2 2 7 3" xfId="11675"/>
    <cellStyle name="Moeda 3 2 2 8" xfId="6333"/>
    <cellStyle name="Moeda 3 2 2 8 2" xfId="12722"/>
    <cellStyle name="Moeda 3 2 2 9" xfId="8025"/>
    <cellStyle name="Moeda 3 2 2 9 2" xfId="14414"/>
    <cellStyle name="Moeda 3 2 3" xfId="4250"/>
    <cellStyle name="Moeda 3 2 3 2" xfId="4327"/>
    <cellStyle name="Moeda 3 2 3 2 2" xfId="7728"/>
    <cellStyle name="Moeda 3 2 3 2 2 2" xfId="14117"/>
    <cellStyle name="Moeda 3 2 3 2 3" xfId="6028"/>
    <cellStyle name="Moeda 3 2 3 2 4" xfId="12416"/>
    <cellStyle name="Moeda 3 2 3 3" xfId="4435"/>
    <cellStyle name="Moeda 3 2 3 3 2" xfId="7837"/>
    <cellStyle name="Moeda 3 2 3 3 2 2" xfId="14226"/>
    <cellStyle name="Moeda 3 2 3 3 3" xfId="6137"/>
    <cellStyle name="Moeda 3 2 3 3 4" xfId="12525"/>
    <cellStyle name="Moeda 3 2 3 4" xfId="4543"/>
    <cellStyle name="Moeda 3 2 3 4 2" xfId="7945"/>
    <cellStyle name="Moeda 3 2 3 4 2 2" xfId="14334"/>
    <cellStyle name="Moeda 3 2 3 4 3" xfId="6244"/>
    <cellStyle name="Moeda 3 2 3 4 4" xfId="12633"/>
    <cellStyle name="Moeda 3 2 3 5" xfId="5951"/>
    <cellStyle name="Moeda 3 2 3 5 2" xfId="7651"/>
    <cellStyle name="Moeda 3 2 3 5 2 2" xfId="14040"/>
    <cellStyle name="Moeda 3 2 3 5 3" xfId="12339"/>
    <cellStyle name="Moeda 3 2 3 6" xfId="6353"/>
    <cellStyle name="Moeda 3 2 3 6 2" xfId="12742"/>
    <cellStyle name="Moeda 3 2 3 7" xfId="4650"/>
    <cellStyle name="Moeda 3 2 3 8" xfId="11041"/>
    <cellStyle name="Moeda 3 2 4" xfId="4215"/>
    <cellStyle name="Moeda 3 2 4 2" xfId="4359"/>
    <cellStyle name="Moeda 3 2 4 2 2" xfId="7760"/>
    <cellStyle name="Moeda 3 2 4 2 2 2" xfId="14149"/>
    <cellStyle name="Moeda 3 2 4 2 3" xfId="6060"/>
    <cellStyle name="Moeda 3 2 4 2 4" xfId="12448"/>
    <cellStyle name="Moeda 3 2 4 3" xfId="4467"/>
    <cellStyle name="Moeda 3 2 4 3 2" xfId="7869"/>
    <cellStyle name="Moeda 3 2 4 3 2 2" xfId="14258"/>
    <cellStyle name="Moeda 3 2 4 3 3" xfId="6168"/>
    <cellStyle name="Moeda 3 2 4 3 4" xfId="12557"/>
    <cellStyle name="Moeda 3 2 4 4" xfId="4575"/>
    <cellStyle name="Moeda 3 2 4 4 2" xfId="7977"/>
    <cellStyle name="Moeda 3 2 4 4 2 2" xfId="14366"/>
    <cellStyle name="Moeda 3 2 4 4 3" xfId="6276"/>
    <cellStyle name="Moeda 3 2 4 4 4" xfId="12665"/>
    <cellStyle name="Moeda 3 2 4 5" xfId="5915"/>
    <cellStyle name="Moeda 3 2 4 5 2" xfId="7615"/>
    <cellStyle name="Moeda 3 2 4 5 2 2" xfId="14004"/>
    <cellStyle name="Moeda 3 2 4 5 3" xfId="12303"/>
    <cellStyle name="Moeda 3 2 4 6" xfId="6385"/>
    <cellStyle name="Moeda 3 2 4 6 2" xfId="12774"/>
    <cellStyle name="Moeda 3 2 4 7" xfId="4682"/>
    <cellStyle name="Moeda 3 2 4 8" xfId="11073"/>
    <cellStyle name="Moeda 3 2 5" xfId="4291"/>
    <cellStyle name="Moeda 3 2 5 2" xfId="7692"/>
    <cellStyle name="Moeda 3 2 5 2 2" xfId="14081"/>
    <cellStyle name="Moeda 3 2 5 3" xfId="5992"/>
    <cellStyle name="Moeda 3 2 5 4" xfId="12380"/>
    <cellStyle name="Moeda 3 2 6" xfId="4399"/>
    <cellStyle name="Moeda 3 2 6 2" xfId="7801"/>
    <cellStyle name="Moeda 3 2 6 2 2" xfId="14190"/>
    <cellStyle name="Moeda 3 2 6 3" xfId="6101"/>
    <cellStyle name="Moeda 3 2 6 4" xfId="12489"/>
    <cellStyle name="Moeda 3 2 7" xfId="4507"/>
    <cellStyle name="Moeda 3 2 7 2" xfId="7909"/>
    <cellStyle name="Moeda 3 2 7 2 2" xfId="14298"/>
    <cellStyle name="Moeda 3 2 7 3" xfId="6208"/>
    <cellStyle name="Moeda 3 2 7 4" xfId="12597"/>
    <cellStyle name="Moeda 3 2 8" xfId="4767"/>
    <cellStyle name="Moeda 3 2 8 2" xfId="6468"/>
    <cellStyle name="Moeda 3 2 8 2 2" xfId="12857"/>
    <cellStyle name="Moeda 3 2 8 3" xfId="11156"/>
    <cellStyle name="Moeda 3 2 9" xfId="6317"/>
    <cellStyle name="Moeda 3 2 9 2" xfId="12706"/>
    <cellStyle name="Moeda 3 3" xfId="304"/>
    <cellStyle name="Moeda 3 3 10" xfId="8014"/>
    <cellStyle name="Moeda 3 3 10 2" xfId="14403"/>
    <cellStyle name="Moeda 3 3 11" xfId="4620"/>
    <cellStyle name="Moeda 3 3 12" xfId="11011"/>
    <cellStyle name="Moeda 3 3 2" xfId="4235"/>
    <cellStyle name="Moeda 3 3 2 10" xfId="4635"/>
    <cellStyle name="Moeda 3 3 2 11" xfId="11026"/>
    <cellStyle name="Moeda 3 3 2 2" xfId="4270"/>
    <cellStyle name="Moeda 3 3 2 2 2" xfId="4347"/>
    <cellStyle name="Moeda 3 3 2 2 2 2" xfId="7748"/>
    <cellStyle name="Moeda 3 3 2 2 2 2 2" xfId="14137"/>
    <cellStyle name="Moeda 3 3 2 2 2 3" xfId="6048"/>
    <cellStyle name="Moeda 3 3 2 2 2 4" xfId="12436"/>
    <cellStyle name="Moeda 3 3 2 2 3" xfId="4455"/>
    <cellStyle name="Moeda 3 3 2 2 3 2" xfId="7857"/>
    <cellStyle name="Moeda 3 3 2 2 3 2 2" xfId="14246"/>
    <cellStyle name="Moeda 3 3 2 2 3 4" xfId="12545"/>
    <cellStyle name="Moeda 3 3 2 2 4" xfId="4563"/>
    <cellStyle name="Moeda 3 3 2 2 4 2" xfId="7965"/>
    <cellStyle name="Moeda 3 3 2 2 4 2 2" xfId="14354"/>
    <cellStyle name="Moeda 3 3 2 2 4 3" xfId="6264"/>
    <cellStyle name="Moeda 3 3 2 2 4 4" xfId="12653"/>
    <cellStyle name="Moeda 3 3 2 2 5" xfId="5971"/>
    <cellStyle name="Moeda 3 3 2 2 5 2" xfId="7671"/>
    <cellStyle name="Moeda 3 3 2 2 5 2 2" xfId="14060"/>
    <cellStyle name="Moeda 3 3 2 2 5 3" xfId="12359"/>
    <cellStyle name="Moeda 3 3 2 2 6" xfId="6373"/>
    <cellStyle name="Moeda 3 3 2 2 6 2" xfId="12762"/>
    <cellStyle name="Moeda 3 3 2 2 7" xfId="4670"/>
    <cellStyle name="Moeda 3 3 2 2 8" xfId="11061"/>
    <cellStyle name="Moeda 3 3 2 3" xfId="4379"/>
    <cellStyle name="Moeda 3 3 2 3 2" xfId="4487"/>
    <cellStyle name="Moeda 3 3 2 3 2 2" xfId="7889"/>
    <cellStyle name="Moeda 3 3 2 3 2 2 2" xfId="14278"/>
    <cellStyle name="Moeda 3 3 2 3 2 3" xfId="6188"/>
    <cellStyle name="Moeda 3 3 2 3 2 4" xfId="12577"/>
    <cellStyle name="Moeda 3 3 2 3 3" xfId="4595"/>
    <cellStyle name="Moeda 3 3 2 3 3 2" xfId="7998"/>
    <cellStyle name="Moeda 3 3 2 3 3 2 2" xfId="14387"/>
    <cellStyle name="Moeda 3 3 2 3 3 3" xfId="6297"/>
    <cellStyle name="Moeda 3 3 2 3 3 4" xfId="12686"/>
    <cellStyle name="Moeda 3 3 2 3 4" xfId="6081"/>
    <cellStyle name="Moeda 3 3 2 3 4 2" xfId="7781"/>
    <cellStyle name="Moeda 3 3 2 3 4 2 2" xfId="14170"/>
    <cellStyle name="Moeda 3 3 2 3 4 3" xfId="12469"/>
    <cellStyle name="Moeda 3 3 2 3 5" xfId="6406"/>
    <cellStyle name="Moeda 3 3 2 3 5 2" xfId="12795"/>
    <cellStyle name="Moeda 3 3 2 3 6" xfId="4703"/>
    <cellStyle name="Moeda 3 3 2 3 7" xfId="11094"/>
    <cellStyle name="Moeda 3 3 2 4" xfId="4312"/>
    <cellStyle name="Moeda 3 3 2 4 2" xfId="7713"/>
    <cellStyle name="Moeda 3 3 2 4 2 2" xfId="14102"/>
    <cellStyle name="Moeda 3 3 2 4 3" xfId="6013"/>
    <cellStyle name="Moeda 3 3 2 4 4" xfId="12401"/>
    <cellStyle name="Moeda 3 3 2 5" xfId="4420"/>
    <cellStyle name="Moeda 3 3 2 5 2" xfId="7822"/>
    <cellStyle name="Moeda 3 3 2 5 2 2" xfId="14211"/>
    <cellStyle name="Moeda 3 3 2 5 3" xfId="6122"/>
    <cellStyle name="Moeda 3 3 2 5 4" xfId="12510"/>
    <cellStyle name="Moeda 3 3 2 6" xfId="4528"/>
    <cellStyle name="Moeda 3 3 2 6 2" xfId="7930"/>
    <cellStyle name="Moeda 3 3 2 6 2 2" xfId="14319"/>
    <cellStyle name="Moeda 3 3 2 6 3" xfId="6229"/>
    <cellStyle name="Moeda 3 3 2 6 4" xfId="12618"/>
    <cellStyle name="Moeda 3 3 2 7" xfId="5936"/>
    <cellStyle name="Moeda 3 3 2 7 2" xfId="7636"/>
    <cellStyle name="Moeda 3 3 2 7 2 2" xfId="14025"/>
    <cellStyle name="Moeda 3 3 2 7 3" xfId="12324"/>
    <cellStyle name="Moeda 3 3 2 8" xfId="6338"/>
    <cellStyle name="Moeda 3 3 2 8 2" xfId="12727"/>
    <cellStyle name="Moeda 3 3 2 9" xfId="8030"/>
    <cellStyle name="Moeda 3 3 2 9 2" xfId="14419"/>
    <cellStyle name="Moeda 3 3 3" xfId="4255"/>
    <cellStyle name="Moeda 3 3 3 2" xfId="4332"/>
    <cellStyle name="Moeda 3 3 3 2 2" xfId="7733"/>
    <cellStyle name="Moeda 3 3 3 2 2 2" xfId="14122"/>
    <cellStyle name="Moeda 3 3 3 2 3" xfId="6033"/>
    <cellStyle name="Moeda 3 3 3 2 4" xfId="12421"/>
    <cellStyle name="Moeda 3 3 3 3" xfId="4440"/>
    <cellStyle name="Moeda 3 3 3 3 2" xfId="7842"/>
    <cellStyle name="Moeda 3 3 3 3 2 2" xfId="14231"/>
    <cellStyle name="Moeda 3 3 3 3 3" xfId="6142"/>
    <cellStyle name="Moeda 3 3 3 3 4" xfId="12530"/>
    <cellStyle name="Moeda 3 3 3 4" xfId="4548"/>
    <cellStyle name="Moeda 3 3 3 4 2" xfId="7950"/>
    <cellStyle name="Moeda 3 3 3 4 2 2" xfId="14339"/>
    <cellStyle name="Moeda 3 3 3 4 3" xfId="6249"/>
    <cellStyle name="Moeda 3 3 3 4 4" xfId="12638"/>
    <cellStyle name="Moeda 3 3 3 5" xfId="5956"/>
    <cellStyle name="Moeda 3 3 3 5 2" xfId="7656"/>
    <cellStyle name="Moeda 3 3 3 5 2 2" xfId="14045"/>
    <cellStyle name="Moeda 3 3 3 5 3" xfId="12344"/>
    <cellStyle name="Moeda 3 3 3 6" xfId="6358"/>
    <cellStyle name="Moeda 3 3 3 6 2" xfId="12747"/>
    <cellStyle name="Moeda 3 3 3 7" xfId="4655"/>
    <cellStyle name="Moeda 3 3 3 8" xfId="11046"/>
    <cellStyle name="Moeda 3 3 4" xfId="4220"/>
    <cellStyle name="Moeda 3 3 4 2" xfId="4364"/>
    <cellStyle name="Moeda 3 3 4 2 2" xfId="7765"/>
    <cellStyle name="Moeda 3 3 4 2 2 2" xfId="14154"/>
    <cellStyle name="Moeda 3 3 4 2 3" xfId="6065"/>
    <cellStyle name="Moeda 3 3 4 2 4" xfId="12453"/>
    <cellStyle name="Moeda 3 3 4 3" xfId="4472"/>
    <cellStyle name="Moeda 3 3 4 3 2" xfId="7874"/>
    <cellStyle name="Moeda 3 3 4 3 2 2" xfId="14263"/>
    <cellStyle name="Moeda 3 3 4 3 3" xfId="6173"/>
    <cellStyle name="Moeda 3 3 4 3 4" xfId="12562"/>
    <cellStyle name="Moeda 3 3 4 4" xfId="4580"/>
    <cellStyle name="Moeda 3 3 4 4 2" xfId="7982"/>
    <cellStyle name="Moeda 3 3 4 4 2 2" xfId="14371"/>
    <cellStyle name="Moeda 3 3 4 4 3" xfId="6281"/>
    <cellStyle name="Moeda 3 3 4 4 4" xfId="12670"/>
    <cellStyle name="Moeda 3 3 4 5" xfId="5920"/>
    <cellStyle name="Moeda 3 3 4 5 2" xfId="7620"/>
    <cellStyle name="Moeda 3 3 4 5 2 2" xfId="14009"/>
    <cellStyle name="Moeda 3 3 4 5 3" xfId="12308"/>
    <cellStyle name="Moeda 3 3 4 6" xfId="6390"/>
    <cellStyle name="Moeda 3 3 4 6 2" xfId="12779"/>
    <cellStyle name="Moeda 3 3 4 7" xfId="4687"/>
    <cellStyle name="Moeda 3 3 4 8" xfId="11078"/>
    <cellStyle name="Moeda 3 3 5" xfId="4296"/>
    <cellStyle name="Moeda 3 3 5 2" xfId="7697"/>
    <cellStyle name="Moeda 3 3 5 2 2" xfId="14086"/>
    <cellStyle name="Moeda 3 3 5 3" xfId="5997"/>
    <cellStyle name="Moeda 3 3 5 4" xfId="12385"/>
    <cellStyle name="Moeda 3 3 6" xfId="4404"/>
    <cellStyle name="Moeda 3 3 6 2" xfId="7806"/>
    <cellStyle name="Moeda 3 3 6 2 2" xfId="14195"/>
    <cellStyle name="Moeda 3 3 6 3" xfId="6106"/>
    <cellStyle name="Moeda 3 3 6 4" xfId="12494"/>
    <cellStyle name="Moeda 3 3 7" xfId="4512"/>
    <cellStyle name="Moeda 3 3 7 2" xfId="7914"/>
    <cellStyle name="Moeda 3 3 7 2 2" xfId="14303"/>
    <cellStyle name="Moeda 3 3 7 3" xfId="6213"/>
    <cellStyle name="Moeda 3 3 7 4" xfId="12602"/>
    <cellStyle name="Moeda 3 3 8" xfId="4798"/>
    <cellStyle name="Moeda 3 3 8 2" xfId="6499"/>
    <cellStyle name="Moeda 3 3 8 2 2" xfId="12888"/>
    <cellStyle name="Moeda 3 3 8 3" xfId="11187"/>
    <cellStyle name="Moeda 3 3 9" xfId="6322"/>
    <cellStyle name="Moeda 3 3 9 2" xfId="12711"/>
    <cellStyle name="Moeda 3 4" xfId="651"/>
    <cellStyle name="Moeda 3 4 10" xfId="4625"/>
    <cellStyle name="Moeda 3 4 11" xfId="11016"/>
    <cellStyle name="Moeda 3 4 2" xfId="4260"/>
    <cellStyle name="Moeda 3 4 2 2" xfId="4337"/>
    <cellStyle name="Moeda 3 4 2 2 2" xfId="7738"/>
    <cellStyle name="Moeda 3 4 2 2 2 2" xfId="14127"/>
    <cellStyle name="Moeda 3 4 2 2 3" xfId="6038"/>
    <cellStyle name="Moeda 3 4 2 2 4" xfId="12426"/>
    <cellStyle name="Moeda 3 4 2 3" xfId="4445"/>
    <cellStyle name="Moeda 3 4 2 3 2" xfId="7847"/>
    <cellStyle name="Moeda 3 4 2 3 2 2" xfId="14236"/>
    <cellStyle name="Moeda 3 4 2 3 3" xfId="6147"/>
    <cellStyle name="Moeda 3 4 2 3 4" xfId="12535"/>
    <cellStyle name="Moeda 3 4 2 4" xfId="4553"/>
    <cellStyle name="Moeda 3 4 2 4 2" xfId="7955"/>
    <cellStyle name="Moeda 3 4 2 4 2 2" xfId="14344"/>
    <cellStyle name="Moeda 3 4 2 4 3" xfId="6254"/>
    <cellStyle name="Moeda 3 4 2 4 4" xfId="12643"/>
    <cellStyle name="Moeda 3 4 2 5" xfId="5961"/>
    <cellStyle name="Moeda 3 4 2 5 2" xfId="7661"/>
    <cellStyle name="Moeda 3 4 2 5 2 2" xfId="14050"/>
    <cellStyle name="Moeda 3 4 2 5 3" xfId="12349"/>
    <cellStyle name="Moeda 3 4 2 6" xfId="6363"/>
    <cellStyle name="Moeda 3 4 2 6 2" xfId="12752"/>
    <cellStyle name="Moeda 3 4 2 7" xfId="4660"/>
    <cellStyle name="Moeda 3 4 2 8" xfId="11051"/>
    <cellStyle name="Moeda 3 4 3" xfId="4225"/>
    <cellStyle name="Moeda 3 4 3 2" xfId="4369"/>
    <cellStyle name="Moeda 3 4 3 2 2" xfId="7771"/>
    <cellStyle name="Moeda 3 4 3 2 2 2" xfId="14160"/>
    <cellStyle name="Moeda 3 4 3 2 3" xfId="6071"/>
    <cellStyle name="Moeda 3 4 3 2 4" xfId="12459"/>
    <cellStyle name="Moeda 3 4 3 3" xfId="4477"/>
    <cellStyle name="Moeda 3 4 3 3 2" xfId="7879"/>
    <cellStyle name="Moeda 3 4 3 3 2 2" xfId="14268"/>
    <cellStyle name="Moeda 3 4 3 3 3" xfId="6178"/>
    <cellStyle name="Moeda 3 4 3 3 4" xfId="12567"/>
    <cellStyle name="Moeda 3 4 3 4" xfId="4585"/>
    <cellStyle name="Moeda 3 4 3 4 2" xfId="7988"/>
    <cellStyle name="Moeda 3 4 3 4 2 2" xfId="14377"/>
    <cellStyle name="Moeda 3 4 3 4 3" xfId="6287"/>
    <cellStyle name="Moeda 3 4 3 4 4" xfId="12676"/>
    <cellStyle name="Moeda 3 4 3 5" xfId="5926"/>
    <cellStyle name="Moeda 3 4 3 5 2" xfId="7626"/>
    <cellStyle name="Moeda 3 4 3 5 2 2" xfId="14015"/>
    <cellStyle name="Moeda 3 4 3 5 3" xfId="12314"/>
    <cellStyle name="Moeda 3 4 3 6" xfId="6396"/>
    <cellStyle name="Moeda 3 4 3 6 2" xfId="12785"/>
    <cellStyle name="Moeda 3 4 3 7" xfId="4693"/>
    <cellStyle name="Moeda 3 4 3 8" xfId="11084"/>
    <cellStyle name="Moeda 3 4 4" xfId="4302"/>
    <cellStyle name="Moeda 3 4 4 2" xfId="7703"/>
    <cellStyle name="Moeda 3 4 4 2 2" xfId="14092"/>
    <cellStyle name="Moeda 3 4 4 3" xfId="6003"/>
    <cellStyle name="Moeda 3 4 4 4" xfId="12391"/>
    <cellStyle name="Moeda 3 4 5" xfId="4410"/>
    <cellStyle name="Moeda 3 4 5 2" xfId="7812"/>
    <cellStyle name="Moeda 3 4 5 2 2" xfId="14201"/>
    <cellStyle name="Moeda 3 4 5 3" xfId="6112"/>
    <cellStyle name="Moeda 3 4 5 4" xfId="12500"/>
    <cellStyle name="Moeda 3 4 6" xfId="4518"/>
    <cellStyle name="Moeda 3 4 6 2" xfId="7920"/>
    <cellStyle name="Moeda 3 4 6 2 2" xfId="14309"/>
    <cellStyle name="Moeda 3 4 6 3" xfId="6219"/>
    <cellStyle name="Moeda 3 4 6 4" xfId="12608"/>
    <cellStyle name="Moeda 3 4 7" xfId="4887"/>
    <cellStyle name="Moeda 3 4 7 2" xfId="8265"/>
    <cellStyle name="Moeda 3 4 7 2 2" xfId="26479"/>
    <cellStyle name="Moeda 3 4 7 2 3" xfId="20565"/>
    <cellStyle name="Moeda 3 4 7 3" xfId="23522"/>
    <cellStyle name="Moeda 3 4 7 4" xfId="17608"/>
    <cellStyle name="Moeda 3 4 8" xfId="6328"/>
    <cellStyle name="Moeda 3 4 8 2" xfId="12717"/>
    <cellStyle name="Moeda 3 4 9" xfId="8020"/>
    <cellStyle name="Moeda 3 4 9 2" xfId="14409"/>
    <cellStyle name="Moeda 3 5" xfId="4210"/>
    <cellStyle name="Moeda 3 5 2" xfId="4286"/>
    <cellStyle name="Moeda 3 5 2 2" xfId="7687"/>
    <cellStyle name="Moeda 3 5 2 2 2" xfId="14076"/>
    <cellStyle name="Moeda 3 5 2 3" xfId="5987"/>
    <cellStyle name="Moeda 3 5 2 4" xfId="12375"/>
    <cellStyle name="Moeda 3 5 3" xfId="4394"/>
    <cellStyle name="Moeda 3 5 3 2" xfId="7796"/>
    <cellStyle name="Moeda 3 5 3 2 2" xfId="14185"/>
    <cellStyle name="Moeda 3 5 3 3" xfId="6096"/>
    <cellStyle name="Moeda 3 5 3 4" xfId="12484"/>
    <cellStyle name="Moeda 3 5 4" xfId="4502"/>
    <cellStyle name="Moeda 3 5 4 2" xfId="7904"/>
    <cellStyle name="Moeda 3 5 4 2 2" xfId="14293"/>
    <cellStyle name="Moeda 3 5 4 3" xfId="6203"/>
    <cellStyle name="Moeda 3 5 4 4" xfId="12592"/>
    <cellStyle name="Moeda 3 5 5" xfId="5911"/>
    <cellStyle name="Moeda 3 5 5 2" xfId="7610"/>
    <cellStyle name="Moeda 3 5 5 2 2" xfId="13999"/>
    <cellStyle name="Moeda 3 5 5 3" xfId="12298"/>
    <cellStyle name="Moeda 3 5 6" xfId="6312"/>
    <cellStyle name="Moeda 3 5 6 2" xfId="12701"/>
    <cellStyle name="Moeda 3 5 7" xfId="4610"/>
    <cellStyle name="Moeda 3 5 8" xfId="11001"/>
    <cellStyle name="Moeda 3 6" xfId="4240"/>
    <cellStyle name="Moeda 3 6 2" xfId="4317"/>
    <cellStyle name="Moeda 3 6 2 2" xfId="7718"/>
    <cellStyle name="Moeda 3 6 2 2 2" xfId="14107"/>
    <cellStyle name="Moeda 3 6 2 3" xfId="6018"/>
    <cellStyle name="Moeda 3 6 2 4" xfId="12406"/>
    <cellStyle name="Moeda 3 6 3" xfId="4425"/>
    <cellStyle name="Moeda 3 6 3 2" xfId="7827"/>
    <cellStyle name="Moeda 3 6 3 2 2" xfId="14216"/>
    <cellStyle name="Moeda 3 6 3 3" xfId="6127"/>
    <cellStyle name="Moeda 3 6 3 4" xfId="12515"/>
    <cellStyle name="Moeda 3 6 4" xfId="4533"/>
    <cellStyle name="Moeda 3 6 4 2" xfId="7935"/>
    <cellStyle name="Moeda 3 6 4 2 2" xfId="14324"/>
    <cellStyle name="Moeda 3 6 4 3" xfId="6234"/>
    <cellStyle name="Moeda 3 6 4 4" xfId="12623"/>
    <cellStyle name="Moeda 3 6 5" xfId="5941"/>
    <cellStyle name="Moeda 3 6 5 2" xfId="7641"/>
    <cellStyle name="Moeda 3 6 5 2 2" xfId="14030"/>
    <cellStyle name="Moeda 3 6 5 3" xfId="12329"/>
    <cellStyle name="Moeda 3 6 6" xfId="6343"/>
    <cellStyle name="Moeda 3 6 6 2" xfId="12732"/>
    <cellStyle name="Moeda 3 6 7" xfId="4640"/>
    <cellStyle name="Moeda 3 6 8" xfId="11031"/>
    <cellStyle name="Moeda 3 7" xfId="4204"/>
    <cellStyle name="Moeda 3 7 2" xfId="4280"/>
    <cellStyle name="Moeda 3 7 2 2" xfId="7681"/>
    <cellStyle name="Moeda 3 7 2 2 2" xfId="14070"/>
    <cellStyle name="Moeda 3 7 2 3" xfId="5981"/>
    <cellStyle name="Moeda 3 7 2 4" xfId="12369"/>
    <cellStyle name="Moeda 3 7 3" xfId="4388"/>
    <cellStyle name="Moeda 3 7 3 2" xfId="7790"/>
    <cellStyle name="Moeda 3 7 3 2 2" xfId="14179"/>
    <cellStyle name="Moeda 3 7 3 3" xfId="6090"/>
    <cellStyle name="Moeda 3 7 3 4" xfId="12478"/>
    <cellStyle name="Moeda 3 7 4" xfId="4496"/>
    <cellStyle name="Moeda 3 7 4 2" xfId="7898"/>
    <cellStyle name="Moeda 3 7 4 2 2" xfId="14287"/>
    <cellStyle name="Moeda 3 7 4 3" xfId="6197"/>
    <cellStyle name="Moeda 3 7 4 4" xfId="12586"/>
    <cellStyle name="Moeda 3 7 5" xfId="5905"/>
    <cellStyle name="Moeda 3 7 5 2" xfId="7604"/>
    <cellStyle name="Moeda 3 7 5 2 2" xfId="13993"/>
    <cellStyle name="Moeda 3 7 5 3" xfId="12292"/>
    <cellStyle name="Moeda 3 7 6" xfId="6306"/>
    <cellStyle name="Moeda 3 7 6 2" xfId="12695"/>
    <cellStyle name="Moeda 3 7 7" xfId="4604"/>
    <cellStyle name="Moeda 3 7 8" xfId="10995"/>
    <cellStyle name="Moeda 3 8" xfId="4245"/>
    <cellStyle name="Moeda 3 8 2" xfId="4322"/>
    <cellStyle name="Moeda 3 8 2 2" xfId="7723"/>
    <cellStyle name="Moeda 3 8 2 2 2" xfId="14112"/>
    <cellStyle name="Moeda 3 8 2 3" xfId="6023"/>
    <cellStyle name="Moeda 3 8 2 4" xfId="12411"/>
    <cellStyle name="Moeda 3 8 3" xfId="4430"/>
    <cellStyle name="Moeda 3 8 3 2" xfId="7832"/>
    <cellStyle name="Moeda 3 8 3 2 2" xfId="14221"/>
    <cellStyle name="Moeda 3 8 3 3" xfId="6132"/>
    <cellStyle name="Moeda 3 8 3 4" xfId="12520"/>
    <cellStyle name="Moeda 3 8 4" xfId="4538"/>
    <cellStyle name="Moeda 3 8 4 2" xfId="7940"/>
    <cellStyle name="Moeda 3 8 4 2 2" xfId="14329"/>
    <cellStyle name="Moeda 3 8 4 3" xfId="6239"/>
    <cellStyle name="Moeda 3 8 4 4" xfId="12628"/>
    <cellStyle name="Moeda 3 8 5" xfId="5946"/>
    <cellStyle name="Moeda 3 8 5 2" xfId="7646"/>
    <cellStyle name="Moeda 3 8 5 2 2" xfId="14035"/>
    <cellStyle name="Moeda 3 8 5 3" xfId="12334"/>
    <cellStyle name="Moeda 3 8 6" xfId="6348"/>
    <cellStyle name="Moeda 3 8 6 2" xfId="12737"/>
    <cellStyle name="Moeda 3 8 7" xfId="4645"/>
    <cellStyle name="Moeda 3 8 8" xfId="11036"/>
    <cellStyle name="Moeda 3 9" xfId="4198"/>
    <cellStyle name="Moeda 3 9 2" xfId="4354"/>
    <cellStyle name="Moeda 3 9 2 2" xfId="7755"/>
    <cellStyle name="Moeda 3 9 2 2 2" xfId="14144"/>
    <cellStyle name="Moeda 3 9 2 3" xfId="6055"/>
    <cellStyle name="Moeda 3 9 2 4" xfId="12443"/>
    <cellStyle name="Moeda 3 9 3" xfId="4462"/>
    <cellStyle name="Moeda 3 9 3 2" xfId="7864"/>
    <cellStyle name="Moeda 3 9 3 2 2" xfId="14253"/>
    <cellStyle name="Moeda 3 9 3 3" xfId="6163"/>
    <cellStyle name="Moeda 3 9 3 4" xfId="12552"/>
    <cellStyle name="Moeda 3 9 4" xfId="4570"/>
    <cellStyle name="Moeda 3 9 4 2" xfId="7972"/>
    <cellStyle name="Moeda 3 9 4 2 2" xfId="14361"/>
    <cellStyle name="Moeda 3 9 4 3" xfId="6271"/>
    <cellStyle name="Moeda 3 9 4 4" xfId="12660"/>
    <cellStyle name="Moeda 3 9 5" xfId="5901"/>
    <cellStyle name="Moeda 3 9 5 2" xfId="7600"/>
    <cellStyle name="Moeda 3 9 5 2 2" xfId="13989"/>
    <cellStyle name="Moeda 3 9 5 3" xfId="12288"/>
    <cellStyle name="Moeda 3 9 6" xfId="6380"/>
    <cellStyle name="Moeda 3 9 6 2" xfId="12769"/>
    <cellStyle name="Moeda 3 9 7" xfId="4677"/>
    <cellStyle name="Moeda 3 9 8" xfId="11068"/>
    <cellStyle name="Moeda 4" xfId="204"/>
    <cellStyle name="Moeda 4 10" xfId="8007"/>
    <cellStyle name="Moeda 4 10 2" xfId="14396"/>
    <cellStyle name="Moeda 4 11" xfId="4613"/>
    <cellStyle name="Moeda 4 12" xfId="11004"/>
    <cellStyle name="Moeda 4 2" xfId="1996"/>
    <cellStyle name="Moeda 4 2 10" xfId="4628"/>
    <cellStyle name="Moeda 4 2 11" xfId="11019"/>
    <cellStyle name="Moeda 4 2 2" xfId="4263"/>
    <cellStyle name="Moeda 4 2 2 2" xfId="4340"/>
    <cellStyle name="Moeda 4 2 2 2 2" xfId="7741"/>
    <cellStyle name="Moeda 4 2 2 2 2 2" xfId="14130"/>
    <cellStyle name="Moeda 4 2 2 2 3" xfId="6041"/>
    <cellStyle name="Moeda 4 2 2 2 4" xfId="12429"/>
    <cellStyle name="Moeda 4 2 2 3" xfId="4448"/>
    <cellStyle name="Moeda 4 2 2 3 2" xfId="7850"/>
    <cellStyle name="Moeda 4 2 2 3 2 2" xfId="14239"/>
    <cellStyle name="Moeda 4 2 2 3 3" xfId="6150"/>
    <cellStyle name="Moeda 4 2 2 3 4" xfId="12538"/>
    <cellStyle name="Moeda 4 2 2 4" xfId="4556"/>
    <cellStyle name="Moeda 4 2 2 4 2" xfId="7958"/>
    <cellStyle name="Moeda 4 2 2 4 2 2" xfId="14347"/>
    <cellStyle name="Moeda 4 2 2 4 3" xfId="6257"/>
    <cellStyle name="Moeda 4 2 2 4 4" xfId="12646"/>
    <cellStyle name="Moeda 4 2 2 5" xfId="5964"/>
    <cellStyle name="Moeda 4 2 2 5 2" xfId="7664"/>
    <cellStyle name="Moeda 4 2 2 5 2 2" xfId="14053"/>
    <cellStyle name="Moeda 4 2 2 5 3" xfId="12352"/>
    <cellStyle name="Moeda 4 2 2 6" xfId="6366"/>
    <cellStyle name="Moeda 4 2 2 6 2" xfId="12755"/>
    <cellStyle name="Moeda 4 2 2 7" xfId="4663"/>
    <cellStyle name="Moeda 4 2 2 8" xfId="11054"/>
    <cellStyle name="Moeda 4 2 3" xfId="4228"/>
    <cellStyle name="Moeda 4 2 3 2" xfId="4372"/>
    <cellStyle name="Moeda 4 2 3 2 2" xfId="7774"/>
    <cellStyle name="Moeda 4 2 3 2 2 2" xfId="14163"/>
    <cellStyle name="Moeda 4 2 3 2 3" xfId="6074"/>
    <cellStyle name="Moeda 4 2 3 2 4" xfId="12462"/>
    <cellStyle name="Moeda 4 2 3 3" xfId="4480"/>
    <cellStyle name="Moeda 4 2 3 3 2" xfId="7882"/>
    <cellStyle name="Moeda 4 2 3 3 2 2" xfId="14271"/>
    <cellStyle name="Moeda 4 2 3 3 3" xfId="6181"/>
    <cellStyle name="Moeda 4 2 3 3 4" xfId="12570"/>
    <cellStyle name="Moeda 4 2 3 4" xfId="4588"/>
    <cellStyle name="Moeda 4 2 3 4 2" xfId="7991"/>
    <cellStyle name="Moeda 4 2 3 4 2 2" xfId="14380"/>
    <cellStyle name="Moeda 4 2 3 4 3" xfId="6290"/>
    <cellStyle name="Moeda 4 2 3 4 4" xfId="12679"/>
    <cellStyle name="Moeda 4 2 3 5" xfId="5929"/>
    <cellStyle name="Moeda 4 2 3 5 2" xfId="7629"/>
    <cellStyle name="Moeda 4 2 3 5 2 2" xfId="14018"/>
    <cellStyle name="Moeda 4 2 3 5 3" xfId="12317"/>
    <cellStyle name="Moeda 4 2 3 6" xfId="6399"/>
    <cellStyle name="Moeda 4 2 3 6 2" xfId="12788"/>
    <cellStyle name="Moeda 4 2 3 7" xfId="4696"/>
    <cellStyle name="Moeda 4 2 3 8" xfId="11087"/>
    <cellStyle name="Moeda 4 2 4" xfId="4305"/>
    <cellStyle name="Moeda 4 2 4 2" xfId="7706"/>
    <cellStyle name="Moeda 4 2 4 2 2" xfId="14095"/>
    <cellStyle name="Moeda 4 2 4 3" xfId="6006"/>
    <cellStyle name="Moeda 4 2 4 4" xfId="12394"/>
    <cellStyle name="Moeda 4 2 5" xfId="4413"/>
    <cellStyle name="Moeda 4 2 5 2" xfId="7815"/>
    <cellStyle name="Moeda 4 2 5 2 2" xfId="14204"/>
    <cellStyle name="Moeda 4 2 5 3" xfId="6115"/>
    <cellStyle name="Moeda 4 2 5 4" xfId="12503"/>
    <cellStyle name="Moeda 4 2 6" xfId="4521"/>
    <cellStyle name="Moeda 4 2 6 2" xfId="7923"/>
    <cellStyle name="Moeda 4 2 6 2 2" xfId="14312"/>
    <cellStyle name="Moeda 4 2 6 3" xfId="6222"/>
    <cellStyle name="Moeda 4 2 6 4" xfId="12611"/>
    <cellStyle name="Moeda 4 2 7" xfId="5283"/>
    <cellStyle name="Moeda 4 2 7 2" xfId="6982"/>
    <cellStyle name="Moeda 4 2 7 2 2" xfId="13371"/>
    <cellStyle name="Moeda 4 2 7 3" xfId="11670"/>
    <cellStyle name="Moeda 4 2 8" xfId="6331"/>
    <cellStyle name="Moeda 4 2 8 2" xfId="12720"/>
    <cellStyle name="Moeda 4 2 9" xfId="8023"/>
    <cellStyle name="Moeda 4 2 9 2" xfId="14412"/>
    <cellStyle name="Moeda 4 3" xfId="4248"/>
    <cellStyle name="Moeda 4 3 2" xfId="4325"/>
    <cellStyle name="Moeda 4 3 2 2" xfId="7726"/>
    <cellStyle name="Moeda 4 3 2 2 2" xfId="14115"/>
    <cellStyle name="Moeda 4 3 2 3" xfId="6026"/>
    <cellStyle name="Moeda 4 3 2 4" xfId="12414"/>
    <cellStyle name="Moeda 4 3 3" xfId="4433"/>
    <cellStyle name="Moeda 4 3 3 2" xfId="7835"/>
    <cellStyle name="Moeda 4 3 3 2 2" xfId="14224"/>
    <cellStyle name="Moeda 4 3 3 3" xfId="6135"/>
    <cellStyle name="Moeda 4 3 3 4" xfId="12523"/>
    <cellStyle name="Moeda 4 3 4" xfId="4541"/>
    <cellStyle name="Moeda 4 3 4 2" xfId="7943"/>
    <cellStyle name="Moeda 4 3 4 2 2" xfId="14332"/>
    <cellStyle name="Moeda 4 3 4 3" xfId="6242"/>
    <cellStyle name="Moeda 4 3 4 4" xfId="12631"/>
    <cellStyle name="Moeda 4 3 5" xfId="5949"/>
    <cellStyle name="Moeda 4 3 5 2" xfId="7649"/>
    <cellStyle name="Moeda 4 3 5 2 2" xfId="14038"/>
    <cellStyle name="Moeda 4 3 5 3" xfId="12337"/>
    <cellStyle name="Moeda 4 3 6" xfId="6351"/>
    <cellStyle name="Moeda 4 3 6 2" xfId="12740"/>
    <cellStyle name="Moeda 4 3 7" xfId="4648"/>
    <cellStyle name="Moeda 4 3 8" xfId="11039"/>
    <cellStyle name="Moeda 4 4" xfId="4213"/>
    <cellStyle name="Moeda 4 4 2" xfId="4357"/>
    <cellStyle name="Moeda 4 4 2 2" xfId="7758"/>
    <cellStyle name="Moeda 4 4 2 2 2" xfId="14147"/>
    <cellStyle name="Moeda 4 4 2 3" xfId="6058"/>
    <cellStyle name="Moeda 4 4 2 4" xfId="12446"/>
    <cellStyle name="Moeda 4 4 3" xfId="4465"/>
    <cellStyle name="Moeda 4 4 3 2" xfId="7867"/>
    <cellStyle name="Moeda 4 4 3 2 2" xfId="14256"/>
    <cellStyle name="Moeda 4 4 3 3" xfId="6166"/>
    <cellStyle name="Moeda 4 4 3 4" xfId="12555"/>
    <cellStyle name="Moeda 4 4 4" xfId="4573"/>
    <cellStyle name="Moeda 4 4 4 2" xfId="7975"/>
    <cellStyle name="Moeda 4 4 4 2 2" xfId="14364"/>
    <cellStyle name="Moeda 4 4 4 3" xfId="6274"/>
    <cellStyle name="Moeda 4 4 4 4" xfId="12663"/>
    <cellStyle name="Moeda 4 4 5 2" xfId="7613"/>
    <cellStyle name="Moeda 4 4 5 2 2" xfId="14002"/>
    <cellStyle name="Moeda 4 4 5 3" xfId="12301"/>
    <cellStyle name="Moeda 4 4 6" xfId="6383"/>
    <cellStyle name="Moeda 4 4 6 2" xfId="12772"/>
    <cellStyle name="Moeda 4 4 7" xfId="4680"/>
    <cellStyle name="Moeda 4 4 8" xfId="11071"/>
    <cellStyle name="Moeda 4 5" xfId="4289"/>
    <cellStyle name="Moeda 4 5 2" xfId="7690"/>
    <cellStyle name="Moeda 4 5 2 2" xfId="14079"/>
    <cellStyle name="Moeda 4 5 3" xfId="5990"/>
    <cellStyle name="Moeda 4 5 4" xfId="12378"/>
    <cellStyle name="Moeda 4 6" xfId="4397"/>
    <cellStyle name="Moeda 4 6 2" xfId="7799"/>
    <cellStyle name="Moeda 4 6 2 2" xfId="14188"/>
    <cellStyle name="Moeda 4 6 3" xfId="6099"/>
    <cellStyle name="Moeda 4 6 4" xfId="12487"/>
    <cellStyle name="Moeda 4 7" xfId="4505"/>
    <cellStyle name="Moeda 4 7 2" xfId="7907"/>
    <cellStyle name="Moeda 4 7 2 2" xfId="14296"/>
    <cellStyle name="Moeda 4 7 3" xfId="6206"/>
    <cellStyle name="Moeda 4 7 4" xfId="12595"/>
    <cellStyle name="Moeda 4 8" xfId="4762"/>
    <cellStyle name="Moeda 4 8 2" xfId="6463"/>
    <cellStyle name="Moeda 4 8 2 2" xfId="12852"/>
    <cellStyle name="Moeda 4 8 3" xfId="11151"/>
    <cellStyle name="Moeda 4 9" xfId="6315"/>
    <cellStyle name="Moeda 4 9 2" xfId="12704"/>
    <cellStyle name="Moeda 5" xfId="110"/>
    <cellStyle name="Moeda 5 10" xfId="8012"/>
    <cellStyle name="Moeda 5 10 2" xfId="14401"/>
    <cellStyle name="Moeda 5 11" xfId="4618"/>
    <cellStyle name="Moeda 5 12" xfId="11009"/>
    <cellStyle name="Moeda 5 2" xfId="299"/>
    <cellStyle name="Moeda 5 2 10" xfId="4633"/>
    <cellStyle name="Moeda 5 2 11" xfId="11024"/>
    <cellStyle name="Moeda 5 2 2" xfId="4268"/>
    <cellStyle name="Moeda 5 2 2 2" xfId="4345"/>
    <cellStyle name="Moeda 5 2 2 2 2" xfId="7746"/>
    <cellStyle name="Moeda 5 2 2 2 2 2" xfId="14135"/>
    <cellStyle name="Moeda 5 2 2 2 3" xfId="6046"/>
    <cellStyle name="Moeda 5 2 2 2 4" xfId="12434"/>
    <cellStyle name="Moeda 5 2 2 3" xfId="4453"/>
    <cellStyle name="Moeda 5 2 2 3 2" xfId="7855"/>
    <cellStyle name="Moeda 5 2 2 3 2 2" xfId="14244"/>
    <cellStyle name="Moeda 5 2 2 3 3" xfId="6155"/>
    <cellStyle name="Moeda 5 2 2 3 4" xfId="12543"/>
    <cellStyle name="Moeda 5 2 2 4" xfId="4561"/>
    <cellStyle name="Moeda 5 2 2 4 2" xfId="7963"/>
    <cellStyle name="Moeda 5 2 2 4 2 2" xfId="14352"/>
    <cellStyle name="Moeda 5 2 2 4 3" xfId="6262"/>
    <cellStyle name="Moeda 5 2 2 4 4" xfId="12651"/>
    <cellStyle name="Moeda 5 2 2 5" xfId="5969"/>
    <cellStyle name="Moeda 5 2 2 5 2" xfId="7669"/>
    <cellStyle name="Moeda 5 2 2 5 2 2" xfId="14058"/>
    <cellStyle name="Moeda 5 2 2 5 3" xfId="12357"/>
    <cellStyle name="Moeda 5 2 2 6" xfId="6371"/>
    <cellStyle name="Moeda 5 2 2 6 2" xfId="12760"/>
    <cellStyle name="Moeda 5 2 2 7" xfId="4668"/>
    <cellStyle name="Moeda 5 2 2 8" xfId="11059"/>
    <cellStyle name="Moeda 5 2 3" xfId="4233"/>
    <cellStyle name="Moeda 5 2 3 2" xfId="4377"/>
    <cellStyle name="Moeda 5 2 3 2 2" xfId="7779"/>
    <cellStyle name="Moeda 5 2 3 2 2 2" xfId="14168"/>
    <cellStyle name="Moeda 5 2 3 2 3" xfId="6079"/>
    <cellStyle name="Moeda 5 2 3 2 4" xfId="12467"/>
    <cellStyle name="Moeda 5 2 3 3" xfId="4485"/>
    <cellStyle name="Moeda 5 2 3 3 2" xfId="7887"/>
    <cellStyle name="Moeda 5 2 3 3 2 2" xfId="14276"/>
    <cellStyle name="Moeda 5 2 3 3 3" xfId="6186"/>
    <cellStyle name="Moeda 5 2 3 3 4" xfId="12575"/>
    <cellStyle name="Moeda 5 2 3 4" xfId="4593"/>
    <cellStyle name="Moeda 5 2 3 4 2" xfId="7996"/>
    <cellStyle name="Moeda 5 2 3 4 2 2" xfId="14385"/>
    <cellStyle name="Moeda 5 2 3 4 3" xfId="6295"/>
    <cellStyle name="Moeda 5 2 3 4 4" xfId="12684"/>
    <cellStyle name="Moeda 5 2 3 5" xfId="5934"/>
    <cellStyle name="Moeda 5 2 3 5 2" xfId="7634"/>
    <cellStyle name="Moeda 5 2 3 5 2 2" xfId="14023"/>
    <cellStyle name="Moeda 5 2 3 5 3" xfId="12322"/>
    <cellStyle name="Moeda 5 2 3 6" xfId="6404"/>
    <cellStyle name="Moeda 5 2 3 6 2" xfId="12793"/>
    <cellStyle name="Moeda 5 2 3 7" xfId="4701"/>
    <cellStyle name="Moeda 5 2 3 8" xfId="11092"/>
    <cellStyle name="Moeda 5 2 4" xfId="4310"/>
    <cellStyle name="Moeda 5 2 4 2" xfId="7711"/>
    <cellStyle name="Moeda 5 2 4 2 2" xfId="14100"/>
    <cellStyle name="Moeda 5 2 4 3" xfId="6011"/>
    <cellStyle name="Moeda 5 2 4 4" xfId="12399"/>
    <cellStyle name="Moeda 5 2 5" xfId="4418"/>
    <cellStyle name="Moeda 5 2 5 2" xfId="7820"/>
    <cellStyle name="Moeda 5 2 5 2 2" xfId="14209"/>
    <cellStyle name="Moeda 5 2 5 3" xfId="6120"/>
    <cellStyle name="Moeda 5 2 5 4" xfId="12508"/>
    <cellStyle name="Moeda 5 2 6" xfId="4526"/>
    <cellStyle name="Moeda 5 2 6 2" xfId="7928"/>
    <cellStyle name="Moeda 5 2 6 2 2" xfId="14317"/>
    <cellStyle name="Moeda 5 2 6 3" xfId="6227"/>
    <cellStyle name="Moeda 5 2 6 4" xfId="12616"/>
    <cellStyle name="Moeda 5 2 7" xfId="4793"/>
    <cellStyle name="Moeda 5 2 7 2" xfId="6494"/>
    <cellStyle name="Moeda 5 2 7 2 2" xfId="12883"/>
    <cellStyle name="Moeda 5 2 7 3" xfId="11182"/>
    <cellStyle name="Moeda 5 2 8" xfId="6336"/>
    <cellStyle name="Moeda 5 2 8 2" xfId="12725"/>
    <cellStyle name="Moeda 5 2 9" xfId="8028"/>
    <cellStyle name="Moeda 5 2 9 2" xfId="14417"/>
    <cellStyle name="Moeda 5 3" xfId="392"/>
    <cellStyle name="Moeda 5 3 2" xfId="4253"/>
    <cellStyle name="Moeda 5 3 2 2" xfId="7654"/>
    <cellStyle name="Moeda 5 3 2 2 2" xfId="14043"/>
    <cellStyle name="Moeda 5 3 2 3" xfId="5954"/>
    <cellStyle name="Moeda 5 3 2 4" xfId="12342"/>
    <cellStyle name="Moeda 5 3 3" xfId="4330"/>
    <cellStyle name="Moeda 5 3 3 2" xfId="7731"/>
    <cellStyle name="Moeda 5 3 3 2 2" xfId="14120"/>
    <cellStyle name="Moeda 5 3 3 3" xfId="6031"/>
    <cellStyle name="Moeda 5 3 3 4" xfId="12419"/>
    <cellStyle name="Moeda 5 3 4" xfId="4438"/>
    <cellStyle name="Moeda 5 3 4 2" xfId="7840"/>
    <cellStyle name="Moeda 5 3 4 2 2" xfId="14229"/>
    <cellStyle name="Moeda 5 3 4 3" xfId="6140"/>
    <cellStyle name="Moeda 5 3 4 4" xfId="12528"/>
    <cellStyle name="Moeda 5 3 5" xfId="4546"/>
    <cellStyle name="Moeda 5 3 5 2" xfId="7948"/>
    <cellStyle name="Moeda 5 3 5 2 2" xfId="14337"/>
    <cellStyle name="Moeda 5 3 5 3" xfId="6247"/>
    <cellStyle name="Moeda 5 3 5 4" xfId="12636"/>
    <cellStyle name="Moeda 5 3 6" xfId="4821"/>
    <cellStyle name="Moeda 5 3 6 2" xfId="6522"/>
    <cellStyle name="Moeda 5 3 6 2 2" xfId="12911"/>
    <cellStyle name="Moeda 5 3 6 3" xfId="11210"/>
    <cellStyle name="Moeda 5 3 7" xfId="6356"/>
    <cellStyle name="Moeda 5 3 7 2" xfId="12745"/>
    <cellStyle name="Moeda 5 3 8" xfId="4653"/>
    <cellStyle name="Moeda 5 3 9" xfId="11044"/>
    <cellStyle name="Moeda 5 4" xfId="4218"/>
    <cellStyle name="Moeda 5 4 2" xfId="4362"/>
    <cellStyle name="Moeda 5 4 2 2" xfId="7763"/>
    <cellStyle name="Moeda 5 4 2 2 2" xfId="14152"/>
    <cellStyle name="Moeda 5 4 2 3" xfId="6063"/>
    <cellStyle name="Moeda 5 4 2 4" xfId="12451"/>
    <cellStyle name="Moeda 5 4 3" xfId="4470"/>
    <cellStyle name="Moeda 5 4 3 2" xfId="7872"/>
    <cellStyle name="Moeda 5 4 3 2 2" xfId="14261"/>
    <cellStyle name="Moeda 5 4 3 3" xfId="6171"/>
    <cellStyle name="Moeda 5 4 3 4" xfId="12560"/>
    <cellStyle name="Moeda 5 4 4" xfId="4578"/>
    <cellStyle name="Moeda 5 4 4 2" xfId="7980"/>
    <cellStyle name="Moeda 5 4 4 2 2" xfId="14369"/>
    <cellStyle name="Moeda 5 4 4 3" xfId="6279"/>
    <cellStyle name="Moeda 5 4 4 4" xfId="12668"/>
    <cellStyle name="Moeda 5 4 5" xfId="5918"/>
    <cellStyle name="Moeda 5 4 5 2" xfId="7618"/>
    <cellStyle name="Moeda 5 4 5 2 2" xfId="14007"/>
    <cellStyle name="Moeda 5 4 5 3" xfId="12306"/>
    <cellStyle name="Moeda 5 4 6" xfId="6388"/>
    <cellStyle name="Moeda 5 4 6 2" xfId="12777"/>
    <cellStyle name="Moeda 5 4 7" xfId="4685"/>
    <cellStyle name="Moeda 5 4 8" xfId="11076"/>
    <cellStyle name="Moeda 5 5" xfId="4294"/>
    <cellStyle name="Moeda 5 5 2" xfId="7695"/>
    <cellStyle name="Moeda 5 5 2 2" xfId="14084"/>
    <cellStyle name="Moeda 5 5 3" xfId="5995"/>
    <cellStyle name="Moeda 5 5 4" xfId="12383"/>
    <cellStyle name="Moeda 5 6" xfId="4402"/>
    <cellStyle name="Moeda 5 6 2" xfId="7804"/>
    <cellStyle name="Moeda 5 6 2 2" xfId="14193"/>
    <cellStyle name="Moeda 5 6 3" xfId="6104"/>
    <cellStyle name="Moeda 5 6 4" xfId="12492"/>
    <cellStyle name="Moeda 5 7" xfId="4510"/>
    <cellStyle name="Moeda 5 7 2" xfId="7912"/>
    <cellStyle name="Moeda 5 7 2 2" xfId="14301"/>
    <cellStyle name="Moeda 5 7 3" xfId="6211"/>
    <cellStyle name="Moeda 5 7 4" xfId="12600"/>
    <cellStyle name="Moeda 5 8" xfId="4732"/>
    <cellStyle name="Moeda 5 8 2" xfId="6434"/>
    <cellStyle name="Moeda 5 8 2 2" xfId="12823"/>
    <cellStyle name="Moeda 5 8 3" xfId="11122"/>
    <cellStyle name="Moeda 5 9" xfId="6320"/>
    <cellStyle name="Moeda 5 9 2" xfId="12709"/>
    <cellStyle name="Moeda 6" xfId="649"/>
    <cellStyle name="Moeda 6 10" xfId="4623"/>
    <cellStyle name="Moeda 6 11" xfId="11014"/>
    <cellStyle name="Moeda 6 2" xfId="4258"/>
    <cellStyle name="Moeda 6 2 2" xfId="4335"/>
    <cellStyle name="Moeda 6 2 2 2" xfId="7736"/>
    <cellStyle name="Moeda 6 2 2 2 2" xfId="14125"/>
    <cellStyle name="Moeda 6 2 2 3" xfId="6036"/>
    <cellStyle name="Moeda 6 2 2 4" xfId="12424"/>
    <cellStyle name="Moeda 6 2 3" xfId="4443"/>
    <cellStyle name="Moeda 6 2 3 2" xfId="7845"/>
    <cellStyle name="Moeda 6 2 3 2 2" xfId="14234"/>
    <cellStyle name="Moeda 6 2 3 3" xfId="6145"/>
    <cellStyle name="Moeda 6 2 3 4" xfId="12533"/>
    <cellStyle name="Moeda 6 2 4" xfId="4551"/>
    <cellStyle name="Moeda 6 2 4 2" xfId="7953"/>
    <cellStyle name="Moeda 6 2 4 2 2" xfId="14342"/>
    <cellStyle name="Moeda 6 2 4 3" xfId="6252"/>
    <cellStyle name="Moeda 6 2 4 4" xfId="12641"/>
    <cellStyle name="Moeda 6 2 5" xfId="5959"/>
    <cellStyle name="Moeda 6 2 5 2" xfId="7659"/>
    <cellStyle name="Moeda 6 2 5 2 2" xfId="14048"/>
    <cellStyle name="Moeda 6 2 5 3" xfId="12347"/>
    <cellStyle name="Moeda 6 2 6" xfId="6361"/>
    <cellStyle name="Moeda 6 2 6 2" xfId="12750"/>
    <cellStyle name="Moeda 6 2 7" xfId="4658"/>
    <cellStyle name="Moeda 6 2 8" xfId="11049"/>
    <cellStyle name="Moeda 6 3" xfId="4223"/>
    <cellStyle name="Moeda 6 3 2" xfId="4367"/>
    <cellStyle name="Moeda 6 3 2 2" xfId="7768"/>
    <cellStyle name="Moeda 6 3 2 2 2" xfId="14157"/>
    <cellStyle name="Moeda 6 3 2 3" xfId="6068"/>
    <cellStyle name="Moeda 6 3 2 4" xfId="12456"/>
    <cellStyle name="Moeda 6 3 3" xfId="4475"/>
    <cellStyle name="Moeda 6 3 3 2" xfId="7877"/>
    <cellStyle name="Moeda 6 3 3 2 2" xfId="14266"/>
    <cellStyle name="Moeda 6 3 3 3" xfId="6176"/>
    <cellStyle name="Moeda 6 3 3 4" xfId="12565"/>
    <cellStyle name="Moeda 6 3 4" xfId="4583"/>
    <cellStyle name="Moeda 6 3 4 2" xfId="7985"/>
    <cellStyle name="Moeda 6 3 4 2 2" xfId="14374"/>
    <cellStyle name="Moeda 6 3 4 3" xfId="6284"/>
    <cellStyle name="Moeda 6 3 4 4" xfId="12673"/>
    <cellStyle name="Moeda 6 3 5" xfId="5923"/>
    <cellStyle name="Moeda 6 3 5 2" xfId="7623"/>
    <cellStyle name="Moeda 6 3 5 2 2" xfId="14012"/>
    <cellStyle name="Moeda 6 3 5 3" xfId="12311"/>
    <cellStyle name="Moeda 6 3 6" xfId="6393"/>
    <cellStyle name="Moeda 6 3 6 2" xfId="12782"/>
    <cellStyle name="Moeda 6 3 7" xfId="4690"/>
    <cellStyle name="Moeda 6 3 8" xfId="11081"/>
    <cellStyle name="Moeda 6 4" xfId="4299"/>
    <cellStyle name="Moeda 6 4 2" xfId="7700"/>
    <cellStyle name="Moeda 6 4 2 2" xfId="14089"/>
    <cellStyle name="Moeda 6 4 3" xfId="6000"/>
    <cellStyle name="Moeda 6 4 4" xfId="12388"/>
    <cellStyle name="Moeda 6 5" xfId="4407"/>
    <cellStyle name="Moeda 6 5 2" xfId="7809"/>
    <cellStyle name="Moeda 6 5 2 2" xfId="14198"/>
    <cellStyle name="Moeda 6 5 3" xfId="6109"/>
    <cellStyle name="Moeda 6 5 4" xfId="12497"/>
    <cellStyle name="Moeda 6 6" xfId="4515"/>
    <cellStyle name="Moeda 6 6 2" xfId="7917"/>
    <cellStyle name="Moeda 6 6 2 2" xfId="14306"/>
    <cellStyle name="Moeda 6 6 3" xfId="6216"/>
    <cellStyle name="Moeda 6 6 4" xfId="12605"/>
    <cellStyle name="Moeda 6 7" xfId="4886"/>
    <cellStyle name="Moeda 6 7 2" xfId="8263"/>
    <cellStyle name="Moeda 6 7 2 2" xfId="26477"/>
    <cellStyle name="Moeda 6 7 2 3" xfId="20563"/>
    <cellStyle name="Moeda 6 7 3" xfId="23520"/>
    <cellStyle name="Moeda 6 7 4" xfId="17606"/>
    <cellStyle name="Moeda 6 8" xfId="6325"/>
    <cellStyle name="Moeda 6 8 2" xfId="12714"/>
    <cellStyle name="Moeda 6 9" xfId="8017"/>
    <cellStyle name="Moeda 6 9 2" xfId="14406"/>
    <cellStyle name="Moeda 7" xfId="4206"/>
    <cellStyle name="Moeda 7 2" xfId="4282"/>
    <cellStyle name="Moeda 7 2 2" xfId="7683"/>
    <cellStyle name="Moeda 7 2 2 2" xfId="14072"/>
    <cellStyle name="Moeda 7 2 3" xfId="5983"/>
    <cellStyle name="Moeda 7 2 4" xfId="12371"/>
    <cellStyle name="Moeda 7 3" xfId="4390"/>
    <cellStyle name="Moeda 7 3 2" xfId="7792"/>
    <cellStyle name="Moeda 7 3 2 2" xfId="14181"/>
    <cellStyle name="Moeda 7 3 3" xfId="6092"/>
    <cellStyle name="Moeda 7 3 4" xfId="12480"/>
    <cellStyle name="Moeda 7 4" xfId="4498"/>
    <cellStyle name="Moeda 7 4 2" xfId="7900"/>
    <cellStyle name="Moeda 7 4 2 2" xfId="14289"/>
    <cellStyle name="Moeda 7 4 3" xfId="6199"/>
    <cellStyle name="Moeda 7 4 4" xfId="12588"/>
    <cellStyle name="Moeda 7 5" xfId="5907"/>
    <cellStyle name="Moeda 7 5 2" xfId="7606"/>
    <cellStyle name="Moeda 7 5 2 2" xfId="13995"/>
    <cellStyle name="Moeda 7 5 3" xfId="12294"/>
    <cellStyle name="Moeda 7 6" xfId="6308"/>
    <cellStyle name="Moeda 7 6 2" xfId="12697"/>
    <cellStyle name="Moeda 7 7" xfId="4606"/>
    <cellStyle name="Moeda 7 8" xfId="10997"/>
    <cellStyle name="Moeda 8" xfId="4242"/>
    <cellStyle name="Moeda 8 2" xfId="4319"/>
    <cellStyle name="Moeda 8 2 2" xfId="7720"/>
    <cellStyle name="Moeda 8 2 2 2" xfId="14109"/>
    <cellStyle name="Moeda 8 2 3" xfId="6020"/>
    <cellStyle name="Moeda 8 2 4" xfId="12408"/>
    <cellStyle name="Moeda 8 3" xfId="4427"/>
    <cellStyle name="Moeda 8 3 2" xfId="7829"/>
    <cellStyle name="Moeda 8 3 2 2" xfId="14218"/>
    <cellStyle name="Moeda 8 3 3" xfId="6129"/>
    <cellStyle name="Moeda 8 3 4" xfId="12517"/>
    <cellStyle name="Moeda 8 4" xfId="4535"/>
    <cellStyle name="Moeda 8 4 2" xfId="7937"/>
    <cellStyle name="Moeda 8 4 2 2" xfId="14326"/>
    <cellStyle name="Moeda 8 4 3" xfId="6236"/>
    <cellStyle name="Moeda 8 4 4" xfId="12625"/>
    <cellStyle name="Moeda 8 5" xfId="5943"/>
    <cellStyle name="Moeda 8 5 2" xfId="7643"/>
    <cellStyle name="Moeda 8 5 2 2" xfId="14032"/>
    <cellStyle name="Moeda 8 5 3" xfId="12331"/>
    <cellStyle name="Moeda 8 6" xfId="6345"/>
    <cellStyle name="Moeda 8 6 2" xfId="12734"/>
    <cellStyle name="Moeda 8 7" xfId="4642"/>
    <cellStyle name="Moeda 8 8" xfId="11033"/>
    <cellStyle name="Moeda 9" xfId="4273"/>
    <cellStyle name="Moeda 9 2" xfId="4350"/>
    <cellStyle name="Moeda 9 2 2" xfId="7751"/>
    <cellStyle name="Moeda 9 2 2 2" xfId="14140"/>
    <cellStyle name="Moeda 9 2 3" xfId="6051"/>
    <cellStyle name="Moeda 9 2 4" xfId="12439"/>
    <cellStyle name="Moeda 9 3" xfId="4458"/>
    <cellStyle name="Moeda 9 3 2" xfId="7860"/>
    <cellStyle name="Moeda 9 3 2 2" xfId="14249"/>
    <cellStyle name="Moeda 9 3 3" xfId="6159"/>
    <cellStyle name="Moeda 9 3 4" xfId="12548"/>
    <cellStyle name="Moeda 9 4" xfId="4566"/>
    <cellStyle name="Moeda 9 4 2" xfId="7968"/>
    <cellStyle name="Moeda 9 4 2 2" xfId="14357"/>
    <cellStyle name="Moeda 9 4 3" xfId="6267"/>
    <cellStyle name="Moeda 9 4 4" xfId="12656"/>
    <cellStyle name="Moeda 9 5" xfId="5974"/>
    <cellStyle name="Moeda 9 5 2" xfId="7674"/>
    <cellStyle name="Moeda 9 5 2 2" xfId="14063"/>
    <cellStyle name="Moeda 9 5 3" xfId="12362"/>
    <cellStyle name="Moeda 9 6" xfId="6376"/>
    <cellStyle name="Moeda 9 6 2" xfId="12765"/>
    <cellStyle name="Moeda 9 7" xfId="4673"/>
    <cellStyle name="Moeda 9 8" xfId="11064"/>
    <cellStyle name="Normal" xfId="0" builtinId="0"/>
    <cellStyle name="Normal 2" xfId="10"/>
    <cellStyle name="Normal 2 2" xfId="16"/>
    <cellStyle name="Normal 2 2 2" xfId="17"/>
    <cellStyle name="Normal 2 2 3" xfId="4199"/>
    <cellStyle name="Normal 2 2 4" xfId="4707"/>
    <cellStyle name="Normal 2 3" xfId="18"/>
    <cellStyle name="Normal 2 4" xfId="113"/>
    <cellStyle name="Normal 2 4 2" xfId="4200"/>
    <cellStyle name="Normal 2 4 3" xfId="4734"/>
    <cellStyle name="Normal 3" xfId="19"/>
    <cellStyle name="Normal 4" xfId="20"/>
    <cellStyle name="Normal 4 10" xfId="78"/>
    <cellStyle name="Normal 4 10 10" xfId="2581"/>
    <cellStyle name="Normal 4 10 11" xfId="3108"/>
    <cellStyle name="Normal 4 10 12" xfId="3635"/>
    <cellStyle name="Normal 4 10 2" xfId="172"/>
    <cellStyle name="Normal 4 10 2 2" xfId="445"/>
    <cellStyle name="Normal 4 10 2 2 2" xfId="1964"/>
    <cellStyle name="Normal 4 10 2 2 3" xfId="2494"/>
    <cellStyle name="Normal 4 10 2 2 4" xfId="3021"/>
    <cellStyle name="Normal 4 10 2 2 5" xfId="3548"/>
    <cellStyle name="Normal 4 10 2 2 6" xfId="4075"/>
    <cellStyle name="Normal 4 10 2 3" xfId="918"/>
    <cellStyle name="Normal 4 10 2 4" xfId="1269"/>
    <cellStyle name="Normal 4 10 2 5" xfId="1704"/>
    <cellStyle name="Normal 4 10 2 6" xfId="2234"/>
    <cellStyle name="Normal 4 10 2 7" xfId="2761"/>
    <cellStyle name="Normal 4 10 2 8" xfId="3288"/>
    <cellStyle name="Normal 4 10 2 9" xfId="3815"/>
    <cellStyle name="Normal 4 10 3" xfId="267"/>
    <cellStyle name="Normal 4 10 3 2" xfId="530"/>
    <cellStyle name="Normal 4 10 3 3" xfId="827"/>
    <cellStyle name="Normal 4 10 3 4" xfId="1178"/>
    <cellStyle name="Normal 4 10 3 5" xfId="1613"/>
    <cellStyle name="Normal 4 10 3 6" xfId="2143"/>
    <cellStyle name="Normal 4 10 3 7" xfId="2670"/>
    <cellStyle name="Normal 4 10 3 8" xfId="3197"/>
    <cellStyle name="Normal 4 10 3 9" xfId="3724"/>
    <cellStyle name="Normal 4 10 4" xfId="360"/>
    <cellStyle name="Normal 4 10 4 2" xfId="1005"/>
    <cellStyle name="Normal 4 10 4 3" xfId="1356"/>
    <cellStyle name="Normal 4 10 4 4" xfId="1791"/>
    <cellStyle name="Normal 4 10 4 5" xfId="2321"/>
    <cellStyle name="Normal 4 10 4 6" xfId="2848"/>
    <cellStyle name="Normal 4 10 4 7" xfId="3375"/>
    <cellStyle name="Normal 4 10 4 8" xfId="3902"/>
    <cellStyle name="Normal 4 10 5" xfId="617"/>
    <cellStyle name="Normal 4 10 5 2" xfId="1440"/>
    <cellStyle name="Normal 4 10 5 3" xfId="1875"/>
    <cellStyle name="Normal 4 10 5 4" xfId="2405"/>
    <cellStyle name="Normal 4 10 5 5" xfId="2932"/>
    <cellStyle name="Normal 4 10 5 6" xfId="3459"/>
    <cellStyle name="Normal 4 10 5 7" xfId="3986"/>
    <cellStyle name="Normal 4 10 6" xfId="738"/>
    <cellStyle name="Normal 4 10 6 2" xfId="4162"/>
    <cellStyle name="Normal 4 10 7" xfId="1089"/>
    <cellStyle name="Normal 4 10 8" xfId="1524"/>
    <cellStyle name="Normal 4 10 9" xfId="2054"/>
    <cellStyle name="Normal 4 11" xfId="86"/>
    <cellStyle name="Normal 4 11 10" xfId="2589"/>
    <cellStyle name="Normal 4 11 11" xfId="3116"/>
    <cellStyle name="Normal 4 11 12" xfId="3643"/>
    <cellStyle name="Normal 4 11 2" xfId="180"/>
    <cellStyle name="Normal 4 11 2 2" xfId="453"/>
    <cellStyle name="Normal 4 11 2 2 2" xfId="1972"/>
    <cellStyle name="Normal 4 11 2 2 3" xfId="2502"/>
    <cellStyle name="Normal 4 11 2 2 4" xfId="3029"/>
    <cellStyle name="Normal 4 11 2 2 5" xfId="3556"/>
    <cellStyle name="Normal 4 11 2 2 6" xfId="4083"/>
    <cellStyle name="Normal 4 11 2 3" xfId="926"/>
    <cellStyle name="Normal 4 11 2 4" xfId="1277"/>
    <cellStyle name="Normal 4 11 2 5" xfId="1712"/>
    <cellStyle name="Normal 4 11 2 6" xfId="2242"/>
    <cellStyle name="Normal 4 11 2 7" xfId="2769"/>
    <cellStyle name="Normal 4 11 2 8" xfId="3296"/>
    <cellStyle name="Normal 4 11 2 9" xfId="3823"/>
    <cellStyle name="Normal 4 11 3" xfId="275"/>
    <cellStyle name="Normal 4 11 3 2" xfId="538"/>
    <cellStyle name="Normal 4 11 3 3" xfId="835"/>
    <cellStyle name="Normal 4 11 3 4" xfId="1186"/>
    <cellStyle name="Normal 4 11 3 5" xfId="1621"/>
    <cellStyle name="Normal 4 11 3 6" xfId="2151"/>
    <cellStyle name="Normal 4 11 3 7" xfId="2678"/>
    <cellStyle name="Normal 4 11 3 8" xfId="3205"/>
    <cellStyle name="Normal 4 11 3 9" xfId="3732"/>
    <cellStyle name="Normal 4 11 4" xfId="368"/>
    <cellStyle name="Normal 4 11 4 2" xfId="1013"/>
    <cellStyle name="Normal 4 11 4 3" xfId="1364"/>
    <cellStyle name="Normal 4 11 4 4" xfId="1799"/>
    <cellStyle name="Normal 4 11 4 5" xfId="2329"/>
    <cellStyle name="Normal 4 11 4 6" xfId="2856"/>
    <cellStyle name="Normal 4 11 4 7" xfId="3383"/>
    <cellStyle name="Normal 4 11 4 8" xfId="3910"/>
    <cellStyle name="Normal 4 11 5" xfId="625"/>
    <cellStyle name="Normal 4 11 5 2" xfId="1448"/>
    <cellStyle name="Normal 4 11 5 3" xfId="1883"/>
    <cellStyle name="Normal 4 11 5 4" xfId="2413"/>
    <cellStyle name="Normal 4 11 5 5" xfId="2940"/>
    <cellStyle name="Normal 4 11 5 6" xfId="3467"/>
    <cellStyle name="Normal 4 11 5 7" xfId="3994"/>
    <cellStyle name="Normal 4 11 6" xfId="746"/>
    <cellStyle name="Normal 4 11 6 2" xfId="4170"/>
    <cellStyle name="Normal 4 11 7" xfId="1097"/>
    <cellStyle name="Normal 4 11 8" xfId="1532"/>
    <cellStyle name="Normal 4 11 9" xfId="2062"/>
    <cellStyle name="Normal 4 12" xfId="94"/>
    <cellStyle name="Normal 4 12 10" xfId="2597"/>
    <cellStyle name="Normal 4 12 11" xfId="3124"/>
    <cellStyle name="Normal 4 12 12" xfId="3651"/>
    <cellStyle name="Normal 4 12 2" xfId="188"/>
    <cellStyle name="Normal 4 12 2 2" xfId="461"/>
    <cellStyle name="Normal 4 12 2 2 2" xfId="1980"/>
    <cellStyle name="Normal 4 12 2 2 3" xfId="2510"/>
    <cellStyle name="Normal 4 12 2 2 4" xfId="3037"/>
    <cellStyle name="Normal 4 12 2 2 5" xfId="3564"/>
    <cellStyle name="Normal 4 12 2 2 6" xfId="4091"/>
    <cellStyle name="Normal 4 12 2 3" xfId="934"/>
    <cellStyle name="Normal 4 12 2 4" xfId="1285"/>
    <cellStyle name="Normal 4 12 2 5" xfId="1720"/>
    <cellStyle name="Normal 4 12 2 6" xfId="2250"/>
    <cellStyle name="Normal 4 12 2 7" xfId="2777"/>
    <cellStyle name="Normal 4 12 2 8" xfId="3304"/>
    <cellStyle name="Normal 4 12 2 9" xfId="3831"/>
    <cellStyle name="Normal 4 12 3" xfId="283"/>
    <cellStyle name="Normal 4 12 3 2" xfId="546"/>
    <cellStyle name="Normal 4 12 3 3" xfId="843"/>
    <cellStyle name="Normal 4 12 3 4" xfId="1194"/>
    <cellStyle name="Normal 4 12 3 5" xfId="1629"/>
    <cellStyle name="Normal 4 12 3 6" xfId="2159"/>
    <cellStyle name="Normal 4 12 3 7" xfId="2686"/>
    <cellStyle name="Normal 4 12 3 8" xfId="3213"/>
    <cellStyle name="Normal 4 12 3 9" xfId="3740"/>
    <cellStyle name="Normal 4 12 4" xfId="376"/>
    <cellStyle name="Normal 4 12 4 2" xfId="1021"/>
    <cellStyle name="Normal 4 12 4 3" xfId="1372"/>
    <cellStyle name="Normal 4 12 4 4" xfId="1807"/>
    <cellStyle name="Normal 4 12 4 5" xfId="2337"/>
    <cellStyle name="Normal 4 12 4 6" xfId="2864"/>
    <cellStyle name="Normal 4 12 4 7" xfId="3391"/>
    <cellStyle name="Normal 4 12 4 8" xfId="3918"/>
    <cellStyle name="Normal 4 12 5" xfId="633"/>
    <cellStyle name="Normal 4 12 5 2" xfId="1456"/>
    <cellStyle name="Normal 4 12 5 3" xfId="1891"/>
    <cellStyle name="Normal 4 12 5 4" xfId="2421"/>
    <cellStyle name="Normal 4 12 5 5" xfId="2948"/>
    <cellStyle name="Normal 4 12 5 6" xfId="3475"/>
    <cellStyle name="Normal 4 12 5 7" xfId="4002"/>
    <cellStyle name="Normal 4 12 6" xfId="754"/>
    <cellStyle name="Normal 4 12 6 2" xfId="4178"/>
    <cellStyle name="Normal 4 12 7" xfId="1105"/>
    <cellStyle name="Normal 4 12 8" xfId="1540"/>
    <cellStyle name="Normal 4 12 9" xfId="2070"/>
    <cellStyle name="Normal 4 13" xfId="102"/>
    <cellStyle name="Normal 4 13 10" xfId="2605"/>
    <cellStyle name="Normal 4 13 11" xfId="3132"/>
    <cellStyle name="Normal 4 13 12" xfId="3659"/>
    <cellStyle name="Normal 4 13 2" xfId="196"/>
    <cellStyle name="Normal 4 13 2 2" xfId="469"/>
    <cellStyle name="Normal 4 13 2 2 2" xfId="1988"/>
    <cellStyle name="Normal 4 13 2 2 3" xfId="2518"/>
    <cellStyle name="Normal 4 13 2 2 4" xfId="3045"/>
    <cellStyle name="Normal 4 13 2 2 5" xfId="3572"/>
    <cellStyle name="Normal 4 13 2 2 6" xfId="4099"/>
    <cellStyle name="Normal 4 13 2 3" xfId="942"/>
    <cellStyle name="Normal 4 13 2 4" xfId="1293"/>
    <cellStyle name="Normal 4 13 2 5" xfId="1728"/>
    <cellStyle name="Normal 4 13 2 6" xfId="2258"/>
    <cellStyle name="Normal 4 13 2 7" xfId="2785"/>
    <cellStyle name="Normal 4 13 2 8" xfId="3312"/>
    <cellStyle name="Normal 4 13 2 9" xfId="3839"/>
    <cellStyle name="Normal 4 13 3" xfId="291"/>
    <cellStyle name="Normal 4 13 3 2" xfId="554"/>
    <cellStyle name="Normal 4 13 3 3" xfId="851"/>
    <cellStyle name="Normal 4 13 3 4" xfId="1202"/>
    <cellStyle name="Normal 4 13 3 5" xfId="1637"/>
    <cellStyle name="Normal 4 13 3 6" xfId="2167"/>
    <cellStyle name="Normal 4 13 3 7" xfId="2694"/>
    <cellStyle name="Normal 4 13 3 8" xfId="3221"/>
    <cellStyle name="Normal 4 13 3 9" xfId="3748"/>
    <cellStyle name="Normal 4 13 4" xfId="384"/>
    <cellStyle name="Normal 4 13 4 2" xfId="1029"/>
    <cellStyle name="Normal 4 13 4 3" xfId="1380"/>
    <cellStyle name="Normal 4 13 4 4" xfId="1815"/>
    <cellStyle name="Normal 4 13 4 5" xfId="2345"/>
    <cellStyle name="Normal 4 13 4 6" xfId="2872"/>
    <cellStyle name="Normal 4 13 4 7" xfId="3399"/>
    <cellStyle name="Normal 4 13 4 8" xfId="3926"/>
    <cellStyle name="Normal 4 13 5" xfId="641"/>
    <cellStyle name="Normal 4 13 5 2" xfId="1464"/>
    <cellStyle name="Normal 4 13 5 3" xfId="1899"/>
    <cellStyle name="Normal 4 13 5 4" xfId="2429"/>
    <cellStyle name="Normal 4 13 5 5" xfId="2956"/>
    <cellStyle name="Normal 4 13 5 6" xfId="3483"/>
    <cellStyle name="Normal 4 13 5 7" xfId="4010"/>
    <cellStyle name="Normal 4 13 6" xfId="762"/>
    <cellStyle name="Normal 4 13 6 2" xfId="4186"/>
    <cellStyle name="Normal 4 13 7" xfId="1113"/>
    <cellStyle name="Normal 4 13 8" xfId="1548"/>
    <cellStyle name="Normal 4 13 9" xfId="2078"/>
    <cellStyle name="Normal 4 14" xfId="34"/>
    <cellStyle name="Normal 4 14 10" xfId="2537"/>
    <cellStyle name="Normal 4 14 11" xfId="3064"/>
    <cellStyle name="Normal 4 14 12" xfId="3591"/>
    <cellStyle name="Normal 4 14 2" xfId="128"/>
    <cellStyle name="Normal 4 14 2 2" xfId="401"/>
    <cellStyle name="Normal 4 14 2 2 2" xfId="1920"/>
    <cellStyle name="Normal 4 14 2 2 3" xfId="2450"/>
    <cellStyle name="Normal 4 14 2 2 4" xfId="2977"/>
    <cellStyle name="Normal 4 14 2 2 5" xfId="3504"/>
    <cellStyle name="Normal 4 14 2 2 6" xfId="4031"/>
    <cellStyle name="Normal 4 14 2 3" xfId="874"/>
    <cellStyle name="Normal 4 14 2 4" xfId="1225"/>
    <cellStyle name="Normal 4 14 2 5" xfId="1660"/>
    <cellStyle name="Normal 4 14 2 6" xfId="2190"/>
    <cellStyle name="Normal 4 14 2 7" xfId="2717"/>
    <cellStyle name="Normal 4 14 2 8" xfId="3244"/>
    <cellStyle name="Normal 4 14 2 9" xfId="3771"/>
    <cellStyle name="Normal 4 14 3" xfId="223"/>
    <cellStyle name="Normal 4 14 3 2" xfId="486"/>
    <cellStyle name="Normal 4 14 3 3" xfId="783"/>
    <cellStyle name="Normal 4 14 3 4" xfId="1134"/>
    <cellStyle name="Normal 4 14 3 5" xfId="1569"/>
    <cellStyle name="Normal 4 14 3 6" xfId="2099"/>
    <cellStyle name="Normal 4 14 3 7" xfId="2626"/>
    <cellStyle name="Normal 4 14 3 8" xfId="3153"/>
    <cellStyle name="Normal 4 14 3 9" xfId="3680"/>
    <cellStyle name="Normal 4 14 4" xfId="316"/>
    <cellStyle name="Normal 4 14 4 2" xfId="961"/>
    <cellStyle name="Normal 4 14 4 3" xfId="1312"/>
    <cellStyle name="Normal 4 14 4 4" xfId="1747"/>
    <cellStyle name="Normal 4 14 4 5" xfId="2277"/>
    <cellStyle name="Normal 4 14 4 6" xfId="2804"/>
    <cellStyle name="Normal 4 14 4 7" xfId="3331"/>
    <cellStyle name="Normal 4 14 4 8" xfId="3858"/>
    <cellStyle name="Normal 4 14 5" xfId="573"/>
    <cellStyle name="Normal 4 14 5 2" xfId="1396"/>
    <cellStyle name="Normal 4 14 5 3" xfId="1831"/>
    <cellStyle name="Normal 4 14 5 4" xfId="2361"/>
    <cellStyle name="Normal 4 14 5 5" xfId="2888"/>
    <cellStyle name="Normal 4 14 5 6" xfId="3415"/>
    <cellStyle name="Normal 4 14 5 7" xfId="3942"/>
    <cellStyle name="Normal 4 14 6" xfId="694"/>
    <cellStyle name="Normal 4 14 6 2" xfId="4118"/>
    <cellStyle name="Normal 4 14 7" xfId="1045"/>
    <cellStyle name="Normal 4 14 8" xfId="1480"/>
    <cellStyle name="Normal 4 14 9" xfId="2010"/>
    <cellStyle name="Normal 4 15" xfId="106"/>
    <cellStyle name="Normal 4 15 10" xfId="2609"/>
    <cellStyle name="Normal 4 15 11" xfId="3136"/>
    <cellStyle name="Normal 4 15 12" xfId="3663"/>
    <cellStyle name="Normal 4 15 2" xfId="200"/>
    <cellStyle name="Normal 4 15 2 2" xfId="473"/>
    <cellStyle name="Normal 4 15 2 2 2" xfId="1992"/>
    <cellStyle name="Normal 4 15 2 2 3" xfId="2522"/>
    <cellStyle name="Normal 4 15 2 2 4" xfId="3049"/>
    <cellStyle name="Normal 4 15 2 2 5" xfId="3576"/>
    <cellStyle name="Normal 4 15 2 2 6" xfId="4103"/>
    <cellStyle name="Normal 4 15 2 3" xfId="946"/>
    <cellStyle name="Normal 4 15 2 4" xfId="1297"/>
    <cellStyle name="Normal 4 15 2 5" xfId="1732"/>
    <cellStyle name="Normal 4 15 2 6" xfId="2262"/>
    <cellStyle name="Normal 4 15 2 7" xfId="2789"/>
    <cellStyle name="Normal 4 15 2 8" xfId="3316"/>
    <cellStyle name="Normal 4 15 2 9" xfId="3843"/>
    <cellStyle name="Normal 4 15 3" xfId="295"/>
    <cellStyle name="Normal 4 15 3 2" xfId="558"/>
    <cellStyle name="Normal 4 15 3 3" xfId="855"/>
    <cellStyle name="Normal 4 15 3 4" xfId="1206"/>
    <cellStyle name="Normal 4 15 3 5" xfId="1641"/>
    <cellStyle name="Normal 4 15 3 6" xfId="2171"/>
    <cellStyle name="Normal 4 15 3 7" xfId="2698"/>
    <cellStyle name="Normal 4 15 3 8" xfId="3225"/>
    <cellStyle name="Normal 4 15 3 9" xfId="3752"/>
    <cellStyle name="Normal 4 15 4" xfId="388"/>
    <cellStyle name="Normal 4 15 4 2" xfId="1033"/>
    <cellStyle name="Normal 4 15 4 3" xfId="1384"/>
    <cellStyle name="Normal 4 15 4 4" xfId="1819"/>
    <cellStyle name="Normal 4 15 4 5" xfId="2349"/>
    <cellStyle name="Normal 4 15 4 6" xfId="2876"/>
    <cellStyle name="Normal 4 15 4 7" xfId="3403"/>
    <cellStyle name="Normal 4 15 4 8" xfId="3930"/>
    <cellStyle name="Normal 4 15 5" xfId="645"/>
    <cellStyle name="Normal 4 15 5 2" xfId="1468"/>
    <cellStyle name="Normal 4 15 5 3" xfId="1903"/>
    <cellStyle name="Normal 4 15 5 4" xfId="2433"/>
    <cellStyle name="Normal 4 15 5 5" xfId="2960"/>
    <cellStyle name="Normal 4 15 5 6" xfId="3487"/>
    <cellStyle name="Normal 4 15 5 7" xfId="4014"/>
    <cellStyle name="Normal 4 15 6" xfId="766"/>
    <cellStyle name="Normal 4 15 6 2" xfId="4190"/>
    <cellStyle name="Normal 4 15 7" xfId="1117"/>
    <cellStyle name="Normal 4 15 8" xfId="1552"/>
    <cellStyle name="Normal 4 15 9" xfId="2082"/>
    <cellStyle name="Normal 4 16" xfId="117"/>
    <cellStyle name="Normal 4 16 2" xfId="393"/>
    <cellStyle name="Normal 4 16 2 2" xfId="1909"/>
    <cellStyle name="Normal 4 16 2 3" xfId="2439"/>
    <cellStyle name="Normal 4 16 2 4" xfId="2966"/>
    <cellStyle name="Normal 4 16 2 5" xfId="3493"/>
    <cellStyle name="Normal 4 16 2 6" xfId="4020"/>
    <cellStyle name="Normal 4 16 3" xfId="863"/>
    <cellStyle name="Normal 4 16 4" xfId="1214"/>
    <cellStyle name="Normal 4 16 5" xfId="1649"/>
    <cellStyle name="Normal 4 16 6" xfId="2179"/>
    <cellStyle name="Normal 4 16 7" xfId="2706"/>
    <cellStyle name="Normal 4 16 8" xfId="3233"/>
    <cellStyle name="Normal 4 16 9" xfId="3760"/>
    <cellStyle name="Normal 4 17" xfId="212"/>
    <cellStyle name="Normal 4 17 2" xfId="478"/>
    <cellStyle name="Normal 4 17 3" xfId="772"/>
    <cellStyle name="Normal 4 17 4" xfId="1123"/>
    <cellStyle name="Normal 4 17 5" xfId="1558"/>
    <cellStyle name="Normal 4 17 6" xfId="2088"/>
    <cellStyle name="Normal 4 17 7" xfId="2615"/>
    <cellStyle name="Normal 4 17 8" xfId="3142"/>
    <cellStyle name="Normal 4 17 9" xfId="3669"/>
    <cellStyle name="Normal 4 18" xfId="308"/>
    <cellStyle name="Normal 4 18 2" xfId="953"/>
    <cellStyle name="Normal 4 18 3" xfId="1304"/>
    <cellStyle name="Normal 4 18 4" xfId="1739"/>
    <cellStyle name="Normal 4 18 5" xfId="2269"/>
    <cellStyle name="Normal 4 18 6" xfId="2796"/>
    <cellStyle name="Normal 4 18 7" xfId="3323"/>
    <cellStyle name="Normal 4 18 8" xfId="3850"/>
    <cellStyle name="Normal 4 19" xfId="565"/>
    <cellStyle name="Normal 4 19 2" xfId="1388"/>
    <cellStyle name="Normal 4 19 3" xfId="1823"/>
    <cellStyle name="Normal 4 19 4" xfId="2353"/>
    <cellStyle name="Normal 4 19 5" xfId="2880"/>
    <cellStyle name="Normal 4 19 6" xfId="3407"/>
    <cellStyle name="Normal 4 19 7" xfId="3934"/>
    <cellStyle name="Normal 4 2" xfId="30"/>
    <cellStyle name="Normal 4 2 10" xfId="312"/>
    <cellStyle name="Normal 4 2 10 2" xfId="957"/>
    <cellStyle name="Normal 4 2 10 3" xfId="1308"/>
    <cellStyle name="Normal 4 2 10 4" xfId="1743"/>
    <cellStyle name="Normal 4 2 10 5" xfId="2273"/>
    <cellStyle name="Normal 4 2 10 6" xfId="2800"/>
    <cellStyle name="Normal 4 2 10 7" xfId="3327"/>
    <cellStyle name="Normal 4 2 10 8" xfId="3854"/>
    <cellStyle name="Normal 4 2 11" xfId="569"/>
    <cellStyle name="Normal 4 2 11 2" xfId="1392"/>
    <cellStyle name="Normal 4 2 11 3" xfId="1827"/>
    <cellStyle name="Normal 4 2 11 4" xfId="2357"/>
    <cellStyle name="Normal 4 2 11 5" xfId="2884"/>
    <cellStyle name="Normal 4 2 11 6" xfId="3411"/>
    <cellStyle name="Normal 4 2 11 7" xfId="3938"/>
    <cellStyle name="Normal 4 2 12" xfId="690"/>
    <cellStyle name="Normal 4 2 12 2" xfId="4114"/>
    <cellStyle name="Normal 4 2 13" xfId="1041"/>
    <cellStyle name="Normal 4 2 14" xfId="1476"/>
    <cellStyle name="Normal 4 2 15" xfId="2006"/>
    <cellStyle name="Normal 4 2 16" xfId="2533"/>
    <cellStyle name="Normal 4 2 17" xfId="3060"/>
    <cellStyle name="Normal 4 2 18" xfId="3587"/>
    <cellStyle name="Normal 4 2 2" xfId="66"/>
    <cellStyle name="Normal 4 2 2 10" xfId="2569"/>
    <cellStyle name="Normal 4 2 2 11" xfId="3096"/>
    <cellStyle name="Normal 4 2 2 12" xfId="3623"/>
    <cellStyle name="Normal 4 2 2 2" xfId="160"/>
    <cellStyle name="Normal 4 2 2 2 2" xfId="433"/>
    <cellStyle name="Normal 4 2 2 2 2 2" xfId="1952"/>
    <cellStyle name="Normal 4 2 2 2 2 3" xfId="2482"/>
    <cellStyle name="Normal 4 2 2 2 2 4" xfId="3009"/>
    <cellStyle name="Normal 4 2 2 2 2 5" xfId="3536"/>
    <cellStyle name="Normal 4 2 2 2 2 6" xfId="4063"/>
    <cellStyle name="Normal 4 2 2 2 3" xfId="906"/>
    <cellStyle name="Normal 4 2 2 2 4" xfId="1257"/>
    <cellStyle name="Normal 4 2 2 2 5" xfId="1692"/>
    <cellStyle name="Normal 4 2 2 2 6" xfId="2222"/>
    <cellStyle name="Normal 4 2 2 2 7" xfId="2749"/>
    <cellStyle name="Normal 4 2 2 2 8" xfId="3276"/>
    <cellStyle name="Normal 4 2 2 2 9" xfId="3803"/>
    <cellStyle name="Normal 4 2 2 3" xfId="255"/>
    <cellStyle name="Normal 4 2 2 3 2" xfId="518"/>
    <cellStyle name="Normal 4 2 2 3 3" xfId="815"/>
    <cellStyle name="Normal 4 2 2 3 4" xfId="1166"/>
    <cellStyle name="Normal 4 2 2 3 5" xfId="1601"/>
    <cellStyle name="Normal 4 2 2 3 6" xfId="2131"/>
    <cellStyle name="Normal 4 2 2 3 7" xfId="2658"/>
    <cellStyle name="Normal 4 2 2 3 8" xfId="3185"/>
    <cellStyle name="Normal 4 2 2 3 9" xfId="3712"/>
    <cellStyle name="Normal 4 2 2 4" xfId="348"/>
    <cellStyle name="Normal 4 2 2 4 2" xfId="993"/>
    <cellStyle name="Normal 4 2 2 4 3" xfId="1344"/>
    <cellStyle name="Normal 4 2 2 4 4" xfId="1779"/>
    <cellStyle name="Normal 4 2 2 4 5" xfId="2309"/>
    <cellStyle name="Normal 4 2 2 4 6" xfId="2836"/>
    <cellStyle name="Normal 4 2 2 4 7" xfId="3363"/>
    <cellStyle name="Normal 4 2 2 4 8" xfId="3890"/>
    <cellStyle name="Normal 4 2 2 5" xfId="605"/>
    <cellStyle name="Normal 4 2 2 5 2" xfId="1428"/>
    <cellStyle name="Normal 4 2 2 5 3" xfId="1863"/>
    <cellStyle name="Normal 4 2 2 5 4" xfId="2393"/>
    <cellStyle name="Normal 4 2 2 5 5" xfId="2920"/>
    <cellStyle name="Normal 4 2 2 5 6" xfId="3447"/>
    <cellStyle name="Normal 4 2 2 5 7" xfId="3974"/>
    <cellStyle name="Normal 4 2 2 6" xfId="726"/>
    <cellStyle name="Normal 4 2 2 6 2" xfId="4150"/>
    <cellStyle name="Normal 4 2 2 7" xfId="1077"/>
    <cellStyle name="Normal 4 2 2 8" xfId="1512"/>
    <cellStyle name="Normal 4 2 2 9" xfId="2042"/>
    <cellStyle name="Normal 4 2 3" xfId="74"/>
    <cellStyle name="Normal 4 2 3 10" xfId="2577"/>
    <cellStyle name="Normal 4 2 3 11" xfId="3104"/>
    <cellStyle name="Normal 4 2 3 12" xfId="3631"/>
    <cellStyle name="Normal 4 2 3 2" xfId="168"/>
    <cellStyle name="Normal 4 2 3 2 2" xfId="441"/>
    <cellStyle name="Normal 4 2 3 2 2 2" xfId="1960"/>
    <cellStyle name="Normal 4 2 3 2 2 3" xfId="2490"/>
    <cellStyle name="Normal 4 2 3 2 2 4" xfId="3017"/>
    <cellStyle name="Normal 4 2 3 2 2 5" xfId="3544"/>
    <cellStyle name="Normal 4 2 3 2 2 6" xfId="4071"/>
    <cellStyle name="Normal 4 2 3 2 3" xfId="914"/>
    <cellStyle name="Normal 4 2 3 2 4" xfId="1265"/>
    <cellStyle name="Normal 4 2 3 2 5" xfId="1700"/>
    <cellStyle name="Normal 4 2 3 2 6" xfId="2230"/>
    <cellStyle name="Normal 4 2 3 2 7" xfId="2757"/>
    <cellStyle name="Normal 4 2 3 2 8" xfId="3284"/>
    <cellStyle name="Normal 4 2 3 2 9" xfId="3811"/>
    <cellStyle name="Normal 4 2 3 3" xfId="263"/>
    <cellStyle name="Normal 4 2 3 3 2" xfId="526"/>
    <cellStyle name="Normal 4 2 3 3 3" xfId="823"/>
    <cellStyle name="Normal 4 2 3 3 4" xfId="1174"/>
    <cellStyle name="Normal 4 2 3 3 5" xfId="1609"/>
    <cellStyle name="Normal 4 2 3 3 6" xfId="2139"/>
    <cellStyle name="Normal 4 2 3 3 7" xfId="2666"/>
    <cellStyle name="Normal 4 2 3 3 8" xfId="3193"/>
    <cellStyle name="Normal 4 2 3 3 9" xfId="3720"/>
    <cellStyle name="Normal 4 2 3 4" xfId="356"/>
    <cellStyle name="Normal 4 2 3 4 2" xfId="1001"/>
    <cellStyle name="Normal 4 2 3 4 3" xfId="1352"/>
    <cellStyle name="Normal 4 2 3 4 4" xfId="1787"/>
    <cellStyle name="Normal 4 2 3 4 5" xfId="2317"/>
    <cellStyle name="Normal 4 2 3 4 6" xfId="2844"/>
    <cellStyle name="Normal 4 2 3 4 7" xfId="3371"/>
    <cellStyle name="Normal 4 2 3 4 8" xfId="3898"/>
    <cellStyle name="Normal 4 2 3 5" xfId="613"/>
    <cellStyle name="Normal 4 2 3 5 2" xfId="1436"/>
    <cellStyle name="Normal 4 2 3 5 3" xfId="1871"/>
    <cellStyle name="Normal 4 2 3 5 4" xfId="2401"/>
    <cellStyle name="Normal 4 2 3 5 5" xfId="2928"/>
    <cellStyle name="Normal 4 2 3 5 6" xfId="3455"/>
    <cellStyle name="Normal 4 2 3 5 7" xfId="3982"/>
    <cellStyle name="Normal 4 2 3 6" xfId="734"/>
    <cellStyle name="Normal 4 2 3 6 2" xfId="4158"/>
    <cellStyle name="Normal 4 2 3 7" xfId="1085"/>
    <cellStyle name="Normal 4 2 3 8" xfId="1520"/>
    <cellStyle name="Normal 4 2 3 9" xfId="2050"/>
    <cellStyle name="Normal 4 2 4" xfId="82"/>
    <cellStyle name="Normal 4 2 4 10" xfId="2585"/>
    <cellStyle name="Normal 4 2 4 11" xfId="3112"/>
    <cellStyle name="Normal 4 2 4 12" xfId="3639"/>
    <cellStyle name="Normal 4 2 4 2" xfId="176"/>
    <cellStyle name="Normal 4 2 4 2 2" xfId="449"/>
    <cellStyle name="Normal 4 2 4 2 2 2" xfId="1968"/>
    <cellStyle name="Normal 4 2 4 2 2 3" xfId="2498"/>
    <cellStyle name="Normal 4 2 4 2 2 4" xfId="3025"/>
    <cellStyle name="Normal 4 2 4 2 2 5" xfId="3552"/>
    <cellStyle name="Normal 4 2 4 2 2 6" xfId="4079"/>
    <cellStyle name="Normal 4 2 4 2 3" xfId="922"/>
    <cellStyle name="Normal 4 2 4 2 4" xfId="1273"/>
    <cellStyle name="Normal 4 2 4 2 5" xfId="1708"/>
    <cellStyle name="Normal 4 2 4 2 6" xfId="2238"/>
    <cellStyle name="Normal 4 2 4 2 7" xfId="2765"/>
    <cellStyle name="Normal 4 2 4 2 8" xfId="3292"/>
    <cellStyle name="Normal 4 2 4 2 9" xfId="3819"/>
    <cellStyle name="Normal 4 2 4 3" xfId="271"/>
    <cellStyle name="Normal 4 2 4 3 2" xfId="534"/>
    <cellStyle name="Normal 4 2 4 3 3" xfId="831"/>
    <cellStyle name="Normal 4 2 4 3 4" xfId="1182"/>
    <cellStyle name="Normal 4 2 4 3 5" xfId="1617"/>
    <cellStyle name="Normal 4 2 4 3 6" xfId="2147"/>
    <cellStyle name="Normal 4 2 4 3 7" xfId="2674"/>
    <cellStyle name="Normal 4 2 4 3 8" xfId="3201"/>
    <cellStyle name="Normal 4 2 4 3 9" xfId="3728"/>
    <cellStyle name="Normal 4 2 4 4" xfId="364"/>
    <cellStyle name="Normal 4 2 4 4 2" xfId="1009"/>
    <cellStyle name="Normal 4 2 4 4 3" xfId="1360"/>
    <cellStyle name="Normal 4 2 4 4 4" xfId="1795"/>
    <cellStyle name="Normal 4 2 4 4 5" xfId="2325"/>
    <cellStyle name="Normal 4 2 4 4 6" xfId="2852"/>
    <cellStyle name="Normal 4 2 4 4 7" xfId="3379"/>
    <cellStyle name="Normal 4 2 4 4 8" xfId="3906"/>
    <cellStyle name="Normal 4 2 4 5" xfId="621"/>
    <cellStyle name="Normal 4 2 4 5 2" xfId="1444"/>
    <cellStyle name="Normal 4 2 4 5 3" xfId="1879"/>
    <cellStyle name="Normal 4 2 4 5 4" xfId="2409"/>
    <cellStyle name="Normal 4 2 4 5 5" xfId="2936"/>
    <cellStyle name="Normal 4 2 4 5 6" xfId="3463"/>
    <cellStyle name="Normal 4 2 4 5 7" xfId="3990"/>
    <cellStyle name="Normal 4 2 4 6" xfId="742"/>
    <cellStyle name="Normal 4 2 4 6 2" xfId="4166"/>
    <cellStyle name="Normal 4 2 4 7" xfId="1093"/>
    <cellStyle name="Normal 4 2 4 8" xfId="1528"/>
    <cellStyle name="Normal 4 2 4 9" xfId="2058"/>
    <cellStyle name="Normal 4 2 5" xfId="90"/>
    <cellStyle name="Normal 4 2 5 10" xfId="2593"/>
    <cellStyle name="Normal 4 2 5 11" xfId="3120"/>
    <cellStyle name="Normal 4 2 5 12" xfId="3647"/>
    <cellStyle name="Normal 4 2 5 2" xfId="184"/>
    <cellStyle name="Normal 4 2 5 2 2" xfId="457"/>
    <cellStyle name="Normal 4 2 5 2 2 2" xfId="1976"/>
    <cellStyle name="Normal 4 2 5 2 2 3" xfId="2506"/>
    <cellStyle name="Normal 4 2 5 2 2 4" xfId="3033"/>
    <cellStyle name="Normal 4 2 5 2 2 5" xfId="3560"/>
    <cellStyle name="Normal 4 2 5 2 2 6" xfId="4087"/>
    <cellStyle name="Normal 4 2 5 2 3" xfId="930"/>
    <cellStyle name="Normal 4 2 5 2 4" xfId="1281"/>
    <cellStyle name="Normal 4 2 5 2 5" xfId="1716"/>
    <cellStyle name="Normal 4 2 5 2 6" xfId="2246"/>
    <cellStyle name="Normal 4 2 5 2 7" xfId="2773"/>
    <cellStyle name="Normal 4 2 5 2 8" xfId="3300"/>
    <cellStyle name="Normal 4 2 5 2 9" xfId="3827"/>
    <cellStyle name="Normal 4 2 5 3" xfId="279"/>
    <cellStyle name="Normal 4 2 5 3 2" xfId="542"/>
    <cellStyle name="Normal 4 2 5 3 3" xfId="839"/>
    <cellStyle name="Normal 4 2 5 3 4" xfId="1190"/>
    <cellStyle name="Normal 4 2 5 3 5" xfId="1625"/>
    <cellStyle name="Normal 4 2 5 3 6" xfId="2155"/>
    <cellStyle name="Normal 4 2 5 3 7" xfId="2682"/>
    <cellStyle name="Normal 4 2 5 3 8" xfId="3209"/>
    <cellStyle name="Normal 4 2 5 3 9" xfId="3736"/>
    <cellStyle name="Normal 4 2 5 4" xfId="372"/>
    <cellStyle name="Normal 4 2 5 4 2" xfId="1017"/>
    <cellStyle name="Normal 4 2 5 4 3" xfId="1368"/>
    <cellStyle name="Normal 4 2 5 4 4" xfId="1803"/>
    <cellStyle name="Normal 4 2 5 4 5" xfId="2333"/>
    <cellStyle name="Normal 4 2 5 4 6" xfId="2860"/>
    <cellStyle name="Normal 4 2 5 4 7" xfId="3387"/>
    <cellStyle name="Normal 4 2 5 4 8" xfId="3914"/>
    <cellStyle name="Normal 4 2 5 5" xfId="629"/>
    <cellStyle name="Normal 4 2 5 5 2" xfId="1452"/>
    <cellStyle name="Normal 4 2 5 5 3" xfId="1887"/>
    <cellStyle name="Normal 4 2 5 5 4" xfId="2417"/>
    <cellStyle name="Normal 4 2 5 5 5" xfId="2944"/>
    <cellStyle name="Normal 4 2 5 5 6" xfId="3471"/>
    <cellStyle name="Normal 4 2 5 5 7" xfId="3998"/>
    <cellStyle name="Normal 4 2 5 6" xfId="750"/>
    <cellStyle name="Normal 4 2 5 6 2" xfId="4174"/>
    <cellStyle name="Normal 4 2 5 7" xfId="1101"/>
    <cellStyle name="Normal 4 2 5 8" xfId="1536"/>
    <cellStyle name="Normal 4 2 5 9" xfId="2066"/>
    <cellStyle name="Normal 4 2 6" xfId="98"/>
    <cellStyle name="Normal 4 2 6 10" xfId="2601"/>
    <cellStyle name="Normal 4 2 6 11" xfId="3128"/>
    <cellStyle name="Normal 4 2 6 12" xfId="3655"/>
    <cellStyle name="Normal 4 2 6 2" xfId="192"/>
    <cellStyle name="Normal 4 2 6 2 2" xfId="465"/>
    <cellStyle name="Normal 4 2 6 2 2 2" xfId="1984"/>
    <cellStyle name="Normal 4 2 6 2 2 3" xfId="2514"/>
    <cellStyle name="Normal 4 2 6 2 2 4" xfId="3041"/>
    <cellStyle name="Normal 4 2 6 2 2 5" xfId="3568"/>
    <cellStyle name="Normal 4 2 6 2 2 6" xfId="4095"/>
    <cellStyle name="Normal 4 2 6 2 3" xfId="938"/>
    <cellStyle name="Normal 4 2 6 2 4" xfId="1289"/>
    <cellStyle name="Normal 4 2 6 2 5" xfId="1724"/>
    <cellStyle name="Normal 4 2 6 2 6" xfId="2254"/>
    <cellStyle name="Normal 4 2 6 2 7" xfId="2781"/>
    <cellStyle name="Normal 4 2 6 2 8" xfId="3308"/>
    <cellStyle name="Normal 4 2 6 2 9" xfId="3835"/>
    <cellStyle name="Normal 4 2 6 3" xfId="287"/>
    <cellStyle name="Normal 4 2 6 3 2" xfId="550"/>
    <cellStyle name="Normal 4 2 6 3 3" xfId="847"/>
    <cellStyle name="Normal 4 2 6 3 4" xfId="1198"/>
    <cellStyle name="Normal 4 2 6 3 5" xfId="1633"/>
    <cellStyle name="Normal 4 2 6 3 6" xfId="2163"/>
    <cellStyle name="Normal 4 2 6 3 7" xfId="2690"/>
    <cellStyle name="Normal 4 2 6 3 8" xfId="3217"/>
    <cellStyle name="Normal 4 2 6 3 9" xfId="3744"/>
    <cellStyle name="Normal 4 2 6 4" xfId="380"/>
    <cellStyle name="Normal 4 2 6 4 2" xfId="1025"/>
    <cellStyle name="Normal 4 2 6 4 3" xfId="1376"/>
    <cellStyle name="Normal 4 2 6 4 4" xfId="1811"/>
    <cellStyle name="Normal 4 2 6 4 5" xfId="2341"/>
    <cellStyle name="Normal 4 2 6 4 6" xfId="2868"/>
    <cellStyle name="Normal 4 2 6 4 7" xfId="3395"/>
    <cellStyle name="Normal 4 2 6 4 8" xfId="3922"/>
    <cellStyle name="Normal 4 2 6 5" xfId="637"/>
    <cellStyle name="Normal 4 2 6 5 2" xfId="1460"/>
    <cellStyle name="Normal 4 2 6 5 3" xfId="1895"/>
    <cellStyle name="Normal 4 2 6 5 4" xfId="2425"/>
    <cellStyle name="Normal 4 2 6 5 5" xfId="2952"/>
    <cellStyle name="Normal 4 2 6 5 6" xfId="3479"/>
    <cellStyle name="Normal 4 2 6 5 7" xfId="4006"/>
    <cellStyle name="Normal 4 2 6 6" xfId="758"/>
    <cellStyle name="Normal 4 2 6 6 2" xfId="4182"/>
    <cellStyle name="Normal 4 2 6 7" xfId="1109"/>
    <cellStyle name="Normal 4 2 6 8" xfId="1544"/>
    <cellStyle name="Normal 4 2 6 9" xfId="2074"/>
    <cellStyle name="Normal 4 2 7" xfId="38"/>
    <cellStyle name="Normal 4 2 7 10" xfId="2541"/>
    <cellStyle name="Normal 4 2 7 11" xfId="3068"/>
    <cellStyle name="Normal 4 2 7 12" xfId="3595"/>
    <cellStyle name="Normal 4 2 7 2" xfId="132"/>
    <cellStyle name="Normal 4 2 7 2 2" xfId="405"/>
    <cellStyle name="Normal 4 2 7 2 2 2" xfId="1924"/>
    <cellStyle name="Normal 4 2 7 2 2 3" xfId="2454"/>
    <cellStyle name="Normal 4 2 7 2 2 4" xfId="2981"/>
    <cellStyle name="Normal 4 2 7 2 2 5" xfId="3508"/>
    <cellStyle name="Normal 4 2 7 2 2 6" xfId="4035"/>
    <cellStyle name="Normal 4 2 7 2 3" xfId="878"/>
    <cellStyle name="Normal 4 2 7 2 4" xfId="1229"/>
    <cellStyle name="Normal 4 2 7 2 5" xfId="1664"/>
    <cellStyle name="Normal 4 2 7 2 6" xfId="2194"/>
    <cellStyle name="Normal 4 2 7 2 7" xfId="2721"/>
    <cellStyle name="Normal 4 2 7 2 8" xfId="3248"/>
    <cellStyle name="Normal 4 2 7 2 9" xfId="3775"/>
    <cellStyle name="Normal 4 2 7 3" xfId="227"/>
    <cellStyle name="Normal 4 2 7 3 2" xfId="490"/>
    <cellStyle name="Normal 4 2 7 3 3" xfId="787"/>
    <cellStyle name="Normal 4 2 7 3 4" xfId="1138"/>
    <cellStyle name="Normal 4 2 7 3 5" xfId="1573"/>
    <cellStyle name="Normal 4 2 7 3 6" xfId="2103"/>
    <cellStyle name="Normal 4 2 7 3 7" xfId="2630"/>
    <cellStyle name="Normal 4 2 7 3 8" xfId="3157"/>
    <cellStyle name="Normal 4 2 7 3 9" xfId="3684"/>
    <cellStyle name="Normal 4 2 7 4" xfId="320"/>
    <cellStyle name="Normal 4 2 7 4 2" xfId="965"/>
    <cellStyle name="Normal 4 2 7 4 3" xfId="1316"/>
    <cellStyle name="Normal 4 2 7 4 4" xfId="1751"/>
    <cellStyle name="Normal 4 2 7 4 5" xfId="2281"/>
    <cellStyle name="Normal 4 2 7 4 6" xfId="2808"/>
    <cellStyle name="Normal 4 2 7 4 7" xfId="3335"/>
    <cellStyle name="Normal 4 2 7 4 8" xfId="3862"/>
    <cellStyle name="Normal 4 2 7 5" xfId="577"/>
    <cellStyle name="Normal 4 2 7 5 2" xfId="1400"/>
    <cellStyle name="Normal 4 2 7 5 3" xfId="1835"/>
    <cellStyle name="Normal 4 2 7 5 4" xfId="2365"/>
    <cellStyle name="Normal 4 2 7 5 5" xfId="2892"/>
    <cellStyle name="Normal 4 2 7 5 6" xfId="3419"/>
    <cellStyle name="Normal 4 2 7 5 7" xfId="3946"/>
    <cellStyle name="Normal 4 2 7 6" xfId="698"/>
    <cellStyle name="Normal 4 2 7 6 2" xfId="4122"/>
    <cellStyle name="Normal 4 2 7 7" xfId="1049"/>
    <cellStyle name="Normal 4 2 7 8" xfId="1484"/>
    <cellStyle name="Normal 4 2 7 9" xfId="2014"/>
    <cellStyle name="Normal 4 2 8" xfId="124"/>
    <cellStyle name="Normal 4 2 8 2" xfId="397"/>
    <cellStyle name="Normal 4 2 8 2 2" xfId="1916"/>
    <cellStyle name="Normal 4 2 8 2 3" xfId="2446"/>
    <cellStyle name="Normal 4 2 8 2 4" xfId="2973"/>
    <cellStyle name="Normal 4 2 8 2 5" xfId="3500"/>
    <cellStyle name="Normal 4 2 8 2 6" xfId="4027"/>
    <cellStyle name="Normal 4 2 8 3" xfId="870"/>
    <cellStyle name="Normal 4 2 8 4" xfId="1221"/>
    <cellStyle name="Normal 4 2 8 5" xfId="1656"/>
    <cellStyle name="Normal 4 2 8 6" xfId="2186"/>
    <cellStyle name="Normal 4 2 8 7" xfId="2713"/>
    <cellStyle name="Normal 4 2 8 8" xfId="3240"/>
    <cellStyle name="Normal 4 2 8 9" xfId="3767"/>
    <cellStyle name="Normal 4 2 9" xfId="219"/>
    <cellStyle name="Normal 4 2 9 2" xfId="482"/>
    <cellStyle name="Normal 4 2 9 3" xfId="779"/>
    <cellStyle name="Normal 4 2 9 4" xfId="1130"/>
    <cellStyle name="Normal 4 2 9 5" xfId="1565"/>
    <cellStyle name="Normal 4 2 9 6" xfId="2095"/>
    <cellStyle name="Normal 4 2 9 7" xfId="2622"/>
    <cellStyle name="Normal 4 2 9 8" xfId="3149"/>
    <cellStyle name="Normal 4 2 9 9" xfId="3676"/>
    <cellStyle name="Normal 4 20" xfId="686"/>
    <cellStyle name="Normal 4 20 2" xfId="4110"/>
    <cellStyle name="Normal 4 21" xfId="1037"/>
    <cellStyle name="Normal 4 22" xfId="1472"/>
    <cellStyle name="Normal 4 23" xfId="2002"/>
    <cellStyle name="Normal 4 24" xfId="2529"/>
    <cellStyle name="Normal 4 25" xfId="3056"/>
    <cellStyle name="Normal 4 26" xfId="3583"/>
    <cellStyle name="Normal 4 3" xfId="42"/>
    <cellStyle name="Normal 4 3 10" xfId="2545"/>
    <cellStyle name="Normal 4 3 11" xfId="3072"/>
    <cellStyle name="Normal 4 3 12" xfId="3599"/>
    <cellStyle name="Normal 4 3 2" xfId="136"/>
    <cellStyle name="Normal 4 3 2 2" xfId="409"/>
    <cellStyle name="Normal 4 3 2 2 2" xfId="1928"/>
    <cellStyle name="Normal 4 3 2 2 3" xfId="2458"/>
    <cellStyle name="Normal 4 3 2 2 4" xfId="2985"/>
    <cellStyle name="Normal 4 3 2 2 5" xfId="3512"/>
    <cellStyle name="Normal 4 3 2 2 6" xfId="4039"/>
    <cellStyle name="Normal 4 3 2 3" xfId="882"/>
    <cellStyle name="Normal 4 3 2 4" xfId="1233"/>
    <cellStyle name="Normal 4 3 2 5" xfId="1668"/>
    <cellStyle name="Normal 4 3 2 6" xfId="2198"/>
    <cellStyle name="Normal 4 3 2 7" xfId="2725"/>
    <cellStyle name="Normal 4 3 2 8" xfId="3252"/>
    <cellStyle name="Normal 4 3 2 9" xfId="3779"/>
    <cellStyle name="Normal 4 3 3" xfId="231"/>
    <cellStyle name="Normal 4 3 3 2" xfId="494"/>
    <cellStyle name="Normal 4 3 3 3" xfId="791"/>
    <cellStyle name="Normal 4 3 3 4" xfId="1142"/>
    <cellStyle name="Normal 4 3 3 5" xfId="1577"/>
    <cellStyle name="Normal 4 3 3 6" xfId="2107"/>
    <cellStyle name="Normal 4 3 3 7" xfId="2634"/>
    <cellStyle name="Normal 4 3 3 8" xfId="3161"/>
    <cellStyle name="Normal 4 3 3 9" xfId="3688"/>
    <cellStyle name="Normal 4 3 4" xfId="324"/>
    <cellStyle name="Normal 4 3 4 2" xfId="969"/>
    <cellStyle name="Normal 4 3 4 3" xfId="1320"/>
    <cellStyle name="Normal 4 3 4 4" xfId="1755"/>
    <cellStyle name="Normal 4 3 4 5" xfId="2285"/>
    <cellStyle name="Normal 4 3 4 6" xfId="2812"/>
    <cellStyle name="Normal 4 3 4 7" xfId="3339"/>
    <cellStyle name="Normal 4 3 4 8" xfId="3866"/>
    <cellStyle name="Normal 4 3 5" xfId="581"/>
    <cellStyle name="Normal 4 3 5 2" xfId="1404"/>
    <cellStyle name="Normal 4 3 5 3" xfId="1839"/>
    <cellStyle name="Normal 4 3 5 4" xfId="2369"/>
    <cellStyle name="Normal 4 3 5 5" xfId="2896"/>
    <cellStyle name="Normal 4 3 5 6" xfId="3423"/>
    <cellStyle name="Normal 4 3 5 7" xfId="3950"/>
    <cellStyle name="Normal 4 3 6" xfId="702"/>
    <cellStyle name="Normal 4 3 6 2" xfId="4126"/>
    <cellStyle name="Normal 4 3 7" xfId="1053"/>
    <cellStyle name="Normal 4 3 8" xfId="1488"/>
    <cellStyle name="Normal 4 3 9" xfId="2018"/>
    <cellStyle name="Normal 4 4" xfId="46"/>
    <cellStyle name="Normal 4 4 10" xfId="2549"/>
    <cellStyle name="Normal 4 4 11" xfId="3076"/>
    <cellStyle name="Normal 4 4 12" xfId="3603"/>
    <cellStyle name="Normal 4 4 2" xfId="140"/>
    <cellStyle name="Normal 4 4 2 2" xfId="413"/>
    <cellStyle name="Normal 4 4 2 2 2" xfId="1932"/>
    <cellStyle name="Normal 4 4 2 2 3" xfId="2462"/>
    <cellStyle name="Normal 4 4 2 2 4" xfId="2989"/>
    <cellStyle name="Normal 4 4 2 2 5" xfId="3516"/>
    <cellStyle name="Normal 4 4 2 2 6" xfId="4043"/>
    <cellStyle name="Normal 4 4 2 3" xfId="886"/>
    <cellStyle name="Normal 4 4 2 4" xfId="1237"/>
    <cellStyle name="Normal 4 4 2 5" xfId="1672"/>
    <cellStyle name="Normal 4 4 2 6" xfId="2202"/>
    <cellStyle name="Normal 4 4 2 7" xfId="2729"/>
    <cellStyle name="Normal 4 4 2 8" xfId="3256"/>
    <cellStyle name="Normal 4 4 2 9" xfId="3783"/>
    <cellStyle name="Normal 4 4 3" xfId="235"/>
    <cellStyle name="Normal 4 4 3 2" xfId="498"/>
    <cellStyle name="Normal 4 4 3 3" xfId="795"/>
    <cellStyle name="Normal 4 4 3 4" xfId="1146"/>
    <cellStyle name="Normal 4 4 3 5" xfId="1581"/>
    <cellStyle name="Normal 4 4 3 6" xfId="2111"/>
    <cellStyle name="Normal 4 4 3 7" xfId="2638"/>
    <cellStyle name="Normal 4 4 3 8" xfId="3165"/>
    <cellStyle name="Normal 4 4 3 9" xfId="3692"/>
    <cellStyle name="Normal 4 4 4" xfId="328"/>
    <cellStyle name="Normal 4 4 4 2" xfId="973"/>
    <cellStyle name="Normal 4 4 4 3" xfId="1324"/>
    <cellStyle name="Normal 4 4 4 4" xfId="1759"/>
    <cellStyle name="Normal 4 4 4 5" xfId="2289"/>
    <cellStyle name="Normal 4 4 4 6" xfId="2816"/>
    <cellStyle name="Normal 4 4 4 7" xfId="3343"/>
    <cellStyle name="Normal 4 4 4 8" xfId="3870"/>
    <cellStyle name="Normal 4 4 5" xfId="585"/>
    <cellStyle name="Normal 4 4 5 2" xfId="1408"/>
    <cellStyle name="Normal 4 4 5 3" xfId="1843"/>
    <cellStyle name="Normal 4 4 5 4" xfId="2373"/>
    <cellStyle name="Normal 4 4 5 5" xfId="2900"/>
    <cellStyle name="Normal 4 4 5 6" xfId="3427"/>
    <cellStyle name="Normal 4 4 5 7" xfId="3954"/>
    <cellStyle name="Normal 4 4 6" xfId="706"/>
    <cellStyle name="Normal 4 4 6 2" xfId="4130"/>
    <cellStyle name="Normal 4 4 7" xfId="1057"/>
    <cellStyle name="Normal 4 4 8" xfId="1492"/>
    <cellStyle name="Normal 4 4 9" xfId="2022"/>
    <cellStyle name="Normal 4 5" xfId="50"/>
    <cellStyle name="Normal 4 5 10" xfId="2553"/>
    <cellStyle name="Normal 4 5 11" xfId="3080"/>
    <cellStyle name="Normal 4 5 12" xfId="3607"/>
    <cellStyle name="Normal 4 5 2" xfId="144"/>
    <cellStyle name="Normal 4 5 2 2" xfId="417"/>
    <cellStyle name="Normal 4 5 2 2 2" xfId="1936"/>
    <cellStyle name="Normal 4 5 2 2 3" xfId="2466"/>
    <cellStyle name="Normal 4 5 2 2 4" xfId="2993"/>
    <cellStyle name="Normal 4 5 2 2 5" xfId="3520"/>
    <cellStyle name="Normal 4 5 2 2 6" xfId="4047"/>
    <cellStyle name="Normal 4 5 2 3" xfId="890"/>
    <cellStyle name="Normal 4 5 2 4" xfId="1241"/>
    <cellStyle name="Normal 4 5 2 5" xfId="1676"/>
    <cellStyle name="Normal 4 5 2 6" xfId="2206"/>
    <cellStyle name="Normal 4 5 2 7" xfId="2733"/>
    <cellStyle name="Normal 4 5 2 8" xfId="3260"/>
    <cellStyle name="Normal 4 5 2 9" xfId="3787"/>
    <cellStyle name="Normal 4 5 3" xfId="239"/>
    <cellStyle name="Normal 4 5 3 2" xfId="502"/>
    <cellStyle name="Normal 4 5 3 3" xfId="799"/>
    <cellStyle name="Normal 4 5 3 4" xfId="1150"/>
    <cellStyle name="Normal 4 5 3 5" xfId="1585"/>
    <cellStyle name="Normal 4 5 3 6" xfId="2115"/>
    <cellStyle name="Normal 4 5 3 7" xfId="2642"/>
    <cellStyle name="Normal 4 5 3 8" xfId="3169"/>
    <cellStyle name="Normal 4 5 3 9" xfId="3696"/>
    <cellStyle name="Normal 4 5 4" xfId="332"/>
    <cellStyle name="Normal 4 5 4 2" xfId="977"/>
    <cellStyle name="Normal 4 5 4 3" xfId="1328"/>
    <cellStyle name="Normal 4 5 4 4" xfId="1763"/>
    <cellStyle name="Normal 4 5 4 5" xfId="2293"/>
    <cellStyle name="Normal 4 5 4 6" xfId="2820"/>
    <cellStyle name="Normal 4 5 4 7" xfId="3347"/>
    <cellStyle name="Normal 4 5 4 8" xfId="3874"/>
    <cellStyle name="Normal 4 5 5" xfId="589"/>
    <cellStyle name="Normal 4 5 5 2" xfId="1412"/>
    <cellStyle name="Normal 4 5 5 3" xfId="1847"/>
    <cellStyle name="Normal 4 5 5 4" xfId="2377"/>
    <cellStyle name="Normal 4 5 5 5" xfId="2904"/>
    <cellStyle name="Normal 4 5 5 6" xfId="3431"/>
    <cellStyle name="Normal 4 5 5 7" xfId="3958"/>
    <cellStyle name="Normal 4 5 6" xfId="710"/>
    <cellStyle name="Normal 4 5 6 2" xfId="4134"/>
    <cellStyle name="Normal 4 5 7" xfId="1061"/>
    <cellStyle name="Normal 4 5 8" xfId="1496"/>
    <cellStyle name="Normal 4 5 9" xfId="2026"/>
    <cellStyle name="Normal 4 6" xfId="54"/>
    <cellStyle name="Normal 4 6 10" xfId="2557"/>
    <cellStyle name="Normal 4 6 11" xfId="3084"/>
    <cellStyle name="Normal 4 6 12" xfId="3611"/>
    <cellStyle name="Normal 4 6 2" xfId="148"/>
    <cellStyle name="Normal 4 6 2 2" xfId="421"/>
    <cellStyle name="Normal 4 6 2 2 2" xfId="1940"/>
    <cellStyle name="Normal 4 6 2 2 3" xfId="2470"/>
    <cellStyle name="Normal 4 6 2 2 4" xfId="2997"/>
    <cellStyle name="Normal 4 6 2 2 5" xfId="3524"/>
    <cellStyle name="Normal 4 6 2 2 6" xfId="4051"/>
    <cellStyle name="Normal 4 6 2 3" xfId="894"/>
    <cellStyle name="Normal 4 6 2 4" xfId="1245"/>
    <cellStyle name="Normal 4 6 2 5" xfId="1680"/>
    <cellStyle name="Normal 4 6 2 6" xfId="2210"/>
    <cellStyle name="Normal 4 6 2 7" xfId="2737"/>
    <cellStyle name="Normal 4 6 2 8" xfId="3264"/>
    <cellStyle name="Normal 4 6 2 9" xfId="3791"/>
    <cellStyle name="Normal 4 6 3" xfId="243"/>
    <cellStyle name="Normal 4 6 3 2" xfId="506"/>
    <cellStyle name="Normal 4 6 3 3" xfId="803"/>
    <cellStyle name="Normal 4 6 3 4" xfId="1154"/>
    <cellStyle name="Normal 4 6 3 5" xfId="1589"/>
    <cellStyle name="Normal 4 6 3 6" xfId="2119"/>
    <cellStyle name="Normal 4 6 3 7" xfId="2646"/>
    <cellStyle name="Normal 4 6 3 8" xfId="3173"/>
    <cellStyle name="Normal 4 6 3 9" xfId="3700"/>
    <cellStyle name="Normal 4 6 4" xfId="336"/>
    <cellStyle name="Normal 4 6 4 2" xfId="981"/>
    <cellStyle name="Normal 4 6 4 3" xfId="1332"/>
    <cellStyle name="Normal 4 6 4 4" xfId="1767"/>
    <cellStyle name="Normal 4 6 4 5" xfId="2297"/>
    <cellStyle name="Normal 4 6 4 6" xfId="2824"/>
    <cellStyle name="Normal 4 6 4 7" xfId="3351"/>
    <cellStyle name="Normal 4 6 4 8" xfId="3878"/>
    <cellStyle name="Normal 4 6 5" xfId="593"/>
    <cellStyle name="Normal 4 6 5 2" xfId="1416"/>
    <cellStyle name="Normal 4 6 5 3" xfId="1851"/>
    <cellStyle name="Normal 4 6 5 4" xfId="2381"/>
    <cellStyle name="Normal 4 6 5 5" xfId="2908"/>
    <cellStyle name="Normal 4 6 5 6" xfId="3435"/>
    <cellStyle name="Normal 4 6 5 7" xfId="3962"/>
    <cellStyle name="Normal 4 6 6" xfId="714"/>
    <cellStyle name="Normal 4 6 6 2" xfId="4138"/>
    <cellStyle name="Normal 4 6 7" xfId="1065"/>
    <cellStyle name="Normal 4 6 8" xfId="1500"/>
    <cellStyle name="Normal 4 6 9" xfId="2030"/>
    <cellStyle name="Normal 4 7" xfId="58"/>
    <cellStyle name="Normal 4 7 10" xfId="2561"/>
    <cellStyle name="Normal 4 7 11" xfId="3088"/>
    <cellStyle name="Normal 4 7 12" xfId="3615"/>
    <cellStyle name="Normal 4 7 2" xfId="152"/>
    <cellStyle name="Normal 4 7 2 2" xfId="425"/>
    <cellStyle name="Normal 4 7 2 2 2" xfId="1944"/>
    <cellStyle name="Normal 4 7 2 2 3" xfId="2474"/>
    <cellStyle name="Normal 4 7 2 2 4" xfId="3001"/>
    <cellStyle name="Normal 4 7 2 2 5" xfId="3528"/>
    <cellStyle name="Normal 4 7 2 2 6" xfId="4055"/>
    <cellStyle name="Normal 4 7 2 3" xfId="898"/>
    <cellStyle name="Normal 4 7 2 4" xfId="1249"/>
    <cellStyle name="Normal 4 7 2 5" xfId="1684"/>
    <cellStyle name="Normal 4 7 2 6" xfId="2214"/>
    <cellStyle name="Normal 4 7 2 7" xfId="2741"/>
    <cellStyle name="Normal 4 7 2 8" xfId="3268"/>
    <cellStyle name="Normal 4 7 2 9" xfId="3795"/>
    <cellStyle name="Normal 4 7 3" xfId="247"/>
    <cellStyle name="Normal 4 7 3 2" xfId="510"/>
    <cellStyle name="Normal 4 7 3 3" xfId="807"/>
    <cellStyle name="Normal 4 7 3 4" xfId="1158"/>
    <cellStyle name="Normal 4 7 3 5" xfId="1593"/>
    <cellStyle name="Normal 4 7 3 6" xfId="2123"/>
    <cellStyle name="Normal 4 7 3 7" xfId="2650"/>
    <cellStyle name="Normal 4 7 3 8" xfId="3177"/>
    <cellStyle name="Normal 4 7 3 9" xfId="3704"/>
    <cellStyle name="Normal 4 7 4" xfId="340"/>
    <cellStyle name="Normal 4 7 4 2" xfId="985"/>
    <cellStyle name="Normal 4 7 4 3" xfId="1336"/>
    <cellStyle name="Normal 4 7 4 4" xfId="1771"/>
    <cellStyle name="Normal 4 7 4 5" xfId="2301"/>
    <cellStyle name="Normal 4 7 4 6" xfId="2828"/>
    <cellStyle name="Normal 4 7 4 7" xfId="3355"/>
    <cellStyle name="Normal 4 7 4 8" xfId="3882"/>
    <cellStyle name="Normal 4 7 5" xfId="597"/>
    <cellStyle name="Normal 4 7 5 2" xfId="1420"/>
    <cellStyle name="Normal 4 7 5 3" xfId="1855"/>
    <cellStyle name="Normal 4 7 5 4" xfId="2385"/>
    <cellStyle name="Normal 4 7 5 5" xfId="2912"/>
    <cellStyle name="Normal 4 7 5 6" xfId="3439"/>
    <cellStyle name="Normal 4 7 5 7" xfId="3966"/>
    <cellStyle name="Normal 4 7 6" xfId="718"/>
    <cellStyle name="Normal 4 7 6 2" xfId="4142"/>
    <cellStyle name="Normal 4 7 7" xfId="1069"/>
    <cellStyle name="Normal 4 7 8" xfId="1504"/>
    <cellStyle name="Normal 4 7 9" xfId="2034"/>
    <cellStyle name="Normal 4 8" xfId="62"/>
    <cellStyle name="Normal 4 8 10" xfId="2565"/>
    <cellStyle name="Normal 4 8 11" xfId="3092"/>
    <cellStyle name="Normal 4 8 12" xfId="3619"/>
    <cellStyle name="Normal 4 8 2" xfId="156"/>
    <cellStyle name="Normal 4 8 2 2" xfId="429"/>
    <cellStyle name="Normal 4 8 2 2 2" xfId="1948"/>
    <cellStyle name="Normal 4 8 2 2 3" xfId="2478"/>
    <cellStyle name="Normal 4 8 2 2 4" xfId="3005"/>
    <cellStyle name="Normal 4 8 2 2 5" xfId="3532"/>
    <cellStyle name="Normal 4 8 2 2 6" xfId="4059"/>
    <cellStyle name="Normal 4 8 2 3" xfId="902"/>
    <cellStyle name="Normal 4 8 2 4" xfId="1253"/>
    <cellStyle name="Normal 4 8 2 5" xfId="1688"/>
    <cellStyle name="Normal 4 8 2 6" xfId="2218"/>
    <cellStyle name="Normal 4 8 2 7" xfId="2745"/>
    <cellStyle name="Normal 4 8 2 8" xfId="3272"/>
    <cellStyle name="Normal 4 8 2 9" xfId="3799"/>
    <cellStyle name="Normal 4 8 3" xfId="251"/>
    <cellStyle name="Normal 4 8 3 2" xfId="514"/>
    <cellStyle name="Normal 4 8 3 3" xfId="811"/>
    <cellStyle name="Normal 4 8 3 4" xfId="1162"/>
    <cellStyle name="Normal 4 8 3 5" xfId="1597"/>
    <cellStyle name="Normal 4 8 3 6" xfId="2127"/>
    <cellStyle name="Normal 4 8 3 7" xfId="2654"/>
    <cellStyle name="Normal 4 8 3 8" xfId="3181"/>
    <cellStyle name="Normal 4 8 3 9" xfId="3708"/>
    <cellStyle name="Normal 4 8 4" xfId="344"/>
    <cellStyle name="Normal 4 8 4 2" xfId="989"/>
    <cellStyle name="Normal 4 8 4 3" xfId="1340"/>
    <cellStyle name="Normal 4 8 4 4" xfId="1775"/>
    <cellStyle name="Normal 4 8 4 5" xfId="2305"/>
    <cellStyle name="Normal 4 8 4 6" xfId="2832"/>
    <cellStyle name="Normal 4 8 4 7" xfId="3359"/>
    <cellStyle name="Normal 4 8 4 8" xfId="3886"/>
    <cellStyle name="Normal 4 8 5" xfId="601"/>
    <cellStyle name="Normal 4 8 5 2" xfId="1424"/>
    <cellStyle name="Normal 4 8 5 3" xfId="1859"/>
    <cellStyle name="Normal 4 8 5 4" xfId="2389"/>
    <cellStyle name="Normal 4 8 5 5" xfId="2916"/>
    <cellStyle name="Normal 4 8 5 6" xfId="3443"/>
    <cellStyle name="Normal 4 8 5 7" xfId="3970"/>
    <cellStyle name="Normal 4 8 6" xfId="722"/>
    <cellStyle name="Normal 4 8 6 2" xfId="4146"/>
    <cellStyle name="Normal 4 8 7" xfId="1073"/>
    <cellStyle name="Normal 4 8 8" xfId="1508"/>
    <cellStyle name="Normal 4 8 9" xfId="2038"/>
    <cellStyle name="Normal 4 9" xfId="70"/>
    <cellStyle name="Normal 4 9 10" xfId="2573"/>
    <cellStyle name="Normal 4 9 11" xfId="3100"/>
    <cellStyle name="Normal 4 9 12" xfId="3627"/>
    <cellStyle name="Normal 4 9 2" xfId="164"/>
    <cellStyle name="Normal 4 9 2 2" xfId="437"/>
    <cellStyle name="Normal 4 9 2 2 2" xfId="1956"/>
    <cellStyle name="Normal 4 9 2 2 3" xfId="2486"/>
    <cellStyle name="Normal 4 9 2 2 4" xfId="3013"/>
    <cellStyle name="Normal 4 9 2 2 5" xfId="3540"/>
    <cellStyle name="Normal 4 9 2 2 6" xfId="4067"/>
    <cellStyle name="Normal 4 9 2 3" xfId="910"/>
    <cellStyle name="Normal 4 9 2 4" xfId="1261"/>
    <cellStyle name="Normal 4 9 2 5" xfId="1696"/>
    <cellStyle name="Normal 4 9 2 6" xfId="2226"/>
    <cellStyle name="Normal 4 9 2 7" xfId="2753"/>
    <cellStyle name="Normal 4 9 2 8" xfId="3280"/>
    <cellStyle name="Normal 4 9 2 9" xfId="3807"/>
    <cellStyle name="Normal 4 9 3" xfId="259"/>
    <cellStyle name="Normal 4 9 3 2" xfId="522"/>
    <cellStyle name="Normal 4 9 3 3" xfId="819"/>
    <cellStyle name="Normal 4 9 3 4" xfId="1170"/>
    <cellStyle name="Normal 4 9 3 5" xfId="1605"/>
    <cellStyle name="Normal 4 9 3 6" xfId="2135"/>
    <cellStyle name="Normal 4 9 3 7" xfId="2662"/>
    <cellStyle name="Normal 4 9 3 8" xfId="3189"/>
    <cellStyle name="Normal 4 9 3 9" xfId="3716"/>
    <cellStyle name="Normal 4 9 4" xfId="352"/>
    <cellStyle name="Normal 4 9 4 2" xfId="997"/>
    <cellStyle name="Normal 4 9 4 3" xfId="1348"/>
    <cellStyle name="Normal 4 9 4 4" xfId="1783"/>
    <cellStyle name="Normal 4 9 4 5" xfId="2313"/>
    <cellStyle name="Normal 4 9 4 6" xfId="2840"/>
    <cellStyle name="Normal 4 9 4 7" xfId="3367"/>
    <cellStyle name="Normal 4 9 4 8" xfId="3894"/>
    <cellStyle name="Normal 4 9 5" xfId="609"/>
    <cellStyle name="Normal 4 9 5 2" xfId="1432"/>
    <cellStyle name="Normal 4 9 5 3" xfId="1867"/>
    <cellStyle name="Normal 4 9 5 4" xfId="2397"/>
    <cellStyle name="Normal 4 9 5 5" xfId="2924"/>
    <cellStyle name="Normal 4 9 5 6" xfId="3451"/>
    <cellStyle name="Normal 4 9 5 7" xfId="3978"/>
    <cellStyle name="Normal 4 9 6" xfId="730"/>
    <cellStyle name="Normal 4 9 6 2" xfId="4154"/>
    <cellStyle name="Normal 4 9 7" xfId="1081"/>
    <cellStyle name="Normal 4 9 8" xfId="1516"/>
    <cellStyle name="Normal 4 9 9" xfId="2046"/>
    <cellStyle name="Normal 5" xfId="29"/>
    <cellStyle name="Normal 5 10" xfId="81"/>
    <cellStyle name="Normal 5 10 10" xfId="2584"/>
    <cellStyle name="Normal 5 10 11" xfId="3111"/>
    <cellStyle name="Normal 5 10 12" xfId="3638"/>
    <cellStyle name="Normal 5 10 2" xfId="175"/>
    <cellStyle name="Normal 5 10 2 2" xfId="448"/>
    <cellStyle name="Normal 5 10 2 2 2" xfId="1967"/>
    <cellStyle name="Normal 5 10 2 2 3" xfId="2497"/>
    <cellStyle name="Normal 5 10 2 2 4" xfId="3024"/>
    <cellStyle name="Normal 5 10 2 2 5" xfId="3551"/>
    <cellStyle name="Normal 5 10 2 2 6" xfId="4078"/>
    <cellStyle name="Normal 5 10 2 3" xfId="921"/>
    <cellStyle name="Normal 5 10 2 4" xfId="1272"/>
    <cellStyle name="Normal 5 10 2 5" xfId="1707"/>
    <cellStyle name="Normal 5 10 2 6" xfId="2237"/>
    <cellStyle name="Normal 5 10 2 7" xfId="2764"/>
    <cellStyle name="Normal 5 10 2 8" xfId="3291"/>
    <cellStyle name="Normal 5 10 2 9" xfId="3818"/>
    <cellStyle name="Normal 5 10 3" xfId="270"/>
    <cellStyle name="Normal 5 10 3 2" xfId="533"/>
    <cellStyle name="Normal 5 10 3 3" xfId="830"/>
    <cellStyle name="Normal 5 10 3 4" xfId="1181"/>
    <cellStyle name="Normal 5 10 3 5" xfId="1616"/>
    <cellStyle name="Normal 5 10 3 6" xfId="2146"/>
    <cellStyle name="Normal 5 10 3 7" xfId="2673"/>
    <cellStyle name="Normal 5 10 3 8" xfId="3200"/>
    <cellStyle name="Normal 5 10 3 9" xfId="3727"/>
    <cellStyle name="Normal 5 10 4" xfId="363"/>
    <cellStyle name="Normal 5 10 4 2" xfId="1008"/>
    <cellStyle name="Normal 5 10 4 3" xfId="1359"/>
    <cellStyle name="Normal 5 10 4 4" xfId="1794"/>
    <cellStyle name="Normal 5 10 4 5" xfId="2324"/>
    <cellStyle name="Normal 5 10 4 6" xfId="2851"/>
    <cellStyle name="Normal 5 10 4 7" xfId="3378"/>
    <cellStyle name="Normal 5 10 4 8" xfId="3905"/>
    <cellStyle name="Normal 5 10 5" xfId="620"/>
    <cellStyle name="Normal 5 10 5 2" xfId="1443"/>
    <cellStyle name="Normal 5 10 5 3" xfId="1878"/>
    <cellStyle name="Normal 5 10 5 4" xfId="2408"/>
    <cellStyle name="Normal 5 10 5 5" xfId="2935"/>
    <cellStyle name="Normal 5 10 5 6" xfId="3462"/>
    <cellStyle name="Normal 5 10 5 7" xfId="3989"/>
    <cellStyle name="Normal 5 10 6" xfId="741"/>
    <cellStyle name="Normal 5 10 6 2" xfId="4165"/>
    <cellStyle name="Normal 5 10 7" xfId="1092"/>
    <cellStyle name="Normal 5 10 8" xfId="1527"/>
    <cellStyle name="Normal 5 10 9" xfId="2057"/>
    <cellStyle name="Normal 5 11" xfId="89"/>
    <cellStyle name="Normal 5 11 10" xfId="2592"/>
    <cellStyle name="Normal 5 11 11" xfId="3119"/>
    <cellStyle name="Normal 5 11 12" xfId="3646"/>
    <cellStyle name="Normal 5 11 2" xfId="183"/>
    <cellStyle name="Normal 5 11 2 2" xfId="456"/>
    <cellStyle name="Normal 5 11 2 2 2" xfId="1975"/>
    <cellStyle name="Normal 5 11 2 2 3" xfId="2505"/>
    <cellStyle name="Normal 5 11 2 2 4" xfId="3032"/>
    <cellStyle name="Normal 5 11 2 2 5" xfId="3559"/>
    <cellStyle name="Normal 5 11 2 2 6" xfId="4086"/>
    <cellStyle name="Normal 5 11 2 3" xfId="929"/>
    <cellStyle name="Normal 5 11 2 4" xfId="1280"/>
    <cellStyle name="Normal 5 11 2 5" xfId="1715"/>
    <cellStyle name="Normal 5 11 2 6" xfId="2245"/>
    <cellStyle name="Normal 5 11 2 7" xfId="2772"/>
    <cellStyle name="Normal 5 11 2 8" xfId="3299"/>
    <cellStyle name="Normal 5 11 2 9" xfId="3826"/>
    <cellStyle name="Normal 5 11 3" xfId="278"/>
    <cellStyle name="Normal 5 11 3 2" xfId="541"/>
    <cellStyle name="Normal 5 11 3 3" xfId="838"/>
    <cellStyle name="Normal 5 11 3 4" xfId="1189"/>
    <cellStyle name="Normal 5 11 3 5" xfId="1624"/>
    <cellStyle name="Normal 5 11 3 6" xfId="2154"/>
    <cellStyle name="Normal 5 11 3 7" xfId="2681"/>
    <cellStyle name="Normal 5 11 3 8" xfId="3208"/>
    <cellStyle name="Normal 5 11 3 9" xfId="3735"/>
    <cellStyle name="Normal 5 11 4" xfId="371"/>
    <cellStyle name="Normal 5 11 4 2" xfId="1016"/>
    <cellStyle name="Normal 5 11 4 3" xfId="1367"/>
    <cellStyle name="Normal 5 11 4 4" xfId="1802"/>
    <cellStyle name="Normal 5 11 4 5" xfId="2332"/>
    <cellStyle name="Normal 5 11 4 6" xfId="2859"/>
    <cellStyle name="Normal 5 11 4 7" xfId="3386"/>
    <cellStyle name="Normal 5 11 4 8" xfId="3913"/>
    <cellStyle name="Normal 5 11 5" xfId="628"/>
    <cellStyle name="Normal 5 11 5 2" xfId="1451"/>
    <cellStyle name="Normal 5 11 5 3" xfId="1886"/>
    <cellStyle name="Normal 5 11 5 4" xfId="2416"/>
    <cellStyle name="Normal 5 11 5 5" xfId="2943"/>
    <cellStyle name="Normal 5 11 5 6" xfId="3470"/>
    <cellStyle name="Normal 5 11 5 7" xfId="3997"/>
    <cellStyle name="Normal 5 11 6" xfId="749"/>
    <cellStyle name="Normal 5 11 6 2" xfId="4173"/>
    <cellStyle name="Normal 5 11 7" xfId="1100"/>
    <cellStyle name="Normal 5 11 8" xfId="1535"/>
    <cellStyle name="Normal 5 11 9" xfId="2065"/>
    <cellStyle name="Normal 5 12" xfId="97"/>
    <cellStyle name="Normal 5 12 10" xfId="2600"/>
    <cellStyle name="Normal 5 12 11" xfId="3127"/>
    <cellStyle name="Normal 5 12 12" xfId="3654"/>
    <cellStyle name="Normal 5 12 2" xfId="191"/>
    <cellStyle name="Normal 5 12 2 2" xfId="464"/>
    <cellStyle name="Normal 5 12 2 2 2" xfId="1983"/>
    <cellStyle name="Normal 5 12 2 2 3" xfId="2513"/>
    <cellStyle name="Normal 5 12 2 2 4" xfId="3040"/>
    <cellStyle name="Normal 5 12 2 2 5" xfId="3567"/>
    <cellStyle name="Normal 5 12 2 2 6" xfId="4094"/>
    <cellStyle name="Normal 5 12 2 3" xfId="937"/>
    <cellStyle name="Normal 5 12 2 4" xfId="1288"/>
    <cellStyle name="Normal 5 12 2 5" xfId="1723"/>
    <cellStyle name="Normal 5 12 2 6" xfId="2253"/>
    <cellStyle name="Normal 5 12 2 7" xfId="2780"/>
    <cellStyle name="Normal 5 12 2 8" xfId="3307"/>
    <cellStyle name="Normal 5 12 2 9" xfId="3834"/>
    <cellStyle name="Normal 5 12 3" xfId="286"/>
    <cellStyle name="Normal 5 12 3 2" xfId="549"/>
    <cellStyle name="Normal 5 12 3 3" xfId="846"/>
    <cellStyle name="Normal 5 12 3 4" xfId="1197"/>
    <cellStyle name="Normal 5 12 3 5" xfId="1632"/>
    <cellStyle name="Normal 5 12 3 6" xfId="2162"/>
    <cellStyle name="Normal 5 12 3 7" xfId="2689"/>
    <cellStyle name="Normal 5 12 3 8" xfId="3216"/>
    <cellStyle name="Normal 5 12 3 9" xfId="3743"/>
    <cellStyle name="Normal 5 12 4" xfId="379"/>
    <cellStyle name="Normal 5 12 4 2" xfId="1024"/>
    <cellStyle name="Normal 5 12 4 3" xfId="1375"/>
    <cellStyle name="Normal 5 12 4 4" xfId="1810"/>
    <cellStyle name="Normal 5 12 4 5" xfId="2340"/>
    <cellStyle name="Normal 5 12 4 6" xfId="2867"/>
    <cellStyle name="Normal 5 12 4 7" xfId="3394"/>
    <cellStyle name="Normal 5 12 4 8" xfId="3921"/>
    <cellStyle name="Normal 5 12 5" xfId="636"/>
    <cellStyle name="Normal 5 12 5 2" xfId="1459"/>
    <cellStyle name="Normal 5 12 5 3" xfId="1894"/>
    <cellStyle name="Normal 5 12 5 4" xfId="2424"/>
    <cellStyle name="Normal 5 12 5 5" xfId="2951"/>
    <cellStyle name="Normal 5 12 5 6" xfId="3478"/>
    <cellStyle name="Normal 5 12 5 7" xfId="4005"/>
    <cellStyle name="Normal 5 12 6" xfId="757"/>
    <cellStyle name="Normal 5 12 6 2" xfId="4181"/>
    <cellStyle name="Normal 5 12 7" xfId="1108"/>
    <cellStyle name="Normal 5 12 8" xfId="1543"/>
    <cellStyle name="Normal 5 12 9" xfId="2073"/>
    <cellStyle name="Normal 5 13" xfId="105"/>
    <cellStyle name="Normal 5 13 10" xfId="2608"/>
    <cellStyle name="Normal 5 13 11" xfId="3135"/>
    <cellStyle name="Normal 5 13 12" xfId="3662"/>
    <cellStyle name="Normal 5 13 2" xfId="199"/>
    <cellStyle name="Normal 5 13 2 2" xfId="472"/>
    <cellStyle name="Normal 5 13 2 2 2" xfId="1991"/>
    <cellStyle name="Normal 5 13 2 2 3" xfId="2521"/>
    <cellStyle name="Normal 5 13 2 2 4" xfId="3048"/>
    <cellStyle name="Normal 5 13 2 2 5" xfId="3575"/>
    <cellStyle name="Normal 5 13 2 2 6" xfId="4102"/>
    <cellStyle name="Normal 5 13 2 3" xfId="945"/>
    <cellStyle name="Normal 5 13 2 4" xfId="1296"/>
    <cellStyle name="Normal 5 13 2 5" xfId="1731"/>
    <cellStyle name="Normal 5 13 2 6" xfId="2261"/>
    <cellStyle name="Normal 5 13 2 7" xfId="2788"/>
    <cellStyle name="Normal 5 13 2 8" xfId="3315"/>
    <cellStyle name="Normal 5 13 2 9" xfId="3842"/>
    <cellStyle name="Normal 5 13 3" xfId="294"/>
    <cellStyle name="Normal 5 13 3 2" xfId="557"/>
    <cellStyle name="Normal 5 13 3 3" xfId="854"/>
    <cellStyle name="Normal 5 13 3 4" xfId="1205"/>
    <cellStyle name="Normal 5 13 3 5" xfId="1640"/>
    <cellStyle name="Normal 5 13 3 6" xfId="2170"/>
    <cellStyle name="Normal 5 13 3 7" xfId="2697"/>
    <cellStyle name="Normal 5 13 3 8" xfId="3224"/>
    <cellStyle name="Normal 5 13 3 9" xfId="3751"/>
    <cellStyle name="Normal 5 13 4" xfId="387"/>
    <cellStyle name="Normal 5 13 4 2" xfId="1032"/>
    <cellStyle name="Normal 5 13 4 3" xfId="1383"/>
    <cellStyle name="Normal 5 13 4 4" xfId="1818"/>
    <cellStyle name="Normal 5 13 4 5" xfId="2348"/>
    <cellStyle name="Normal 5 13 4 6" xfId="2875"/>
    <cellStyle name="Normal 5 13 4 7" xfId="3402"/>
    <cellStyle name="Normal 5 13 4 8" xfId="3929"/>
    <cellStyle name="Normal 5 13 5" xfId="644"/>
    <cellStyle name="Normal 5 13 5 2" xfId="1467"/>
    <cellStyle name="Normal 5 13 5 3" xfId="1902"/>
    <cellStyle name="Normal 5 13 5 4" xfId="2432"/>
    <cellStyle name="Normal 5 13 5 5" xfId="2959"/>
    <cellStyle name="Normal 5 13 5 6" xfId="3486"/>
    <cellStyle name="Normal 5 13 5 7" xfId="4013"/>
    <cellStyle name="Normal 5 13 6" xfId="765"/>
    <cellStyle name="Normal 5 13 6 2" xfId="4189"/>
    <cellStyle name="Normal 5 13 7" xfId="1116"/>
    <cellStyle name="Normal 5 13 8" xfId="1551"/>
    <cellStyle name="Normal 5 13 9" xfId="2081"/>
    <cellStyle name="Normal 5 14" xfId="37"/>
    <cellStyle name="Normal 5 14 10" xfId="2540"/>
    <cellStyle name="Normal 5 14 11" xfId="3067"/>
    <cellStyle name="Normal 5 14 12" xfId="3594"/>
    <cellStyle name="Normal 5 14 2" xfId="131"/>
    <cellStyle name="Normal 5 14 2 2" xfId="404"/>
    <cellStyle name="Normal 5 14 2 2 2" xfId="1923"/>
    <cellStyle name="Normal 5 14 2 2 3" xfId="2453"/>
    <cellStyle name="Normal 5 14 2 2 4" xfId="2980"/>
    <cellStyle name="Normal 5 14 2 2 5" xfId="3507"/>
    <cellStyle name="Normal 5 14 2 2 6" xfId="4034"/>
    <cellStyle name="Normal 5 14 2 3" xfId="877"/>
    <cellStyle name="Normal 5 14 2 4" xfId="1228"/>
    <cellStyle name="Normal 5 14 2 5" xfId="1663"/>
    <cellStyle name="Normal 5 14 2 6" xfId="2193"/>
    <cellStyle name="Normal 5 14 2 7" xfId="2720"/>
    <cellStyle name="Normal 5 14 2 8" xfId="3247"/>
    <cellStyle name="Normal 5 14 2 9" xfId="3774"/>
    <cellStyle name="Normal 5 14 3" xfId="226"/>
    <cellStyle name="Normal 5 14 3 2" xfId="489"/>
    <cellStyle name="Normal 5 14 3 3" xfId="786"/>
    <cellStyle name="Normal 5 14 3 4" xfId="1137"/>
    <cellStyle name="Normal 5 14 3 5" xfId="1572"/>
    <cellStyle name="Normal 5 14 3 6" xfId="2102"/>
    <cellStyle name="Normal 5 14 3 7" xfId="2629"/>
    <cellStyle name="Normal 5 14 3 8" xfId="3156"/>
    <cellStyle name="Normal 5 14 3 9" xfId="3683"/>
    <cellStyle name="Normal 5 14 4" xfId="319"/>
    <cellStyle name="Normal 5 14 4 2" xfId="964"/>
    <cellStyle name="Normal 5 14 4 3" xfId="1315"/>
    <cellStyle name="Normal 5 14 4 4" xfId="1750"/>
    <cellStyle name="Normal 5 14 4 5" xfId="2280"/>
    <cellStyle name="Normal 5 14 4 6" xfId="2807"/>
    <cellStyle name="Normal 5 14 4 7" xfId="3334"/>
    <cellStyle name="Normal 5 14 4 8" xfId="3861"/>
    <cellStyle name="Normal 5 14 5" xfId="576"/>
    <cellStyle name="Normal 5 14 5 2" xfId="1399"/>
    <cellStyle name="Normal 5 14 5 3" xfId="1834"/>
    <cellStyle name="Normal 5 14 5 4" xfId="2364"/>
    <cellStyle name="Normal 5 14 5 5" xfId="2891"/>
    <cellStyle name="Normal 5 14 5 6" xfId="3418"/>
    <cellStyle name="Normal 5 14 5 7" xfId="3945"/>
    <cellStyle name="Normal 5 14 6" xfId="697"/>
    <cellStyle name="Normal 5 14 6 2" xfId="4121"/>
    <cellStyle name="Normal 5 14 7" xfId="1048"/>
    <cellStyle name="Normal 5 14 8" xfId="1483"/>
    <cellStyle name="Normal 5 14 9" xfId="2013"/>
    <cellStyle name="Normal 5 15" xfId="109"/>
    <cellStyle name="Normal 5 15 10" xfId="2612"/>
    <cellStyle name="Normal 5 15 11" xfId="3139"/>
    <cellStyle name="Normal 5 15 12" xfId="3666"/>
    <cellStyle name="Normal 5 15 2" xfId="203"/>
    <cellStyle name="Normal 5 15 2 2" xfId="476"/>
    <cellStyle name="Normal 5 15 2 2 2" xfId="1995"/>
    <cellStyle name="Normal 5 15 2 2 3" xfId="2525"/>
    <cellStyle name="Normal 5 15 2 2 4" xfId="3052"/>
    <cellStyle name="Normal 5 15 2 2 5" xfId="3579"/>
    <cellStyle name="Normal 5 15 2 2 6" xfId="4106"/>
    <cellStyle name="Normal 5 15 2 3" xfId="949"/>
    <cellStyle name="Normal 5 15 2 4" xfId="1300"/>
    <cellStyle name="Normal 5 15 2 5" xfId="1735"/>
    <cellStyle name="Normal 5 15 2 6" xfId="2265"/>
    <cellStyle name="Normal 5 15 2 7" xfId="2792"/>
    <cellStyle name="Normal 5 15 2 8" xfId="3319"/>
    <cellStyle name="Normal 5 15 2 9" xfId="3846"/>
    <cellStyle name="Normal 5 15 3" xfId="298"/>
    <cellStyle name="Normal 5 15 3 2" xfId="561"/>
    <cellStyle name="Normal 5 15 3 3" xfId="858"/>
    <cellStyle name="Normal 5 15 3 4" xfId="1209"/>
    <cellStyle name="Normal 5 15 3 5" xfId="1644"/>
    <cellStyle name="Normal 5 15 3 6" xfId="2174"/>
    <cellStyle name="Normal 5 15 3 7" xfId="2701"/>
    <cellStyle name="Normal 5 15 3 8" xfId="3228"/>
    <cellStyle name="Normal 5 15 3 9" xfId="3755"/>
    <cellStyle name="Normal 5 15 4" xfId="391"/>
    <cellStyle name="Normal 5 15 4 2" xfId="1036"/>
    <cellStyle name="Normal 5 15 4 3" xfId="1387"/>
    <cellStyle name="Normal 5 15 4 4" xfId="1822"/>
    <cellStyle name="Normal 5 15 4 5" xfId="2352"/>
    <cellStyle name="Normal 5 15 4 6" xfId="2879"/>
    <cellStyle name="Normal 5 15 4 7" xfId="3406"/>
    <cellStyle name="Normal 5 15 4 8" xfId="3933"/>
    <cellStyle name="Normal 5 15 5" xfId="648"/>
    <cellStyle name="Normal 5 15 5 2" xfId="1471"/>
    <cellStyle name="Normal 5 15 5 3" xfId="1906"/>
    <cellStyle name="Normal 5 15 5 4" xfId="2436"/>
    <cellStyle name="Normal 5 15 5 5" xfId="2963"/>
    <cellStyle name="Normal 5 15 5 6" xfId="3490"/>
    <cellStyle name="Normal 5 15 5 7" xfId="4017"/>
    <cellStyle name="Normal 5 15 6" xfId="769"/>
    <cellStyle name="Normal 5 15 6 2" xfId="4193"/>
    <cellStyle name="Normal 5 15 7" xfId="1120"/>
    <cellStyle name="Normal 5 15 8" xfId="1555"/>
    <cellStyle name="Normal 5 15 9" xfId="2085"/>
    <cellStyle name="Normal 5 16" xfId="123"/>
    <cellStyle name="Normal 5 16 2" xfId="396"/>
    <cellStyle name="Normal 5 16 2 2" xfId="1915"/>
    <cellStyle name="Normal 5 16 2 3" xfId="2445"/>
    <cellStyle name="Normal 5 16 2 4" xfId="2972"/>
    <cellStyle name="Normal 5 16 2 5" xfId="3499"/>
    <cellStyle name="Normal 5 16 2 6" xfId="4026"/>
    <cellStyle name="Normal 5 16 3" xfId="869"/>
    <cellStyle name="Normal 5 16 4" xfId="1220"/>
    <cellStyle name="Normal 5 16 5" xfId="1655"/>
    <cellStyle name="Normal 5 16 6" xfId="2185"/>
    <cellStyle name="Normal 5 16 7" xfId="2712"/>
    <cellStyle name="Normal 5 16 8" xfId="3239"/>
    <cellStyle name="Normal 5 16 9" xfId="3766"/>
    <cellStyle name="Normal 5 17" xfId="218"/>
    <cellStyle name="Normal 5 17 2" xfId="481"/>
    <cellStyle name="Normal 5 17 3" xfId="778"/>
    <cellStyle name="Normal 5 17 4" xfId="1129"/>
    <cellStyle name="Normal 5 17 5" xfId="1564"/>
    <cellStyle name="Normal 5 17 6" xfId="2094"/>
    <cellStyle name="Normal 5 17 7" xfId="2621"/>
    <cellStyle name="Normal 5 17 8" xfId="3148"/>
    <cellStyle name="Normal 5 17 9" xfId="3675"/>
    <cellStyle name="Normal 5 18" xfId="311"/>
    <cellStyle name="Normal 5 18 2" xfId="956"/>
    <cellStyle name="Normal 5 18 3" xfId="1307"/>
    <cellStyle name="Normal 5 18 4" xfId="1742"/>
    <cellStyle name="Normal 5 18 5" xfId="2272"/>
    <cellStyle name="Normal 5 18 6" xfId="2799"/>
    <cellStyle name="Normal 5 18 7" xfId="3326"/>
    <cellStyle name="Normal 5 18 8" xfId="3853"/>
    <cellStyle name="Normal 5 19" xfId="568"/>
    <cellStyle name="Normal 5 19 2" xfId="1391"/>
    <cellStyle name="Normal 5 19 3" xfId="1826"/>
    <cellStyle name="Normal 5 19 4" xfId="2356"/>
    <cellStyle name="Normal 5 19 5" xfId="2883"/>
    <cellStyle name="Normal 5 19 6" xfId="3410"/>
    <cellStyle name="Normal 5 19 7" xfId="3937"/>
    <cellStyle name="Normal 5 2" xfId="33"/>
    <cellStyle name="Normal 5 2 10" xfId="315"/>
    <cellStyle name="Normal 5 2 10 2" xfId="960"/>
    <cellStyle name="Normal 5 2 10 3" xfId="1311"/>
    <cellStyle name="Normal 5 2 10 4" xfId="1746"/>
    <cellStyle name="Normal 5 2 10 5" xfId="2276"/>
    <cellStyle name="Normal 5 2 10 6" xfId="2803"/>
    <cellStyle name="Normal 5 2 10 7" xfId="3330"/>
    <cellStyle name="Normal 5 2 10 8" xfId="3857"/>
    <cellStyle name="Normal 5 2 11" xfId="572"/>
    <cellStyle name="Normal 5 2 11 2" xfId="1395"/>
    <cellStyle name="Normal 5 2 11 3" xfId="1830"/>
    <cellStyle name="Normal 5 2 11 4" xfId="2360"/>
    <cellStyle name="Normal 5 2 11 5" xfId="2887"/>
    <cellStyle name="Normal 5 2 11 6" xfId="3414"/>
    <cellStyle name="Normal 5 2 11 7" xfId="3941"/>
    <cellStyle name="Normal 5 2 12" xfId="693"/>
    <cellStyle name="Normal 5 2 12 2" xfId="4117"/>
    <cellStyle name="Normal 5 2 13" xfId="1044"/>
    <cellStyle name="Normal 5 2 14" xfId="1479"/>
    <cellStyle name="Normal 5 2 15" xfId="2009"/>
    <cellStyle name="Normal 5 2 16" xfId="2536"/>
    <cellStyle name="Normal 5 2 17" xfId="3063"/>
    <cellStyle name="Normal 5 2 18" xfId="3590"/>
    <cellStyle name="Normal 5 2 2" xfId="69"/>
    <cellStyle name="Normal 5 2 2 10" xfId="2572"/>
    <cellStyle name="Normal 5 2 2 11" xfId="3099"/>
    <cellStyle name="Normal 5 2 2 12" xfId="3626"/>
    <cellStyle name="Normal 5 2 2 2" xfId="163"/>
    <cellStyle name="Normal 5 2 2 2 2" xfId="436"/>
    <cellStyle name="Normal 5 2 2 2 2 2" xfId="1955"/>
    <cellStyle name="Normal 5 2 2 2 2 3" xfId="2485"/>
    <cellStyle name="Normal 5 2 2 2 2 4" xfId="3012"/>
    <cellStyle name="Normal 5 2 2 2 2 5" xfId="3539"/>
    <cellStyle name="Normal 5 2 2 2 2 6" xfId="4066"/>
    <cellStyle name="Normal 5 2 2 2 3" xfId="909"/>
    <cellStyle name="Normal 5 2 2 2 4" xfId="1260"/>
    <cellStyle name="Normal 5 2 2 2 5" xfId="1695"/>
    <cellStyle name="Normal 5 2 2 2 6" xfId="2225"/>
    <cellStyle name="Normal 5 2 2 2 7" xfId="2752"/>
    <cellStyle name="Normal 5 2 2 2 8" xfId="3279"/>
    <cellStyle name="Normal 5 2 2 2 9" xfId="3806"/>
    <cellStyle name="Normal 5 2 2 3" xfId="258"/>
    <cellStyle name="Normal 5 2 2 3 2" xfId="521"/>
    <cellStyle name="Normal 5 2 2 3 3" xfId="818"/>
    <cellStyle name="Normal 5 2 2 3 4" xfId="1169"/>
    <cellStyle name="Normal 5 2 2 3 5" xfId="1604"/>
    <cellStyle name="Normal 5 2 2 3 6" xfId="2134"/>
    <cellStyle name="Normal 5 2 2 3 7" xfId="2661"/>
    <cellStyle name="Normal 5 2 2 3 8" xfId="3188"/>
    <cellStyle name="Normal 5 2 2 3 9" xfId="3715"/>
    <cellStyle name="Normal 5 2 2 4" xfId="351"/>
    <cellStyle name="Normal 5 2 2 4 2" xfId="996"/>
    <cellStyle name="Normal 5 2 2 4 3" xfId="1347"/>
    <cellStyle name="Normal 5 2 2 4 4" xfId="1782"/>
    <cellStyle name="Normal 5 2 2 4 5" xfId="2312"/>
    <cellStyle name="Normal 5 2 2 4 6" xfId="2839"/>
    <cellStyle name="Normal 5 2 2 4 7" xfId="3366"/>
    <cellStyle name="Normal 5 2 2 4 8" xfId="3893"/>
    <cellStyle name="Normal 5 2 2 5" xfId="608"/>
    <cellStyle name="Normal 5 2 2 5 2" xfId="1431"/>
    <cellStyle name="Normal 5 2 2 5 3" xfId="1866"/>
    <cellStyle name="Normal 5 2 2 5 4" xfId="2396"/>
    <cellStyle name="Normal 5 2 2 5 5" xfId="2923"/>
    <cellStyle name="Normal 5 2 2 5 6" xfId="3450"/>
    <cellStyle name="Normal 5 2 2 5 7" xfId="3977"/>
    <cellStyle name="Normal 5 2 2 6" xfId="729"/>
    <cellStyle name="Normal 5 2 2 6 2" xfId="4153"/>
    <cellStyle name="Normal 5 2 2 7" xfId="1080"/>
    <cellStyle name="Normal 5 2 2 8" xfId="1515"/>
    <cellStyle name="Normal 5 2 2 9" xfId="2045"/>
    <cellStyle name="Normal 5 2 3" xfId="77"/>
    <cellStyle name="Normal 5 2 3 10" xfId="2580"/>
    <cellStyle name="Normal 5 2 3 11" xfId="3107"/>
    <cellStyle name="Normal 5 2 3 12" xfId="3634"/>
    <cellStyle name="Normal 5 2 3 2" xfId="171"/>
    <cellStyle name="Normal 5 2 3 2 2" xfId="444"/>
    <cellStyle name="Normal 5 2 3 2 2 2" xfId="1963"/>
    <cellStyle name="Normal 5 2 3 2 2 3" xfId="2493"/>
    <cellStyle name="Normal 5 2 3 2 2 4" xfId="3020"/>
    <cellStyle name="Normal 5 2 3 2 2 5" xfId="3547"/>
    <cellStyle name="Normal 5 2 3 2 2 6" xfId="4074"/>
    <cellStyle name="Normal 5 2 3 2 3" xfId="917"/>
    <cellStyle name="Normal 5 2 3 2 4" xfId="1268"/>
    <cellStyle name="Normal 5 2 3 2 5" xfId="1703"/>
    <cellStyle name="Normal 5 2 3 2 6" xfId="2233"/>
    <cellStyle name="Normal 5 2 3 2 7" xfId="2760"/>
    <cellStyle name="Normal 5 2 3 2 8" xfId="3287"/>
    <cellStyle name="Normal 5 2 3 2 9" xfId="3814"/>
    <cellStyle name="Normal 5 2 3 3" xfId="266"/>
    <cellStyle name="Normal 5 2 3 3 2" xfId="529"/>
    <cellStyle name="Normal 5 2 3 3 3" xfId="826"/>
    <cellStyle name="Normal 5 2 3 3 4" xfId="1177"/>
    <cellStyle name="Normal 5 2 3 3 5" xfId="1612"/>
    <cellStyle name="Normal 5 2 3 3 6" xfId="2142"/>
    <cellStyle name="Normal 5 2 3 3 7" xfId="2669"/>
    <cellStyle name="Normal 5 2 3 3 8" xfId="3196"/>
    <cellStyle name="Normal 5 2 3 3 9" xfId="3723"/>
    <cellStyle name="Normal 5 2 3 4" xfId="359"/>
    <cellStyle name="Normal 5 2 3 4 2" xfId="1004"/>
    <cellStyle name="Normal 5 2 3 4 3" xfId="1355"/>
    <cellStyle name="Normal 5 2 3 4 4" xfId="1790"/>
    <cellStyle name="Normal 5 2 3 4 5" xfId="2320"/>
    <cellStyle name="Normal 5 2 3 4 6" xfId="2847"/>
    <cellStyle name="Normal 5 2 3 4 7" xfId="3374"/>
    <cellStyle name="Normal 5 2 3 4 8" xfId="3901"/>
    <cellStyle name="Normal 5 2 3 5" xfId="616"/>
    <cellStyle name="Normal 5 2 3 5 2" xfId="1439"/>
    <cellStyle name="Normal 5 2 3 5 3" xfId="1874"/>
    <cellStyle name="Normal 5 2 3 5 4" xfId="2404"/>
    <cellStyle name="Normal 5 2 3 5 5" xfId="2931"/>
    <cellStyle name="Normal 5 2 3 5 6" xfId="3458"/>
    <cellStyle name="Normal 5 2 3 5 7" xfId="3985"/>
    <cellStyle name="Normal 5 2 3 6" xfId="737"/>
    <cellStyle name="Normal 5 2 3 6 2" xfId="4161"/>
    <cellStyle name="Normal 5 2 3 7" xfId="1088"/>
    <cellStyle name="Normal 5 2 3 8" xfId="1523"/>
    <cellStyle name="Normal 5 2 3 9" xfId="2053"/>
    <cellStyle name="Normal 5 2 4" xfId="85"/>
    <cellStyle name="Normal 5 2 4 10" xfId="2588"/>
    <cellStyle name="Normal 5 2 4 11" xfId="3115"/>
    <cellStyle name="Normal 5 2 4 12" xfId="3642"/>
    <cellStyle name="Normal 5 2 4 2" xfId="179"/>
    <cellStyle name="Normal 5 2 4 2 2" xfId="452"/>
    <cellStyle name="Normal 5 2 4 2 2 2" xfId="1971"/>
    <cellStyle name="Normal 5 2 4 2 2 3" xfId="2501"/>
    <cellStyle name="Normal 5 2 4 2 2 4" xfId="3028"/>
    <cellStyle name="Normal 5 2 4 2 2 5" xfId="3555"/>
    <cellStyle name="Normal 5 2 4 2 2 6" xfId="4082"/>
    <cellStyle name="Normal 5 2 4 2 3" xfId="925"/>
    <cellStyle name="Normal 5 2 4 2 4" xfId="1276"/>
    <cellStyle name="Normal 5 2 4 2 5" xfId="1711"/>
    <cellStyle name="Normal 5 2 4 2 6" xfId="2241"/>
    <cellStyle name="Normal 5 2 4 2 7" xfId="2768"/>
    <cellStyle name="Normal 5 2 4 2 8" xfId="3295"/>
    <cellStyle name="Normal 5 2 4 2 9" xfId="3822"/>
    <cellStyle name="Normal 5 2 4 3" xfId="274"/>
    <cellStyle name="Normal 5 2 4 3 2" xfId="537"/>
    <cellStyle name="Normal 5 2 4 3 3" xfId="834"/>
    <cellStyle name="Normal 5 2 4 3 4" xfId="1185"/>
    <cellStyle name="Normal 5 2 4 3 5" xfId="1620"/>
    <cellStyle name="Normal 5 2 4 3 6" xfId="2150"/>
    <cellStyle name="Normal 5 2 4 3 7" xfId="2677"/>
    <cellStyle name="Normal 5 2 4 3 8" xfId="3204"/>
    <cellStyle name="Normal 5 2 4 3 9" xfId="3731"/>
    <cellStyle name="Normal 5 2 4 4" xfId="367"/>
    <cellStyle name="Normal 5 2 4 4 2" xfId="1012"/>
    <cellStyle name="Normal 5 2 4 4 3" xfId="1363"/>
    <cellStyle name="Normal 5 2 4 4 4" xfId="1798"/>
    <cellStyle name="Normal 5 2 4 4 5" xfId="2328"/>
    <cellStyle name="Normal 5 2 4 4 6" xfId="2855"/>
    <cellStyle name="Normal 5 2 4 4 7" xfId="3382"/>
    <cellStyle name="Normal 5 2 4 4 8" xfId="3909"/>
    <cellStyle name="Normal 5 2 4 5" xfId="624"/>
    <cellStyle name="Normal 5 2 4 5 2" xfId="1447"/>
    <cellStyle name="Normal 5 2 4 5 3" xfId="1882"/>
    <cellStyle name="Normal 5 2 4 5 4" xfId="2412"/>
    <cellStyle name="Normal 5 2 4 5 5" xfId="2939"/>
    <cellStyle name="Normal 5 2 4 5 6" xfId="3466"/>
    <cellStyle name="Normal 5 2 4 5 7" xfId="3993"/>
    <cellStyle name="Normal 5 2 4 6" xfId="745"/>
    <cellStyle name="Normal 5 2 4 6 2" xfId="4169"/>
    <cellStyle name="Normal 5 2 4 7" xfId="1096"/>
    <cellStyle name="Normal 5 2 4 8" xfId="1531"/>
    <cellStyle name="Normal 5 2 4 9" xfId="2061"/>
    <cellStyle name="Normal 5 2 5" xfId="93"/>
    <cellStyle name="Normal 5 2 5 10" xfId="2596"/>
    <cellStyle name="Normal 5 2 5 11" xfId="3123"/>
    <cellStyle name="Normal 5 2 5 12" xfId="3650"/>
    <cellStyle name="Normal 5 2 5 2" xfId="187"/>
    <cellStyle name="Normal 5 2 5 2 2" xfId="460"/>
    <cellStyle name="Normal 5 2 5 2 2 2" xfId="1979"/>
    <cellStyle name="Normal 5 2 5 2 2 3" xfId="2509"/>
    <cellStyle name="Normal 5 2 5 2 2 4" xfId="3036"/>
    <cellStyle name="Normal 5 2 5 2 2 5" xfId="3563"/>
    <cellStyle name="Normal 5 2 5 2 2 6" xfId="4090"/>
    <cellStyle name="Normal 5 2 5 2 3" xfId="933"/>
    <cellStyle name="Normal 5 2 5 2 4" xfId="1284"/>
    <cellStyle name="Normal 5 2 5 2 5" xfId="1719"/>
    <cellStyle name="Normal 5 2 5 2 6" xfId="2249"/>
    <cellStyle name="Normal 5 2 5 2 7" xfId="2776"/>
    <cellStyle name="Normal 5 2 5 2 8" xfId="3303"/>
    <cellStyle name="Normal 5 2 5 2 9" xfId="3830"/>
    <cellStyle name="Normal 5 2 5 3" xfId="282"/>
    <cellStyle name="Normal 5 2 5 3 2" xfId="545"/>
    <cellStyle name="Normal 5 2 5 3 3" xfId="842"/>
    <cellStyle name="Normal 5 2 5 3 4" xfId="1193"/>
    <cellStyle name="Normal 5 2 5 3 5" xfId="1628"/>
    <cellStyle name="Normal 5 2 5 3 6" xfId="2158"/>
    <cellStyle name="Normal 5 2 5 3 7" xfId="2685"/>
    <cellStyle name="Normal 5 2 5 3 8" xfId="3212"/>
    <cellStyle name="Normal 5 2 5 3 9" xfId="3739"/>
    <cellStyle name="Normal 5 2 5 4" xfId="375"/>
    <cellStyle name="Normal 5 2 5 4 2" xfId="1020"/>
    <cellStyle name="Normal 5 2 5 4 3" xfId="1371"/>
    <cellStyle name="Normal 5 2 5 4 4" xfId="1806"/>
    <cellStyle name="Normal 5 2 5 4 5" xfId="2336"/>
    <cellStyle name="Normal 5 2 5 4 6" xfId="2863"/>
    <cellStyle name="Normal 5 2 5 4 7" xfId="3390"/>
    <cellStyle name="Normal 5 2 5 4 8" xfId="3917"/>
    <cellStyle name="Normal 5 2 5 5" xfId="632"/>
    <cellStyle name="Normal 5 2 5 5 2" xfId="1455"/>
    <cellStyle name="Normal 5 2 5 5 3" xfId="1890"/>
    <cellStyle name="Normal 5 2 5 5 4" xfId="2420"/>
    <cellStyle name="Normal 5 2 5 5 5" xfId="2947"/>
    <cellStyle name="Normal 5 2 5 5 6" xfId="3474"/>
    <cellStyle name="Normal 5 2 5 5 7" xfId="4001"/>
    <cellStyle name="Normal 5 2 5 6" xfId="753"/>
    <cellStyle name="Normal 5 2 5 6 2" xfId="4177"/>
    <cellStyle name="Normal 5 2 5 7" xfId="1104"/>
    <cellStyle name="Normal 5 2 5 8" xfId="1539"/>
    <cellStyle name="Normal 5 2 5 9" xfId="2069"/>
    <cellStyle name="Normal 5 2 6" xfId="101"/>
    <cellStyle name="Normal 5 2 6 10" xfId="2604"/>
    <cellStyle name="Normal 5 2 6 11" xfId="3131"/>
    <cellStyle name="Normal 5 2 6 12" xfId="3658"/>
    <cellStyle name="Normal 5 2 6 2" xfId="195"/>
    <cellStyle name="Normal 5 2 6 2 2" xfId="468"/>
    <cellStyle name="Normal 5 2 6 2 2 2" xfId="1987"/>
    <cellStyle name="Normal 5 2 6 2 2 3" xfId="2517"/>
    <cellStyle name="Normal 5 2 6 2 2 4" xfId="3044"/>
    <cellStyle name="Normal 5 2 6 2 2 5" xfId="3571"/>
    <cellStyle name="Normal 5 2 6 2 2 6" xfId="4098"/>
    <cellStyle name="Normal 5 2 6 2 3" xfId="941"/>
    <cellStyle name="Normal 5 2 6 2 4" xfId="1292"/>
    <cellStyle name="Normal 5 2 6 2 5" xfId="1727"/>
    <cellStyle name="Normal 5 2 6 2 6" xfId="2257"/>
    <cellStyle name="Normal 5 2 6 2 7" xfId="2784"/>
    <cellStyle name="Normal 5 2 6 2 8" xfId="3311"/>
    <cellStyle name="Normal 5 2 6 2 9" xfId="3838"/>
    <cellStyle name="Normal 5 2 6 3" xfId="290"/>
    <cellStyle name="Normal 5 2 6 3 2" xfId="553"/>
    <cellStyle name="Normal 5 2 6 3 3" xfId="850"/>
    <cellStyle name="Normal 5 2 6 3 4" xfId="1201"/>
    <cellStyle name="Normal 5 2 6 3 5" xfId="1636"/>
    <cellStyle name="Normal 5 2 6 3 6" xfId="2166"/>
    <cellStyle name="Normal 5 2 6 3 7" xfId="2693"/>
    <cellStyle name="Normal 5 2 6 3 8" xfId="3220"/>
    <cellStyle name="Normal 5 2 6 3 9" xfId="3747"/>
    <cellStyle name="Normal 5 2 6 4" xfId="383"/>
    <cellStyle name="Normal 5 2 6 4 2" xfId="1028"/>
    <cellStyle name="Normal 5 2 6 4 3" xfId="1379"/>
    <cellStyle name="Normal 5 2 6 4 4" xfId="1814"/>
    <cellStyle name="Normal 5 2 6 4 5" xfId="2344"/>
    <cellStyle name="Normal 5 2 6 4 6" xfId="2871"/>
    <cellStyle name="Normal 5 2 6 4 7" xfId="3398"/>
    <cellStyle name="Normal 5 2 6 4 8" xfId="3925"/>
    <cellStyle name="Normal 5 2 6 5" xfId="640"/>
    <cellStyle name="Normal 5 2 6 5 2" xfId="1463"/>
    <cellStyle name="Normal 5 2 6 5 3" xfId="1898"/>
    <cellStyle name="Normal 5 2 6 5 4" xfId="2428"/>
    <cellStyle name="Normal 5 2 6 5 5" xfId="2955"/>
    <cellStyle name="Normal 5 2 6 5 6" xfId="3482"/>
    <cellStyle name="Normal 5 2 6 5 7" xfId="4009"/>
    <cellStyle name="Normal 5 2 6 6" xfId="761"/>
    <cellStyle name="Normal 5 2 6 6 2" xfId="4185"/>
    <cellStyle name="Normal 5 2 6 7" xfId="1112"/>
    <cellStyle name="Normal 5 2 6 8" xfId="1547"/>
    <cellStyle name="Normal 5 2 6 9" xfId="2077"/>
    <cellStyle name="Normal 5 2 7" xfId="41"/>
    <cellStyle name="Normal 5 2 7 10" xfId="2544"/>
    <cellStyle name="Normal 5 2 7 11" xfId="3071"/>
    <cellStyle name="Normal 5 2 7 12" xfId="3598"/>
    <cellStyle name="Normal 5 2 7 2" xfId="135"/>
    <cellStyle name="Normal 5 2 7 2 2" xfId="408"/>
    <cellStyle name="Normal 5 2 7 2 2 2" xfId="1927"/>
    <cellStyle name="Normal 5 2 7 2 2 3" xfId="2457"/>
    <cellStyle name="Normal 5 2 7 2 2 4" xfId="2984"/>
    <cellStyle name="Normal 5 2 7 2 2 5" xfId="3511"/>
    <cellStyle name="Normal 5 2 7 2 2 6" xfId="4038"/>
    <cellStyle name="Normal 5 2 7 2 3" xfId="881"/>
    <cellStyle name="Normal 5 2 7 2 4" xfId="1232"/>
    <cellStyle name="Normal 5 2 7 2 5" xfId="1667"/>
    <cellStyle name="Normal 5 2 7 2 6" xfId="2197"/>
    <cellStyle name="Normal 5 2 7 2 7" xfId="2724"/>
    <cellStyle name="Normal 5 2 7 2 8" xfId="3251"/>
    <cellStyle name="Normal 5 2 7 2 9" xfId="3778"/>
    <cellStyle name="Normal 5 2 7 3" xfId="230"/>
    <cellStyle name="Normal 5 2 7 3 2" xfId="493"/>
    <cellStyle name="Normal 5 2 7 3 3" xfId="790"/>
    <cellStyle name="Normal 5 2 7 3 4" xfId="1141"/>
    <cellStyle name="Normal 5 2 7 3 5" xfId="1576"/>
    <cellStyle name="Normal 5 2 7 3 6" xfId="2106"/>
    <cellStyle name="Normal 5 2 7 3 7" xfId="2633"/>
    <cellStyle name="Normal 5 2 7 3 8" xfId="3160"/>
    <cellStyle name="Normal 5 2 7 3 9" xfId="3687"/>
    <cellStyle name="Normal 5 2 7 4" xfId="323"/>
    <cellStyle name="Normal 5 2 7 4 2" xfId="968"/>
    <cellStyle name="Normal 5 2 7 4 3" xfId="1319"/>
    <cellStyle name="Normal 5 2 7 4 4" xfId="1754"/>
    <cellStyle name="Normal 5 2 7 4 5" xfId="2284"/>
    <cellStyle name="Normal 5 2 7 4 6" xfId="2811"/>
    <cellStyle name="Normal 5 2 7 4 7" xfId="3338"/>
    <cellStyle name="Normal 5 2 7 4 8" xfId="3865"/>
    <cellStyle name="Normal 5 2 7 5" xfId="580"/>
    <cellStyle name="Normal 5 2 7 5 2" xfId="1403"/>
    <cellStyle name="Normal 5 2 7 5 3" xfId="1838"/>
    <cellStyle name="Normal 5 2 7 5 4" xfId="2368"/>
    <cellStyle name="Normal 5 2 7 5 5" xfId="2895"/>
    <cellStyle name="Normal 5 2 7 5 6" xfId="3422"/>
    <cellStyle name="Normal 5 2 7 5 7" xfId="3949"/>
    <cellStyle name="Normal 5 2 7 6" xfId="701"/>
    <cellStyle name="Normal 5 2 7 6 2" xfId="4125"/>
    <cellStyle name="Normal 5 2 7 7" xfId="1052"/>
    <cellStyle name="Normal 5 2 7 8" xfId="1487"/>
    <cellStyle name="Normal 5 2 7 9" xfId="2017"/>
    <cellStyle name="Normal 5 2 8" xfId="127"/>
    <cellStyle name="Normal 5 2 8 2" xfId="400"/>
    <cellStyle name="Normal 5 2 8 2 2" xfId="1919"/>
    <cellStyle name="Normal 5 2 8 2 3" xfId="2449"/>
    <cellStyle name="Normal 5 2 8 2 4" xfId="2976"/>
    <cellStyle name="Normal 5 2 8 2 5" xfId="3503"/>
    <cellStyle name="Normal 5 2 8 2 6" xfId="4030"/>
    <cellStyle name="Normal 5 2 8 3" xfId="873"/>
    <cellStyle name="Normal 5 2 8 4" xfId="1224"/>
    <cellStyle name="Normal 5 2 8 5" xfId="1659"/>
    <cellStyle name="Normal 5 2 8 6" xfId="2189"/>
    <cellStyle name="Normal 5 2 8 7" xfId="2716"/>
    <cellStyle name="Normal 5 2 8 8" xfId="3243"/>
    <cellStyle name="Normal 5 2 8 9" xfId="3770"/>
    <cellStyle name="Normal 5 2 9" xfId="222"/>
    <cellStyle name="Normal 5 2 9 2" xfId="485"/>
    <cellStyle name="Normal 5 2 9 3" xfId="782"/>
    <cellStyle name="Normal 5 2 9 4" xfId="1133"/>
    <cellStyle name="Normal 5 2 9 5" xfId="1568"/>
    <cellStyle name="Normal 5 2 9 6" xfId="2098"/>
    <cellStyle name="Normal 5 2 9 7" xfId="2625"/>
    <cellStyle name="Normal 5 2 9 8" xfId="3152"/>
    <cellStyle name="Normal 5 2 9 9" xfId="3679"/>
    <cellStyle name="Normal 5 20" xfId="689"/>
    <cellStyle name="Normal 5 20 2" xfId="4113"/>
    <cellStyle name="Normal 5 21" xfId="1040"/>
    <cellStyle name="Normal 5 22" xfId="1475"/>
    <cellStyle name="Normal 5 23" xfId="2005"/>
    <cellStyle name="Normal 5 24" xfId="2532"/>
    <cellStyle name="Normal 5 25" xfId="3059"/>
    <cellStyle name="Normal 5 26" xfId="3586"/>
    <cellStyle name="Normal 5 3" xfId="45"/>
    <cellStyle name="Normal 5 3 10" xfId="2548"/>
    <cellStyle name="Normal 5 3 11" xfId="3075"/>
    <cellStyle name="Normal 5 3 12" xfId="3602"/>
    <cellStyle name="Normal 5 3 2" xfId="139"/>
    <cellStyle name="Normal 5 3 2 2" xfId="412"/>
    <cellStyle name="Normal 5 3 2 2 2" xfId="1931"/>
    <cellStyle name="Normal 5 3 2 2 3" xfId="2461"/>
    <cellStyle name="Normal 5 3 2 2 4" xfId="2988"/>
    <cellStyle name="Normal 5 3 2 2 5" xfId="3515"/>
    <cellStyle name="Normal 5 3 2 2 6" xfId="4042"/>
    <cellStyle name="Normal 5 3 2 3" xfId="885"/>
    <cellStyle name="Normal 5 3 2 4" xfId="1236"/>
    <cellStyle name="Normal 5 3 2 5" xfId="1671"/>
    <cellStyle name="Normal 5 3 2 6" xfId="2201"/>
    <cellStyle name="Normal 5 3 2 7" xfId="2728"/>
    <cellStyle name="Normal 5 3 2 8" xfId="3255"/>
    <cellStyle name="Normal 5 3 2 9" xfId="3782"/>
    <cellStyle name="Normal 5 3 3" xfId="234"/>
    <cellStyle name="Normal 5 3 3 2" xfId="497"/>
    <cellStyle name="Normal 5 3 3 3" xfId="794"/>
    <cellStyle name="Normal 5 3 3 4" xfId="1145"/>
    <cellStyle name="Normal 5 3 3 5" xfId="1580"/>
    <cellStyle name="Normal 5 3 3 6" xfId="2110"/>
    <cellStyle name="Normal 5 3 3 7" xfId="2637"/>
    <cellStyle name="Normal 5 3 3 8" xfId="3164"/>
    <cellStyle name="Normal 5 3 3 9" xfId="3691"/>
    <cellStyle name="Normal 5 3 4" xfId="327"/>
    <cellStyle name="Normal 5 3 4 2" xfId="972"/>
    <cellStyle name="Normal 5 3 4 3" xfId="1323"/>
    <cellStyle name="Normal 5 3 4 4" xfId="1758"/>
    <cellStyle name="Normal 5 3 4 5" xfId="2288"/>
    <cellStyle name="Normal 5 3 4 6" xfId="2815"/>
    <cellStyle name="Normal 5 3 4 7" xfId="3342"/>
    <cellStyle name="Normal 5 3 4 8" xfId="3869"/>
    <cellStyle name="Normal 5 3 5" xfId="584"/>
    <cellStyle name="Normal 5 3 5 2" xfId="1407"/>
    <cellStyle name="Normal 5 3 5 3" xfId="1842"/>
    <cellStyle name="Normal 5 3 5 4" xfId="2372"/>
    <cellStyle name="Normal 5 3 5 5" xfId="2899"/>
    <cellStyle name="Normal 5 3 5 6" xfId="3426"/>
    <cellStyle name="Normal 5 3 5 7" xfId="3953"/>
    <cellStyle name="Normal 5 3 6" xfId="705"/>
    <cellStyle name="Normal 5 3 6 2" xfId="4129"/>
    <cellStyle name="Normal 5 3 7" xfId="1056"/>
    <cellStyle name="Normal 5 3 8" xfId="1491"/>
    <cellStyle name="Normal 5 3 9" xfId="2021"/>
    <cellStyle name="Normal 5 4" xfId="49"/>
    <cellStyle name="Normal 5 4 10" xfId="2552"/>
    <cellStyle name="Normal 5 4 11" xfId="3079"/>
    <cellStyle name="Normal 5 4 12" xfId="3606"/>
    <cellStyle name="Normal 5 4 2" xfId="143"/>
    <cellStyle name="Normal 5 4 2 2" xfId="416"/>
    <cellStyle name="Normal 5 4 2 2 2" xfId="1935"/>
    <cellStyle name="Normal 5 4 2 2 3" xfId="2465"/>
    <cellStyle name="Normal 5 4 2 2 4" xfId="2992"/>
    <cellStyle name="Normal 5 4 2 2 5" xfId="3519"/>
    <cellStyle name="Normal 5 4 2 2 6" xfId="4046"/>
    <cellStyle name="Normal 5 4 2 3" xfId="889"/>
    <cellStyle name="Normal 5 4 2 4" xfId="1240"/>
    <cellStyle name="Normal 5 4 2 5" xfId="1675"/>
    <cellStyle name="Normal 5 4 2 6" xfId="2205"/>
    <cellStyle name="Normal 5 4 2 7" xfId="2732"/>
    <cellStyle name="Normal 5 4 2 8" xfId="3259"/>
    <cellStyle name="Normal 5 4 2 9" xfId="3786"/>
    <cellStyle name="Normal 5 4 3" xfId="238"/>
    <cellStyle name="Normal 5 4 3 2" xfId="501"/>
    <cellStyle name="Normal 5 4 3 3" xfId="798"/>
    <cellStyle name="Normal 5 4 3 4" xfId="1149"/>
    <cellStyle name="Normal 5 4 3 5" xfId="1584"/>
    <cellStyle name="Normal 5 4 3 6" xfId="2114"/>
    <cellStyle name="Normal 5 4 3 7" xfId="2641"/>
    <cellStyle name="Normal 5 4 3 8" xfId="3168"/>
    <cellStyle name="Normal 5 4 3 9" xfId="3695"/>
    <cellStyle name="Normal 5 4 4" xfId="331"/>
    <cellStyle name="Normal 5 4 4 2" xfId="976"/>
    <cellStyle name="Normal 5 4 4 3" xfId="1327"/>
    <cellStyle name="Normal 5 4 4 4" xfId="1762"/>
    <cellStyle name="Normal 5 4 4 5" xfId="2292"/>
    <cellStyle name="Normal 5 4 4 6" xfId="2819"/>
    <cellStyle name="Normal 5 4 4 7" xfId="3346"/>
    <cellStyle name="Normal 5 4 4 8" xfId="3873"/>
    <cellStyle name="Normal 5 4 5" xfId="588"/>
    <cellStyle name="Normal 5 4 5 2" xfId="1411"/>
    <cellStyle name="Normal 5 4 5 3" xfId="1846"/>
    <cellStyle name="Normal 5 4 5 4" xfId="2376"/>
    <cellStyle name="Normal 5 4 5 5" xfId="2903"/>
    <cellStyle name="Normal 5 4 5 6" xfId="3430"/>
    <cellStyle name="Normal 5 4 5 7" xfId="3957"/>
    <cellStyle name="Normal 5 4 6" xfId="709"/>
    <cellStyle name="Normal 5 4 6 2" xfId="4133"/>
    <cellStyle name="Normal 5 4 7" xfId="1060"/>
    <cellStyle name="Normal 5 4 8" xfId="1495"/>
    <cellStyle name="Normal 5 4 9" xfId="2025"/>
    <cellStyle name="Normal 5 5" xfId="53"/>
    <cellStyle name="Normal 5 5 10" xfId="2556"/>
    <cellStyle name="Normal 5 5 11" xfId="3083"/>
    <cellStyle name="Normal 5 5 12" xfId="3610"/>
    <cellStyle name="Normal 5 5 2" xfId="147"/>
    <cellStyle name="Normal 5 5 2 2" xfId="420"/>
    <cellStyle name="Normal 5 5 2 2 2" xfId="1939"/>
    <cellStyle name="Normal 5 5 2 2 3" xfId="2469"/>
    <cellStyle name="Normal 5 5 2 2 4" xfId="2996"/>
    <cellStyle name="Normal 5 5 2 2 5" xfId="3523"/>
    <cellStyle name="Normal 5 5 2 2 6" xfId="4050"/>
    <cellStyle name="Normal 5 5 2 3" xfId="893"/>
    <cellStyle name="Normal 5 5 2 4" xfId="1244"/>
    <cellStyle name="Normal 5 5 2 5" xfId="1679"/>
    <cellStyle name="Normal 5 5 2 6" xfId="2209"/>
    <cellStyle name="Normal 5 5 2 7" xfId="2736"/>
    <cellStyle name="Normal 5 5 2 8" xfId="3263"/>
    <cellStyle name="Normal 5 5 2 9" xfId="3790"/>
    <cellStyle name="Normal 5 5 3" xfId="242"/>
    <cellStyle name="Normal 5 5 3 2" xfId="505"/>
    <cellStyle name="Normal 5 5 3 3" xfId="802"/>
    <cellStyle name="Normal 5 5 3 4" xfId="1153"/>
    <cellStyle name="Normal 5 5 3 5" xfId="1588"/>
    <cellStyle name="Normal 5 5 3 6" xfId="2118"/>
    <cellStyle name="Normal 5 5 3 7" xfId="2645"/>
    <cellStyle name="Normal 5 5 3 8" xfId="3172"/>
    <cellStyle name="Normal 5 5 3 9" xfId="3699"/>
    <cellStyle name="Normal 5 5 4" xfId="335"/>
    <cellStyle name="Normal 5 5 4 2" xfId="980"/>
    <cellStyle name="Normal 5 5 4 3" xfId="1331"/>
    <cellStyle name="Normal 5 5 4 4" xfId="1766"/>
    <cellStyle name="Normal 5 5 4 5" xfId="2296"/>
    <cellStyle name="Normal 5 5 4 6" xfId="2823"/>
    <cellStyle name="Normal 5 5 4 7" xfId="3350"/>
    <cellStyle name="Normal 5 5 4 8" xfId="3877"/>
    <cellStyle name="Normal 5 5 5" xfId="592"/>
    <cellStyle name="Normal 5 5 5 2" xfId="1415"/>
    <cellStyle name="Normal 5 5 5 3" xfId="1850"/>
    <cellStyle name="Normal 5 5 5 4" xfId="2380"/>
    <cellStyle name="Normal 5 5 5 5" xfId="2907"/>
    <cellStyle name="Normal 5 5 5 6" xfId="3434"/>
    <cellStyle name="Normal 5 5 5 7" xfId="3961"/>
    <cellStyle name="Normal 5 5 6" xfId="713"/>
    <cellStyle name="Normal 5 5 6 2" xfId="4137"/>
    <cellStyle name="Normal 5 5 7" xfId="1064"/>
    <cellStyle name="Normal 5 5 8" xfId="1499"/>
    <cellStyle name="Normal 5 5 9" xfId="2029"/>
    <cellStyle name="Normal 5 6" xfId="57"/>
    <cellStyle name="Normal 5 6 10" xfId="2560"/>
    <cellStyle name="Normal 5 6 11" xfId="3087"/>
    <cellStyle name="Normal 5 6 12" xfId="3614"/>
    <cellStyle name="Normal 5 6 2" xfId="151"/>
    <cellStyle name="Normal 5 6 2 2" xfId="424"/>
    <cellStyle name="Normal 5 6 2 2 2" xfId="1943"/>
    <cellStyle name="Normal 5 6 2 2 3" xfId="2473"/>
    <cellStyle name="Normal 5 6 2 2 4" xfId="3000"/>
    <cellStyle name="Normal 5 6 2 2 5" xfId="3527"/>
    <cellStyle name="Normal 5 6 2 2 6" xfId="4054"/>
    <cellStyle name="Normal 5 6 2 3" xfId="897"/>
    <cellStyle name="Normal 5 6 2 4" xfId="1248"/>
    <cellStyle name="Normal 5 6 2 5" xfId="1683"/>
    <cellStyle name="Normal 5 6 2 6" xfId="2213"/>
    <cellStyle name="Normal 5 6 2 7" xfId="2740"/>
    <cellStyle name="Normal 5 6 2 8" xfId="3267"/>
    <cellStyle name="Normal 5 6 2 9" xfId="3794"/>
    <cellStyle name="Normal 5 6 3" xfId="246"/>
    <cellStyle name="Normal 5 6 3 2" xfId="509"/>
    <cellStyle name="Normal 5 6 3 3" xfId="806"/>
    <cellStyle name="Normal 5 6 3 4" xfId="1157"/>
    <cellStyle name="Normal 5 6 3 5" xfId="1592"/>
    <cellStyle name="Normal 5 6 3 6" xfId="2122"/>
    <cellStyle name="Normal 5 6 3 7" xfId="2649"/>
    <cellStyle name="Normal 5 6 3 8" xfId="3176"/>
    <cellStyle name="Normal 5 6 3 9" xfId="3703"/>
    <cellStyle name="Normal 5 6 4" xfId="339"/>
    <cellStyle name="Normal 5 6 4 2" xfId="984"/>
    <cellStyle name="Normal 5 6 4 3" xfId="1335"/>
    <cellStyle name="Normal 5 6 4 4" xfId="1770"/>
    <cellStyle name="Normal 5 6 4 5" xfId="2300"/>
    <cellStyle name="Normal 5 6 4 6" xfId="2827"/>
    <cellStyle name="Normal 5 6 4 7" xfId="3354"/>
    <cellStyle name="Normal 5 6 4 8" xfId="3881"/>
    <cellStyle name="Normal 5 6 5" xfId="596"/>
    <cellStyle name="Normal 5 6 5 2" xfId="1419"/>
    <cellStyle name="Normal 5 6 5 3" xfId="1854"/>
    <cellStyle name="Normal 5 6 5 4" xfId="2384"/>
    <cellStyle name="Normal 5 6 5 5" xfId="2911"/>
    <cellStyle name="Normal 5 6 5 6" xfId="3438"/>
    <cellStyle name="Normal 5 6 5 7" xfId="3965"/>
    <cellStyle name="Normal 5 6 6" xfId="717"/>
    <cellStyle name="Normal 5 6 6 2" xfId="4141"/>
    <cellStyle name="Normal 5 6 7" xfId="1068"/>
    <cellStyle name="Normal 5 6 8" xfId="1503"/>
    <cellStyle name="Normal 5 6 9" xfId="2033"/>
    <cellStyle name="Normal 5 7" xfId="61"/>
    <cellStyle name="Normal 5 7 10" xfId="2564"/>
    <cellStyle name="Normal 5 7 11" xfId="3091"/>
    <cellStyle name="Normal 5 7 12" xfId="3618"/>
    <cellStyle name="Normal 5 7 2" xfId="155"/>
    <cellStyle name="Normal 5 7 2 2" xfId="428"/>
    <cellStyle name="Normal 5 7 2 2 2" xfId="1947"/>
    <cellStyle name="Normal 5 7 2 2 3" xfId="2477"/>
    <cellStyle name="Normal 5 7 2 2 4" xfId="3004"/>
    <cellStyle name="Normal 5 7 2 2 5" xfId="3531"/>
    <cellStyle name="Normal 5 7 2 2 6" xfId="4058"/>
    <cellStyle name="Normal 5 7 2 3" xfId="901"/>
    <cellStyle name="Normal 5 7 2 4" xfId="1252"/>
    <cellStyle name="Normal 5 7 2 5" xfId="1687"/>
    <cellStyle name="Normal 5 7 2 6" xfId="2217"/>
    <cellStyle name="Normal 5 7 2 7" xfId="2744"/>
    <cellStyle name="Normal 5 7 2 8" xfId="3271"/>
    <cellStyle name="Normal 5 7 2 9" xfId="3798"/>
    <cellStyle name="Normal 5 7 3" xfId="250"/>
    <cellStyle name="Normal 5 7 3 2" xfId="513"/>
    <cellStyle name="Normal 5 7 3 3" xfId="810"/>
    <cellStyle name="Normal 5 7 3 4" xfId="1161"/>
    <cellStyle name="Normal 5 7 3 5" xfId="1596"/>
    <cellStyle name="Normal 5 7 3 6" xfId="2126"/>
    <cellStyle name="Normal 5 7 3 7" xfId="2653"/>
    <cellStyle name="Normal 5 7 3 8" xfId="3180"/>
    <cellStyle name="Normal 5 7 3 9" xfId="3707"/>
    <cellStyle name="Normal 5 7 4" xfId="343"/>
    <cellStyle name="Normal 5 7 4 2" xfId="988"/>
    <cellStyle name="Normal 5 7 4 3" xfId="1339"/>
    <cellStyle name="Normal 5 7 4 4" xfId="1774"/>
    <cellStyle name="Normal 5 7 4 5" xfId="2304"/>
    <cellStyle name="Normal 5 7 4 6" xfId="2831"/>
    <cellStyle name="Normal 5 7 4 7" xfId="3358"/>
    <cellStyle name="Normal 5 7 4 8" xfId="3885"/>
    <cellStyle name="Normal 5 7 5" xfId="600"/>
    <cellStyle name="Normal 5 7 5 2" xfId="1423"/>
    <cellStyle name="Normal 5 7 5 3" xfId="1858"/>
    <cellStyle name="Normal 5 7 5 4" xfId="2388"/>
    <cellStyle name="Normal 5 7 5 5" xfId="2915"/>
    <cellStyle name="Normal 5 7 5 6" xfId="3442"/>
    <cellStyle name="Normal 5 7 5 7" xfId="3969"/>
    <cellStyle name="Normal 5 7 6" xfId="721"/>
    <cellStyle name="Normal 5 7 6 2" xfId="4145"/>
    <cellStyle name="Normal 5 7 7" xfId="1072"/>
    <cellStyle name="Normal 5 7 8" xfId="1507"/>
    <cellStyle name="Normal 5 7 9" xfId="2037"/>
    <cellStyle name="Normal 5 8" xfId="65"/>
    <cellStyle name="Normal 5 8 10" xfId="2568"/>
    <cellStyle name="Normal 5 8 11" xfId="3095"/>
    <cellStyle name="Normal 5 8 12" xfId="3622"/>
    <cellStyle name="Normal 5 8 2" xfId="159"/>
    <cellStyle name="Normal 5 8 2 2" xfId="432"/>
    <cellStyle name="Normal 5 8 2 2 2" xfId="1951"/>
    <cellStyle name="Normal 5 8 2 2 3" xfId="2481"/>
    <cellStyle name="Normal 5 8 2 2 4" xfId="3008"/>
    <cellStyle name="Normal 5 8 2 2 5" xfId="3535"/>
    <cellStyle name="Normal 5 8 2 2 6" xfId="4062"/>
    <cellStyle name="Normal 5 8 2 3" xfId="905"/>
    <cellStyle name="Normal 5 8 2 4" xfId="1256"/>
    <cellStyle name="Normal 5 8 2 5" xfId="1691"/>
    <cellStyle name="Normal 5 8 2 6" xfId="2221"/>
    <cellStyle name="Normal 5 8 2 7" xfId="2748"/>
    <cellStyle name="Normal 5 8 2 8" xfId="3275"/>
    <cellStyle name="Normal 5 8 2 9" xfId="3802"/>
    <cellStyle name="Normal 5 8 3" xfId="254"/>
    <cellStyle name="Normal 5 8 3 2" xfId="517"/>
    <cellStyle name="Normal 5 8 3 3" xfId="814"/>
    <cellStyle name="Normal 5 8 3 4" xfId="1165"/>
    <cellStyle name="Normal 5 8 3 5" xfId="1600"/>
    <cellStyle name="Normal 5 8 3 6" xfId="2130"/>
    <cellStyle name="Normal 5 8 3 7" xfId="2657"/>
    <cellStyle name="Normal 5 8 3 8" xfId="3184"/>
    <cellStyle name="Normal 5 8 3 9" xfId="3711"/>
    <cellStyle name="Normal 5 8 4" xfId="347"/>
    <cellStyle name="Normal 5 8 4 2" xfId="992"/>
    <cellStyle name="Normal 5 8 4 3" xfId="1343"/>
    <cellStyle name="Normal 5 8 4 4" xfId="1778"/>
    <cellStyle name="Normal 5 8 4 5" xfId="2308"/>
    <cellStyle name="Normal 5 8 4 6" xfId="2835"/>
    <cellStyle name="Normal 5 8 4 7" xfId="3362"/>
    <cellStyle name="Normal 5 8 4 8" xfId="3889"/>
    <cellStyle name="Normal 5 8 5" xfId="604"/>
    <cellStyle name="Normal 5 8 5 2" xfId="1427"/>
    <cellStyle name="Normal 5 8 5 3" xfId="1862"/>
    <cellStyle name="Normal 5 8 5 4" xfId="2392"/>
    <cellStyle name="Normal 5 8 5 5" xfId="2919"/>
    <cellStyle name="Normal 5 8 5 6" xfId="3446"/>
    <cellStyle name="Normal 5 8 5 7" xfId="3973"/>
    <cellStyle name="Normal 5 8 6" xfId="725"/>
    <cellStyle name="Normal 5 8 6 2" xfId="4149"/>
    <cellStyle name="Normal 5 8 7" xfId="1076"/>
    <cellStyle name="Normal 5 8 8" xfId="1511"/>
    <cellStyle name="Normal 5 8 9" xfId="2041"/>
    <cellStyle name="Normal 5 9" xfId="73"/>
    <cellStyle name="Normal 5 9 10" xfId="2576"/>
    <cellStyle name="Normal 5 9 11" xfId="3103"/>
    <cellStyle name="Normal 5 9 12" xfId="3630"/>
    <cellStyle name="Normal 5 9 2" xfId="167"/>
    <cellStyle name="Normal 5 9 2 2" xfId="440"/>
    <cellStyle name="Normal 5 9 2 2 2" xfId="1959"/>
    <cellStyle name="Normal 5 9 2 2 3" xfId="2489"/>
    <cellStyle name="Normal 5 9 2 2 4" xfId="3016"/>
    <cellStyle name="Normal 5 9 2 2 5" xfId="3543"/>
    <cellStyle name="Normal 5 9 2 2 6" xfId="4070"/>
    <cellStyle name="Normal 5 9 2 3" xfId="913"/>
    <cellStyle name="Normal 5 9 2 4" xfId="1264"/>
    <cellStyle name="Normal 5 9 2 5" xfId="1699"/>
    <cellStyle name="Normal 5 9 2 6" xfId="2229"/>
    <cellStyle name="Normal 5 9 2 7" xfId="2756"/>
    <cellStyle name="Normal 5 9 2 8" xfId="3283"/>
    <cellStyle name="Normal 5 9 2 9" xfId="3810"/>
    <cellStyle name="Normal 5 9 3" xfId="262"/>
    <cellStyle name="Normal 5 9 3 2" xfId="525"/>
    <cellStyle name="Normal 5 9 3 3" xfId="822"/>
    <cellStyle name="Normal 5 9 3 4" xfId="1173"/>
    <cellStyle name="Normal 5 9 3 5" xfId="1608"/>
    <cellStyle name="Normal 5 9 3 6" xfId="2138"/>
    <cellStyle name="Normal 5 9 3 7" xfId="2665"/>
    <cellStyle name="Normal 5 9 3 8" xfId="3192"/>
    <cellStyle name="Normal 5 9 3 9" xfId="3719"/>
    <cellStyle name="Normal 5 9 4" xfId="355"/>
    <cellStyle name="Normal 5 9 4 2" xfId="1000"/>
    <cellStyle name="Normal 5 9 4 3" xfId="1351"/>
    <cellStyle name="Normal 5 9 4 4" xfId="1786"/>
    <cellStyle name="Normal 5 9 4 5" xfId="2316"/>
    <cellStyle name="Normal 5 9 4 6" xfId="2843"/>
    <cellStyle name="Normal 5 9 4 7" xfId="3370"/>
    <cellStyle name="Normal 5 9 4 8" xfId="3897"/>
    <cellStyle name="Normal 5 9 5" xfId="612"/>
    <cellStyle name="Normal 5 9 5 2" xfId="1435"/>
    <cellStyle name="Normal 5 9 5 3" xfId="1870"/>
    <cellStyle name="Normal 5 9 5 4" xfId="2400"/>
    <cellStyle name="Normal 5 9 5 5" xfId="2927"/>
    <cellStyle name="Normal 5 9 5 6" xfId="3454"/>
    <cellStyle name="Normal 5 9 5 7" xfId="3981"/>
    <cellStyle name="Normal 5 9 6" xfId="733"/>
    <cellStyle name="Normal 5 9 6 2" xfId="4157"/>
    <cellStyle name="Normal 5 9 7" xfId="1084"/>
    <cellStyle name="Normal 5 9 8" xfId="1519"/>
    <cellStyle name="Normal 5 9 9" xfId="2049"/>
    <cellStyle name="Normal 6" xfId="12"/>
    <cellStyle name="Normal 6 2" xfId="210"/>
    <cellStyle name="Normal 6 2 2" xfId="1907"/>
    <cellStyle name="Normal 6 2 3" xfId="2437"/>
    <cellStyle name="Normal 6 2 4" xfId="2964"/>
    <cellStyle name="Normal 6 2 5" xfId="3491"/>
    <cellStyle name="Normal 6 2 6" xfId="4018"/>
    <cellStyle name="Normal 6 3" xfId="306"/>
    <cellStyle name="Normal 7" xfId="209"/>
    <cellStyle name="Normal 7 2" xfId="477"/>
    <cellStyle name="Normal 7 3" xfId="770"/>
    <cellStyle name="Normal 7 4" xfId="1121"/>
    <cellStyle name="Normal 7 5" xfId="1556"/>
    <cellStyle name="Normal 7 6" xfId="2086"/>
    <cellStyle name="Normal 7 7" xfId="2613"/>
    <cellStyle name="Normal 7 8" xfId="3140"/>
    <cellStyle name="Normal 7 9" xfId="3667"/>
    <cellStyle name="Normal 8" xfId="305"/>
    <cellStyle name="Normal 8 2" xfId="562"/>
    <cellStyle name="Normal_Composições" xfId="3"/>
    <cellStyle name="Porcentagem" xfId="2" builtinId="5"/>
    <cellStyle name="Porcentagem 2" xfId="15"/>
    <cellStyle name="Porcentagem 2 2" xfId="21"/>
    <cellStyle name="Porcentagem 3" xfId="22"/>
    <cellStyle name="Porcentagem 4" xfId="23"/>
    <cellStyle name="Porcentagem 4 10" xfId="79"/>
    <cellStyle name="Porcentagem 4 10 10" xfId="2582"/>
    <cellStyle name="Porcentagem 4 10 11" xfId="3109"/>
    <cellStyle name="Porcentagem 4 10 12" xfId="3636"/>
    <cellStyle name="Porcentagem 4 10 2" xfId="173"/>
    <cellStyle name="Porcentagem 4 10 2 2" xfId="446"/>
    <cellStyle name="Porcentagem 4 10 2 2 2" xfId="1965"/>
    <cellStyle name="Porcentagem 4 10 2 2 3" xfId="2495"/>
    <cellStyle name="Porcentagem 4 10 2 2 4" xfId="3022"/>
    <cellStyle name="Porcentagem 4 10 2 2 5" xfId="3549"/>
    <cellStyle name="Porcentagem 4 10 2 2 6" xfId="4076"/>
    <cellStyle name="Porcentagem 4 10 2 3" xfId="919"/>
    <cellStyle name="Porcentagem 4 10 2 4" xfId="1270"/>
    <cellStyle name="Porcentagem 4 10 2 5" xfId="1705"/>
    <cellStyle name="Porcentagem 4 10 2 6" xfId="2235"/>
    <cellStyle name="Porcentagem 4 10 2 7" xfId="2762"/>
    <cellStyle name="Porcentagem 4 10 2 8" xfId="3289"/>
    <cellStyle name="Porcentagem 4 10 2 9" xfId="3816"/>
    <cellStyle name="Porcentagem 4 10 3" xfId="268"/>
    <cellStyle name="Porcentagem 4 10 3 2" xfId="531"/>
    <cellStyle name="Porcentagem 4 10 3 3" xfId="828"/>
    <cellStyle name="Porcentagem 4 10 3 4" xfId="1179"/>
    <cellStyle name="Porcentagem 4 10 3 5" xfId="1614"/>
    <cellStyle name="Porcentagem 4 10 3 6" xfId="2144"/>
    <cellStyle name="Porcentagem 4 10 3 7" xfId="2671"/>
    <cellStyle name="Porcentagem 4 10 3 8" xfId="3198"/>
    <cellStyle name="Porcentagem 4 10 3 9" xfId="3725"/>
    <cellStyle name="Porcentagem 4 10 4" xfId="361"/>
    <cellStyle name="Porcentagem 4 10 4 2" xfId="1006"/>
    <cellStyle name="Porcentagem 4 10 4 3" xfId="1357"/>
    <cellStyle name="Porcentagem 4 10 4 4" xfId="1792"/>
    <cellStyle name="Porcentagem 4 10 4 5" xfId="2322"/>
    <cellStyle name="Porcentagem 4 10 4 6" xfId="2849"/>
    <cellStyle name="Porcentagem 4 10 4 7" xfId="3376"/>
    <cellStyle name="Porcentagem 4 10 4 8" xfId="3903"/>
    <cellStyle name="Porcentagem 4 10 5" xfId="618"/>
    <cellStyle name="Porcentagem 4 10 5 2" xfId="1441"/>
    <cellStyle name="Porcentagem 4 10 5 3" xfId="1876"/>
    <cellStyle name="Porcentagem 4 10 5 4" xfId="2406"/>
    <cellStyle name="Porcentagem 4 10 5 5" xfId="2933"/>
    <cellStyle name="Porcentagem 4 10 5 6" xfId="3460"/>
    <cellStyle name="Porcentagem 4 10 5 7" xfId="3987"/>
    <cellStyle name="Porcentagem 4 10 6" xfId="739"/>
    <cellStyle name="Porcentagem 4 10 6 2" xfId="4163"/>
    <cellStyle name="Porcentagem 4 10 7" xfId="1090"/>
    <cellStyle name="Porcentagem 4 10 8" xfId="1525"/>
    <cellStyle name="Porcentagem 4 10 9" xfId="2055"/>
    <cellStyle name="Porcentagem 4 11" xfId="87"/>
    <cellStyle name="Porcentagem 4 11 10" xfId="2590"/>
    <cellStyle name="Porcentagem 4 11 11" xfId="3117"/>
    <cellStyle name="Porcentagem 4 11 12" xfId="3644"/>
    <cellStyle name="Porcentagem 4 11 2" xfId="181"/>
    <cellStyle name="Porcentagem 4 11 2 2" xfId="454"/>
    <cellStyle name="Porcentagem 4 11 2 2 2" xfId="1973"/>
    <cellStyle name="Porcentagem 4 11 2 2 3" xfId="2503"/>
    <cellStyle name="Porcentagem 4 11 2 2 4" xfId="3030"/>
    <cellStyle name="Porcentagem 4 11 2 2 5" xfId="3557"/>
    <cellStyle name="Porcentagem 4 11 2 2 6" xfId="4084"/>
    <cellStyle name="Porcentagem 4 11 2 3" xfId="927"/>
    <cellStyle name="Porcentagem 4 11 2 4" xfId="1278"/>
    <cellStyle name="Porcentagem 4 11 2 5" xfId="1713"/>
    <cellStyle name="Porcentagem 4 11 2 6" xfId="2243"/>
    <cellStyle name="Porcentagem 4 11 2 7" xfId="2770"/>
    <cellStyle name="Porcentagem 4 11 2 8" xfId="3297"/>
    <cellStyle name="Porcentagem 4 11 2 9" xfId="3824"/>
    <cellStyle name="Porcentagem 4 11 3" xfId="276"/>
    <cellStyle name="Porcentagem 4 11 3 2" xfId="539"/>
    <cellStyle name="Porcentagem 4 11 3 3" xfId="836"/>
    <cellStyle name="Porcentagem 4 11 3 4" xfId="1187"/>
    <cellStyle name="Porcentagem 4 11 3 5" xfId="1622"/>
    <cellStyle name="Porcentagem 4 11 3 6" xfId="2152"/>
    <cellStyle name="Porcentagem 4 11 3 7" xfId="2679"/>
    <cellStyle name="Porcentagem 4 11 3 8" xfId="3206"/>
    <cellStyle name="Porcentagem 4 11 3 9" xfId="3733"/>
    <cellStyle name="Porcentagem 4 11 4" xfId="369"/>
    <cellStyle name="Porcentagem 4 11 4 2" xfId="1014"/>
    <cellStyle name="Porcentagem 4 11 4 3" xfId="1365"/>
    <cellStyle name="Porcentagem 4 11 4 4" xfId="1800"/>
    <cellStyle name="Porcentagem 4 11 4 5" xfId="2330"/>
    <cellStyle name="Porcentagem 4 11 4 6" xfId="2857"/>
    <cellStyle name="Porcentagem 4 11 4 7" xfId="3384"/>
    <cellStyle name="Porcentagem 4 11 4 8" xfId="3911"/>
    <cellStyle name="Porcentagem 4 11 5" xfId="626"/>
    <cellStyle name="Porcentagem 4 11 5 2" xfId="1449"/>
    <cellStyle name="Porcentagem 4 11 5 3" xfId="1884"/>
    <cellStyle name="Porcentagem 4 11 5 4" xfId="2414"/>
    <cellStyle name="Porcentagem 4 11 5 5" xfId="2941"/>
    <cellStyle name="Porcentagem 4 11 5 6" xfId="3468"/>
    <cellStyle name="Porcentagem 4 11 5 7" xfId="3995"/>
    <cellStyle name="Porcentagem 4 11 6" xfId="747"/>
    <cellStyle name="Porcentagem 4 11 6 2" xfId="4171"/>
    <cellStyle name="Porcentagem 4 11 7" xfId="1098"/>
    <cellStyle name="Porcentagem 4 11 8" xfId="1533"/>
    <cellStyle name="Porcentagem 4 11 9" xfId="2063"/>
    <cellStyle name="Porcentagem 4 12" xfId="95"/>
    <cellStyle name="Porcentagem 4 12 10" xfId="2598"/>
    <cellStyle name="Porcentagem 4 12 11" xfId="3125"/>
    <cellStyle name="Porcentagem 4 12 12" xfId="3652"/>
    <cellStyle name="Porcentagem 4 12 2" xfId="189"/>
    <cellStyle name="Porcentagem 4 12 2 2" xfId="462"/>
    <cellStyle name="Porcentagem 4 12 2 2 2" xfId="1981"/>
    <cellStyle name="Porcentagem 4 12 2 2 3" xfId="2511"/>
    <cellStyle name="Porcentagem 4 12 2 2 4" xfId="3038"/>
    <cellStyle name="Porcentagem 4 12 2 2 5" xfId="3565"/>
    <cellStyle name="Porcentagem 4 12 2 2 6" xfId="4092"/>
    <cellStyle name="Porcentagem 4 12 2 3" xfId="935"/>
    <cellStyle name="Porcentagem 4 12 2 4" xfId="1286"/>
    <cellStyle name="Porcentagem 4 12 2 5" xfId="1721"/>
    <cellStyle name="Porcentagem 4 12 2 6" xfId="2251"/>
    <cellStyle name="Porcentagem 4 12 2 7" xfId="2778"/>
    <cellStyle name="Porcentagem 4 12 2 8" xfId="3305"/>
    <cellStyle name="Porcentagem 4 12 2 9" xfId="3832"/>
    <cellStyle name="Porcentagem 4 12 3" xfId="284"/>
    <cellStyle name="Porcentagem 4 12 3 2" xfId="547"/>
    <cellStyle name="Porcentagem 4 12 3 3" xfId="844"/>
    <cellStyle name="Porcentagem 4 12 3 4" xfId="1195"/>
    <cellStyle name="Porcentagem 4 12 3 5" xfId="1630"/>
    <cellStyle name="Porcentagem 4 12 3 6" xfId="2160"/>
    <cellStyle name="Porcentagem 4 12 3 7" xfId="2687"/>
    <cellStyle name="Porcentagem 4 12 3 8" xfId="3214"/>
    <cellStyle name="Porcentagem 4 12 3 9" xfId="3741"/>
    <cellStyle name="Porcentagem 4 12 4" xfId="377"/>
    <cellStyle name="Porcentagem 4 12 4 2" xfId="1022"/>
    <cellStyle name="Porcentagem 4 12 4 3" xfId="1373"/>
    <cellStyle name="Porcentagem 4 12 4 4" xfId="1808"/>
    <cellStyle name="Porcentagem 4 12 4 5" xfId="2338"/>
    <cellStyle name="Porcentagem 4 12 4 6" xfId="2865"/>
    <cellStyle name="Porcentagem 4 12 4 7" xfId="3392"/>
    <cellStyle name="Porcentagem 4 12 4 8" xfId="3919"/>
    <cellStyle name="Porcentagem 4 12 5" xfId="634"/>
    <cellStyle name="Porcentagem 4 12 5 2" xfId="1457"/>
    <cellStyle name="Porcentagem 4 12 5 3" xfId="1892"/>
    <cellStyle name="Porcentagem 4 12 5 4" xfId="2422"/>
    <cellStyle name="Porcentagem 4 12 5 5" xfId="2949"/>
    <cellStyle name="Porcentagem 4 12 5 6" xfId="3476"/>
    <cellStyle name="Porcentagem 4 12 5 7" xfId="4003"/>
    <cellStyle name="Porcentagem 4 12 6" xfId="755"/>
    <cellStyle name="Porcentagem 4 12 6 2" xfId="4179"/>
    <cellStyle name="Porcentagem 4 12 7" xfId="1106"/>
    <cellStyle name="Porcentagem 4 12 8" xfId="1541"/>
    <cellStyle name="Porcentagem 4 12 9" xfId="2071"/>
    <cellStyle name="Porcentagem 4 13" xfId="103"/>
    <cellStyle name="Porcentagem 4 13 10" xfId="2606"/>
    <cellStyle name="Porcentagem 4 13 11" xfId="3133"/>
    <cellStyle name="Porcentagem 4 13 12" xfId="3660"/>
    <cellStyle name="Porcentagem 4 13 2" xfId="197"/>
    <cellStyle name="Porcentagem 4 13 2 2" xfId="470"/>
    <cellStyle name="Porcentagem 4 13 2 2 2" xfId="1989"/>
    <cellStyle name="Porcentagem 4 13 2 2 3" xfId="2519"/>
    <cellStyle name="Porcentagem 4 13 2 2 4" xfId="3046"/>
    <cellStyle name="Porcentagem 4 13 2 2 5" xfId="3573"/>
    <cellStyle name="Porcentagem 4 13 2 2 6" xfId="4100"/>
    <cellStyle name="Porcentagem 4 13 2 3" xfId="943"/>
    <cellStyle name="Porcentagem 4 13 2 4" xfId="1294"/>
    <cellStyle name="Porcentagem 4 13 2 5" xfId="1729"/>
    <cellStyle name="Porcentagem 4 13 2 6" xfId="2259"/>
    <cellStyle name="Porcentagem 4 13 2 7" xfId="2786"/>
    <cellStyle name="Porcentagem 4 13 2 8" xfId="3313"/>
    <cellStyle name="Porcentagem 4 13 2 9" xfId="3840"/>
    <cellStyle name="Porcentagem 4 13 3" xfId="292"/>
    <cellStyle name="Porcentagem 4 13 3 2" xfId="555"/>
    <cellStyle name="Porcentagem 4 13 3 3" xfId="852"/>
    <cellStyle name="Porcentagem 4 13 3 4" xfId="1203"/>
    <cellStyle name="Porcentagem 4 13 3 5" xfId="1638"/>
    <cellStyle name="Porcentagem 4 13 3 6" xfId="2168"/>
    <cellStyle name="Porcentagem 4 13 3 7" xfId="2695"/>
    <cellStyle name="Porcentagem 4 13 3 8" xfId="3222"/>
    <cellStyle name="Porcentagem 4 13 3 9" xfId="3749"/>
    <cellStyle name="Porcentagem 4 13 4" xfId="385"/>
    <cellStyle name="Porcentagem 4 13 4 2" xfId="1030"/>
    <cellStyle name="Porcentagem 4 13 4 3" xfId="1381"/>
    <cellStyle name="Porcentagem 4 13 4 4" xfId="1816"/>
    <cellStyle name="Porcentagem 4 13 4 5" xfId="2346"/>
    <cellStyle name="Porcentagem 4 13 4 6" xfId="2873"/>
    <cellStyle name="Porcentagem 4 13 4 7" xfId="3400"/>
    <cellStyle name="Porcentagem 4 13 4 8" xfId="3927"/>
    <cellStyle name="Porcentagem 4 13 5" xfId="642"/>
    <cellStyle name="Porcentagem 4 13 5 2" xfId="1465"/>
    <cellStyle name="Porcentagem 4 13 5 3" xfId="1900"/>
    <cellStyle name="Porcentagem 4 13 5 4" xfId="2430"/>
    <cellStyle name="Porcentagem 4 13 5 5" xfId="2957"/>
    <cellStyle name="Porcentagem 4 13 5 6" xfId="3484"/>
    <cellStyle name="Porcentagem 4 13 5 7" xfId="4011"/>
    <cellStyle name="Porcentagem 4 13 6" xfId="763"/>
    <cellStyle name="Porcentagem 4 13 6 2" xfId="4187"/>
    <cellStyle name="Porcentagem 4 13 7" xfId="1114"/>
    <cellStyle name="Porcentagem 4 13 8" xfId="1549"/>
    <cellStyle name="Porcentagem 4 13 9" xfId="2079"/>
    <cellStyle name="Porcentagem 4 14" xfId="35"/>
    <cellStyle name="Porcentagem 4 14 10" xfId="2538"/>
    <cellStyle name="Porcentagem 4 14 11" xfId="3065"/>
    <cellStyle name="Porcentagem 4 14 12" xfId="3592"/>
    <cellStyle name="Porcentagem 4 14 2" xfId="129"/>
    <cellStyle name="Porcentagem 4 14 2 2" xfId="402"/>
    <cellStyle name="Porcentagem 4 14 2 2 2" xfId="1921"/>
    <cellStyle name="Porcentagem 4 14 2 2 3" xfId="2451"/>
    <cellStyle name="Porcentagem 4 14 2 2 4" xfId="2978"/>
    <cellStyle name="Porcentagem 4 14 2 2 5" xfId="3505"/>
    <cellStyle name="Porcentagem 4 14 2 2 6" xfId="4032"/>
    <cellStyle name="Porcentagem 4 14 2 3" xfId="875"/>
    <cellStyle name="Porcentagem 4 14 2 4" xfId="1226"/>
    <cellStyle name="Porcentagem 4 14 2 5" xfId="1661"/>
    <cellStyle name="Porcentagem 4 14 2 6" xfId="2191"/>
    <cellStyle name="Porcentagem 4 14 2 7" xfId="2718"/>
    <cellStyle name="Porcentagem 4 14 2 8" xfId="3245"/>
    <cellStyle name="Porcentagem 4 14 2 9" xfId="3772"/>
    <cellStyle name="Porcentagem 4 14 3" xfId="224"/>
    <cellStyle name="Porcentagem 4 14 3 2" xfId="487"/>
    <cellStyle name="Porcentagem 4 14 3 3" xfId="784"/>
    <cellStyle name="Porcentagem 4 14 3 4" xfId="1135"/>
    <cellStyle name="Porcentagem 4 14 3 5" xfId="1570"/>
    <cellStyle name="Porcentagem 4 14 3 6" xfId="2100"/>
    <cellStyle name="Porcentagem 4 14 3 7" xfId="2627"/>
    <cellStyle name="Porcentagem 4 14 3 8" xfId="3154"/>
    <cellStyle name="Porcentagem 4 14 3 9" xfId="3681"/>
    <cellStyle name="Porcentagem 4 14 4" xfId="317"/>
    <cellStyle name="Porcentagem 4 14 4 2" xfId="962"/>
    <cellStyle name="Porcentagem 4 14 4 3" xfId="1313"/>
    <cellStyle name="Porcentagem 4 14 4 4" xfId="1748"/>
    <cellStyle name="Porcentagem 4 14 4 5" xfId="2278"/>
    <cellStyle name="Porcentagem 4 14 4 6" xfId="2805"/>
    <cellStyle name="Porcentagem 4 14 4 7" xfId="3332"/>
    <cellStyle name="Porcentagem 4 14 4 8" xfId="3859"/>
    <cellStyle name="Porcentagem 4 14 5" xfId="574"/>
    <cellStyle name="Porcentagem 4 14 5 2" xfId="1397"/>
    <cellStyle name="Porcentagem 4 14 5 3" xfId="1832"/>
    <cellStyle name="Porcentagem 4 14 5 4" xfId="2362"/>
    <cellStyle name="Porcentagem 4 14 5 5" xfId="2889"/>
    <cellStyle name="Porcentagem 4 14 5 6" xfId="3416"/>
    <cellStyle name="Porcentagem 4 14 5 7" xfId="3943"/>
    <cellStyle name="Porcentagem 4 14 6" xfId="695"/>
    <cellStyle name="Porcentagem 4 14 6 2" xfId="4119"/>
    <cellStyle name="Porcentagem 4 14 7" xfId="1046"/>
    <cellStyle name="Porcentagem 4 14 8" xfId="1481"/>
    <cellStyle name="Porcentagem 4 14 9" xfId="2011"/>
    <cellStyle name="Porcentagem 4 15" xfId="107"/>
    <cellStyle name="Porcentagem 4 15 10" xfId="2610"/>
    <cellStyle name="Porcentagem 4 15 11" xfId="3137"/>
    <cellStyle name="Porcentagem 4 15 12" xfId="3664"/>
    <cellStyle name="Porcentagem 4 15 2" xfId="201"/>
    <cellStyle name="Porcentagem 4 15 2 2" xfId="474"/>
    <cellStyle name="Porcentagem 4 15 2 2 2" xfId="1993"/>
    <cellStyle name="Porcentagem 4 15 2 2 3" xfId="2523"/>
    <cellStyle name="Porcentagem 4 15 2 2 4" xfId="3050"/>
    <cellStyle name="Porcentagem 4 15 2 2 5" xfId="3577"/>
    <cellStyle name="Porcentagem 4 15 2 2 6" xfId="4104"/>
    <cellStyle name="Porcentagem 4 15 2 3" xfId="947"/>
    <cellStyle name="Porcentagem 4 15 2 4" xfId="1298"/>
    <cellStyle name="Porcentagem 4 15 2 5" xfId="1733"/>
    <cellStyle name="Porcentagem 4 15 2 6" xfId="2263"/>
    <cellStyle name="Porcentagem 4 15 2 7" xfId="2790"/>
    <cellStyle name="Porcentagem 4 15 2 8" xfId="3317"/>
    <cellStyle name="Porcentagem 4 15 2 9" xfId="3844"/>
    <cellStyle name="Porcentagem 4 15 3" xfId="296"/>
    <cellStyle name="Porcentagem 4 15 3 2" xfId="559"/>
    <cellStyle name="Porcentagem 4 15 3 3" xfId="856"/>
    <cellStyle name="Porcentagem 4 15 3 4" xfId="1207"/>
    <cellStyle name="Porcentagem 4 15 3 5" xfId="1642"/>
    <cellStyle name="Porcentagem 4 15 3 6" xfId="2172"/>
    <cellStyle name="Porcentagem 4 15 3 7" xfId="2699"/>
    <cellStyle name="Porcentagem 4 15 3 8" xfId="3226"/>
    <cellStyle name="Porcentagem 4 15 3 9" xfId="3753"/>
    <cellStyle name="Porcentagem 4 15 4" xfId="389"/>
    <cellStyle name="Porcentagem 4 15 4 2" xfId="1034"/>
    <cellStyle name="Porcentagem 4 15 4 3" xfId="1385"/>
    <cellStyle name="Porcentagem 4 15 4 4" xfId="1820"/>
    <cellStyle name="Porcentagem 4 15 4 5" xfId="2350"/>
    <cellStyle name="Porcentagem 4 15 4 6" xfId="2877"/>
    <cellStyle name="Porcentagem 4 15 4 7" xfId="3404"/>
    <cellStyle name="Porcentagem 4 15 4 8" xfId="3931"/>
    <cellStyle name="Porcentagem 4 15 5" xfId="646"/>
    <cellStyle name="Porcentagem 4 15 5 2" xfId="1469"/>
    <cellStyle name="Porcentagem 4 15 5 3" xfId="1904"/>
    <cellStyle name="Porcentagem 4 15 5 4" xfId="2434"/>
    <cellStyle name="Porcentagem 4 15 5 5" xfId="2961"/>
    <cellStyle name="Porcentagem 4 15 5 6" xfId="3488"/>
    <cellStyle name="Porcentagem 4 15 5 7" xfId="4015"/>
    <cellStyle name="Porcentagem 4 15 6" xfId="767"/>
    <cellStyle name="Porcentagem 4 15 6 2" xfId="4191"/>
    <cellStyle name="Porcentagem 4 15 7" xfId="1118"/>
    <cellStyle name="Porcentagem 4 15 8" xfId="1553"/>
    <cellStyle name="Porcentagem 4 15 9" xfId="2083"/>
    <cellStyle name="Porcentagem 4 16" xfId="118"/>
    <cellStyle name="Porcentagem 4 16 2" xfId="394"/>
    <cellStyle name="Porcentagem 4 16 2 2" xfId="1910"/>
    <cellStyle name="Porcentagem 4 16 2 3" xfId="2440"/>
    <cellStyle name="Porcentagem 4 16 2 4" xfId="2967"/>
    <cellStyle name="Porcentagem 4 16 2 5" xfId="3494"/>
    <cellStyle name="Porcentagem 4 16 2 6" xfId="4021"/>
    <cellStyle name="Porcentagem 4 16 3" xfId="864"/>
    <cellStyle name="Porcentagem 4 16 4" xfId="1215"/>
    <cellStyle name="Porcentagem 4 16 5" xfId="1650"/>
    <cellStyle name="Porcentagem 4 16 6" xfId="2180"/>
    <cellStyle name="Porcentagem 4 16 7" xfId="2707"/>
    <cellStyle name="Porcentagem 4 16 8" xfId="3234"/>
    <cellStyle name="Porcentagem 4 16 9" xfId="3761"/>
    <cellStyle name="Porcentagem 4 17" xfId="213"/>
    <cellStyle name="Porcentagem 4 17 2" xfId="479"/>
    <cellStyle name="Porcentagem 4 17 3" xfId="773"/>
    <cellStyle name="Porcentagem 4 17 4" xfId="1124"/>
    <cellStyle name="Porcentagem 4 17 5" xfId="1559"/>
    <cellStyle name="Porcentagem 4 17 6" xfId="2089"/>
    <cellStyle name="Porcentagem 4 17 7" xfId="2616"/>
    <cellStyle name="Porcentagem 4 17 8" xfId="3143"/>
    <cellStyle name="Porcentagem 4 17 9" xfId="3670"/>
    <cellStyle name="Porcentagem 4 18" xfId="309"/>
    <cellStyle name="Porcentagem 4 18 2" xfId="954"/>
    <cellStyle name="Porcentagem 4 18 3" xfId="1305"/>
    <cellStyle name="Porcentagem 4 18 4" xfId="1740"/>
    <cellStyle name="Porcentagem 4 18 5" xfId="2270"/>
    <cellStyle name="Porcentagem 4 18 6" xfId="2797"/>
    <cellStyle name="Porcentagem 4 18 7" xfId="3324"/>
    <cellStyle name="Porcentagem 4 18 8" xfId="3851"/>
    <cellStyle name="Porcentagem 4 19" xfId="566"/>
    <cellStyle name="Porcentagem 4 19 2" xfId="1389"/>
    <cellStyle name="Porcentagem 4 19 3" xfId="1824"/>
    <cellStyle name="Porcentagem 4 19 4" xfId="2354"/>
    <cellStyle name="Porcentagem 4 19 5" xfId="2881"/>
    <cellStyle name="Porcentagem 4 19 6" xfId="3408"/>
    <cellStyle name="Porcentagem 4 19 7" xfId="3935"/>
    <cellStyle name="Porcentagem 4 2" xfId="31"/>
    <cellStyle name="Porcentagem 4 2 10" xfId="313"/>
    <cellStyle name="Porcentagem 4 2 10 2" xfId="958"/>
    <cellStyle name="Porcentagem 4 2 10 3" xfId="1309"/>
    <cellStyle name="Porcentagem 4 2 10 4" xfId="1744"/>
    <cellStyle name="Porcentagem 4 2 10 5" xfId="2274"/>
    <cellStyle name="Porcentagem 4 2 10 6" xfId="2801"/>
    <cellStyle name="Porcentagem 4 2 10 7" xfId="3328"/>
    <cellStyle name="Porcentagem 4 2 10 8" xfId="3855"/>
    <cellStyle name="Porcentagem 4 2 11" xfId="570"/>
    <cellStyle name="Porcentagem 4 2 11 2" xfId="1393"/>
    <cellStyle name="Porcentagem 4 2 11 3" xfId="1828"/>
    <cellStyle name="Porcentagem 4 2 11 4" xfId="2358"/>
    <cellStyle name="Porcentagem 4 2 11 5" xfId="2885"/>
    <cellStyle name="Porcentagem 4 2 11 6" xfId="3412"/>
    <cellStyle name="Porcentagem 4 2 11 7" xfId="3939"/>
    <cellStyle name="Porcentagem 4 2 12" xfId="691"/>
    <cellStyle name="Porcentagem 4 2 12 2" xfId="4115"/>
    <cellStyle name="Porcentagem 4 2 13" xfId="1042"/>
    <cellStyle name="Porcentagem 4 2 14" xfId="1477"/>
    <cellStyle name="Porcentagem 4 2 15" xfId="2007"/>
    <cellStyle name="Porcentagem 4 2 16" xfId="2534"/>
    <cellStyle name="Porcentagem 4 2 17" xfId="3061"/>
    <cellStyle name="Porcentagem 4 2 18" xfId="3588"/>
    <cellStyle name="Porcentagem 4 2 2" xfId="67"/>
    <cellStyle name="Porcentagem 4 2 2 10" xfId="2570"/>
    <cellStyle name="Porcentagem 4 2 2 11" xfId="3097"/>
    <cellStyle name="Porcentagem 4 2 2 12" xfId="3624"/>
    <cellStyle name="Porcentagem 4 2 2 2" xfId="161"/>
    <cellStyle name="Porcentagem 4 2 2 2 2" xfId="434"/>
    <cellStyle name="Porcentagem 4 2 2 2 2 2" xfId="1953"/>
    <cellStyle name="Porcentagem 4 2 2 2 2 3" xfId="2483"/>
    <cellStyle name="Porcentagem 4 2 2 2 2 4" xfId="3010"/>
    <cellStyle name="Porcentagem 4 2 2 2 2 5" xfId="3537"/>
    <cellStyle name="Porcentagem 4 2 2 2 2 6" xfId="4064"/>
    <cellStyle name="Porcentagem 4 2 2 2 3" xfId="907"/>
    <cellStyle name="Porcentagem 4 2 2 2 4" xfId="1258"/>
    <cellStyle name="Porcentagem 4 2 2 2 5" xfId="1693"/>
    <cellStyle name="Porcentagem 4 2 2 2 6" xfId="2223"/>
    <cellStyle name="Porcentagem 4 2 2 2 7" xfId="2750"/>
    <cellStyle name="Porcentagem 4 2 2 2 8" xfId="3277"/>
    <cellStyle name="Porcentagem 4 2 2 2 9" xfId="3804"/>
    <cellStyle name="Porcentagem 4 2 2 3" xfId="256"/>
    <cellStyle name="Porcentagem 4 2 2 3 2" xfId="519"/>
    <cellStyle name="Porcentagem 4 2 2 3 3" xfId="816"/>
    <cellStyle name="Porcentagem 4 2 2 3 4" xfId="1167"/>
    <cellStyle name="Porcentagem 4 2 2 3 5" xfId="1602"/>
    <cellStyle name="Porcentagem 4 2 2 3 6" xfId="2132"/>
    <cellStyle name="Porcentagem 4 2 2 3 7" xfId="2659"/>
    <cellStyle name="Porcentagem 4 2 2 3 8" xfId="3186"/>
    <cellStyle name="Porcentagem 4 2 2 3 9" xfId="3713"/>
    <cellStyle name="Porcentagem 4 2 2 4" xfId="349"/>
    <cellStyle name="Porcentagem 4 2 2 4 2" xfId="994"/>
    <cellStyle name="Porcentagem 4 2 2 4 3" xfId="1345"/>
    <cellStyle name="Porcentagem 4 2 2 4 4" xfId="1780"/>
    <cellStyle name="Porcentagem 4 2 2 4 5" xfId="2310"/>
    <cellStyle name="Porcentagem 4 2 2 4 6" xfId="2837"/>
    <cellStyle name="Porcentagem 4 2 2 4 7" xfId="3364"/>
    <cellStyle name="Porcentagem 4 2 2 4 8" xfId="3891"/>
    <cellStyle name="Porcentagem 4 2 2 5" xfId="606"/>
    <cellStyle name="Porcentagem 4 2 2 5 2" xfId="1429"/>
    <cellStyle name="Porcentagem 4 2 2 5 3" xfId="1864"/>
    <cellStyle name="Porcentagem 4 2 2 5 4" xfId="2394"/>
    <cellStyle name="Porcentagem 4 2 2 5 5" xfId="2921"/>
    <cellStyle name="Porcentagem 4 2 2 5 6" xfId="3448"/>
    <cellStyle name="Porcentagem 4 2 2 5 7" xfId="3975"/>
    <cellStyle name="Porcentagem 4 2 2 6" xfId="727"/>
    <cellStyle name="Porcentagem 4 2 2 6 2" xfId="4151"/>
    <cellStyle name="Porcentagem 4 2 2 7" xfId="1078"/>
    <cellStyle name="Porcentagem 4 2 2 8" xfId="1513"/>
    <cellStyle name="Porcentagem 4 2 2 9" xfId="2043"/>
    <cellStyle name="Porcentagem 4 2 3" xfId="75"/>
    <cellStyle name="Porcentagem 4 2 3 10" xfId="2578"/>
    <cellStyle name="Porcentagem 4 2 3 11" xfId="3105"/>
    <cellStyle name="Porcentagem 4 2 3 12" xfId="3632"/>
    <cellStyle name="Porcentagem 4 2 3 2" xfId="169"/>
    <cellStyle name="Porcentagem 4 2 3 2 2" xfId="442"/>
    <cellStyle name="Porcentagem 4 2 3 2 2 2" xfId="1961"/>
    <cellStyle name="Porcentagem 4 2 3 2 2 3" xfId="2491"/>
    <cellStyle name="Porcentagem 4 2 3 2 2 4" xfId="3018"/>
    <cellStyle name="Porcentagem 4 2 3 2 2 5" xfId="3545"/>
    <cellStyle name="Porcentagem 4 2 3 2 2 6" xfId="4072"/>
    <cellStyle name="Porcentagem 4 2 3 2 3" xfId="915"/>
    <cellStyle name="Porcentagem 4 2 3 2 4" xfId="1266"/>
    <cellStyle name="Porcentagem 4 2 3 2 5" xfId="1701"/>
    <cellStyle name="Porcentagem 4 2 3 2 6" xfId="2231"/>
    <cellStyle name="Porcentagem 4 2 3 2 7" xfId="2758"/>
    <cellStyle name="Porcentagem 4 2 3 2 8" xfId="3285"/>
    <cellStyle name="Porcentagem 4 2 3 2 9" xfId="3812"/>
    <cellStyle name="Porcentagem 4 2 3 3" xfId="264"/>
    <cellStyle name="Porcentagem 4 2 3 3 2" xfId="527"/>
    <cellStyle name="Porcentagem 4 2 3 3 3" xfId="824"/>
    <cellStyle name="Porcentagem 4 2 3 3 4" xfId="1175"/>
    <cellStyle name="Porcentagem 4 2 3 3 5" xfId="1610"/>
    <cellStyle name="Porcentagem 4 2 3 3 6" xfId="2140"/>
    <cellStyle name="Porcentagem 4 2 3 3 7" xfId="2667"/>
    <cellStyle name="Porcentagem 4 2 3 3 8" xfId="3194"/>
    <cellStyle name="Porcentagem 4 2 3 3 9" xfId="3721"/>
    <cellStyle name="Porcentagem 4 2 3 4" xfId="357"/>
    <cellStyle name="Porcentagem 4 2 3 4 2" xfId="1002"/>
    <cellStyle name="Porcentagem 4 2 3 4 3" xfId="1353"/>
    <cellStyle name="Porcentagem 4 2 3 4 4" xfId="1788"/>
    <cellStyle name="Porcentagem 4 2 3 4 5" xfId="2318"/>
    <cellStyle name="Porcentagem 4 2 3 4 6" xfId="2845"/>
    <cellStyle name="Porcentagem 4 2 3 4 7" xfId="3372"/>
    <cellStyle name="Porcentagem 4 2 3 4 8" xfId="3899"/>
    <cellStyle name="Porcentagem 4 2 3 5" xfId="614"/>
    <cellStyle name="Porcentagem 4 2 3 5 2" xfId="1437"/>
    <cellStyle name="Porcentagem 4 2 3 5 3" xfId="1872"/>
    <cellStyle name="Porcentagem 4 2 3 5 4" xfId="2402"/>
    <cellStyle name="Porcentagem 4 2 3 5 5" xfId="2929"/>
    <cellStyle name="Porcentagem 4 2 3 5 6" xfId="3456"/>
    <cellStyle name="Porcentagem 4 2 3 5 7" xfId="3983"/>
    <cellStyle name="Porcentagem 4 2 3 6" xfId="735"/>
    <cellStyle name="Porcentagem 4 2 3 6 2" xfId="4159"/>
    <cellStyle name="Porcentagem 4 2 3 7" xfId="1086"/>
    <cellStyle name="Porcentagem 4 2 3 8" xfId="1521"/>
    <cellStyle name="Porcentagem 4 2 3 9" xfId="2051"/>
    <cellStyle name="Porcentagem 4 2 4" xfId="83"/>
    <cellStyle name="Porcentagem 4 2 4 10" xfId="2586"/>
    <cellStyle name="Porcentagem 4 2 4 11" xfId="3113"/>
    <cellStyle name="Porcentagem 4 2 4 12" xfId="3640"/>
    <cellStyle name="Porcentagem 4 2 4 2" xfId="177"/>
    <cellStyle name="Porcentagem 4 2 4 2 2" xfId="450"/>
    <cellStyle name="Porcentagem 4 2 4 2 2 2" xfId="1969"/>
    <cellStyle name="Porcentagem 4 2 4 2 2 3" xfId="2499"/>
    <cellStyle name="Porcentagem 4 2 4 2 2 4" xfId="3026"/>
    <cellStyle name="Porcentagem 4 2 4 2 2 5" xfId="3553"/>
    <cellStyle name="Porcentagem 4 2 4 2 2 6" xfId="4080"/>
    <cellStyle name="Porcentagem 4 2 4 2 3" xfId="923"/>
    <cellStyle name="Porcentagem 4 2 4 2 4" xfId="1274"/>
    <cellStyle name="Porcentagem 4 2 4 2 5" xfId="1709"/>
    <cellStyle name="Porcentagem 4 2 4 2 6" xfId="2239"/>
    <cellStyle name="Porcentagem 4 2 4 2 7" xfId="2766"/>
    <cellStyle name="Porcentagem 4 2 4 2 8" xfId="3293"/>
    <cellStyle name="Porcentagem 4 2 4 2 9" xfId="3820"/>
    <cellStyle name="Porcentagem 4 2 4 3" xfId="272"/>
    <cellStyle name="Porcentagem 4 2 4 3 2" xfId="535"/>
    <cellStyle name="Porcentagem 4 2 4 3 3" xfId="832"/>
    <cellStyle name="Porcentagem 4 2 4 3 4" xfId="1183"/>
    <cellStyle name="Porcentagem 4 2 4 3 5" xfId="1618"/>
    <cellStyle name="Porcentagem 4 2 4 3 6" xfId="2148"/>
    <cellStyle name="Porcentagem 4 2 4 3 7" xfId="2675"/>
    <cellStyle name="Porcentagem 4 2 4 3 8" xfId="3202"/>
    <cellStyle name="Porcentagem 4 2 4 3 9" xfId="3729"/>
    <cellStyle name="Porcentagem 4 2 4 4" xfId="365"/>
    <cellStyle name="Porcentagem 4 2 4 4 2" xfId="1010"/>
    <cellStyle name="Porcentagem 4 2 4 4 3" xfId="1361"/>
    <cellStyle name="Porcentagem 4 2 4 4 4" xfId="1796"/>
    <cellStyle name="Porcentagem 4 2 4 4 5" xfId="2326"/>
    <cellStyle name="Porcentagem 4 2 4 4 6" xfId="2853"/>
    <cellStyle name="Porcentagem 4 2 4 4 7" xfId="3380"/>
    <cellStyle name="Porcentagem 4 2 4 4 8" xfId="3907"/>
    <cellStyle name="Porcentagem 4 2 4 5" xfId="622"/>
    <cellStyle name="Porcentagem 4 2 4 5 2" xfId="1445"/>
    <cellStyle name="Porcentagem 4 2 4 5 3" xfId="1880"/>
    <cellStyle name="Porcentagem 4 2 4 5 4" xfId="2410"/>
    <cellStyle name="Porcentagem 4 2 4 5 5" xfId="2937"/>
    <cellStyle name="Porcentagem 4 2 4 5 6" xfId="3464"/>
    <cellStyle name="Porcentagem 4 2 4 5 7" xfId="3991"/>
    <cellStyle name="Porcentagem 4 2 4 6" xfId="743"/>
    <cellStyle name="Porcentagem 4 2 4 6 2" xfId="4167"/>
    <cellStyle name="Porcentagem 4 2 4 7" xfId="1094"/>
    <cellStyle name="Porcentagem 4 2 4 8" xfId="1529"/>
    <cellStyle name="Porcentagem 4 2 4 9" xfId="2059"/>
    <cellStyle name="Porcentagem 4 2 5" xfId="91"/>
    <cellStyle name="Porcentagem 4 2 5 10" xfId="2594"/>
    <cellStyle name="Porcentagem 4 2 5 11" xfId="3121"/>
    <cellStyle name="Porcentagem 4 2 5 12" xfId="3648"/>
    <cellStyle name="Porcentagem 4 2 5 2" xfId="185"/>
    <cellStyle name="Porcentagem 4 2 5 2 2" xfId="458"/>
    <cellStyle name="Porcentagem 4 2 5 2 2 2" xfId="1977"/>
    <cellStyle name="Porcentagem 4 2 5 2 2 3" xfId="2507"/>
    <cellStyle name="Porcentagem 4 2 5 2 2 4" xfId="3034"/>
    <cellStyle name="Porcentagem 4 2 5 2 2 5" xfId="3561"/>
    <cellStyle name="Porcentagem 4 2 5 2 2 6" xfId="4088"/>
    <cellStyle name="Porcentagem 4 2 5 2 3" xfId="931"/>
    <cellStyle name="Porcentagem 4 2 5 2 4" xfId="1282"/>
    <cellStyle name="Porcentagem 4 2 5 2 5" xfId="1717"/>
    <cellStyle name="Porcentagem 4 2 5 2 6" xfId="2247"/>
    <cellStyle name="Porcentagem 4 2 5 2 7" xfId="2774"/>
    <cellStyle name="Porcentagem 4 2 5 2 8" xfId="3301"/>
    <cellStyle name="Porcentagem 4 2 5 2 9" xfId="3828"/>
    <cellStyle name="Porcentagem 4 2 5 3" xfId="280"/>
    <cellStyle name="Porcentagem 4 2 5 3 2" xfId="543"/>
    <cellStyle name="Porcentagem 4 2 5 3 3" xfId="840"/>
    <cellStyle name="Porcentagem 4 2 5 3 4" xfId="1191"/>
    <cellStyle name="Porcentagem 4 2 5 3 5" xfId="1626"/>
    <cellStyle name="Porcentagem 4 2 5 3 6" xfId="2156"/>
    <cellStyle name="Porcentagem 4 2 5 3 7" xfId="2683"/>
    <cellStyle name="Porcentagem 4 2 5 3 8" xfId="3210"/>
    <cellStyle name="Porcentagem 4 2 5 3 9" xfId="3737"/>
    <cellStyle name="Porcentagem 4 2 5 4" xfId="373"/>
    <cellStyle name="Porcentagem 4 2 5 4 2" xfId="1018"/>
    <cellStyle name="Porcentagem 4 2 5 4 3" xfId="1369"/>
    <cellStyle name="Porcentagem 4 2 5 4 4" xfId="1804"/>
    <cellStyle name="Porcentagem 4 2 5 4 5" xfId="2334"/>
    <cellStyle name="Porcentagem 4 2 5 4 6" xfId="2861"/>
    <cellStyle name="Porcentagem 4 2 5 4 7" xfId="3388"/>
    <cellStyle name="Porcentagem 4 2 5 4 8" xfId="3915"/>
    <cellStyle name="Porcentagem 4 2 5 5" xfId="630"/>
    <cellStyle name="Porcentagem 4 2 5 5 2" xfId="1453"/>
    <cellStyle name="Porcentagem 4 2 5 5 3" xfId="1888"/>
    <cellStyle name="Porcentagem 4 2 5 5 4" xfId="2418"/>
    <cellStyle name="Porcentagem 4 2 5 5 5" xfId="2945"/>
    <cellStyle name="Porcentagem 4 2 5 5 6" xfId="3472"/>
    <cellStyle name="Porcentagem 4 2 5 5 7" xfId="3999"/>
    <cellStyle name="Porcentagem 4 2 5 6" xfId="751"/>
    <cellStyle name="Porcentagem 4 2 5 6 2" xfId="4175"/>
    <cellStyle name="Porcentagem 4 2 5 7" xfId="1102"/>
    <cellStyle name="Porcentagem 4 2 5 8" xfId="1537"/>
    <cellStyle name="Porcentagem 4 2 5 9" xfId="2067"/>
    <cellStyle name="Porcentagem 4 2 6" xfId="99"/>
    <cellStyle name="Porcentagem 4 2 6 10" xfId="2602"/>
    <cellStyle name="Porcentagem 4 2 6 11" xfId="3129"/>
    <cellStyle name="Porcentagem 4 2 6 12" xfId="3656"/>
    <cellStyle name="Porcentagem 4 2 6 2" xfId="193"/>
    <cellStyle name="Porcentagem 4 2 6 2 2" xfId="466"/>
    <cellStyle name="Porcentagem 4 2 6 2 2 2" xfId="1985"/>
    <cellStyle name="Porcentagem 4 2 6 2 2 3" xfId="2515"/>
    <cellStyle name="Porcentagem 4 2 6 2 2 4" xfId="3042"/>
    <cellStyle name="Porcentagem 4 2 6 2 2 5" xfId="3569"/>
    <cellStyle name="Porcentagem 4 2 6 2 2 6" xfId="4096"/>
    <cellStyle name="Porcentagem 4 2 6 2 3" xfId="939"/>
    <cellStyle name="Porcentagem 4 2 6 2 4" xfId="1290"/>
    <cellStyle name="Porcentagem 4 2 6 2 5" xfId="1725"/>
    <cellStyle name="Porcentagem 4 2 6 2 6" xfId="2255"/>
    <cellStyle name="Porcentagem 4 2 6 2 7" xfId="2782"/>
    <cellStyle name="Porcentagem 4 2 6 2 8" xfId="3309"/>
    <cellStyle name="Porcentagem 4 2 6 2 9" xfId="3836"/>
    <cellStyle name="Porcentagem 4 2 6 3" xfId="288"/>
    <cellStyle name="Porcentagem 4 2 6 3 2" xfId="551"/>
    <cellStyle name="Porcentagem 4 2 6 3 3" xfId="848"/>
    <cellStyle name="Porcentagem 4 2 6 3 4" xfId="1199"/>
    <cellStyle name="Porcentagem 4 2 6 3 5" xfId="1634"/>
    <cellStyle name="Porcentagem 4 2 6 3 6" xfId="2164"/>
    <cellStyle name="Porcentagem 4 2 6 3 7" xfId="2691"/>
    <cellStyle name="Porcentagem 4 2 6 3 8" xfId="3218"/>
    <cellStyle name="Porcentagem 4 2 6 3 9" xfId="3745"/>
    <cellStyle name="Porcentagem 4 2 6 4" xfId="381"/>
    <cellStyle name="Porcentagem 4 2 6 4 2" xfId="1026"/>
    <cellStyle name="Porcentagem 4 2 6 4 3" xfId="1377"/>
    <cellStyle name="Porcentagem 4 2 6 4 4" xfId="1812"/>
    <cellStyle name="Porcentagem 4 2 6 4 5" xfId="2342"/>
    <cellStyle name="Porcentagem 4 2 6 4 6" xfId="2869"/>
    <cellStyle name="Porcentagem 4 2 6 4 7" xfId="3396"/>
    <cellStyle name="Porcentagem 4 2 6 4 8" xfId="3923"/>
    <cellStyle name="Porcentagem 4 2 6 5" xfId="638"/>
    <cellStyle name="Porcentagem 4 2 6 5 2" xfId="1461"/>
    <cellStyle name="Porcentagem 4 2 6 5 3" xfId="1896"/>
    <cellStyle name="Porcentagem 4 2 6 5 4" xfId="2426"/>
    <cellStyle name="Porcentagem 4 2 6 5 5" xfId="2953"/>
    <cellStyle name="Porcentagem 4 2 6 5 6" xfId="3480"/>
    <cellStyle name="Porcentagem 4 2 6 5 7" xfId="4007"/>
    <cellStyle name="Porcentagem 4 2 6 6" xfId="759"/>
    <cellStyle name="Porcentagem 4 2 6 6 2" xfId="4183"/>
    <cellStyle name="Porcentagem 4 2 6 7" xfId="1110"/>
    <cellStyle name="Porcentagem 4 2 6 8" xfId="1545"/>
    <cellStyle name="Porcentagem 4 2 6 9" xfId="2075"/>
    <cellStyle name="Porcentagem 4 2 7" xfId="39"/>
    <cellStyle name="Porcentagem 4 2 7 10" xfId="2542"/>
    <cellStyle name="Porcentagem 4 2 7 11" xfId="3069"/>
    <cellStyle name="Porcentagem 4 2 7 12" xfId="3596"/>
    <cellStyle name="Porcentagem 4 2 7 2" xfId="133"/>
    <cellStyle name="Porcentagem 4 2 7 2 2" xfId="406"/>
    <cellStyle name="Porcentagem 4 2 7 2 2 2" xfId="1925"/>
    <cellStyle name="Porcentagem 4 2 7 2 2 3" xfId="2455"/>
    <cellStyle name="Porcentagem 4 2 7 2 2 4" xfId="2982"/>
    <cellStyle name="Porcentagem 4 2 7 2 2 5" xfId="3509"/>
    <cellStyle name="Porcentagem 4 2 7 2 2 6" xfId="4036"/>
    <cellStyle name="Porcentagem 4 2 7 2 3" xfId="879"/>
    <cellStyle name="Porcentagem 4 2 7 2 4" xfId="1230"/>
    <cellStyle name="Porcentagem 4 2 7 2 5" xfId="1665"/>
    <cellStyle name="Porcentagem 4 2 7 2 6" xfId="2195"/>
    <cellStyle name="Porcentagem 4 2 7 2 7" xfId="2722"/>
    <cellStyle name="Porcentagem 4 2 7 2 8" xfId="3249"/>
    <cellStyle name="Porcentagem 4 2 7 2 9" xfId="3776"/>
    <cellStyle name="Porcentagem 4 2 7 3" xfId="228"/>
    <cellStyle name="Porcentagem 4 2 7 3 2" xfId="491"/>
    <cellStyle name="Porcentagem 4 2 7 3 3" xfId="788"/>
    <cellStyle name="Porcentagem 4 2 7 3 4" xfId="1139"/>
    <cellStyle name="Porcentagem 4 2 7 3 5" xfId="1574"/>
    <cellStyle name="Porcentagem 4 2 7 3 6" xfId="2104"/>
    <cellStyle name="Porcentagem 4 2 7 3 7" xfId="2631"/>
    <cellStyle name="Porcentagem 4 2 7 3 8" xfId="3158"/>
    <cellStyle name="Porcentagem 4 2 7 3 9" xfId="3685"/>
    <cellStyle name="Porcentagem 4 2 7 4" xfId="321"/>
    <cellStyle name="Porcentagem 4 2 7 4 2" xfId="966"/>
    <cellStyle name="Porcentagem 4 2 7 4 3" xfId="1317"/>
    <cellStyle name="Porcentagem 4 2 7 4 4" xfId="1752"/>
    <cellStyle name="Porcentagem 4 2 7 4 5" xfId="2282"/>
    <cellStyle name="Porcentagem 4 2 7 4 6" xfId="2809"/>
    <cellStyle name="Porcentagem 4 2 7 4 7" xfId="3336"/>
    <cellStyle name="Porcentagem 4 2 7 4 8" xfId="3863"/>
    <cellStyle name="Porcentagem 4 2 7 5" xfId="578"/>
    <cellStyle name="Porcentagem 4 2 7 5 2" xfId="1401"/>
    <cellStyle name="Porcentagem 4 2 7 5 3" xfId="1836"/>
    <cellStyle name="Porcentagem 4 2 7 5 4" xfId="2366"/>
    <cellStyle name="Porcentagem 4 2 7 5 5" xfId="2893"/>
    <cellStyle name="Porcentagem 4 2 7 5 6" xfId="3420"/>
    <cellStyle name="Porcentagem 4 2 7 5 7" xfId="3947"/>
    <cellStyle name="Porcentagem 4 2 7 6" xfId="699"/>
    <cellStyle name="Porcentagem 4 2 7 6 2" xfId="4123"/>
    <cellStyle name="Porcentagem 4 2 7 7" xfId="1050"/>
    <cellStyle name="Porcentagem 4 2 7 8" xfId="1485"/>
    <cellStyle name="Porcentagem 4 2 7 9" xfId="2015"/>
    <cellStyle name="Porcentagem 4 2 8" xfId="125"/>
    <cellStyle name="Porcentagem 4 2 8 2" xfId="398"/>
    <cellStyle name="Porcentagem 4 2 8 2 2" xfId="1917"/>
    <cellStyle name="Porcentagem 4 2 8 2 3" xfId="2447"/>
    <cellStyle name="Porcentagem 4 2 8 2 4" xfId="2974"/>
    <cellStyle name="Porcentagem 4 2 8 2 5" xfId="3501"/>
    <cellStyle name="Porcentagem 4 2 8 2 6" xfId="4028"/>
    <cellStyle name="Porcentagem 4 2 8 3" xfId="871"/>
    <cellStyle name="Porcentagem 4 2 8 4" xfId="1222"/>
    <cellStyle name="Porcentagem 4 2 8 5" xfId="1657"/>
    <cellStyle name="Porcentagem 4 2 8 6" xfId="2187"/>
    <cellStyle name="Porcentagem 4 2 8 7" xfId="2714"/>
    <cellStyle name="Porcentagem 4 2 8 8" xfId="3241"/>
    <cellStyle name="Porcentagem 4 2 8 9" xfId="3768"/>
    <cellStyle name="Porcentagem 4 2 9" xfId="220"/>
    <cellStyle name="Porcentagem 4 2 9 2" xfId="483"/>
    <cellStyle name="Porcentagem 4 2 9 3" xfId="780"/>
    <cellStyle name="Porcentagem 4 2 9 4" xfId="1131"/>
    <cellStyle name="Porcentagem 4 2 9 5" xfId="1566"/>
    <cellStyle name="Porcentagem 4 2 9 6" xfId="2096"/>
    <cellStyle name="Porcentagem 4 2 9 7" xfId="2623"/>
    <cellStyle name="Porcentagem 4 2 9 8" xfId="3150"/>
    <cellStyle name="Porcentagem 4 2 9 9" xfId="3677"/>
    <cellStyle name="Porcentagem 4 20" xfId="687"/>
    <cellStyle name="Porcentagem 4 20 2" xfId="4111"/>
    <cellStyle name="Porcentagem 4 21" xfId="1038"/>
    <cellStyle name="Porcentagem 4 22" xfId="1473"/>
    <cellStyle name="Porcentagem 4 23" xfId="2003"/>
    <cellStyle name="Porcentagem 4 24" xfId="2530"/>
    <cellStyle name="Porcentagem 4 25" xfId="3057"/>
    <cellStyle name="Porcentagem 4 26" xfId="3584"/>
    <cellStyle name="Porcentagem 4 3" xfId="43"/>
    <cellStyle name="Porcentagem 4 3 10" xfId="2546"/>
    <cellStyle name="Porcentagem 4 3 11" xfId="3073"/>
    <cellStyle name="Porcentagem 4 3 12" xfId="3600"/>
    <cellStyle name="Porcentagem 4 3 2" xfId="137"/>
    <cellStyle name="Porcentagem 4 3 2 2" xfId="410"/>
    <cellStyle name="Porcentagem 4 3 2 2 2" xfId="1929"/>
    <cellStyle name="Porcentagem 4 3 2 2 3" xfId="2459"/>
    <cellStyle name="Porcentagem 4 3 2 2 4" xfId="2986"/>
    <cellStyle name="Porcentagem 4 3 2 2 5" xfId="3513"/>
    <cellStyle name="Porcentagem 4 3 2 2 6" xfId="4040"/>
    <cellStyle name="Porcentagem 4 3 2 3" xfId="883"/>
    <cellStyle name="Porcentagem 4 3 2 4" xfId="1234"/>
    <cellStyle name="Porcentagem 4 3 2 5" xfId="1669"/>
    <cellStyle name="Porcentagem 4 3 2 6" xfId="2199"/>
    <cellStyle name="Porcentagem 4 3 2 7" xfId="2726"/>
    <cellStyle name="Porcentagem 4 3 2 8" xfId="3253"/>
    <cellStyle name="Porcentagem 4 3 2 9" xfId="3780"/>
    <cellStyle name="Porcentagem 4 3 3" xfId="232"/>
    <cellStyle name="Porcentagem 4 3 3 2" xfId="495"/>
    <cellStyle name="Porcentagem 4 3 3 3" xfId="792"/>
    <cellStyle name="Porcentagem 4 3 3 4" xfId="1143"/>
    <cellStyle name="Porcentagem 4 3 3 5" xfId="1578"/>
    <cellStyle name="Porcentagem 4 3 3 6" xfId="2108"/>
    <cellStyle name="Porcentagem 4 3 3 7" xfId="2635"/>
    <cellStyle name="Porcentagem 4 3 3 8" xfId="3162"/>
    <cellStyle name="Porcentagem 4 3 3 9" xfId="3689"/>
    <cellStyle name="Porcentagem 4 3 4" xfId="325"/>
    <cellStyle name="Porcentagem 4 3 4 2" xfId="970"/>
    <cellStyle name="Porcentagem 4 3 4 3" xfId="1321"/>
    <cellStyle name="Porcentagem 4 3 4 4" xfId="1756"/>
    <cellStyle name="Porcentagem 4 3 4 5" xfId="2286"/>
    <cellStyle name="Porcentagem 4 3 4 6" xfId="2813"/>
    <cellStyle name="Porcentagem 4 3 4 7" xfId="3340"/>
    <cellStyle name="Porcentagem 4 3 4 8" xfId="3867"/>
    <cellStyle name="Porcentagem 4 3 5" xfId="582"/>
    <cellStyle name="Porcentagem 4 3 5 2" xfId="1405"/>
    <cellStyle name="Porcentagem 4 3 5 3" xfId="1840"/>
    <cellStyle name="Porcentagem 4 3 5 4" xfId="2370"/>
    <cellStyle name="Porcentagem 4 3 5 5" xfId="2897"/>
    <cellStyle name="Porcentagem 4 3 5 6" xfId="3424"/>
    <cellStyle name="Porcentagem 4 3 5 7" xfId="3951"/>
    <cellStyle name="Porcentagem 4 3 6" xfId="703"/>
    <cellStyle name="Porcentagem 4 3 6 2" xfId="4127"/>
    <cellStyle name="Porcentagem 4 3 7" xfId="1054"/>
    <cellStyle name="Porcentagem 4 3 8" xfId="1489"/>
    <cellStyle name="Porcentagem 4 3 9" xfId="2019"/>
    <cellStyle name="Porcentagem 4 4" xfId="47"/>
    <cellStyle name="Porcentagem 4 4 10" xfId="2550"/>
    <cellStyle name="Porcentagem 4 4 11" xfId="3077"/>
    <cellStyle name="Porcentagem 4 4 12" xfId="3604"/>
    <cellStyle name="Porcentagem 4 4 2" xfId="141"/>
    <cellStyle name="Porcentagem 4 4 2 2" xfId="414"/>
    <cellStyle name="Porcentagem 4 4 2 2 2" xfId="1933"/>
    <cellStyle name="Porcentagem 4 4 2 2 3" xfId="2463"/>
    <cellStyle name="Porcentagem 4 4 2 2 4" xfId="2990"/>
    <cellStyle name="Porcentagem 4 4 2 2 5" xfId="3517"/>
    <cellStyle name="Porcentagem 4 4 2 2 6" xfId="4044"/>
    <cellStyle name="Porcentagem 4 4 2 3" xfId="887"/>
    <cellStyle name="Porcentagem 4 4 2 4" xfId="1238"/>
    <cellStyle name="Porcentagem 4 4 2 5" xfId="1673"/>
    <cellStyle name="Porcentagem 4 4 2 6" xfId="2203"/>
    <cellStyle name="Porcentagem 4 4 2 7" xfId="2730"/>
    <cellStyle name="Porcentagem 4 4 2 8" xfId="3257"/>
    <cellStyle name="Porcentagem 4 4 2 9" xfId="3784"/>
    <cellStyle name="Porcentagem 4 4 3" xfId="236"/>
    <cellStyle name="Porcentagem 4 4 3 2" xfId="499"/>
    <cellStyle name="Porcentagem 4 4 3 3" xfId="796"/>
    <cellStyle name="Porcentagem 4 4 3 4" xfId="1147"/>
    <cellStyle name="Porcentagem 4 4 3 5" xfId="1582"/>
    <cellStyle name="Porcentagem 4 4 3 6" xfId="2112"/>
    <cellStyle name="Porcentagem 4 4 3 7" xfId="2639"/>
    <cellStyle name="Porcentagem 4 4 3 8" xfId="3166"/>
    <cellStyle name="Porcentagem 4 4 3 9" xfId="3693"/>
    <cellStyle name="Porcentagem 4 4 4" xfId="329"/>
    <cellStyle name="Porcentagem 4 4 4 2" xfId="974"/>
    <cellStyle name="Porcentagem 4 4 4 3" xfId="1325"/>
    <cellStyle name="Porcentagem 4 4 4 4" xfId="1760"/>
    <cellStyle name="Porcentagem 4 4 4 5" xfId="2290"/>
    <cellStyle name="Porcentagem 4 4 4 6" xfId="2817"/>
    <cellStyle name="Porcentagem 4 4 4 7" xfId="3344"/>
    <cellStyle name="Porcentagem 4 4 4 8" xfId="3871"/>
    <cellStyle name="Porcentagem 4 4 5" xfId="586"/>
    <cellStyle name="Porcentagem 4 4 5 2" xfId="1409"/>
    <cellStyle name="Porcentagem 4 4 5 3" xfId="1844"/>
    <cellStyle name="Porcentagem 4 4 5 4" xfId="2374"/>
    <cellStyle name="Porcentagem 4 4 5 5" xfId="2901"/>
    <cellStyle name="Porcentagem 4 4 5 6" xfId="3428"/>
    <cellStyle name="Porcentagem 4 4 5 7" xfId="3955"/>
    <cellStyle name="Porcentagem 4 4 6" xfId="707"/>
    <cellStyle name="Porcentagem 4 4 6 2" xfId="4131"/>
    <cellStyle name="Porcentagem 4 4 7" xfId="1058"/>
    <cellStyle name="Porcentagem 4 4 8" xfId="1493"/>
    <cellStyle name="Porcentagem 4 4 9" xfId="2023"/>
    <cellStyle name="Porcentagem 4 5" xfId="51"/>
    <cellStyle name="Porcentagem 4 5 10" xfId="2554"/>
    <cellStyle name="Porcentagem 4 5 11" xfId="3081"/>
    <cellStyle name="Porcentagem 4 5 12" xfId="3608"/>
    <cellStyle name="Porcentagem 4 5 2" xfId="145"/>
    <cellStyle name="Porcentagem 4 5 2 2" xfId="418"/>
    <cellStyle name="Porcentagem 4 5 2 2 2" xfId="1937"/>
    <cellStyle name="Porcentagem 4 5 2 2 3" xfId="2467"/>
    <cellStyle name="Porcentagem 4 5 2 2 4" xfId="2994"/>
    <cellStyle name="Porcentagem 4 5 2 2 5" xfId="3521"/>
    <cellStyle name="Porcentagem 4 5 2 2 6" xfId="4048"/>
    <cellStyle name="Porcentagem 4 5 2 3" xfId="891"/>
    <cellStyle name="Porcentagem 4 5 2 4" xfId="1242"/>
    <cellStyle name="Porcentagem 4 5 2 5" xfId="1677"/>
    <cellStyle name="Porcentagem 4 5 2 6" xfId="2207"/>
    <cellStyle name="Porcentagem 4 5 2 7" xfId="2734"/>
    <cellStyle name="Porcentagem 4 5 2 8" xfId="3261"/>
    <cellStyle name="Porcentagem 4 5 2 9" xfId="3788"/>
    <cellStyle name="Porcentagem 4 5 3" xfId="240"/>
    <cellStyle name="Porcentagem 4 5 3 2" xfId="503"/>
    <cellStyle name="Porcentagem 4 5 3 3" xfId="800"/>
    <cellStyle name="Porcentagem 4 5 3 4" xfId="1151"/>
    <cellStyle name="Porcentagem 4 5 3 5" xfId="1586"/>
    <cellStyle name="Porcentagem 4 5 3 6" xfId="2116"/>
    <cellStyle name="Porcentagem 4 5 3 7" xfId="2643"/>
    <cellStyle name="Porcentagem 4 5 3 8" xfId="3170"/>
    <cellStyle name="Porcentagem 4 5 3 9" xfId="3697"/>
    <cellStyle name="Porcentagem 4 5 4" xfId="333"/>
    <cellStyle name="Porcentagem 4 5 4 2" xfId="978"/>
    <cellStyle name="Porcentagem 4 5 4 3" xfId="1329"/>
    <cellStyle name="Porcentagem 4 5 4 4" xfId="1764"/>
    <cellStyle name="Porcentagem 4 5 4 5" xfId="2294"/>
    <cellStyle name="Porcentagem 4 5 4 6" xfId="2821"/>
    <cellStyle name="Porcentagem 4 5 4 7" xfId="3348"/>
    <cellStyle name="Porcentagem 4 5 4 8" xfId="3875"/>
    <cellStyle name="Porcentagem 4 5 5" xfId="590"/>
    <cellStyle name="Porcentagem 4 5 5 2" xfId="1413"/>
    <cellStyle name="Porcentagem 4 5 5 3" xfId="1848"/>
    <cellStyle name="Porcentagem 4 5 5 4" xfId="2378"/>
    <cellStyle name="Porcentagem 4 5 5 5" xfId="2905"/>
    <cellStyle name="Porcentagem 4 5 5 6" xfId="3432"/>
    <cellStyle name="Porcentagem 4 5 5 7" xfId="3959"/>
    <cellStyle name="Porcentagem 4 5 6" xfId="711"/>
    <cellStyle name="Porcentagem 4 5 6 2" xfId="4135"/>
    <cellStyle name="Porcentagem 4 5 7" xfId="1062"/>
    <cellStyle name="Porcentagem 4 5 8" xfId="1497"/>
    <cellStyle name="Porcentagem 4 5 9" xfId="2027"/>
    <cellStyle name="Porcentagem 4 6" xfId="55"/>
    <cellStyle name="Porcentagem 4 6 10" xfId="2558"/>
    <cellStyle name="Porcentagem 4 6 11" xfId="3085"/>
    <cellStyle name="Porcentagem 4 6 12" xfId="3612"/>
    <cellStyle name="Porcentagem 4 6 2" xfId="149"/>
    <cellStyle name="Porcentagem 4 6 2 2" xfId="422"/>
    <cellStyle name="Porcentagem 4 6 2 2 2" xfId="1941"/>
    <cellStyle name="Porcentagem 4 6 2 2 3" xfId="2471"/>
    <cellStyle name="Porcentagem 4 6 2 2 4" xfId="2998"/>
    <cellStyle name="Porcentagem 4 6 2 2 5" xfId="3525"/>
    <cellStyle name="Porcentagem 4 6 2 2 6" xfId="4052"/>
    <cellStyle name="Porcentagem 4 6 2 3" xfId="895"/>
    <cellStyle name="Porcentagem 4 6 2 4" xfId="1246"/>
    <cellStyle name="Porcentagem 4 6 2 5" xfId="1681"/>
    <cellStyle name="Porcentagem 4 6 2 6" xfId="2211"/>
    <cellStyle name="Porcentagem 4 6 2 7" xfId="2738"/>
    <cellStyle name="Porcentagem 4 6 2 8" xfId="3265"/>
    <cellStyle name="Porcentagem 4 6 2 9" xfId="3792"/>
    <cellStyle name="Porcentagem 4 6 3" xfId="244"/>
    <cellStyle name="Porcentagem 4 6 3 2" xfId="507"/>
    <cellStyle name="Porcentagem 4 6 3 3" xfId="804"/>
    <cellStyle name="Porcentagem 4 6 3 4" xfId="1155"/>
    <cellStyle name="Porcentagem 4 6 3 5" xfId="1590"/>
    <cellStyle name="Porcentagem 4 6 3 6" xfId="2120"/>
    <cellStyle name="Porcentagem 4 6 3 7" xfId="2647"/>
    <cellStyle name="Porcentagem 4 6 3 8" xfId="3174"/>
    <cellStyle name="Porcentagem 4 6 3 9" xfId="3701"/>
    <cellStyle name="Porcentagem 4 6 4" xfId="337"/>
    <cellStyle name="Porcentagem 4 6 4 2" xfId="982"/>
    <cellStyle name="Porcentagem 4 6 4 3" xfId="1333"/>
    <cellStyle name="Porcentagem 4 6 4 4" xfId="1768"/>
    <cellStyle name="Porcentagem 4 6 4 5" xfId="2298"/>
    <cellStyle name="Porcentagem 4 6 4 6" xfId="2825"/>
    <cellStyle name="Porcentagem 4 6 4 7" xfId="3352"/>
    <cellStyle name="Porcentagem 4 6 4 8" xfId="3879"/>
    <cellStyle name="Porcentagem 4 6 5" xfId="594"/>
    <cellStyle name="Porcentagem 4 6 5 2" xfId="1417"/>
    <cellStyle name="Porcentagem 4 6 5 3" xfId="1852"/>
    <cellStyle name="Porcentagem 4 6 5 4" xfId="2382"/>
    <cellStyle name="Porcentagem 4 6 5 5" xfId="2909"/>
    <cellStyle name="Porcentagem 4 6 5 6" xfId="3436"/>
    <cellStyle name="Porcentagem 4 6 5 7" xfId="3963"/>
    <cellStyle name="Porcentagem 4 6 6" xfId="715"/>
    <cellStyle name="Porcentagem 4 6 6 2" xfId="4139"/>
    <cellStyle name="Porcentagem 4 6 7" xfId="1066"/>
    <cellStyle name="Porcentagem 4 6 8" xfId="1501"/>
    <cellStyle name="Porcentagem 4 6 9" xfId="2031"/>
    <cellStyle name="Porcentagem 4 7" xfId="59"/>
    <cellStyle name="Porcentagem 4 7 10" xfId="2562"/>
    <cellStyle name="Porcentagem 4 7 11" xfId="3089"/>
    <cellStyle name="Porcentagem 4 7 12" xfId="3616"/>
    <cellStyle name="Porcentagem 4 7 2" xfId="153"/>
    <cellStyle name="Porcentagem 4 7 2 2" xfId="426"/>
    <cellStyle name="Porcentagem 4 7 2 2 2" xfId="1945"/>
    <cellStyle name="Porcentagem 4 7 2 2 3" xfId="2475"/>
    <cellStyle name="Porcentagem 4 7 2 2 4" xfId="3002"/>
    <cellStyle name="Porcentagem 4 7 2 2 5" xfId="3529"/>
    <cellStyle name="Porcentagem 4 7 2 2 6" xfId="4056"/>
    <cellStyle name="Porcentagem 4 7 2 3" xfId="899"/>
    <cellStyle name="Porcentagem 4 7 2 4" xfId="1250"/>
    <cellStyle name="Porcentagem 4 7 2 5" xfId="1685"/>
    <cellStyle name="Porcentagem 4 7 2 6" xfId="2215"/>
    <cellStyle name="Porcentagem 4 7 2 7" xfId="2742"/>
    <cellStyle name="Porcentagem 4 7 2 8" xfId="3269"/>
    <cellStyle name="Porcentagem 4 7 2 9" xfId="3796"/>
    <cellStyle name="Porcentagem 4 7 3" xfId="248"/>
    <cellStyle name="Porcentagem 4 7 3 2" xfId="511"/>
    <cellStyle name="Porcentagem 4 7 3 3" xfId="808"/>
    <cellStyle name="Porcentagem 4 7 3 4" xfId="1159"/>
    <cellStyle name="Porcentagem 4 7 3 5" xfId="1594"/>
    <cellStyle name="Porcentagem 4 7 3 6" xfId="2124"/>
    <cellStyle name="Porcentagem 4 7 3 7" xfId="2651"/>
    <cellStyle name="Porcentagem 4 7 3 8" xfId="3178"/>
    <cellStyle name="Porcentagem 4 7 3 9" xfId="3705"/>
    <cellStyle name="Porcentagem 4 7 4" xfId="341"/>
    <cellStyle name="Porcentagem 4 7 4 2" xfId="986"/>
    <cellStyle name="Porcentagem 4 7 4 3" xfId="1337"/>
    <cellStyle name="Porcentagem 4 7 4 4" xfId="1772"/>
    <cellStyle name="Porcentagem 4 7 4 5" xfId="2302"/>
    <cellStyle name="Porcentagem 4 7 4 6" xfId="2829"/>
    <cellStyle name="Porcentagem 4 7 4 7" xfId="3356"/>
    <cellStyle name="Porcentagem 4 7 4 8" xfId="3883"/>
    <cellStyle name="Porcentagem 4 7 5" xfId="598"/>
    <cellStyle name="Porcentagem 4 7 5 2" xfId="1421"/>
    <cellStyle name="Porcentagem 4 7 5 3" xfId="1856"/>
    <cellStyle name="Porcentagem 4 7 5 4" xfId="2386"/>
    <cellStyle name="Porcentagem 4 7 5 5" xfId="2913"/>
    <cellStyle name="Porcentagem 4 7 5 6" xfId="3440"/>
    <cellStyle name="Porcentagem 4 7 5 7" xfId="3967"/>
    <cellStyle name="Porcentagem 4 7 6" xfId="719"/>
    <cellStyle name="Porcentagem 4 7 6 2" xfId="4143"/>
    <cellStyle name="Porcentagem 4 7 7" xfId="1070"/>
    <cellStyle name="Porcentagem 4 7 8" xfId="1505"/>
    <cellStyle name="Porcentagem 4 7 9" xfId="2035"/>
    <cellStyle name="Porcentagem 4 8" xfId="63"/>
    <cellStyle name="Porcentagem 4 8 10" xfId="2566"/>
    <cellStyle name="Porcentagem 4 8 11" xfId="3093"/>
    <cellStyle name="Porcentagem 4 8 12" xfId="3620"/>
    <cellStyle name="Porcentagem 4 8 2" xfId="157"/>
    <cellStyle name="Porcentagem 4 8 2 2" xfId="430"/>
    <cellStyle name="Porcentagem 4 8 2 2 2" xfId="1949"/>
    <cellStyle name="Porcentagem 4 8 2 2 3" xfId="2479"/>
    <cellStyle name="Porcentagem 4 8 2 2 4" xfId="3006"/>
    <cellStyle name="Porcentagem 4 8 2 2 5" xfId="3533"/>
    <cellStyle name="Porcentagem 4 8 2 2 6" xfId="4060"/>
    <cellStyle name="Porcentagem 4 8 2 3" xfId="903"/>
    <cellStyle name="Porcentagem 4 8 2 4" xfId="1254"/>
    <cellStyle name="Porcentagem 4 8 2 5" xfId="1689"/>
    <cellStyle name="Porcentagem 4 8 2 6" xfId="2219"/>
    <cellStyle name="Porcentagem 4 8 2 7" xfId="2746"/>
    <cellStyle name="Porcentagem 4 8 2 8" xfId="3273"/>
    <cellStyle name="Porcentagem 4 8 2 9" xfId="3800"/>
    <cellStyle name="Porcentagem 4 8 3" xfId="252"/>
    <cellStyle name="Porcentagem 4 8 3 2" xfId="515"/>
    <cellStyle name="Porcentagem 4 8 3 3" xfId="812"/>
    <cellStyle name="Porcentagem 4 8 3 4" xfId="1163"/>
    <cellStyle name="Porcentagem 4 8 3 5" xfId="1598"/>
    <cellStyle name="Porcentagem 4 8 3 6" xfId="2128"/>
    <cellStyle name="Porcentagem 4 8 3 7" xfId="2655"/>
    <cellStyle name="Porcentagem 4 8 3 8" xfId="3182"/>
    <cellStyle name="Porcentagem 4 8 3 9" xfId="3709"/>
    <cellStyle name="Porcentagem 4 8 4" xfId="345"/>
    <cellStyle name="Porcentagem 4 8 4 2" xfId="990"/>
    <cellStyle name="Porcentagem 4 8 4 3" xfId="1341"/>
    <cellStyle name="Porcentagem 4 8 4 4" xfId="1776"/>
    <cellStyle name="Porcentagem 4 8 4 5" xfId="2306"/>
    <cellStyle name="Porcentagem 4 8 4 6" xfId="2833"/>
    <cellStyle name="Porcentagem 4 8 4 7" xfId="3360"/>
    <cellStyle name="Porcentagem 4 8 4 8" xfId="3887"/>
    <cellStyle name="Porcentagem 4 8 5" xfId="602"/>
    <cellStyle name="Porcentagem 4 8 5 2" xfId="1425"/>
    <cellStyle name="Porcentagem 4 8 5 3" xfId="1860"/>
    <cellStyle name="Porcentagem 4 8 5 4" xfId="2390"/>
    <cellStyle name="Porcentagem 4 8 5 5" xfId="2917"/>
    <cellStyle name="Porcentagem 4 8 5 6" xfId="3444"/>
    <cellStyle name="Porcentagem 4 8 5 7" xfId="3971"/>
    <cellStyle name="Porcentagem 4 8 6" xfId="723"/>
    <cellStyle name="Porcentagem 4 8 6 2" xfId="4147"/>
    <cellStyle name="Porcentagem 4 8 7" xfId="1074"/>
    <cellStyle name="Porcentagem 4 8 8" xfId="1509"/>
    <cellStyle name="Porcentagem 4 8 9" xfId="2039"/>
    <cellStyle name="Porcentagem 4 9" xfId="71"/>
    <cellStyle name="Porcentagem 4 9 10" xfId="2574"/>
    <cellStyle name="Porcentagem 4 9 11" xfId="3101"/>
    <cellStyle name="Porcentagem 4 9 12" xfId="3628"/>
    <cellStyle name="Porcentagem 4 9 2" xfId="165"/>
    <cellStyle name="Porcentagem 4 9 2 2" xfId="438"/>
    <cellStyle name="Porcentagem 4 9 2 2 2" xfId="1957"/>
    <cellStyle name="Porcentagem 4 9 2 2 3" xfId="2487"/>
    <cellStyle name="Porcentagem 4 9 2 2 4" xfId="3014"/>
    <cellStyle name="Porcentagem 4 9 2 2 5" xfId="3541"/>
    <cellStyle name="Porcentagem 4 9 2 2 6" xfId="4068"/>
    <cellStyle name="Porcentagem 4 9 2 3" xfId="911"/>
    <cellStyle name="Porcentagem 4 9 2 4" xfId="1262"/>
    <cellStyle name="Porcentagem 4 9 2 5" xfId="1697"/>
    <cellStyle name="Porcentagem 4 9 2 6" xfId="2227"/>
    <cellStyle name="Porcentagem 4 9 2 7" xfId="2754"/>
    <cellStyle name="Porcentagem 4 9 2 8" xfId="3281"/>
    <cellStyle name="Porcentagem 4 9 2 9" xfId="3808"/>
    <cellStyle name="Porcentagem 4 9 3" xfId="260"/>
    <cellStyle name="Porcentagem 4 9 3 2" xfId="523"/>
    <cellStyle name="Porcentagem 4 9 3 3" xfId="820"/>
    <cellStyle name="Porcentagem 4 9 3 4" xfId="1171"/>
    <cellStyle name="Porcentagem 4 9 3 5" xfId="1606"/>
    <cellStyle name="Porcentagem 4 9 3 6" xfId="2136"/>
    <cellStyle name="Porcentagem 4 9 3 7" xfId="2663"/>
    <cellStyle name="Porcentagem 4 9 3 8" xfId="3190"/>
    <cellStyle name="Porcentagem 4 9 3 9" xfId="3717"/>
    <cellStyle name="Porcentagem 4 9 4" xfId="353"/>
    <cellStyle name="Porcentagem 4 9 4 2" xfId="998"/>
    <cellStyle name="Porcentagem 4 9 4 3" xfId="1349"/>
    <cellStyle name="Porcentagem 4 9 4 4" xfId="1784"/>
    <cellStyle name="Porcentagem 4 9 4 5" xfId="2314"/>
    <cellStyle name="Porcentagem 4 9 4 6" xfId="2841"/>
    <cellStyle name="Porcentagem 4 9 4 7" xfId="3368"/>
    <cellStyle name="Porcentagem 4 9 4 8" xfId="3895"/>
    <cellStyle name="Porcentagem 4 9 5" xfId="610"/>
    <cellStyle name="Porcentagem 4 9 5 2" xfId="1433"/>
    <cellStyle name="Porcentagem 4 9 5 3" xfId="1868"/>
    <cellStyle name="Porcentagem 4 9 5 4" xfId="2398"/>
    <cellStyle name="Porcentagem 4 9 5 5" xfId="2925"/>
    <cellStyle name="Porcentagem 4 9 5 6" xfId="3452"/>
    <cellStyle name="Porcentagem 4 9 5 7" xfId="3979"/>
    <cellStyle name="Porcentagem 4 9 6" xfId="731"/>
    <cellStyle name="Porcentagem 4 9 6 2" xfId="4155"/>
    <cellStyle name="Porcentagem 4 9 7" xfId="1082"/>
    <cellStyle name="Porcentagem 4 9 8" xfId="1517"/>
    <cellStyle name="Porcentagem 4 9 9" xfId="2047"/>
    <cellStyle name="Porcentagem 5" xfId="14"/>
    <cellStyle name="Porcentagem 6" xfId="564"/>
    <cellStyle name="Separador de milhares 2" xfId="24"/>
    <cellStyle name="Separador de milhares 2 10" xfId="11098"/>
    <cellStyle name="Separador de milhares 2 2" xfId="25"/>
    <cellStyle name="Separador de milhares 2 2 2" xfId="26"/>
    <cellStyle name="Separador de milhares 2 2 2 2" xfId="121"/>
    <cellStyle name="Separador de milhares 2 2 2 2 10" xfId="6441"/>
    <cellStyle name="Separador de milhares 2 2 2 2 10 2" xfId="9595"/>
    <cellStyle name="Separador de milhares 2 2 2 2 10 2 2" xfId="27809"/>
    <cellStyle name="Separador de milhares 2 2 2 2 10 2 3" xfId="21895"/>
    <cellStyle name="Separador de milhares 2 2 2 2 10 2 4" xfId="15981"/>
    <cellStyle name="Separador de milhares 2 2 2 2 10 3" xfId="24852"/>
    <cellStyle name="Separador de milhares 2 2 2 2 10 4" xfId="18938"/>
    <cellStyle name="Separador de milhares 2 2 2 2 10 5" xfId="12830"/>
    <cellStyle name="Separador de milhares 2 2 2 2 11" xfId="8124"/>
    <cellStyle name="Separador de milhares 2 2 2 2 11 2" xfId="26338"/>
    <cellStyle name="Separador de milhares 2 2 2 2 11 3" xfId="20424"/>
    <cellStyle name="Separador de milhares 2 2 2 2 11 4" xfId="14513"/>
    <cellStyle name="Separador de milhares 2 2 2 2 12" xfId="4740"/>
    <cellStyle name="Separador de milhares 2 2 2 2 12 2" xfId="23381"/>
    <cellStyle name="Separador de milhares 2 2 2 2 13" xfId="17467"/>
    <cellStyle name="Separador de milhares 2 2 2 2 14" xfId="11129"/>
    <cellStyle name="Separador de milhares 2 2 2 2 2" xfId="661"/>
    <cellStyle name="Separador de milhares 2 2 2 2 2 10" xfId="17618"/>
    <cellStyle name="Separador de milhares 2 2 2 2 2 11" xfId="11284"/>
    <cellStyle name="Separador de milhares 2 2 2 2 2 2" xfId="1913"/>
    <cellStyle name="Separador de milhares 2 2 2 2 2 2 2" xfId="6960"/>
    <cellStyle name="Separador de milhares 2 2 2 2 2 2 2 2" xfId="10107"/>
    <cellStyle name="Separador de milhares 2 2 2 2 2 2 2 2 2" xfId="28321"/>
    <cellStyle name="Separador de milhares 2 2 2 2 2 2 2 2 3" xfId="22407"/>
    <cellStyle name="Separador de milhares 2 2 2 2 2 2 2 2 4" xfId="16493"/>
    <cellStyle name="Separador de milhares 2 2 2 2 2 2 2 3" xfId="25364"/>
    <cellStyle name="Separador de milhares 2 2 2 2 2 2 2 4" xfId="19450"/>
    <cellStyle name="Separador de milhares 2 2 2 2 2 2 2 5" xfId="13349"/>
    <cellStyle name="Separador de milhares 2 2 2 2 2 2 3" xfId="8639"/>
    <cellStyle name="Separador de milhares 2 2 2 2 2 2 3 2" xfId="26853"/>
    <cellStyle name="Separador de milhares 2 2 2 2 2 2 3 3" xfId="20939"/>
    <cellStyle name="Separador de milhares 2 2 2 2 2 2 3 4" xfId="15025"/>
    <cellStyle name="Separador de milhares 2 2 2 2 2 2 4" xfId="5261"/>
    <cellStyle name="Separador de milhares 2 2 2 2 2 2 4 2" xfId="23896"/>
    <cellStyle name="Separador de milhares 2 2 2 2 2 2 5" xfId="17982"/>
    <cellStyle name="Separador de milhares 2 2 2 2 2 2 6" xfId="11648"/>
    <cellStyle name="Separador de milhares 2 2 2 2 2 3" xfId="2443"/>
    <cellStyle name="Separador de milhares 2 2 2 2 2 3 2" xfId="7110"/>
    <cellStyle name="Separador de milhares 2 2 2 2 2 3 2 2" xfId="10254"/>
    <cellStyle name="Separador de milhares 2 2 2 2 2 3 2 2 2" xfId="28468"/>
    <cellStyle name="Separador de milhares 2 2 2 2 2 3 2 2 3" xfId="22554"/>
    <cellStyle name="Separador de milhares 2 2 2 2 2 3 2 2 4" xfId="16640"/>
    <cellStyle name="Separador de milhares 2 2 2 2 2 3 2 3" xfId="25511"/>
    <cellStyle name="Separador de milhares 2 2 2 2 2 3 2 4" xfId="19597"/>
    <cellStyle name="Separador de milhares 2 2 2 2 2 3 2 5" xfId="13499"/>
    <cellStyle name="Separador de milhares 2 2 2 2 2 3 3" xfId="8786"/>
    <cellStyle name="Separador de milhares 2 2 2 2 2 3 3 2" xfId="27000"/>
    <cellStyle name="Separador de milhares 2 2 2 2 2 3 3 3" xfId="21086"/>
    <cellStyle name="Separador de milhares 2 2 2 2 2 3 3 4" xfId="15172"/>
    <cellStyle name="Separador de milhares 2 2 2 2 2 3 4" xfId="5411"/>
    <cellStyle name="Separador de milhares 2 2 2 2 2 3 4 2" xfId="24043"/>
    <cellStyle name="Separador de milhares 2 2 2 2 2 3 5" xfId="18129"/>
    <cellStyle name="Separador de milhares 2 2 2 2 2 3 6" xfId="11798"/>
    <cellStyle name="Separador de milhares 2 2 2 2 2 4" xfId="2970"/>
    <cellStyle name="Separador de milhares 2 2 2 2 2 4 2" xfId="7257"/>
    <cellStyle name="Separador de milhares 2 2 2 2 2 4 2 2" xfId="10401"/>
    <cellStyle name="Separador de milhares 2 2 2 2 2 4 2 2 2" xfId="28615"/>
    <cellStyle name="Separador de milhares 2 2 2 2 2 4 2 2 3" xfId="22701"/>
    <cellStyle name="Separador de milhares 2 2 2 2 2 4 2 2 4" xfId="16787"/>
    <cellStyle name="Separador de milhares 2 2 2 2 2 4 2 3" xfId="25658"/>
    <cellStyle name="Separador de milhares 2 2 2 2 2 4 2 4" xfId="19744"/>
    <cellStyle name="Separador de milhares 2 2 2 2 2 4 2 5" xfId="13646"/>
    <cellStyle name="Separador de milhares 2 2 2 2 2 4 3" xfId="8933"/>
    <cellStyle name="Separador de milhares 2 2 2 2 2 4 3 2" xfId="27147"/>
    <cellStyle name="Separador de milhares 2 2 2 2 2 4 3 3" xfId="21233"/>
    <cellStyle name="Separador de milhares 2 2 2 2 2 4 3 4" xfId="15319"/>
    <cellStyle name="Separador de milhares 2 2 2 2 2 4 4" xfId="5558"/>
    <cellStyle name="Separador de milhares 2 2 2 2 2 4 4 2" xfId="24190"/>
    <cellStyle name="Separador de milhares 2 2 2 2 2 4 5" xfId="18276"/>
    <cellStyle name="Separador de milhares 2 2 2 2 2 4 6" xfId="11945"/>
    <cellStyle name="Separador de milhares 2 2 2 2 2 5" xfId="3497"/>
    <cellStyle name="Separador de milhares 2 2 2 2 2 5 2" xfId="7404"/>
    <cellStyle name="Separador de milhares 2 2 2 2 2 5 2 2" xfId="10548"/>
    <cellStyle name="Separador de milhares 2 2 2 2 2 5 2 2 2" xfId="28762"/>
    <cellStyle name="Separador de milhares 2 2 2 2 2 5 2 2 3" xfId="22848"/>
    <cellStyle name="Separador de milhares 2 2 2 2 2 5 2 2 4" xfId="16934"/>
    <cellStyle name="Separador de milhares 2 2 2 2 2 5 2 3" xfId="25805"/>
    <cellStyle name="Separador de milhares 2 2 2 2 2 5 2 4" xfId="19891"/>
    <cellStyle name="Separador de milhares 2 2 2 2 2 5 2 5" xfId="13793"/>
    <cellStyle name="Separador de milhares 2 2 2 2 2 5 3" xfId="9080"/>
    <cellStyle name="Separador de milhares 2 2 2 2 2 5 3 2" xfId="27294"/>
    <cellStyle name="Separador de milhares 2 2 2 2 2 5 3 3" xfId="21380"/>
    <cellStyle name="Separador de milhares 2 2 2 2 2 5 3 4" xfId="15466"/>
    <cellStyle name="Separador de milhares 2 2 2 2 2 5 4" xfId="5705"/>
    <cellStyle name="Separador de milhares 2 2 2 2 2 5 4 2" xfId="24337"/>
    <cellStyle name="Separador de milhares 2 2 2 2 2 5 5" xfId="18423"/>
    <cellStyle name="Separador de milhares 2 2 2 2 2 5 6" xfId="12092"/>
    <cellStyle name="Separador de milhares 2 2 2 2 2 6" xfId="4024"/>
    <cellStyle name="Separador de milhares 2 2 2 2 2 6 2" xfId="7551"/>
    <cellStyle name="Separador de milhares 2 2 2 2 2 6 2 2" xfId="10695"/>
    <cellStyle name="Separador de milhares 2 2 2 2 2 6 2 2 2" xfId="28909"/>
    <cellStyle name="Separador de milhares 2 2 2 2 2 6 2 2 3" xfId="22995"/>
    <cellStyle name="Separador de milhares 2 2 2 2 2 6 2 2 4" xfId="17081"/>
    <cellStyle name="Separador de milhares 2 2 2 2 2 6 2 3" xfId="25952"/>
    <cellStyle name="Separador de milhares 2 2 2 2 2 6 2 4" xfId="20038"/>
    <cellStyle name="Separador de milhares 2 2 2 2 2 6 2 5" xfId="13940"/>
    <cellStyle name="Separador de milhares 2 2 2 2 2 6 3" xfId="9227"/>
    <cellStyle name="Separador de milhares 2 2 2 2 2 6 3 2" xfId="27441"/>
    <cellStyle name="Separador de milhares 2 2 2 2 2 6 3 3" xfId="21527"/>
    <cellStyle name="Separador de milhares 2 2 2 2 2 6 3 4" xfId="15613"/>
    <cellStyle name="Separador de milhares 2 2 2 2 2 6 4" xfId="5852"/>
    <cellStyle name="Separador de milhares 2 2 2 2 2 6 4 2" xfId="24484"/>
    <cellStyle name="Separador de milhares 2 2 2 2 2 6 5" xfId="18570"/>
    <cellStyle name="Separador de milhares 2 2 2 2 2 6 6" xfId="12239"/>
    <cellStyle name="Separador de milhares 2 2 2 2 2 7" xfId="6596"/>
    <cellStyle name="Separador de milhares 2 2 2 2 2 7 2" xfId="9743"/>
    <cellStyle name="Separador de milhares 2 2 2 2 2 7 2 2" xfId="27957"/>
    <cellStyle name="Separador de milhares 2 2 2 2 2 7 2 3" xfId="22043"/>
    <cellStyle name="Separador de milhares 2 2 2 2 2 7 2 4" xfId="16129"/>
    <cellStyle name="Separador de milhares 2 2 2 2 2 7 3" xfId="25000"/>
    <cellStyle name="Separador de milhares 2 2 2 2 2 7 4" xfId="19086"/>
    <cellStyle name="Separador de milhares 2 2 2 2 2 7 5" xfId="12985"/>
    <cellStyle name="Separador de milhares 2 2 2 2 2 8" xfId="8275"/>
    <cellStyle name="Separador de milhares 2 2 2 2 2 8 2" xfId="26489"/>
    <cellStyle name="Separador de milhares 2 2 2 2 2 8 3" xfId="20575"/>
    <cellStyle name="Separador de milhares 2 2 2 2 2 8 4" xfId="14661"/>
    <cellStyle name="Separador de milhares 2 2 2 2 2 9" xfId="4897"/>
    <cellStyle name="Separador de milhares 2 2 2 2 2 9 2" xfId="23532"/>
    <cellStyle name="Separador de milhares 2 2 2 2 3" xfId="867"/>
    <cellStyle name="Separador de milhares 2 2 2 2 3 2" xfId="6673"/>
    <cellStyle name="Separador de milhares 2 2 2 2 3 2 2" xfId="9820"/>
    <cellStyle name="Separador de milhares 2 2 2 2 3 2 2 2" xfId="28034"/>
    <cellStyle name="Separador de milhares 2 2 2 2 3 2 2 3" xfId="22120"/>
    <cellStyle name="Separador de milhares 2 2 2 2 3 2 2 4" xfId="16206"/>
    <cellStyle name="Separador de milhares 2 2 2 2 3 2 3" xfId="25077"/>
    <cellStyle name="Separador de milhares 2 2 2 2 3 2 4" xfId="19163"/>
    <cellStyle name="Separador de milhares 2 2 2 2 3 2 5" xfId="13062"/>
    <cellStyle name="Separador de milhares 2 2 2 2 3 3" xfId="8352"/>
    <cellStyle name="Separador de milhares 2 2 2 2 3 3 2" xfId="26566"/>
    <cellStyle name="Separador de milhares 2 2 2 2 3 3 3" xfId="20652"/>
    <cellStyle name="Separador de milhares 2 2 2 2 3 3 4" xfId="14738"/>
    <cellStyle name="Separador de milhares 2 2 2 2 3 4" xfId="4974"/>
    <cellStyle name="Separador de milhares 2 2 2 2 3 4 2" xfId="23609"/>
    <cellStyle name="Separador de milhares 2 2 2 2 3 5" xfId="17695"/>
    <cellStyle name="Separador de milhares 2 2 2 2 3 6" xfId="11361"/>
    <cellStyle name="Separador de milhares 2 2 2 2 4" xfId="1218"/>
    <cellStyle name="Separador de milhares 2 2 2 2 4 2" xfId="6771"/>
    <cellStyle name="Separador de milhares 2 2 2 2 4 2 2" xfId="9918"/>
    <cellStyle name="Separador de milhares 2 2 2 2 4 2 2 2" xfId="28132"/>
    <cellStyle name="Separador de milhares 2 2 2 2 4 2 2 3" xfId="22218"/>
    <cellStyle name="Separador de milhares 2 2 2 2 4 2 2 4" xfId="16304"/>
    <cellStyle name="Separador de milhares 2 2 2 2 4 2 3" xfId="25175"/>
    <cellStyle name="Separador de milhares 2 2 2 2 4 2 4" xfId="19261"/>
    <cellStyle name="Separador de milhares 2 2 2 2 4 2 5" xfId="13160"/>
    <cellStyle name="Separador de milhares 2 2 2 2 4 3" xfId="8450"/>
    <cellStyle name="Separador de milhares 2 2 2 2 4 3 2" xfId="26664"/>
    <cellStyle name="Separador de milhares 2 2 2 2 4 3 3" xfId="20750"/>
    <cellStyle name="Separador de milhares 2 2 2 2 4 3 4" xfId="14836"/>
    <cellStyle name="Separador de milhares 2 2 2 2 4 4" xfId="5072"/>
    <cellStyle name="Separador de milhares 2 2 2 2 4 4 2" xfId="23707"/>
    <cellStyle name="Separador de milhares 2 2 2 2 4 5" xfId="17793"/>
    <cellStyle name="Separador de milhares 2 2 2 2 4 6" xfId="11459"/>
    <cellStyle name="Separador de milhares 2 2 2 2 5" xfId="1653"/>
    <cellStyle name="Separador de milhares 2 2 2 2 5 2" xfId="6890"/>
    <cellStyle name="Separador de milhares 2 2 2 2 5 2 2" xfId="10037"/>
    <cellStyle name="Separador de milhares 2 2 2 2 5 2 2 2" xfId="28251"/>
    <cellStyle name="Separador de milhares 2 2 2 2 5 2 2 3" xfId="22337"/>
    <cellStyle name="Separador de milhares 2 2 2 2 5 2 2 4" xfId="16423"/>
    <cellStyle name="Separador de milhares 2 2 2 2 5 2 3" xfId="25294"/>
    <cellStyle name="Separador de milhares 2 2 2 2 5 2 4" xfId="19380"/>
    <cellStyle name="Separador de milhares 2 2 2 2 5 2 5" xfId="13279"/>
    <cellStyle name="Separador de milhares 2 2 2 2 5 3" xfId="8569"/>
    <cellStyle name="Separador de milhares 2 2 2 2 5 3 2" xfId="26783"/>
    <cellStyle name="Separador de milhares 2 2 2 2 5 3 3" xfId="20869"/>
    <cellStyle name="Separador de milhares 2 2 2 2 5 3 4" xfId="14955"/>
    <cellStyle name="Separador de milhares 2 2 2 2 5 4" xfId="5191"/>
    <cellStyle name="Separador de milhares 2 2 2 2 5 4 2" xfId="23826"/>
    <cellStyle name="Separador de milhares 2 2 2 2 5 5" xfId="17912"/>
    <cellStyle name="Separador de milhares 2 2 2 2 5 6" xfId="11578"/>
    <cellStyle name="Separador de milhares 2 2 2 2 6" xfId="2183"/>
    <cellStyle name="Separador de milhares 2 2 2 2 6 2" xfId="7040"/>
    <cellStyle name="Separador de milhares 2 2 2 2 6 2 2" xfId="10184"/>
    <cellStyle name="Separador de milhares 2 2 2 2 6 2 2 2" xfId="28398"/>
    <cellStyle name="Separador de milhares 2 2 2 2 6 2 2 3" xfId="22484"/>
    <cellStyle name="Separador de milhares 2 2 2 2 6 2 2 4" xfId="16570"/>
    <cellStyle name="Separador de milhares 2 2 2 2 6 2 3" xfId="25441"/>
    <cellStyle name="Separador de milhares 2 2 2 2 6 2 4" xfId="19527"/>
    <cellStyle name="Separador de milhares 2 2 2 2 6 2 5" xfId="13429"/>
    <cellStyle name="Separador de milhares 2 2 2 2 6 3" xfId="8716"/>
    <cellStyle name="Separador de milhares 2 2 2 2 6 3 2" xfId="26930"/>
    <cellStyle name="Separador de milhares 2 2 2 2 6 3 3" xfId="21016"/>
    <cellStyle name="Separador de milhares 2 2 2 2 6 3 4" xfId="15102"/>
    <cellStyle name="Separador de milhares 2 2 2 2 6 4" xfId="5341"/>
    <cellStyle name="Separador de milhares 2 2 2 2 6 4 2" xfId="23973"/>
    <cellStyle name="Separador de milhares 2 2 2 2 6 5" xfId="18059"/>
    <cellStyle name="Separador de milhares 2 2 2 2 6 6" xfId="11728"/>
    <cellStyle name="Separador de milhares 2 2 2 2 7" xfId="2710"/>
    <cellStyle name="Separador de milhares 2 2 2 2 7 2" xfId="7187"/>
    <cellStyle name="Separador de milhares 2 2 2 2 7 2 2" xfId="10331"/>
    <cellStyle name="Separador de milhares 2 2 2 2 7 2 2 2" xfId="28545"/>
    <cellStyle name="Separador de milhares 2 2 2 2 7 2 2 3" xfId="22631"/>
    <cellStyle name="Separador de milhares 2 2 2 2 7 2 2 4" xfId="16717"/>
    <cellStyle name="Separador de milhares 2 2 2 2 7 2 3" xfId="25588"/>
    <cellStyle name="Separador de milhares 2 2 2 2 7 2 4" xfId="19674"/>
    <cellStyle name="Separador de milhares 2 2 2 2 7 2 5" xfId="13576"/>
    <cellStyle name="Separador de milhares 2 2 2 2 7 3" xfId="8863"/>
    <cellStyle name="Separador de milhares 2 2 2 2 7 3 2" xfId="27077"/>
    <cellStyle name="Separador de milhares 2 2 2 2 7 3 3" xfId="21163"/>
    <cellStyle name="Separador de milhares 2 2 2 2 7 3 4" xfId="15249"/>
    <cellStyle name="Separador de milhares 2 2 2 2 7 4" xfId="5488"/>
    <cellStyle name="Separador de milhares 2 2 2 2 7 4 2" xfId="24120"/>
    <cellStyle name="Separador de milhares 2 2 2 2 7 5" xfId="18206"/>
    <cellStyle name="Separador de milhares 2 2 2 2 7 6" xfId="11875"/>
    <cellStyle name="Separador de milhares 2 2 2 2 8" xfId="3237"/>
    <cellStyle name="Separador de milhares 2 2 2 2 8 2" xfId="7334"/>
    <cellStyle name="Separador de milhares 2 2 2 2 8 2 2" xfId="10478"/>
    <cellStyle name="Separador de milhares 2 2 2 2 8 2 2 2" xfId="28692"/>
    <cellStyle name="Separador de milhares 2 2 2 2 8 2 2 3" xfId="22778"/>
    <cellStyle name="Separador de milhares 2 2 2 2 8 2 2 4" xfId="16864"/>
    <cellStyle name="Separador de milhares 2 2 2 2 8 2 3" xfId="25735"/>
    <cellStyle name="Separador de milhares 2 2 2 2 8 2 4" xfId="19821"/>
    <cellStyle name="Separador de milhares 2 2 2 2 8 2 5" xfId="13723"/>
    <cellStyle name="Separador de milhares 2 2 2 2 8 3" xfId="9010"/>
    <cellStyle name="Separador de milhares 2 2 2 2 8 3 2" xfId="27224"/>
    <cellStyle name="Separador de milhares 2 2 2 2 8 3 3" xfId="21310"/>
    <cellStyle name="Separador de milhares 2 2 2 2 8 3 4" xfId="15396"/>
    <cellStyle name="Separador de milhares 2 2 2 2 8 4" xfId="5635"/>
    <cellStyle name="Separador de milhares 2 2 2 2 8 4 2" xfId="24267"/>
    <cellStyle name="Separador de milhares 2 2 2 2 8 5" xfId="18353"/>
    <cellStyle name="Separador de milhares 2 2 2 2 8 6" xfId="12022"/>
    <cellStyle name="Separador de milhares 2 2 2 2 9" xfId="3764"/>
    <cellStyle name="Separador de milhares 2 2 2 2 9 2" xfId="7481"/>
    <cellStyle name="Separador de milhares 2 2 2 2 9 2 2" xfId="10625"/>
    <cellStyle name="Separador de milhares 2 2 2 2 9 2 2 2" xfId="28839"/>
    <cellStyle name="Separador de milhares 2 2 2 2 9 2 2 3" xfId="22925"/>
    <cellStyle name="Separador de milhares 2 2 2 2 9 2 2 4" xfId="17011"/>
    <cellStyle name="Separador de milhares 2 2 2 2 9 2 3" xfId="25882"/>
    <cellStyle name="Separador de milhares 2 2 2 2 9 2 4" xfId="19968"/>
    <cellStyle name="Separador de milhares 2 2 2 2 9 2 5" xfId="13870"/>
    <cellStyle name="Separador de milhares 2 2 2 2 9 3" xfId="9157"/>
    <cellStyle name="Separador de milhares 2 2 2 2 9 3 2" xfId="27371"/>
    <cellStyle name="Separador de milhares 2 2 2 2 9 3 3" xfId="21457"/>
    <cellStyle name="Separador de milhares 2 2 2 2 9 3 4" xfId="15543"/>
    <cellStyle name="Separador de milhares 2 2 2 2 9 4" xfId="5782"/>
    <cellStyle name="Separador de milhares 2 2 2 2 9 4 2" xfId="24414"/>
    <cellStyle name="Separador de milhares 2 2 2 2 9 5" xfId="18500"/>
    <cellStyle name="Separador de milhares 2 2 2 2 9 6" xfId="12169"/>
    <cellStyle name="Separador de milhares 2 2 2 3" xfId="216"/>
    <cellStyle name="Separador de milhares 2 2 2 3 10" xfId="6472"/>
    <cellStyle name="Separador de milhares 2 2 2 3 10 2" xfId="9623"/>
    <cellStyle name="Separador de milhares 2 2 2 3 10 2 2" xfId="27837"/>
    <cellStyle name="Separador de milhares 2 2 2 3 10 2 3" xfId="21923"/>
    <cellStyle name="Separador de milhares 2 2 2 3 10 2 4" xfId="16009"/>
    <cellStyle name="Separador de milhares 2 2 2 3 10 3" xfId="24880"/>
    <cellStyle name="Separador de milhares 2 2 2 3 10 4" xfId="18966"/>
    <cellStyle name="Separador de milhares 2 2 2 3 10 5" xfId="12861"/>
    <cellStyle name="Separador de milhares 2 2 2 3 11" xfId="8152"/>
    <cellStyle name="Separador de milhares 2 2 2 3 11 2" xfId="26366"/>
    <cellStyle name="Separador de milhares 2 2 2 3 11 3" xfId="20452"/>
    <cellStyle name="Separador de milhares 2 2 2 3 11 4" xfId="14541"/>
    <cellStyle name="Separador de milhares 2 2 2 3 12" xfId="4771"/>
    <cellStyle name="Separador de milhares 2 2 2 3 12 2" xfId="23409"/>
    <cellStyle name="Separador de milhares 2 2 2 3 13" xfId="17495"/>
    <cellStyle name="Separador de milhares 2 2 2 3 14" xfId="11160"/>
    <cellStyle name="Separador de milhares 2 2 2 3 2" xfId="654"/>
    <cellStyle name="Separador de milhares 2 2 2 3 2 2" xfId="6589"/>
    <cellStyle name="Separador de milhares 2 2 2 3 2 2 2" xfId="9736"/>
    <cellStyle name="Separador de milhares 2 2 2 3 2 2 2 2" xfId="27950"/>
    <cellStyle name="Separador de milhares 2 2 2 3 2 2 2 3" xfId="22036"/>
    <cellStyle name="Separador de milhares 2 2 2 3 2 2 2 4" xfId="16122"/>
    <cellStyle name="Separador de milhares 2 2 2 3 2 2 3" xfId="24993"/>
    <cellStyle name="Separador de milhares 2 2 2 3 2 2 4" xfId="19079"/>
    <cellStyle name="Separador de milhares 2 2 2 3 2 2 5" xfId="12978"/>
    <cellStyle name="Separador de milhares 2 2 2 3 2 3" xfId="8268"/>
    <cellStyle name="Separador de milhares 2 2 2 3 2 3 2" xfId="26482"/>
    <cellStyle name="Separador de milhares 2 2 2 3 2 3 3" xfId="20568"/>
    <cellStyle name="Separador de milhares 2 2 2 3 2 3 4" xfId="14654"/>
    <cellStyle name="Separador de milhares 2 2 2 3 2 4" xfId="4890"/>
    <cellStyle name="Separador de milhares 2 2 2 3 2 4 2" xfId="23525"/>
    <cellStyle name="Separador de milhares 2 2 2 3 2 5" xfId="17611"/>
    <cellStyle name="Separador de milhares 2 2 2 3 2 6" xfId="11277"/>
    <cellStyle name="Separador de milhares 2 2 2 3 3" xfId="776"/>
    <cellStyle name="Separador de milhares 2 2 2 3 3 2" xfId="6645"/>
    <cellStyle name="Separador de milhares 2 2 2 3 3 2 2" xfId="9792"/>
    <cellStyle name="Separador de milhares 2 2 2 3 3 2 2 2" xfId="28006"/>
    <cellStyle name="Separador de milhares 2 2 2 3 3 2 2 3" xfId="22092"/>
    <cellStyle name="Separador de milhares 2 2 2 3 3 2 2 4" xfId="16178"/>
    <cellStyle name="Separador de milhares 2 2 2 3 3 2 3" xfId="25049"/>
    <cellStyle name="Separador de milhares 2 2 2 3 3 2 4" xfId="19135"/>
    <cellStyle name="Separador de milhares 2 2 2 3 3 2 5" xfId="13034"/>
    <cellStyle name="Separador de milhares 2 2 2 3 3 3" xfId="8324"/>
    <cellStyle name="Separador de milhares 2 2 2 3 3 3 2" xfId="26538"/>
    <cellStyle name="Separador de milhares 2 2 2 3 3 3 3" xfId="20624"/>
    <cellStyle name="Separador de milhares 2 2 2 3 3 3 4" xfId="14710"/>
    <cellStyle name="Separador de milhares 2 2 2 3 3 4" xfId="4946"/>
    <cellStyle name="Separador de milhares 2 2 2 3 3 4 2" xfId="23581"/>
    <cellStyle name="Separador de milhares 2 2 2 3 3 5" xfId="17667"/>
    <cellStyle name="Separador de milhares 2 2 2 3 3 6" xfId="11333"/>
    <cellStyle name="Separador de milhares 2 2 2 3 4" xfId="1127"/>
    <cellStyle name="Separador de milhares 2 2 2 3 4 2" xfId="6743"/>
    <cellStyle name="Separador de milhares 2 2 2 3 4 2 2" xfId="9890"/>
    <cellStyle name="Separador de milhares 2 2 2 3 4 2 2 2" xfId="28104"/>
    <cellStyle name="Separador de milhares 2 2 2 3 4 2 2 3" xfId="22190"/>
    <cellStyle name="Separador de milhares 2 2 2 3 4 2 2 4" xfId="16276"/>
    <cellStyle name="Separador de milhares 2 2 2 3 4 2 3" xfId="25147"/>
    <cellStyle name="Separador de milhares 2 2 2 3 4 2 4" xfId="19233"/>
    <cellStyle name="Separador de milhares 2 2 2 3 4 2 5" xfId="13132"/>
    <cellStyle name="Separador de milhares 2 2 2 3 4 3" xfId="8422"/>
    <cellStyle name="Separador de milhares 2 2 2 3 4 3 2" xfId="26636"/>
    <cellStyle name="Separador de milhares 2 2 2 3 4 3 3" xfId="20722"/>
    <cellStyle name="Separador de milhares 2 2 2 3 4 3 4" xfId="14808"/>
    <cellStyle name="Separador de milhares 2 2 2 3 4 4" xfId="5044"/>
    <cellStyle name="Separador de milhares 2 2 2 3 4 4 2" xfId="23679"/>
    <cellStyle name="Separador de milhares 2 2 2 3 4 5" xfId="17765"/>
    <cellStyle name="Separador de milhares 2 2 2 3 4 6" xfId="11431"/>
    <cellStyle name="Separador de milhares 2 2 2 3 5" xfId="1562"/>
    <cellStyle name="Separador de milhares 2 2 2 3 5 2" xfId="6862"/>
    <cellStyle name="Separador de milhares 2 2 2 3 5 2 2" xfId="10009"/>
    <cellStyle name="Separador de milhares 2 2 2 3 5 2 2 2" xfId="28223"/>
    <cellStyle name="Separador de milhares 2 2 2 3 5 2 2 3" xfId="22309"/>
    <cellStyle name="Separador de milhares 2 2 2 3 5 2 2 4" xfId="16395"/>
    <cellStyle name="Separador de milhares 2 2 2 3 5 2 3" xfId="25266"/>
    <cellStyle name="Separador de milhares 2 2 2 3 5 2 4" xfId="19352"/>
    <cellStyle name="Separador de milhares 2 2 2 3 5 2 5" xfId="13251"/>
    <cellStyle name="Separador de milhares 2 2 2 3 5 3" xfId="8541"/>
    <cellStyle name="Separador de milhares 2 2 2 3 5 3 2" xfId="26755"/>
    <cellStyle name="Separador de milhares 2 2 2 3 5 3 3" xfId="20841"/>
    <cellStyle name="Separador de milhares 2 2 2 3 5 3 4" xfId="14927"/>
    <cellStyle name="Separador de milhares 2 2 2 3 5 4" xfId="5163"/>
    <cellStyle name="Separador de milhares 2 2 2 3 5 4 2" xfId="23798"/>
    <cellStyle name="Separador de milhares 2 2 2 3 5 5" xfId="17884"/>
    <cellStyle name="Separador de milhares 2 2 2 3 5 6" xfId="11550"/>
    <cellStyle name="Separador de milhares 2 2 2 3 6" xfId="2092"/>
    <cellStyle name="Separador de milhares 2 2 2 3 6 2" xfId="7012"/>
    <cellStyle name="Separador de milhares 2 2 2 3 6 2 2" xfId="10156"/>
    <cellStyle name="Separador de milhares 2 2 2 3 6 2 2 2" xfId="28370"/>
    <cellStyle name="Separador de milhares 2 2 2 3 6 2 2 3" xfId="22456"/>
    <cellStyle name="Separador de milhares 2 2 2 3 6 2 2 4" xfId="16542"/>
    <cellStyle name="Separador de milhares 2 2 2 3 6 2 3" xfId="25413"/>
    <cellStyle name="Separador de milhares 2 2 2 3 6 2 4" xfId="19499"/>
    <cellStyle name="Separador de milhares 2 2 2 3 6 2 5" xfId="13401"/>
    <cellStyle name="Separador de milhares 2 2 2 3 6 3" xfId="8688"/>
    <cellStyle name="Separador de milhares 2 2 2 3 6 3 2" xfId="26902"/>
    <cellStyle name="Separador de milhares 2 2 2 3 6 3 3" xfId="20988"/>
    <cellStyle name="Separador de milhares 2 2 2 3 6 3 4" xfId="15074"/>
    <cellStyle name="Separador de milhares 2 2 2 3 6 4" xfId="5313"/>
    <cellStyle name="Separador de milhares 2 2 2 3 6 4 2" xfId="23945"/>
    <cellStyle name="Separador de milhares 2 2 2 3 6 5" xfId="18031"/>
    <cellStyle name="Separador de milhares 2 2 2 3 6 6" xfId="11700"/>
    <cellStyle name="Separador de milhares 2 2 2 3 7" xfId="2619"/>
    <cellStyle name="Separador de milhares 2 2 2 3 7 2" xfId="7159"/>
    <cellStyle name="Separador de milhares 2 2 2 3 7 2 2" xfId="10303"/>
    <cellStyle name="Separador de milhares 2 2 2 3 7 2 2 2" xfId="28517"/>
    <cellStyle name="Separador de milhares 2 2 2 3 7 2 2 3" xfId="22603"/>
    <cellStyle name="Separador de milhares 2 2 2 3 7 2 2 4" xfId="16689"/>
    <cellStyle name="Separador de milhares 2 2 2 3 7 2 3" xfId="25560"/>
    <cellStyle name="Separador de milhares 2 2 2 3 7 2 4" xfId="19646"/>
    <cellStyle name="Separador de milhares 2 2 2 3 7 2 5" xfId="13548"/>
    <cellStyle name="Separador de milhares 2 2 2 3 7 3" xfId="8835"/>
    <cellStyle name="Separador de milhares 2 2 2 3 7 3 2" xfId="27049"/>
    <cellStyle name="Separador de milhares 2 2 2 3 7 3 3" xfId="21135"/>
    <cellStyle name="Separador de milhares 2 2 2 3 7 3 4" xfId="15221"/>
    <cellStyle name="Separador de milhares 2 2 2 3 7 4" xfId="5460"/>
    <cellStyle name="Separador de milhares 2 2 2 3 7 4 2" xfId="24092"/>
    <cellStyle name="Separador de milhares 2 2 2 3 7 5" xfId="18178"/>
    <cellStyle name="Separador de milhares 2 2 2 3 7 6" xfId="11847"/>
    <cellStyle name="Separador de milhares 2 2 2 3 8" xfId="3146"/>
    <cellStyle name="Separador de milhares 2 2 2 3 8 2" xfId="7306"/>
    <cellStyle name="Separador de milhares 2 2 2 3 8 2 2" xfId="10450"/>
    <cellStyle name="Separador de milhares 2 2 2 3 8 2 2 2" xfId="28664"/>
    <cellStyle name="Separador de milhares 2 2 2 3 8 2 2 3" xfId="22750"/>
    <cellStyle name="Separador de milhares 2 2 2 3 8 2 2 4" xfId="16836"/>
    <cellStyle name="Separador de milhares 2 2 2 3 8 2 3" xfId="25707"/>
    <cellStyle name="Separador de milhares 2 2 2 3 8 2 4" xfId="19793"/>
    <cellStyle name="Separador de milhares 2 2 2 3 8 2 5" xfId="13695"/>
    <cellStyle name="Separador de milhares 2 2 2 3 8 3" xfId="8982"/>
    <cellStyle name="Separador de milhares 2 2 2 3 8 3 2" xfId="27196"/>
    <cellStyle name="Separador de milhares 2 2 2 3 8 3 3" xfId="21282"/>
    <cellStyle name="Separador de milhares 2 2 2 3 8 3 4" xfId="15368"/>
    <cellStyle name="Separador de milhares 2 2 2 3 8 4" xfId="5607"/>
    <cellStyle name="Separador de milhares 2 2 2 3 8 4 2" xfId="24239"/>
    <cellStyle name="Separador de milhares 2 2 2 3 8 5" xfId="18325"/>
    <cellStyle name="Separador de milhares 2 2 2 3 8 6" xfId="11994"/>
    <cellStyle name="Separador de milhares 2 2 2 3 9" xfId="3673"/>
    <cellStyle name="Separador de milhares 2 2 2 3 9 2" xfId="7453"/>
    <cellStyle name="Separador de milhares 2 2 2 3 9 2 2" xfId="10597"/>
    <cellStyle name="Separador de milhares 2 2 2 3 9 2 2 2" xfId="28811"/>
    <cellStyle name="Separador de milhares 2 2 2 3 9 2 2 3" xfId="22897"/>
    <cellStyle name="Separador de milhares 2 2 2 3 9 2 2 4" xfId="16983"/>
    <cellStyle name="Separador de milhares 2 2 2 3 9 2 3" xfId="25854"/>
    <cellStyle name="Separador de milhares 2 2 2 3 9 2 4" xfId="19940"/>
    <cellStyle name="Separador de milhares 2 2 2 3 9 2 5" xfId="13842"/>
    <cellStyle name="Separador de milhares 2 2 2 3 9 3" xfId="9129"/>
    <cellStyle name="Separador de milhares 2 2 2 3 9 3 2" xfId="27343"/>
    <cellStyle name="Separador de milhares 2 2 2 3 9 3 3" xfId="21429"/>
    <cellStyle name="Separador de milhares 2 2 2 3 9 3 4" xfId="15515"/>
    <cellStyle name="Separador de milhares 2 2 2 3 9 4" xfId="5754"/>
    <cellStyle name="Separador de milhares 2 2 2 3 9 4 2" xfId="24386"/>
    <cellStyle name="Separador de milhares 2 2 2 3 9 5" xfId="18472"/>
    <cellStyle name="Separador de milhares 2 2 2 3 9 6" xfId="12141"/>
    <cellStyle name="Separador de milhares 2 2 2 4" xfId="6412"/>
    <cellStyle name="Separador de milhares 2 2 2 4 2" xfId="9568"/>
    <cellStyle name="Separador de milhares 2 2 2 4 2 2" xfId="27782"/>
    <cellStyle name="Separador de milhares 2 2 2 4 2 3" xfId="21868"/>
    <cellStyle name="Separador de milhares 2 2 2 4 2 4" xfId="15954"/>
    <cellStyle name="Separador de milhares 2 2 2 4 3" xfId="24825"/>
    <cellStyle name="Separador de milhares 2 2 2 4 4" xfId="18911"/>
    <cellStyle name="Separador de milhares 2 2 2 4 5" xfId="12801"/>
    <cellStyle name="Separador de milhares 2 2 2 5" xfId="8097"/>
    <cellStyle name="Separador de milhares 2 2 2 5 2" xfId="26311"/>
    <cellStyle name="Separador de milhares 2 2 2 5 3" xfId="20397"/>
    <cellStyle name="Separador de milhares 2 2 2 5 4" xfId="14486"/>
    <cellStyle name="Separador de milhares 2 2 2 6" xfId="4710"/>
    <cellStyle name="Separador de milhares 2 2 2 6 2" xfId="23354"/>
    <cellStyle name="Separador de milhares 2 2 2 7" xfId="17440"/>
    <cellStyle name="Separador de milhares 2 2 2 8" xfId="11100"/>
    <cellStyle name="Separador de milhares 2 2 3" xfId="120"/>
    <cellStyle name="Separador de milhares 2 2 3 10" xfId="6440"/>
    <cellStyle name="Separador de milhares 2 2 3 10 2" xfId="9594"/>
    <cellStyle name="Separador de milhares 2 2 3 10 2 2" xfId="27808"/>
    <cellStyle name="Separador de milhares 2 2 3 10 2 3" xfId="21894"/>
    <cellStyle name="Separador de milhares 2 2 3 10 2 4" xfId="15980"/>
    <cellStyle name="Separador de milhares 2 2 3 10 3" xfId="24851"/>
    <cellStyle name="Separador de milhares 2 2 3 10 4" xfId="18937"/>
    <cellStyle name="Separador de milhares 2 2 3 10 5" xfId="12829"/>
    <cellStyle name="Separador de milhares 2 2 3 11" xfId="8123"/>
    <cellStyle name="Separador de milhares 2 2 3 11 2" xfId="26337"/>
    <cellStyle name="Separador de milhares 2 2 3 11 3" xfId="20423"/>
    <cellStyle name="Separador de milhares 2 2 3 11 4" xfId="14512"/>
    <cellStyle name="Separador de milhares 2 2 3 12" xfId="4739"/>
    <cellStyle name="Separador de milhares 2 2 3 12 2" xfId="23380"/>
    <cellStyle name="Separador de milhares 2 2 3 13" xfId="17466"/>
    <cellStyle name="Separador de milhares 2 2 3 14" xfId="11128"/>
    <cellStyle name="Separador de milhares 2 2 3 2" xfId="660"/>
    <cellStyle name="Separador de milhares 2 2 3 2 10" xfId="17617"/>
    <cellStyle name="Separador de milhares 2 2 3 2 11" xfId="11283"/>
    <cellStyle name="Separador de milhares 2 2 3 2 2" xfId="1912"/>
    <cellStyle name="Separador de milhares 2 2 3 2 2 2" xfId="6959"/>
    <cellStyle name="Separador de milhares 2 2 3 2 2 2 2" xfId="10106"/>
    <cellStyle name="Separador de milhares 2 2 3 2 2 2 2 2" xfId="28320"/>
    <cellStyle name="Separador de milhares 2 2 3 2 2 2 2 3" xfId="22406"/>
    <cellStyle name="Separador de milhares 2 2 3 2 2 2 2 4" xfId="16492"/>
    <cellStyle name="Separador de milhares 2 2 3 2 2 2 3" xfId="25363"/>
    <cellStyle name="Separador de milhares 2 2 3 2 2 2 4" xfId="19449"/>
    <cellStyle name="Separador de milhares 2 2 3 2 2 2 5" xfId="13348"/>
    <cellStyle name="Separador de milhares 2 2 3 2 2 3" xfId="8638"/>
    <cellStyle name="Separador de milhares 2 2 3 2 2 3 2" xfId="26852"/>
    <cellStyle name="Separador de milhares 2 2 3 2 2 3 3" xfId="20938"/>
    <cellStyle name="Separador de milhares 2 2 3 2 2 3 4" xfId="15024"/>
    <cellStyle name="Separador de milhares 2 2 3 2 2 4" xfId="5260"/>
    <cellStyle name="Separador de milhares 2 2 3 2 2 4 2" xfId="23895"/>
    <cellStyle name="Separador de milhares 2 2 3 2 2 5" xfId="17981"/>
    <cellStyle name="Separador de milhares 2 2 3 2 2 6" xfId="11647"/>
    <cellStyle name="Separador de milhares 2 2 3 2 3" xfId="2442"/>
    <cellStyle name="Separador de milhares 2 2 3 2 3 2" xfId="7109"/>
    <cellStyle name="Separador de milhares 2 2 3 2 3 2 2" xfId="10253"/>
    <cellStyle name="Separador de milhares 2 2 3 2 3 2 2 2" xfId="28467"/>
    <cellStyle name="Separador de milhares 2 2 3 2 3 2 2 3" xfId="22553"/>
    <cellStyle name="Separador de milhares 2 2 3 2 3 2 2 4" xfId="16639"/>
    <cellStyle name="Separador de milhares 2 2 3 2 3 2 3" xfId="25510"/>
    <cellStyle name="Separador de milhares 2 2 3 2 3 2 4" xfId="19596"/>
    <cellStyle name="Separador de milhares 2 2 3 2 3 2 5" xfId="13498"/>
    <cellStyle name="Separador de milhares 2 2 3 2 3 3" xfId="8785"/>
    <cellStyle name="Separador de milhares 2 2 3 2 3 3 2" xfId="26999"/>
    <cellStyle name="Separador de milhares 2 2 3 2 3 3 3" xfId="21085"/>
    <cellStyle name="Separador de milhares 2 2 3 2 3 3 4" xfId="15171"/>
    <cellStyle name="Separador de milhares 2 2 3 2 3 4" xfId="5410"/>
    <cellStyle name="Separador de milhares 2 2 3 2 3 4 2" xfId="24042"/>
    <cellStyle name="Separador de milhares 2 2 3 2 3 5" xfId="18128"/>
    <cellStyle name="Separador de milhares 2 2 3 2 3 6" xfId="11797"/>
    <cellStyle name="Separador de milhares 2 2 3 2 4" xfId="2969"/>
    <cellStyle name="Separador de milhares 2 2 3 2 4 2" xfId="7256"/>
    <cellStyle name="Separador de milhares 2 2 3 2 4 2 2" xfId="10400"/>
    <cellStyle name="Separador de milhares 2 2 3 2 4 2 2 2" xfId="28614"/>
    <cellStyle name="Separador de milhares 2 2 3 2 4 2 2 3" xfId="22700"/>
    <cellStyle name="Separador de milhares 2 2 3 2 4 2 2 4" xfId="16786"/>
    <cellStyle name="Separador de milhares 2 2 3 2 4 2 3" xfId="25657"/>
    <cellStyle name="Separador de milhares 2 2 3 2 4 2 4" xfId="19743"/>
    <cellStyle name="Separador de milhares 2 2 3 2 4 2 5" xfId="13645"/>
    <cellStyle name="Separador de milhares 2 2 3 2 4 3" xfId="8932"/>
    <cellStyle name="Separador de milhares 2 2 3 2 4 3 2" xfId="27146"/>
    <cellStyle name="Separador de milhares 2 2 3 2 4 3 3" xfId="21232"/>
    <cellStyle name="Separador de milhares 2 2 3 2 4 3 4" xfId="15318"/>
    <cellStyle name="Separador de milhares 2 2 3 2 4 4" xfId="5557"/>
    <cellStyle name="Separador de milhares 2 2 3 2 4 4 2" xfId="24189"/>
    <cellStyle name="Separador de milhares 2 2 3 2 4 5" xfId="18275"/>
    <cellStyle name="Separador de milhares 2 2 3 2 4 6" xfId="11944"/>
    <cellStyle name="Separador de milhares 2 2 3 2 5" xfId="3496"/>
    <cellStyle name="Separador de milhares 2 2 3 2 5 2" xfId="7403"/>
    <cellStyle name="Separador de milhares 2 2 3 2 5 2 2" xfId="10547"/>
    <cellStyle name="Separador de milhares 2 2 3 2 5 2 2 2" xfId="28761"/>
    <cellStyle name="Separador de milhares 2 2 3 2 5 2 2 3" xfId="22847"/>
    <cellStyle name="Separador de milhares 2 2 3 2 5 2 2 4" xfId="16933"/>
    <cellStyle name="Separador de milhares 2 2 3 2 5 2 3" xfId="25804"/>
    <cellStyle name="Separador de milhares 2 2 3 2 5 2 4" xfId="19890"/>
    <cellStyle name="Separador de milhares 2 2 3 2 5 2 5" xfId="13792"/>
    <cellStyle name="Separador de milhares 2 2 3 2 5 3" xfId="9079"/>
    <cellStyle name="Separador de milhares 2 2 3 2 5 3 2" xfId="27293"/>
    <cellStyle name="Separador de milhares 2 2 3 2 5 3 3" xfId="21379"/>
    <cellStyle name="Separador de milhares 2 2 3 2 5 3 4" xfId="15465"/>
    <cellStyle name="Separador de milhares 2 2 3 2 5 4" xfId="5704"/>
    <cellStyle name="Separador de milhares 2 2 3 2 5 4 2" xfId="24336"/>
    <cellStyle name="Separador de milhares 2 2 3 2 5 5" xfId="18422"/>
    <cellStyle name="Separador de milhares 2 2 3 2 5 6" xfId="12091"/>
    <cellStyle name="Separador de milhares 2 2 3 2 6" xfId="4023"/>
    <cellStyle name="Separador de milhares 2 2 3 2 6 2" xfId="7550"/>
    <cellStyle name="Separador de milhares 2 2 3 2 6 2 2" xfId="10694"/>
    <cellStyle name="Separador de milhares 2 2 3 2 6 2 2 2" xfId="28908"/>
    <cellStyle name="Separador de milhares 2 2 3 2 6 2 2 3" xfId="22994"/>
    <cellStyle name="Separador de milhares 2 2 3 2 6 2 2 4" xfId="17080"/>
    <cellStyle name="Separador de milhares 2 2 3 2 6 2 3" xfId="25951"/>
    <cellStyle name="Separador de milhares 2 2 3 2 6 2 4" xfId="20037"/>
    <cellStyle name="Separador de milhares 2 2 3 2 6 2 5" xfId="13939"/>
    <cellStyle name="Separador de milhares 2 2 3 2 6 3" xfId="9226"/>
    <cellStyle name="Separador de milhares 2 2 3 2 6 3 2" xfId="27440"/>
    <cellStyle name="Separador de milhares 2 2 3 2 6 3 3" xfId="21526"/>
    <cellStyle name="Separador de milhares 2 2 3 2 6 3 4" xfId="15612"/>
    <cellStyle name="Separador de milhares 2 2 3 2 6 4" xfId="5851"/>
    <cellStyle name="Separador de milhares 2 2 3 2 6 4 2" xfId="24483"/>
    <cellStyle name="Separador de milhares 2 2 3 2 6 5" xfId="18569"/>
    <cellStyle name="Separador de milhares 2 2 3 2 6 6" xfId="12238"/>
    <cellStyle name="Separador de milhares 2 2 3 2 7" xfId="6595"/>
    <cellStyle name="Separador de milhares 2 2 3 2 7 2" xfId="9742"/>
    <cellStyle name="Separador de milhares 2 2 3 2 7 2 2" xfId="27956"/>
    <cellStyle name="Separador de milhares 2 2 3 2 7 2 3" xfId="22042"/>
    <cellStyle name="Separador de milhares 2 2 3 2 7 2 4" xfId="16128"/>
    <cellStyle name="Separador de milhares 2 2 3 2 7 3" xfId="24999"/>
    <cellStyle name="Separador de milhares 2 2 3 2 7 4" xfId="19085"/>
    <cellStyle name="Separador de milhares 2 2 3 2 7 5" xfId="12984"/>
    <cellStyle name="Separador de milhares 2 2 3 2 8" xfId="8274"/>
    <cellStyle name="Separador de milhares 2 2 3 2 8 2" xfId="26488"/>
    <cellStyle name="Separador de milhares 2 2 3 2 8 3" xfId="20574"/>
    <cellStyle name="Separador de milhares 2 2 3 2 8 4" xfId="14660"/>
    <cellStyle name="Separador de milhares 2 2 3 2 9" xfId="4896"/>
    <cellStyle name="Separador de milhares 2 2 3 2 9 2" xfId="23531"/>
    <cellStyle name="Separador de milhares 2 2 3 3" xfId="866"/>
    <cellStyle name="Separador de milhares 2 2 3 3 2" xfId="6672"/>
    <cellStyle name="Separador de milhares 2 2 3 3 2 2" xfId="9819"/>
    <cellStyle name="Separador de milhares 2 2 3 3 2 2 2" xfId="28033"/>
    <cellStyle name="Separador de milhares 2 2 3 3 2 2 3" xfId="22119"/>
    <cellStyle name="Separador de milhares 2 2 3 3 2 2 4" xfId="16205"/>
    <cellStyle name="Separador de milhares 2 2 3 3 2 3" xfId="25076"/>
    <cellStyle name="Separador de milhares 2 2 3 3 2 4" xfId="19162"/>
    <cellStyle name="Separador de milhares 2 2 3 3 2 5" xfId="13061"/>
    <cellStyle name="Separador de milhares 2 2 3 3 3" xfId="8351"/>
    <cellStyle name="Separador de milhares 2 2 3 3 3 2" xfId="26565"/>
    <cellStyle name="Separador de milhares 2 2 3 3 3 3" xfId="20651"/>
    <cellStyle name="Separador de milhares 2 2 3 3 3 4" xfId="14737"/>
    <cellStyle name="Separador de milhares 2 2 3 3 4" xfId="4973"/>
    <cellStyle name="Separador de milhares 2 2 3 3 4 2" xfId="23608"/>
    <cellStyle name="Separador de milhares 2 2 3 3 5" xfId="17694"/>
    <cellStyle name="Separador de milhares 2 2 3 3 6" xfId="11360"/>
    <cellStyle name="Separador de milhares 2 2 3 4" xfId="1217"/>
    <cellStyle name="Separador de milhares 2 2 3 4 2" xfId="6770"/>
    <cellStyle name="Separador de milhares 2 2 3 4 2 2" xfId="9917"/>
    <cellStyle name="Separador de milhares 2 2 3 4 2 2 2" xfId="28131"/>
    <cellStyle name="Separador de milhares 2 2 3 4 2 2 3" xfId="22217"/>
    <cellStyle name="Separador de milhares 2 2 3 4 2 2 4" xfId="16303"/>
    <cellStyle name="Separador de milhares 2 2 3 4 2 3" xfId="25174"/>
    <cellStyle name="Separador de milhares 2 2 3 4 2 4" xfId="19260"/>
    <cellStyle name="Separador de milhares 2 2 3 4 2 5" xfId="13159"/>
    <cellStyle name="Separador de milhares 2 2 3 4 3" xfId="8449"/>
    <cellStyle name="Separador de milhares 2 2 3 4 3 2" xfId="26663"/>
    <cellStyle name="Separador de milhares 2 2 3 4 3 3" xfId="20749"/>
    <cellStyle name="Separador de milhares 2 2 3 4 3 4" xfId="14835"/>
    <cellStyle name="Separador de milhares 2 2 3 4 4" xfId="5071"/>
    <cellStyle name="Separador de milhares 2 2 3 4 4 2" xfId="23706"/>
    <cellStyle name="Separador de milhares 2 2 3 4 5" xfId="17792"/>
    <cellStyle name="Separador de milhares 2 2 3 4 6" xfId="11458"/>
    <cellStyle name="Separador de milhares 2 2 3 5" xfId="1652"/>
    <cellStyle name="Separador de milhares 2 2 3 5 2" xfId="6889"/>
    <cellStyle name="Separador de milhares 2 2 3 5 2 2" xfId="10036"/>
    <cellStyle name="Separador de milhares 2 2 3 5 2 2 2" xfId="28250"/>
    <cellStyle name="Separador de milhares 2 2 3 5 2 2 3" xfId="22336"/>
    <cellStyle name="Separador de milhares 2 2 3 5 2 2 4" xfId="16422"/>
    <cellStyle name="Separador de milhares 2 2 3 5 2 3" xfId="25293"/>
    <cellStyle name="Separador de milhares 2 2 3 5 2 4" xfId="19379"/>
    <cellStyle name="Separador de milhares 2 2 3 5 2 5" xfId="13278"/>
    <cellStyle name="Separador de milhares 2 2 3 5 3" xfId="8568"/>
    <cellStyle name="Separador de milhares 2 2 3 5 3 2" xfId="26782"/>
    <cellStyle name="Separador de milhares 2 2 3 5 3 3" xfId="20868"/>
    <cellStyle name="Separador de milhares 2 2 3 5 3 4" xfId="14954"/>
    <cellStyle name="Separador de milhares 2 2 3 5 4" xfId="5190"/>
    <cellStyle name="Separador de milhares 2 2 3 5 4 2" xfId="23825"/>
    <cellStyle name="Separador de milhares 2 2 3 5 5" xfId="17911"/>
    <cellStyle name="Separador de milhares 2 2 3 5 6" xfId="11577"/>
    <cellStyle name="Separador de milhares 2 2 3 6" xfId="2182"/>
    <cellStyle name="Separador de milhares 2 2 3 6 2" xfId="7039"/>
    <cellStyle name="Separador de milhares 2 2 3 6 2 2" xfId="10183"/>
    <cellStyle name="Separador de milhares 2 2 3 6 2 2 2" xfId="28397"/>
    <cellStyle name="Separador de milhares 2 2 3 6 2 2 3" xfId="22483"/>
    <cellStyle name="Separador de milhares 2 2 3 6 2 2 4" xfId="16569"/>
    <cellStyle name="Separador de milhares 2 2 3 6 2 3" xfId="25440"/>
    <cellStyle name="Separador de milhares 2 2 3 6 2 4" xfId="19526"/>
    <cellStyle name="Separador de milhares 2 2 3 6 2 5" xfId="13428"/>
    <cellStyle name="Separador de milhares 2 2 3 6 3" xfId="8715"/>
    <cellStyle name="Separador de milhares 2 2 3 6 3 2" xfId="26929"/>
    <cellStyle name="Separador de milhares 2 2 3 6 3 3" xfId="21015"/>
    <cellStyle name="Separador de milhares 2 2 3 6 3 4" xfId="15101"/>
    <cellStyle name="Separador de milhares 2 2 3 6 4" xfId="5340"/>
    <cellStyle name="Separador de milhares 2 2 3 6 4 2" xfId="23972"/>
    <cellStyle name="Separador de milhares 2 2 3 6 5" xfId="18058"/>
    <cellStyle name="Separador de milhares 2 2 3 6 6" xfId="11727"/>
    <cellStyle name="Separador de milhares 2 2 3 7" xfId="2709"/>
    <cellStyle name="Separador de milhares 2 2 3 7 2" xfId="7186"/>
    <cellStyle name="Separador de milhares 2 2 3 7 2 2" xfId="10330"/>
    <cellStyle name="Separador de milhares 2 2 3 7 2 2 2" xfId="28544"/>
    <cellStyle name="Separador de milhares 2 2 3 7 2 2 3" xfId="22630"/>
    <cellStyle name="Separador de milhares 2 2 3 7 2 2 4" xfId="16716"/>
    <cellStyle name="Separador de milhares 2 2 3 7 2 3" xfId="25587"/>
    <cellStyle name="Separador de milhares 2 2 3 7 2 4" xfId="19673"/>
    <cellStyle name="Separador de milhares 2 2 3 7 2 5" xfId="13575"/>
    <cellStyle name="Separador de milhares 2 2 3 7 3" xfId="8862"/>
    <cellStyle name="Separador de milhares 2 2 3 7 3 2" xfId="27076"/>
    <cellStyle name="Separador de milhares 2 2 3 7 3 3" xfId="21162"/>
    <cellStyle name="Separador de milhares 2 2 3 7 3 4" xfId="15248"/>
    <cellStyle name="Separador de milhares 2 2 3 7 4" xfId="5487"/>
    <cellStyle name="Separador de milhares 2 2 3 7 4 2" xfId="24119"/>
    <cellStyle name="Separador de milhares 2 2 3 7 5" xfId="18205"/>
    <cellStyle name="Separador de milhares 2 2 3 7 6" xfId="11874"/>
    <cellStyle name="Separador de milhares 2 2 3 8" xfId="3236"/>
    <cellStyle name="Separador de milhares 2 2 3 8 2" xfId="7333"/>
    <cellStyle name="Separador de milhares 2 2 3 8 2 2" xfId="10477"/>
    <cellStyle name="Separador de milhares 2 2 3 8 2 2 2" xfId="28691"/>
    <cellStyle name="Separador de milhares 2 2 3 8 2 2 3" xfId="22777"/>
    <cellStyle name="Separador de milhares 2 2 3 8 2 2 4" xfId="16863"/>
    <cellStyle name="Separador de milhares 2 2 3 8 2 3" xfId="25734"/>
    <cellStyle name="Separador de milhares 2 2 3 8 2 4" xfId="19820"/>
    <cellStyle name="Separador de milhares 2 2 3 8 2 5" xfId="13722"/>
    <cellStyle name="Separador de milhares 2 2 3 8 3" xfId="9009"/>
    <cellStyle name="Separador de milhares 2 2 3 8 3 2" xfId="27223"/>
    <cellStyle name="Separador de milhares 2 2 3 8 3 3" xfId="21309"/>
    <cellStyle name="Separador de milhares 2 2 3 8 3 4" xfId="15395"/>
    <cellStyle name="Separador de milhares 2 2 3 8 4" xfId="5634"/>
    <cellStyle name="Separador de milhares 2 2 3 8 4 2" xfId="24266"/>
    <cellStyle name="Separador de milhares 2 2 3 8 5" xfId="18352"/>
    <cellStyle name="Separador de milhares 2 2 3 8 6" xfId="12021"/>
    <cellStyle name="Separador de milhares 2 2 3 9" xfId="3763"/>
    <cellStyle name="Separador de milhares 2 2 3 9 2" xfId="7480"/>
    <cellStyle name="Separador de milhares 2 2 3 9 2 2" xfId="10624"/>
    <cellStyle name="Separador de milhares 2 2 3 9 2 2 2" xfId="28838"/>
    <cellStyle name="Separador de milhares 2 2 3 9 2 2 3" xfId="22924"/>
    <cellStyle name="Separador de milhares 2 2 3 9 2 2 4" xfId="17010"/>
    <cellStyle name="Separador de milhares 2 2 3 9 2 3" xfId="25881"/>
    <cellStyle name="Separador de milhares 2 2 3 9 2 4" xfId="19967"/>
    <cellStyle name="Separador de milhares 2 2 3 9 2 5" xfId="13869"/>
    <cellStyle name="Separador de milhares 2 2 3 9 3" xfId="9156"/>
    <cellStyle name="Separador de milhares 2 2 3 9 3 2" xfId="27370"/>
    <cellStyle name="Separador de milhares 2 2 3 9 3 3" xfId="21456"/>
    <cellStyle name="Separador de milhares 2 2 3 9 3 4" xfId="15542"/>
    <cellStyle name="Separador de milhares 2 2 3 9 4" xfId="5781"/>
    <cellStyle name="Separador de milhares 2 2 3 9 4 2" xfId="24413"/>
    <cellStyle name="Separador de milhares 2 2 3 9 5" xfId="18499"/>
    <cellStyle name="Separador de milhares 2 2 3 9 6" xfId="12168"/>
    <cellStyle name="Separador de milhares 2 2 4" xfId="215"/>
    <cellStyle name="Separador de milhares 2 2 4 10" xfId="6471"/>
    <cellStyle name="Separador de milhares 2 2 4 10 2" xfId="9622"/>
    <cellStyle name="Separador de milhares 2 2 4 10 2 2" xfId="27836"/>
    <cellStyle name="Separador de milhares 2 2 4 10 2 3" xfId="21922"/>
    <cellStyle name="Separador de milhares 2 2 4 10 2 4" xfId="16008"/>
    <cellStyle name="Separador de milhares 2 2 4 10 3" xfId="24879"/>
    <cellStyle name="Separador de milhares 2 2 4 10 4" xfId="18965"/>
    <cellStyle name="Separador de milhares 2 2 4 10 5" xfId="12860"/>
    <cellStyle name="Separador de milhares 2 2 4 11" xfId="8151"/>
    <cellStyle name="Separador de milhares 2 2 4 11 2" xfId="26365"/>
    <cellStyle name="Separador de milhares 2 2 4 11 3" xfId="20451"/>
    <cellStyle name="Separador de milhares 2 2 4 11 4" xfId="14540"/>
    <cellStyle name="Separador de milhares 2 2 4 12" xfId="4770"/>
    <cellStyle name="Separador de milhares 2 2 4 12 2" xfId="23408"/>
    <cellStyle name="Separador de milhares 2 2 4 13" xfId="17494"/>
    <cellStyle name="Separador de milhares 2 2 4 14" xfId="11159"/>
    <cellStyle name="Separador de milhares 2 2 4 2" xfId="653"/>
    <cellStyle name="Separador de milhares 2 2 4 2 2" xfId="6588"/>
    <cellStyle name="Separador de milhares 2 2 4 2 2 2" xfId="9735"/>
    <cellStyle name="Separador de milhares 2 2 4 2 2 2 2" xfId="27949"/>
    <cellStyle name="Separador de milhares 2 2 4 2 2 2 3" xfId="22035"/>
    <cellStyle name="Separador de milhares 2 2 4 2 2 2 4" xfId="16121"/>
    <cellStyle name="Separador de milhares 2 2 4 2 2 3" xfId="24992"/>
    <cellStyle name="Separador de milhares 2 2 4 2 2 4" xfId="19078"/>
    <cellStyle name="Separador de milhares 2 2 4 2 2 5" xfId="12977"/>
    <cellStyle name="Separador de milhares 2 2 4 2 3" xfId="8267"/>
    <cellStyle name="Separador de milhares 2 2 4 2 3 2" xfId="26481"/>
    <cellStyle name="Separador de milhares 2 2 4 2 3 3" xfId="20567"/>
    <cellStyle name="Separador de milhares 2 2 4 2 3 4" xfId="14653"/>
    <cellStyle name="Separador de milhares 2 2 4 2 4" xfId="4889"/>
    <cellStyle name="Separador de milhares 2 2 4 2 4 2" xfId="23524"/>
    <cellStyle name="Separador de milhares 2 2 4 2 5" xfId="17610"/>
    <cellStyle name="Separador de milhares 2 2 4 2 6" xfId="11276"/>
    <cellStyle name="Separador de milhares 2 2 4 3" xfId="775"/>
    <cellStyle name="Separador de milhares 2 2 4 3 2" xfId="6644"/>
    <cellStyle name="Separador de milhares 2 2 4 3 2 2" xfId="9791"/>
    <cellStyle name="Separador de milhares 2 2 4 3 2 2 2" xfId="28005"/>
    <cellStyle name="Separador de milhares 2 2 4 3 2 2 3" xfId="22091"/>
    <cellStyle name="Separador de milhares 2 2 4 3 2 2 4" xfId="16177"/>
    <cellStyle name="Separador de milhares 2 2 4 3 2 3" xfId="25048"/>
    <cellStyle name="Separador de milhares 2 2 4 3 2 4" xfId="19134"/>
    <cellStyle name="Separador de milhares 2 2 4 3 2 5" xfId="13033"/>
    <cellStyle name="Separador de milhares 2 2 4 3 3" xfId="8323"/>
    <cellStyle name="Separador de milhares 2 2 4 3 3 2" xfId="26537"/>
    <cellStyle name="Separador de milhares 2 2 4 3 3 3" xfId="20623"/>
    <cellStyle name="Separador de milhares 2 2 4 3 3 4" xfId="14709"/>
    <cellStyle name="Separador de milhares 2 2 4 3 4" xfId="4945"/>
    <cellStyle name="Separador de milhares 2 2 4 3 4 2" xfId="23580"/>
    <cellStyle name="Separador de milhares 2 2 4 3 5" xfId="17666"/>
    <cellStyle name="Separador de milhares 2 2 4 3 6" xfId="11332"/>
    <cellStyle name="Separador de milhares 2 2 4 4" xfId="1126"/>
    <cellStyle name="Separador de milhares 2 2 4 4 2" xfId="6742"/>
    <cellStyle name="Separador de milhares 2 2 4 4 2 2" xfId="9889"/>
    <cellStyle name="Separador de milhares 2 2 4 4 2 2 2" xfId="28103"/>
    <cellStyle name="Separador de milhares 2 2 4 4 2 2 3" xfId="22189"/>
    <cellStyle name="Separador de milhares 2 2 4 4 2 2 4" xfId="16275"/>
    <cellStyle name="Separador de milhares 2 2 4 4 2 3" xfId="25146"/>
    <cellStyle name="Separador de milhares 2 2 4 4 2 4" xfId="19232"/>
    <cellStyle name="Separador de milhares 2 2 4 4 2 5" xfId="13131"/>
    <cellStyle name="Separador de milhares 2 2 4 4 3" xfId="8421"/>
    <cellStyle name="Separador de milhares 2 2 4 4 3 2" xfId="26635"/>
    <cellStyle name="Separador de milhares 2 2 4 4 3 3" xfId="20721"/>
    <cellStyle name="Separador de milhares 2 2 4 4 3 4" xfId="14807"/>
    <cellStyle name="Separador de milhares 2 2 4 4 4" xfId="5043"/>
    <cellStyle name="Separador de milhares 2 2 4 4 4 2" xfId="23678"/>
    <cellStyle name="Separador de milhares 2 2 4 4 5" xfId="17764"/>
    <cellStyle name="Separador de milhares 2 2 4 4 6" xfId="11430"/>
    <cellStyle name="Separador de milhares 2 2 4 5" xfId="1561"/>
    <cellStyle name="Separador de milhares 2 2 4 5 2" xfId="6861"/>
    <cellStyle name="Separador de milhares 2 2 4 5 2 2" xfId="10008"/>
    <cellStyle name="Separador de milhares 2 2 4 5 2 2 2" xfId="28222"/>
    <cellStyle name="Separador de milhares 2 2 4 5 2 2 3" xfId="22308"/>
    <cellStyle name="Separador de milhares 2 2 4 5 2 2 4" xfId="16394"/>
    <cellStyle name="Separador de milhares 2 2 4 5 2 3" xfId="25265"/>
    <cellStyle name="Separador de milhares 2 2 4 5 2 4" xfId="19351"/>
    <cellStyle name="Separador de milhares 2 2 4 5 2 5" xfId="13250"/>
    <cellStyle name="Separador de milhares 2 2 4 5 3" xfId="8540"/>
    <cellStyle name="Separador de milhares 2 2 4 5 3 2" xfId="26754"/>
    <cellStyle name="Separador de milhares 2 2 4 5 3 3" xfId="20840"/>
    <cellStyle name="Separador de milhares 2 2 4 5 3 4" xfId="14926"/>
    <cellStyle name="Separador de milhares 2 2 4 5 4" xfId="5162"/>
    <cellStyle name="Separador de milhares 2 2 4 5 4 2" xfId="23797"/>
    <cellStyle name="Separador de milhares 2 2 4 5 5" xfId="17883"/>
    <cellStyle name="Separador de milhares 2 2 4 5 6" xfId="11549"/>
    <cellStyle name="Separador de milhares 2 2 4 6" xfId="2091"/>
    <cellStyle name="Separador de milhares 2 2 4 6 2" xfId="7011"/>
    <cellStyle name="Separador de milhares 2 2 4 6 2 2" xfId="10155"/>
    <cellStyle name="Separador de milhares 2 2 4 6 2 2 2" xfId="28369"/>
    <cellStyle name="Separador de milhares 2 2 4 6 2 2 3" xfId="22455"/>
    <cellStyle name="Separador de milhares 2 2 4 6 2 2 4" xfId="16541"/>
    <cellStyle name="Separador de milhares 2 2 4 6 2 3" xfId="25412"/>
    <cellStyle name="Separador de milhares 2 2 4 6 2 4" xfId="19498"/>
    <cellStyle name="Separador de milhares 2 2 4 6 2 5" xfId="13400"/>
    <cellStyle name="Separador de milhares 2 2 4 6 3" xfId="8687"/>
    <cellStyle name="Separador de milhares 2 2 4 6 3 2" xfId="26901"/>
    <cellStyle name="Separador de milhares 2 2 4 6 3 3" xfId="20987"/>
    <cellStyle name="Separador de milhares 2 2 4 6 3 4" xfId="15073"/>
    <cellStyle name="Separador de milhares 2 2 4 6 4" xfId="5312"/>
    <cellStyle name="Separador de milhares 2 2 4 6 4 2" xfId="23944"/>
    <cellStyle name="Separador de milhares 2 2 4 6 5" xfId="18030"/>
    <cellStyle name="Separador de milhares 2 2 4 6 6" xfId="11699"/>
    <cellStyle name="Separador de milhares 2 2 4 7" xfId="2618"/>
    <cellStyle name="Separador de milhares 2 2 4 7 2" xfId="7158"/>
    <cellStyle name="Separador de milhares 2 2 4 7 2 2" xfId="10302"/>
    <cellStyle name="Separador de milhares 2 2 4 7 2 2 2" xfId="28516"/>
    <cellStyle name="Separador de milhares 2 2 4 7 2 2 3" xfId="22602"/>
    <cellStyle name="Separador de milhares 2 2 4 7 2 2 4" xfId="16688"/>
    <cellStyle name="Separador de milhares 2 2 4 7 2 3" xfId="25559"/>
    <cellStyle name="Separador de milhares 2 2 4 7 2 4" xfId="19645"/>
    <cellStyle name="Separador de milhares 2 2 4 7 2 5" xfId="13547"/>
    <cellStyle name="Separador de milhares 2 2 4 7 3" xfId="8834"/>
    <cellStyle name="Separador de milhares 2 2 4 7 3 2" xfId="27048"/>
    <cellStyle name="Separador de milhares 2 2 4 7 3 3" xfId="21134"/>
    <cellStyle name="Separador de milhares 2 2 4 7 3 4" xfId="15220"/>
    <cellStyle name="Separador de milhares 2 2 4 7 4" xfId="5459"/>
    <cellStyle name="Separador de milhares 2 2 4 7 4 2" xfId="24091"/>
    <cellStyle name="Separador de milhares 2 2 4 7 5" xfId="18177"/>
    <cellStyle name="Separador de milhares 2 2 4 7 6" xfId="11846"/>
    <cellStyle name="Separador de milhares 2 2 4 8" xfId="3145"/>
    <cellStyle name="Separador de milhares 2 2 4 8 2" xfId="7305"/>
    <cellStyle name="Separador de milhares 2 2 4 8 2 2" xfId="10449"/>
    <cellStyle name="Separador de milhares 2 2 4 8 2 2 2" xfId="28663"/>
    <cellStyle name="Separador de milhares 2 2 4 8 2 2 3" xfId="22749"/>
    <cellStyle name="Separador de milhares 2 2 4 8 2 2 4" xfId="16835"/>
    <cellStyle name="Separador de milhares 2 2 4 8 2 3" xfId="25706"/>
    <cellStyle name="Separador de milhares 2 2 4 8 2 4" xfId="19792"/>
    <cellStyle name="Separador de milhares 2 2 4 8 2 5" xfId="13694"/>
    <cellStyle name="Separador de milhares 2 2 4 8 3" xfId="8981"/>
    <cellStyle name="Separador de milhares 2 2 4 8 3 2" xfId="27195"/>
    <cellStyle name="Separador de milhares 2 2 4 8 3 3" xfId="21281"/>
    <cellStyle name="Separador de milhares 2 2 4 8 3 4" xfId="15367"/>
    <cellStyle name="Separador de milhares 2 2 4 8 4" xfId="5606"/>
    <cellStyle name="Separador de milhares 2 2 4 8 4 2" xfId="24238"/>
    <cellStyle name="Separador de milhares 2 2 4 8 5" xfId="18324"/>
    <cellStyle name="Separador de milhares 2 2 4 8 6" xfId="11993"/>
    <cellStyle name="Separador de milhares 2 2 4 9" xfId="3672"/>
    <cellStyle name="Separador de milhares 2 2 4 9 2" xfId="7452"/>
    <cellStyle name="Separador de milhares 2 2 4 9 2 2" xfId="10596"/>
    <cellStyle name="Separador de milhares 2 2 4 9 2 2 2" xfId="28810"/>
    <cellStyle name="Separador de milhares 2 2 4 9 2 2 3" xfId="22896"/>
    <cellStyle name="Separador de milhares 2 2 4 9 2 2 4" xfId="16982"/>
    <cellStyle name="Separador de milhares 2 2 4 9 2 3" xfId="25853"/>
    <cellStyle name="Separador de milhares 2 2 4 9 2 4" xfId="19939"/>
    <cellStyle name="Separador de milhares 2 2 4 9 2 5" xfId="13841"/>
    <cellStyle name="Separador de milhares 2 2 4 9 3" xfId="9128"/>
    <cellStyle name="Separador de milhares 2 2 4 9 3 2" xfId="27342"/>
    <cellStyle name="Separador de milhares 2 2 4 9 3 3" xfId="21428"/>
    <cellStyle name="Separador de milhares 2 2 4 9 3 4" xfId="15514"/>
    <cellStyle name="Separador de milhares 2 2 4 9 4" xfId="5753"/>
    <cellStyle name="Separador de milhares 2 2 4 9 4 2" xfId="24385"/>
    <cellStyle name="Separador de milhares 2 2 4 9 5" xfId="18471"/>
    <cellStyle name="Separador de milhares 2 2 4 9 6" xfId="12140"/>
    <cellStyle name="Separador de milhares 2 2 5" xfId="6411"/>
    <cellStyle name="Separador de milhares 2 2 5 2" xfId="9567"/>
    <cellStyle name="Separador de milhares 2 2 5 2 2" xfId="27781"/>
    <cellStyle name="Separador de milhares 2 2 5 2 3" xfId="21867"/>
    <cellStyle name="Separador de milhares 2 2 5 2 4" xfId="15953"/>
    <cellStyle name="Separador de milhares 2 2 5 3" xfId="24824"/>
    <cellStyle name="Separador de milhares 2 2 5 4" xfId="18910"/>
    <cellStyle name="Separador de milhares 2 2 5 5" xfId="12800"/>
    <cellStyle name="Separador de milhares 2 2 6" xfId="8096"/>
    <cellStyle name="Separador de milhares 2 2 6 2" xfId="26310"/>
    <cellStyle name="Separador de milhares 2 2 6 3" xfId="20396"/>
    <cellStyle name="Separador de milhares 2 2 6 4" xfId="14485"/>
    <cellStyle name="Separador de milhares 2 2 7" xfId="4709"/>
    <cellStyle name="Separador de milhares 2 2 7 2" xfId="23353"/>
    <cellStyle name="Separador de milhares 2 2 8" xfId="17439"/>
    <cellStyle name="Separador de milhares 2 2 9" xfId="11099"/>
    <cellStyle name="Separador de milhares 2 3" xfId="112"/>
    <cellStyle name="Separador de milhares 2 3 2" xfId="206"/>
    <cellStyle name="Separador de milhares 2 3 2 10" xfId="6465"/>
    <cellStyle name="Separador de milhares 2 3 2 10 2" xfId="9618"/>
    <cellStyle name="Separador de milhares 2 3 2 10 2 2" xfId="27832"/>
    <cellStyle name="Separador de milhares 2 3 2 10 2 3" xfId="21918"/>
    <cellStyle name="Separador de milhares 2 3 2 10 2 4" xfId="16004"/>
    <cellStyle name="Separador de milhares 2 3 2 10 3" xfId="24875"/>
    <cellStyle name="Separador de milhares 2 3 2 10 4" xfId="18961"/>
    <cellStyle name="Separador de milhares 2 3 2 10 5" xfId="12854"/>
    <cellStyle name="Separador de milhares 2 3 2 11" xfId="8147"/>
    <cellStyle name="Separador de milhares 2 3 2 11 2" xfId="26361"/>
    <cellStyle name="Separador de milhares 2 3 2 11 3" xfId="20447"/>
    <cellStyle name="Separador de milhares 2 3 2 11 4" xfId="14536"/>
    <cellStyle name="Separador de milhares 2 3 2 12" xfId="4764"/>
    <cellStyle name="Separador de milhares 2 3 2 12 2" xfId="23404"/>
    <cellStyle name="Separador de milhares 2 3 2 13" xfId="17490"/>
    <cellStyle name="Separador de milhares 2 3 2 14" xfId="11153"/>
    <cellStyle name="Separador de milhares 2 3 2 2" xfId="663"/>
    <cellStyle name="Separador de milhares 2 3 2 2 10" xfId="17620"/>
    <cellStyle name="Separador de milhares 2 3 2 2 11" xfId="11286"/>
    <cellStyle name="Separador de milhares 2 3 2 2 2" xfId="1998"/>
    <cellStyle name="Separador de milhares 2 3 2 2 2 2" xfId="6984"/>
    <cellStyle name="Separador de milhares 2 3 2 2 2 2 2" xfId="10130"/>
    <cellStyle name="Separador de milhares 2 3 2 2 2 2 2 2" xfId="28344"/>
    <cellStyle name="Separador de milhares 2 3 2 2 2 2 2 3" xfId="22430"/>
    <cellStyle name="Separador de milhares 2 3 2 2 2 2 2 4" xfId="16516"/>
    <cellStyle name="Separador de milhares 2 3 2 2 2 2 3" xfId="25387"/>
    <cellStyle name="Separador de milhares 2 3 2 2 2 2 4" xfId="19473"/>
    <cellStyle name="Separador de milhares 2 3 2 2 2 2 5" xfId="13373"/>
    <cellStyle name="Separador de milhares 2 3 2 2 2 3" xfId="8662"/>
    <cellStyle name="Separador de milhares 2 3 2 2 2 3 2" xfId="26876"/>
    <cellStyle name="Separador de milhares 2 3 2 2 2 3 3" xfId="20962"/>
    <cellStyle name="Separador de milhares 2 3 2 2 2 3 4" xfId="15048"/>
    <cellStyle name="Separador de milhares 2 3 2 2 2 4" xfId="5285"/>
    <cellStyle name="Separador de milhares 2 3 2 2 2 4 2" xfId="23919"/>
    <cellStyle name="Separador de milhares 2 3 2 2 2 5" xfId="18005"/>
    <cellStyle name="Separador de milhares 2 3 2 2 2 6" xfId="11672"/>
    <cellStyle name="Separador de milhares 2 3 2 2 3" xfId="2527"/>
    <cellStyle name="Separador de milhares 2 3 2 2 3 2" xfId="7133"/>
    <cellStyle name="Separador de milhares 2 3 2 2 3 2 2" xfId="10277"/>
    <cellStyle name="Separador de milhares 2 3 2 2 3 2 2 2" xfId="28491"/>
    <cellStyle name="Separador de milhares 2 3 2 2 3 2 2 3" xfId="22577"/>
    <cellStyle name="Separador de milhares 2 3 2 2 3 2 2 4" xfId="16663"/>
    <cellStyle name="Separador de milhares 2 3 2 2 3 2 3" xfId="25534"/>
    <cellStyle name="Separador de milhares 2 3 2 2 3 2 4" xfId="19620"/>
    <cellStyle name="Separador de milhares 2 3 2 2 3 2 5" xfId="13522"/>
    <cellStyle name="Separador de milhares 2 3 2 2 3 3" xfId="8809"/>
    <cellStyle name="Separador de milhares 2 3 2 2 3 3 2" xfId="27023"/>
    <cellStyle name="Separador de milhares 2 3 2 2 3 3 3" xfId="21109"/>
    <cellStyle name="Separador de milhares 2 3 2 2 3 3 4" xfId="15195"/>
    <cellStyle name="Separador de milhares 2 3 2 2 3 4" xfId="5434"/>
    <cellStyle name="Separador de milhares 2 3 2 2 3 4 2" xfId="24066"/>
    <cellStyle name="Separador de milhares 2 3 2 2 3 5" xfId="18152"/>
    <cellStyle name="Separador de milhares 2 3 2 2 3 6" xfId="11821"/>
    <cellStyle name="Separador de milhares 2 3 2 2 4" xfId="3054"/>
    <cellStyle name="Separador de milhares 2 3 2 2 4 2" xfId="7280"/>
    <cellStyle name="Separador de milhares 2 3 2 2 4 2 2" xfId="10424"/>
    <cellStyle name="Separador de milhares 2 3 2 2 4 2 2 2" xfId="28638"/>
    <cellStyle name="Separador de milhares 2 3 2 2 4 2 2 3" xfId="22724"/>
    <cellStyle name="Separador de milhares 2 3 2 2 4 2 2 4" xfId="16810"/>
    <cellStyle name="Separador de milhares 2 3 2 2 4 2 3" xfId="25681"/>
    <cellStyle name="Separador de milhares 2 3 2 2 4 2 4" xfId="19767"/>
    <cellStyle name="Separador de milhares 2 3 2 2 4 2 5" xfId="13669"/>
    <cellStyle name="Separador de milhares 2 3 2 2 4 3" xfId="8956"/>
    <cellStyle name="Separador de milhares 2 3 2 2 4 3 2" xfId="27170"/>
    <cellStyle name="Separador de milhares 2 3 2 2 4 3 3" xfId="21256"/>
    <cellStyle name="Separador de milhares 2 3 2 2 4 3 4" xfId="15342"/>
    <cellStyle name="Separador de milhares 2 3 2 2 4 4" xfId="5581"/>
    <cellStyle name="Separador de milhares 2 3 2 2 4 4 2" xfId="24213"/>
    <cellStyle name="Separador de milhares 2 3 2 2 4 5" xfId="18299"/>
    <cellStyle name="Separador de milhares 2 3 2 2 4 6" xfId="11968"/>
    <cellStyle name="Separador de milhares 2 3 2 2 5" xfId="3581"/>
    <cellStyle name="Separador de milhares 2 3 2 2 5 2" xfId="7427"/>
    <cellStyle name="Separador de milhares 2 3 2 2 5 2 2" xfId="10571"/>
    <cellStyle name="Separador de milhares 2 3 2 2 5 2 2 2" xfId="28785"/>
    <cellStyle name="Separador de milhares 2 3 2 2 5 2 2 3" xfId="22871"/>
    <cellStyle name="Separador de milhares 2 3 2 2 5 2 2 4" xfId="16957"/>
    <cellStyle name="Separador de milhares 2 3 2 2 5 2 3" xfId="25828"/>
    <cellStyle name="Separador de milhares 2 3 2 2 5 2 4" xfId="19914"/>
    <cellStyle name="Separador de milhares 2 3 2 2 5 2 5" xfId="13816"/>
    <cellStyle name="Separador de milhares 2 3 2 2 5 3" xfId="9103"/>
    <cellStyle name="Separador de milhares 2 3 2 2 5 3 2" xfId="27317"/>
    <cellStyle name="Separador de milhares 2 3 2 2 5 3 3" xfId="21403"/>
    <cellStyle name="Separador de milhares 2 3 2 2 5 3 4" xfId="15489"/>
    <cellStyle name="Separador de milhares 2 3 2 2 5 4" xfId="5728"/>
    <cellStyle name="Separador de milhares 2 3 2 2 5 4 2" xfId="24360"/>
    <cellStyle name="Separador de milhares 2 3 2 2 5 5" xfId="18446"/>
    <cellStyle name="Separador de milhares 2 3 2 2 5 6" xfId="12115"/>
    <cellStyle name="Separador de milhares 2 3 2 2 6" xfId="4108"/>
    <cellStyle name="Separador de milhares 2 3 2 2 6 2" xfId="7574"/>
    <cellStyle name="Separador de milhares 2 3 2 2 6 2 2" xfId="10718"/>
    <cellStyle name="Separador de milhares 2 3 2 2 6 2 2 2" xfId="28932"/>
    <cellStyle name="Separador de milhares 2 3 2 2 6 2 2 3" xfId="23018"/>
    <cellStyle name="Separador de milhares 2 3 2 2 6 2 2 4" xfId="17104"/>
    <cellStyle name="Separador de milhares 2 3 2 2 6 2 3" xfId="25975"/>
    <cellStyle name="Separador de milhares 2 3 2 2 6 2 4" xfId="20061"/>
    <cellStyle name="Separador de milhares 2 3 2 2 6 2 5" xfId="13963"/>
    <cellStyle name="Separador de milhares 2 3 2 2 6 3" xfId="9250"/>
    <cellStyle name="Separador de milhares 2 3 2 2 6 3 2" xfId="27464"/>
    <cellStyle name="Separador de milhares 2 3 2 2 6 3 3" xfId="21550"/>
    <cellStyle name="Separador de milhares 2 3 2 2 6 3 4" xfId="15636"/>
    <cellStyle name="Separador de milhares 2 3 2 2 6 4" xfId="5875"/>
    <cellStyle name="Separador de milhares 2 3 2 2 6 4 2" xfId="24507"/>
    <cellStyle name="Separador de milhares 2 3 2 2 6 5" xfId="18593"/>
    <cellStyle name="Separador de milhares 2 3 2 2 6 6" xfId="12262"/>
    <cellStyle name="Separador de milhares 2 3 2 2 7" xfId="6598"/>
    <cellStyle name="Separador de milhares 2 3 2 2 7 2" xfId="9745"/>
    <cellStyle name="Separador de milhares 2 3 2 2 7 2 2" xfId="27959"/>
    <cellStyle name="Separador de milhares 2 3 2 2 7 2 3" xfId="22045"/>
    <cellStyle name="Separador de milhares 2 3 2 2 7 2 4" xfId="16131"/>
    <cellStyle name="Separador de milhares 2 3 2 2 7 3" xfId="25002"/>
    <cellStyle name="Separador de milhares 2 3 2 2 7 4" xfId="19088"/>
    <cellStyle name="Separador de milhares 2 3 2 2 7 5" xfId="12987"/>
    <cellStyle name="Separador de milhares 2 3 2 2 8" xfId="8277"/>
    <cellStyle name="Separador de milhares 2 3 2 2 8 2" xfId="26491"/>
    <cellStyle name="Separador de milhares 2 3 2 2 8 3" xfId="20577"/>
    <cellStyle name="Separador de milhares 2 3 2 2 8 4" xfId="14663"/>
    <cellStyle name="Separador de milhares 2 3 2 2 9" xfId="4899"/>
    <cellStyle name="Separador de milhares 2 3 2 2 9 2" xfId="23534"/>
    <cellStyle name="Separador de milhares 2 3 2 3" xfId="951"/>
    <cellStyle name="Separador de milhares 2 3 2 3 2" xfId="6696"/>
    <cellStyle name="Separador de milhares 2 3 2 3 2 2" xfId="9843"/>
    <cellStyle name="Separador de milhares 2 3 2 3 2 2 2" xfId="28057"/>
    <cellStyle name="Separador de milhares 2 3 2 3 2 2 3" xfId="22143"/>
    <cellStyle name="Separador de milhares 2 3 2 3 2 2 4" xfId="16229"/>
    <cellStyle name="Separador de milhares 2 3 2 3 2 3" xfId="25100"/>
    <cellStyle name="Separador de milhares 2 3 2 3 2 4" xfId="19186"/>
    <cellStyle name="Separador de milhares 2 3 2 3 2 5" xfId="13085"/>
    <cellStyle name="Separador de milhares 2 3 2 3 3" xfId="8375"/>
    <cellStyle name="Separador de milhares 2 3 2 3 3 2" xfId="26589"/>
    <cellStyle name="Separador de milhares 2 3 2 3 3 3" xfId="20675"/>
    <cellStyle name="Separador de milhares 2 3 2 3 3 4" xfId="14761"/>
    <cellStyle name="Separador de milhares 2 3 2 3 4" xfId="4997"/>
    <cellStyle name="Separador de milhares 2 3 2 3 4 2" xfId="23632"/>
    <cellStyle name="Separador de milhares 2 3 2 3 5" xfId="17718"/>
    <cellStyle name="Separador de milhares 2 3 2 3 6" xfId="11384"/>
    <cellStyle name="Separador de milhares 2 3 2 4" xfId="1302"/>
    <cellStyle name="Separador de milhares 2 3 2 4 2" xfId="6794"/>
    <cellStyle name="Separador de milhares 2 3 2 4 2 2" xfId="9941"/>
    <cellStyle name="Separador de milhares 2 3 2 4 2 2 2" xfId="28155"/>
    <cellStyle name="Separador de milhares 2 3 2 4 2 2 3" xfId="22241"/>
    <cellStyle name="Separador de milhares 2 3 2 4 2 2 4" xfId="16327"/>
    <cellStyle name="Separador de milhares 2 3 2 4 2 3" xfId="25198"/>
    <cellStyle name="Separador de milhares 2 3 2 4 2 4" xfId="19284"/>
    <cellStyle name="Separador de milhares 2 3 2 4 2 5" xfId="13183"/>
    <cellStyle name="Separador de milhares 2 3 2 4 3" xfId="8473"/>
    <cellStyle name="Separador de milhares 2 3 2 4 3 2" xfId="26687"/>
    <cellStyle name="Separador de milhares 2 3 2 4 3 3" xfId="20773"/>
    <cellStyle name="Separador de milhares 2 3 2 4 3 4" xfId="14859"/>
    <cellStyle name="Separador de milhares 2 3 2 4 4" xfId="5095"/>
    <cellStyle name="Separador de milhares 2 3 2 4 4 2" xfId="23730"/>
    <cellStyle name="Separador de milhares 2 3 2 4 5" xfId="17816"/>
    <cellStyle name="Separador de milhares 2 3 2 4 6" xfId="11482"/>
    <cellStyle name="Separador de milhares 2 3 2 5" xfId="1737"/>
    <cellStyle name="Separador de milhares 2 3 2 5 2" xfId="6913"/>
    <cellStyle name="Separador de milhares 2 3 2 5 2 2" xfId="10060"/>
    <cellStyle name="Separador de milhares 2 3 2 5 2 2 2" xfId="28274"/>
    <cellStyle name="Separador de milhares 2 3 2 5 2 2 3" xfId="22360"/>
    <cellStyle name="Separador de milhares 2 3 2 5 2 2 4" xfId="16446"/>
    <cellStyle name="Separador de milhares 2 3 2 5 2 3" xfId="25317"/>
    <cellStyle name="Separador de milhares 2 3 2 5 2 4" xfId="19403"/>
    <cellStyle name="Separador de milhares 2 3 2 5 2 5" xfId="13302"/>
    <cellStyle name="Separador de milhares 2 3 2 5 3" xfId="8592"/>
    <cellStyle name="Separador de milhares 2 3 2 5 3 2" xfId="26806"/>
    <cellStyle name="Separador de milhares 2 3 2 5 3 3" xfId="20892"/>
    <cellStyle name="Separador de milhares 2 3 2 5 3 4" xfId="14978"/>
    <cellStyle name="Separador de milhares 2 3 2 5 4" xfId="5214"/>
    <cellStyle name="Separador de milhares 2 3 2 5 4 2" xfId="23849"/>
    <cellStyle name="Separador de milhares 2 3 2 5 5" xfId="17935"/>
    <cellStyle name="Separador de milhares 2 3 2 5 6" xfId="11601"/>
    <cellStyle name="Separador de milhares 2 3 2 6" xfId="2267"/>
    <cellStyle name="Separador de milhares 2 3 2 6 2" xfId="7063"/>
    <cellStyle name="Separador de milhares 2 3 2 6 2 2" xfId="10207"/>
    <cellStyle name="Separador de milhares 2 3 2 6 2 2 2" xfId="28421"/>
    <cellStyle name="Separador de milhares 2 3 2 6 2 2 3" xfId="22507"/>
    <cellStyle name="Separador de milhares 2 3 2 6 2 2 4" xfId="16593"/>
    <cellStyle name="Separador de milhares 2 3 2 6 2 3" xfId="25464"/>
    <cellStyle name="Separador de milhares 2 3 2 6 2 4" xfId="19550"/>
    <cellStyle name="Separador de milhares 2 3 2 6 2 5" xfId="13452"/>
    <cellStyle name="Separador de milhares 2 3 2 6 3" xfId="8739"/>
    <cellStyle name="Separador de milhares 2 3 2 6 3 2" xfId="26953"/>
    <cellStyle name="Separador de milhares 2 3 2 6 3 3" xfId="21039"/>
    <cellStyle name="Separador de milhares 2 3 2 6 3 4" xfId="15125"/>
    <cellStyle name="Separador de milhares 2 3 2 6 4" xfId="5364"/>
    <cellStyle name="Separador de milhares 2 3 2 6 4 2" xfId="23996"/>
    <cellStyle name="Separador de milhares 2 3 2 6 5" xfId="18082"/>
    <cellStyle name="Separador de milhares 2 3 2 6 6" xfId="11751"/>
    <cellStyle name="Separador de milhares 2 3 2 7" xfId="2794"/>
    <cellStyle name="Separador de milhares 2 3 2 7 2" xfId="7210"/>
    <cellStyle name="Separador de milhares 2 3 2 7 2 2" xfId="10354"/>
    <cellStyle name="Separador de milhares 2 3 2 7 2 2 2" xfId="28568"/>
    <cellStyle name="Separador de milhares 2 3 2 7 2 2 3" xfId="22654"/>
    <cellStyle name="Separador de milhares 2 3 2 7 2 2 4" xfId="16740"/>
    <cellStyle name="Separador de milhares 2 3 2 7 2 3" xfId="25611"/>
    <cellStyle name="Separador de milhares 2 3 2 7 2 4" xfId="19697"/>
    <cellStyle name="Separador de milhares 2 3 2 7 2 5" xfId="13599"/>
    <cellStyle name="Separador de milhares 2 3 2 7 3" xfId="8886"/>
    <cellStyle name="Separador de milhares 2 3 2 7 3 2" xfId="27100"/>
    <cellStyle name="Separador de milhares 2 3 2 7 3 3" xfId="21186"/>
    <cellStyle name="Separador de milhares 2 3 2 7 3 4" xfId="15272"/>
    <cellStyle name="Separador de milhares 2 3 2 7 4" xfId="5511"/>
    <cellStyle name="Separador de milhares 2 3 2 7 4 2" xfId="24143"/>
    <cellStyle name="Separador de milhares 2 3 2 7 5" xfId="18229"/>
    <cellStyle name="Separador de milhares 2 3 2 7 6" xfId="11898"/>
    <cellStyle name="Separador de milhares 2 3 2 8" xfId="3321"/>
    <cellStyle name="Separador de milhares 2 3 2 8 2" xfId="7357"/>
    <cellStyle name="Separador de milhares 2 3 2 8 2 2" xfId="10501"/>
    <cellStyle name="Separador de milhares 2 3 2 8 2 2 2" xfId="28715"/>
    <cellStyle name="Separador de milhares 2 3 2 8 2 2 3" xfId="22801"/>
    <cellStyle name="Separador de milhares 2 3 2 8 2 2 4" xfId="16887"/>
    <cellStyle name="Separador de milhares 2 3 2 8 2 3" xfId="25758"/>
    <cellStyle name="Separador de milhares 2 3 2 8 2 4" xfId="19844"/>
    <cellStyle name="Separador de milhares 2 3 2 8 2 5" xfId="13746"/>
    <cellStyle name="Separador de milhares 2 3 2 8 3" xfId="9033"/>
    <cellStyle name="Separador de milhares 2 3 2 8 3 2" xfId="27247"/>
    <cellStyle name="Separador de milhares 2 3 2 8 3 3" xfId="21333"/>
    <cellStyle name="Separador de milhares 2 3 2 8 3 4" xfId="15419"/>
    <cellStyle name="Separador de milhares 2 3 2 8 4" xfId="5658"/>
    <cellStyle name="Separador de milhares 2 3 2 8 4 2" xfId="24290"/>
    <cellStyle name="Separador de milhares 2 3 2 8 5" xfId="18376"/>
    <cellStyle name="Separador de milhares 2 3 2 8 6" xfId="12045"/>
    <cellStyle name="Separador de milhares 2 3 2 9" xfId="3848"/>
    <cellStyle name="Separador de milhares 2 3 2 9 2" xfId="7504"/>
    <cellStyle name="Separador de milhares 2 3 2 9 2 2" xfId="10648"/>
    <cellStyle name="Separador de milhares 2 3 2 9 2 2 2" xfId="28862"/>
    <cellStyle name="Separador de milhares 2 3 2 9 2 2 3" xfId="22948"/>
    <cellStyle name="Separador de milhares 2 3 2 9 2 2 4" xfId="17034"/>
    <cellStyle name="Separador de milhares 2 3 2 9 2 3" xfId="25905"/>
    <cellStyle name="Separador de milhares 2 3 2 9 2 4" xfId="19991"/>
    <cellStyle name="Separador de milhares 2 3 2 9 2 5" xfId="13893"/>
    <cellStyle name="Separador de milhares 2 3 2 9 3" xfId="9180"/>
    <cellStyle name="Separador de milhares 2 3 2 9 3 2" xfId="27394"/>
    <cellStyle name="Separador de milhares 2 3 2 9 3 3" xfId="21480"/>
    <cellStyle name="Separador de milhares 2 3 2 9 3 4" xfId="15566"/>
    <cellStyle name="Separador de milhares 2 3 2 9 4" xfId="5805"/>
    <cellStyle name="Separador de milhares 2 3 2 9 4 2" xfId="24437"/>
    <cellStyle name="Separador de milhares 2 3 2 9 5" xfId="18523"/>
    <cellStyle name="Separador de milhares 2 3 2 9 6" xfId="12192"/>
    <cellStyle name="Separador de milhares 2 3 3" xfId="301"/>
    <cellStyle name="Separador de milhares 2 3 3 10" xfId="6496"/>
    <cellStyle name="Separador de milhares 2 3 3 10 2" xfId="9646"/>
    <cellStyle name="Separador de milhares 2 3 3 10 2 2" xfId="27860"/>
    <cellStyle name="Separador de milhares 2 3 3 10 2 3" xfId="21946"/>
    <cellStyle name="Separador de milhares 2 3 3 10 2 4" xfId="16032"/>
    <cellStyle name="Separador de milhares 2 3 3 10 3" xfId="24903"/>
    <cellStyle name="Separador de milhares 2 3 3 10 4" xfId="18989"/>
    <cellStyle name="Separador de milhares 2 3 3 10 5" xfId="12885"/>
    <cellStyle name="Separador de milhares 2 3 3 11" xfId="8175"/>
    <cellStyle name="Separador de milhares 2 3 3 11 2" xfId="26389"/>
    <cellStyle name="Separador de milhares 2 3 3 11 3" xfId="20475"/>
    <cellStyle name="Separador de milhares 2 3 3 11 4" xfId="14564"/>
    <cellStyle name="Separador de milhares 2 3 3 12" xfId="4795"/>
    <cellStyle name="Separador de milhares 2 3 3 12 2" xfId="23432"/>
    <cellStyle name="Separador de milhares 2 3 3 13" xfId="17518"/>
    <cellStyle name="Separador de milhares 2 3 3 14" xfId="11184"/>
    <cellStyle name="Separador de milhares 2 3 3 2" xfId="656"/>
    <cellStyle name="Separador de milhares 2 3 3 2 2" xfId="6591"/>
    <cellStyle name="Separador de milhares 2 3 3 2 2 2" xfId="9738"/>
    <cellStyle name="Separador de milhares 2 3 3 2 2 2 2" xfId="27952"/>
    <cellStyle name="Separador de milhares 2 3 3 2 2 2 3" xfId="22038"/>
    <cellStyle name="Separador de milhares 2 3 3 2 2 2 4" xfId="16124"/>
    <cellStyle name="Separador de milhares 2 3 3 2 2 3" xfId="24995"/>
    <cellStyle name="Separador de milhares 2 3 3 2 2 4" xfId="19081"/>
    <cellStyle name="Separador de milhares 2 3 3 2 2 5" xfId="12980"/>
    <cellStyle name="Separador de milhares 2 3 3 2 3" xfId="8270"/>
    <cellStyle name="Separador de milhares 2 3 3 2 3 2" xfId="26484"/>
    <cellStyle name="Separador de milhares 2 3 3 2 3 3" xfId="20570"/>
    <cellStyle name="Separador de milhares 2 3 3 2 3 4" xfId="14656"/>
    <cellStyle name="Separador de milhares 2 3 3 2 4" xfId="4892"/>
    <cellStyle name="Separador de milhares 2 3 3 2 4 2" xfId="23527"/>
    <cellStyle name="Separador de milhares 2 3 3 2 5" xfId="17613"/>
    <cellStyle name="Separador de milhares 2 3 3 2 6" xfId="11279"/>
    <cellStyle name="Separador de milhares 2 3 3 3" xfId="860"/>
    <cellStyle name="Separador de milhares 2 3 3 3 2" xfId="6668"/>
    <cellStyle name="Separador de milhares 2 3 3 3 2 2" xfId="9815"/>
    <cellStyle name="Separador de milhares 2 3 3 3 2 2 2" xfId="28029"/>
    <cellStyle name="Separador de milhares 2 3 3 3 2 2 3" xfId="22115"/>
    <cellStyle name="Separador de milhares 2 3 3 3 2 2 4" xfId="16201"/>
    <cellStyle name="Separador de milhares 2 3 3 3 2 3" xfId="25072"/>
    <cellStyle name="Separador de milhares 2 3 3 3 2 4" xfId="19158"/>
    <cellStyle name="Separador de milhares 2 3 3 3 2 5" xfId="13057"/>
    <cellStyle name="Separador de milhares 2 3 3 3 3" xfId="8347"/>
    <cellStyle name="Separador de milhares 2 3 3 3 3 2" xfId="26561"/>
    <cellStyle name="Separador de milhares 2 3 3 3 3 3" xfId="20647"/>
    <cellStyle name="Separador de milhares 2 3 3 3 3 4" xfId="14733"/>
    <cellStyle name="Separador de milhares 2 3 3 3 4" xfId="4969"/>
    <cellStyle name="Separador de milhares 2 3 3 3 4 2" xfId="23604"/>
    <cellStyle name="Separador de milhares 2 3 3 3 5" xfId="17690"/>
    <cellStyle name="Separador de milhares 2 3 3 3 6" xfId="11356"/>
    <cellStyle name="Separador de milhares 2 3 3 4" xfId="1211"/>
    <cellStyle name="Separador de milhares 2 3 3 4 2" xfId="6766"/>
    <cellStyle name="Separador de milhares 2 3 3 4 2 2" xfId="9913"/>
    <cellStyle name="Separador de milhares 2 3 3 4 2 2 2" xfId="28127"/>
    <cellStyle name="Separador de milhares 2 3 3 4 2 2 3" xfId="22213"/>
    <cellStyle name="Separador de milhares 2 3 3 4 2 2 4" xfId="16299"/>
    <cellStyle name="Separador de milhares 2 3 3 4 2 3" xfId="25170"/>
    <cellStyle name="Separador de milhares 2 3 3 4 2 4" xfId="19256"/>
    <cellStyle name="Separador de milhares 2 3 3 4 2 5" xfId="13155"/>
    <cellStyle name="Separador de milhares 2 3 3 4 3" xfId="8445"/>
    <cellStyle name="Separador de milhares 2 3 3 4 3 2" xfId="26659"/>
    <cellStyle name="Separador de milhares 2 3 3 4 3 3" xfId="20745"/>
    <cellStyle name="Separador de milhares 2 3 3 4 3 4" xfId="14831"/>
    <cellStyle name="Separador de milhares 2 3 3 4 4" xfId="5067"/>
    <cellStyle name="Separador de milhares 2 3 3 4 4 2" xfId="23702"/>
    <cellStyle name="Separador de milhares 2 3 3 4 5" xfId="17788"/>
    <cellStyle name="Separador de milhares 2 3 3 4 6" xfId="11454"/>
    <cellStyle name="Separador de milhares 2 3 3 5" xfId="1646"/>
    <cellStyle name="Separador de milhares 2 3 3 5 2" xfId="6885"/>
    <cellStyle name="Separador de milhares 2 3 3 5 2 2" xfId="10032"/>
    <cellStyle name="Separador de milhares 2 3 3 5 2 2 2" xfId="28246"/>
    <cellStyle name="Separador de milhares 2 3 3 5 2 2 3" xfId="22332"/>
    <cellStyle name="Separador de milhares 2 3 3 5 2 2 4" xfId="16418"/>
    <cellStyle name="Separador de milhares 2 3 3 5 2 3" xfId="25289"/>
    <cellStyle name="Separador de milhares 2 3 3 5 2 4" xfId="19375"/>
    <cellStyle name="Separador de milhares 2 3 3 5 2 5" xfId="13274"/>
    <cellStyle name="Separador de milhares 2 3 3 5 3" xfId="8564"/>
    <cellStyle name="Separador de milhares 2 3 3 5 3 2" xfId="26778"/>
    <cellStyle name="Separador de milhares 2 3 3 5 3 3" xfId="20864"/>
    <cellStyle name="Separador de milhares 2 3 3 5 3 4" xfId="14950"/>
    <cellStyle name="Separador de milhares 2 3 3 5 4" xfId="5186"/>
    <cellStyle name="Separador de milhares 2 3 3 5 4 2" xfId="23821"/>
    <cellStyle name="Separador de milhares 2 3 3 5 5" xfId="17907"/>
    <cellStyle name="Separador de milhares 2 3 3 5 6" xfId="11573"/>
    <cellStyle name="Separador de milhares 2 3 3 6" xfId="2176"/>
    <cellStyle name="Separador de milhares 2 3 3 6 2" xfId="7035"/>
    <cellStyle name="Separador de milhares 2 3 3 6 2 2" xfId="10179"/>
    <cellStyle name="Separador de milhares 2 3 3 6 2 2 2" xfId="28393"/>
    <cellStyle name="Separador de milhares 2 3 3 6 2 2 3" xfId="22479"/>
    <cellStyle name="Separador de milhares 2 3 3 6 2 2 4" xfId="16565"/>
    <cellStyle name="Separador de milhares 2 3 3 6 2 3" xfId="25436"/>
    <cellStyle name="Separador de milhares 2 3 3 6 2 4" xfId="19522"/>
    <cellStyle name="Separador de milhares 2 3 3 6 2 5" xfId="13424"/>
    <cellStyle name="Separador de milhares 2 3 3 6 3" xfId="8711"/>
    <cellStyle name="Separador de milhares 2 3 3 6 3 2" xfId="26925"/>
    <cellStyle name="Separador de milhares 2 3 3 6 3 3" xfId="21011"/>
    <cellStyle name="Separador de milhares 2 3 3 6 3 4" xfId="15097"/>
    <cellStyle name="Separador de milhares 2 3 3 6 4" xfId="5336"/>
    <cellStyle name="Separador de milhares 2 3 3 6 4 2" xfId="23968"/>
    <cellStyle name="Separador de milhares 2 3 3 6 5" xfId="18054"/>
    <cellStyle name="Separador de milhares 2 3 3 6 6" xfId="11723"/>
    <cellStyle name="Separador de milhares 2 3 3 7" xfId="2703"/>
    <cellStyle name="Separador de milhares 2 3 3 7 2" xfId="7182"/>
    <cellStyle name="Separador de milhares 2 3 3 7 2 2" xfId="10326"/>
    <cellStyle name="Separador de milhares 2 3 3 7 2 2 2" xfId="28540"/>
    <cellStyle name="Separador de milhares 2 3 3 7 2 2 3" xfId="22626"/>
    <cellStyle name="Separador de milhares 2 3 3 7 2 2 4" xfId="16712"/>
    <cellStyle name="Separador de milhares 2 3 3 7 2 3" xfId="25583"/>
    <cellStyle name="Separador de milhares 2 3 3 7 2 4" xfId="19669"/>
    <cellStyle name="Separador de milhares 2 3 3 7 2 5" xfId="13571"/>
    <cellStyle name="Separador de milhares 2 3 3 7 3" xfId="8858"/>
    <cellStyle name="Separador de milhares 2 3 3 7 3 2" xfId="27072"/>
    <cellStyle name="Separador de milhares 2 3 3 7 3 3" xfId="21158"/>
    <cellStyle name="Separador de milhares 2 3 3 7 3 4" xfId="15244"/>
    <cellStyle name="Separador de milhares 2 3 3 7 4" xfId="5483"/>
    <cellStyle name="Separador de milhares 2 3 3 7 4 2" xfId="24115"/>
    <cellStyle name="Separador de milhares 2 3 3 7 5" xfId="18201"/>
    <cellStyle name="Separador de milhares 2 3 3 7 6" xfId="11870"/>
    <cellStyle name="Separador de milhares 2 3 3 8" xfId="3230"/>
    <cellStyle name="Separador de milhares 2 3 3 8 2" xfId="7329"/>
    <cellStyle name="Separador de milhares 2 3 3 8 2 2" xfId="10473"/>
    <cellStyle name="Separador de milhares 2 3 3 8 2 2 2" xfId="28687"/>
    <cellStyle name="Separador de milhares 2 3 3 8 2 2 3" xfId="22773"/>
    <cellStyle name="Separador de milhares 2 3 3 8 2 2 4" xfId="16859"/>
    <cellStyle name="Separador de milhares 2 3 3 8 2 3" xfId="25730"/>
    <cellStyle name="Separador de milhares 2 3 3 8 2 4" xfId="19816"/>
    <cellStyle name="Separador de milhares 2 3 3 8 2 5" xfId="13718"/>
    <cellStyle name="Separador de milhares 2 3 3 8 3" xfId="9005"/>
    <cellStyle name="Separador de milhares 2 3 3 8 3 2" xfId="27219"/>
    <cellStyle name="Separador de milhares 2 3 3 8 3 3" xfId="21305"/>
    <cellStyle name="Separador de milhares 2 3 3 8 3 4" xfId="15391"/>
    <cellStyle name="Separador de milhares 2 3 3 8 4" xfId="5630"/>
    <cellStyle name="Separador de milhares 2 3 3 8 4 2" xfId="24262"/>
    <cellStyle name="Separador de milhares 2 3 3 8 5" xfId="18348"/>
    <cellStyle name="Separador de milhares 2 3 3 8 6" xfId="12017"/>
    <cellStyle name="Separador de milhares 2 3 3 9" xfId="3757"/>
    <cellStyle name="Separador de milhares 2 3 3 9 2" xfId="7476"/>
    <cellStyle name="Separador de milhares 2 3 3 9 2 2" xfId="10620"/>
    <cellStyle name="Separador de milhares 2 3 3 9 2 2 2" xfId="28834"/>
    <cellStyle name="Separador de milhares 2 3 3 9 2 2 3" xfId="22920"/>
    <cellStyle name="Separador de milhares 2 3 3 9 2 2 4" xfId="17006"/>
    <cellStyle name="Separador de milhares 2 3 3 9 2 3" xfId="25877"/>
    <cellStyle name="Separador de milhares 2 3 3 9 2 4" xfId="19963"/>
    <cellStyle name="Separador de milhares 2 3 3 9 2 5" xfId="13865"/>
    <cellStyle name="Separador de milhares 2 3 3 9 3" xfId="9152"/>
    <cellStyle name="Separador de milhares 2 3 3 9 3 2" xfId="27366"/>
    <cellStyle name="Separador de milhares 2 3 3 9 3 3" xfId="21452"/>
    <cellStyle name="Separador de milhares 2 3 3 9 3 4" xfId="15538"/>
    <cellStyle name="Separador de milhares 2 3 3 9 4" xfId="5777"/>
    <cellStyle name="Separador de milhares 2 3 3 9 4 2" xfId="24409"/>
    <cellStyle name="Separador de milhares 2 3 3 9 5" xfId="18495"/>
    <cellStyle name="Separador de milhares 2 3 3 9 6" xfId="12164"/>
    <cellStyle name="Separador de milhares 2 3 4" xfId="6435"/>
    <cellStyle name="Separador de milhares 2 3 4 2" xfId="9590"/>
    <cellStyle name="Separador de milhares 2 3 4 2 2" xfId="27804"/>
    <cellStyle name="Separador de milhares 2 3 4 2 3" xfId="21890"/>
    <cellStyle name="Separador de milhares 2 3 4 2 4" xfId="15976"/>
    <cellStyle name="Separador de milhares 2 3 4 3" xfId="24847"/>
    <cellStyle name="Separador de milhares 2 3 4 4" xfId="18933"/>
    <cellStyle name="Separador de milhares 2 3 4 5" xfId="12824"/>
    <cellStyle name="Separador de milhares 2 3 5" xfId="8119"/>
    <cellStyle name="Separador de milhares 2 3 5 2" xfId="26333"/>
    <cellStyle name="Separador de milhares 2 3 5 3" xfId="20419"/>
    <cellStyle name="Separador de milhares 2 3 5 4" xfId="14508"/>
    <cellStyle name="Separador de milhares 2 3 6" xfId="4733"/>
    <cellStyle name="Separador de milhares 2 3 6 2" xfId="23376"/>
    <cellStyle name="Separador de milhares 2 3 7" xfId="17462"/>
    <cellStyle name="Separador de milhares 2 3 8" xfId="11123"/>
    <cellStyle name="Separador de milhares 2 4" xfId="119"/>
    <cellStyle name="Separador de milhares 2 4 10" xfId="6439"/>
    <cellStyle name="Separador de milhares 2 4 10 2" xfId="9593"/>
    <cellStyle name="Separador de milhares 2 4 10 2 2" xfId="27807"/>
    <cellStyle name="Separador de milhares 2 4 10 2 3" xfId="21893"/>
    <cellStyle name="Separador de milhares 2 4 10 2 4" xfId="15979"/>
    <cellStyle name="Separador de milhares 2 4 10 3" xfId="24850"/>
    <cellStyle name="Separador de milhares 2 4 10 4" xfId="18936"/>
    <cellStyle name="Separador de milhares 2 4 10 5" xfId="12828"/>
    <cellStyle name="Separador de milhares 2 4 11" xfId="8122"/>
    <cellStyle name="Separador de milhares 2 4 11 2" xfId="26336"/>
    <cellStyle name="Separador de milhares 2 4 11 3" xfId="20422"/>
    <cellStyle name="Separador de milhares 2 4 11 4" xfId="14511"/>
    <cellStyle name="Separador de milhares 2 4 12" xfId="4738"/>
    <cellStyle name="Separador de milhares 2 4 12 2" xfId="23379"/>
    <cellStyle name="Separador de milhares 2 4 13" xfId="17465"/>
    <cellStyle name="Separador de milhares 2 4 14" xfId="11127"/>
    <cellStyle name="Separador de milhares 2 4 2" xfId="659"/>
    <cellStyle name="Separador de milhares 2 4 2 10" xfId="17616"/>
    <cellStyle name="Separador de milhares 2 4 2 11" xfId="11282"/>
    <cellStyle name="Separador de milhares 2 4 2 2" xfId="1911"/>
    <cellStyle name="Separador de milhares 2 4 2 2 2" xfId="6958"/>
    <cellStyle name="Separador de milhares 2 4 2 2 2 2" xfId="10105"/>
    <cellStyle name="Separador de milhares 2 4 2 2 2 2 2" xfId="28319"/>
    <cellStyle name="Separador de milhares 2 4 2 2 2 2 3" xfId="22405"/>
    <cellStyle name="Separador de milhares 2 4 2 2 2 2 4" xfId="16491"/>
    <cellStyle name="Separador de milhares 2 4 2 2 2 3" xfId="25362"/>
    <cellStyle name="Separador de milhares 2 4 2 2 2 4" xfId="19448"/>
    <cellStyle name="Separador de milhares 2 4 2 2 2 5" xfId="13347"/>
    <cellStyle name="Separador de milhares 2 4 2 2 3" xfId="8637"/>
    <cellStyle name="Separador de milhares 2 4 2 2 3 2" xfId="26851"/>
    <cellStyle name="Separador de milhares 2 4 2 2 3 3" xfId="20937"/>
    <cellStyle name="Separador de milhares 2 4 2 2 3 4" xfId="15023"/>
    <cellStyle name="Separador de milhares 2 4 2 2 4" xfId="5259"/>
    <cellStyle name="Separador de milhares 2 4 2 2 4 2" xfId="23894"/>
    <cellStyle name="Separador de milhares 2 4 2 2 5" xfId="17980"/>
    <cellStyle name="Separador de milhares 2 4 2 2 6" xfId="11646"/>
    <cellStyle name="Separador de milhares 2 4 2 3" xfId="2441"/>
    <cellStyle name="Separador de milhares 2 4 2 3 2" xfId="7108"/>
    <cellStyle name="Separador de milhares 2 4 2 3 2 2" xfId="10252"/>
    <cellStyle name="Separador de milhares 2 4 2 3 2 2 2" xfId="28466"/>
    <cellStyle name="Separador de milhares 2 4 2 3 2 2 3" xfId="22552"/>
    <cellStyle name="Separador de milhares 2 4 2 3 2 2 4" xfId="16638"/>
    <cellStyle name="Separador de milhares 2 4 2 3 2 3" xfId="25509"/>
    <cellStyle name="Separador de milhares 2 4 2 3 2 4" xfId="19595"/>
    <cellStyle name="Separador de milhares 2 4 2 3 2 5" xfId="13497"/>
    <cellStyle name="Separador de milhares 2 4 2 3 3" xfId="8784"/>
    <cellStyle name="Separador de milhares 2 4 2 3 3 2" xfId="26998"/>
    <cellStyle name="Separador de milhares 2 4 2 3 3 3" xfId="21084"/>
    <cellStyle name="Separador de milhares 2 4 2 3 3 4" xfId="15170"/>
    <cellStyle name="Separador de milhares 2 4 2 3 4" xfId="5409"/>
    <cellStyle name="Separador de milhares 2 4 2 3 4 2" xfId="24041"/>
    <cellStyle name="Separador de milhares 2 4 2 3 5" xfId="18127"/>
    <cellStyle name="Separador de milhares 2 4 2 3 6" xfId="11796"/>
    <cellStyle name="Separador de milhares 2 4 2 4" xfId="2968"/>
    <cellStyle name="Separador de milhares 2 4 2 4 2" xfId="7255"/>
    <cellStyle name="Separador de milhares 2 4 2 4 2 2" xfId="10399"/>
    <cellStyle name="Separador de milhares 2 4 2 4 2 2 2" xfId="28613"/>
    <cellStyle name="Separador de milhares 2 4 2 4 2 2 3" xfId="22699"/>
    <cellStyle name="Separador de milhares 2 4 2 4 2 2 4" xfId="16785"/>
    <cellStyle name="Separador de milhares 2 4 2 4 2 3" xfId="25656"/>
    <cellStyle name="Separador de milhares 2 4 2 4 2 4" xfId="19742"/>
    <cellStyle name="Separador de milhares 2 4 2 4 2 5" xfId="13644"/>
    <cellStyle name="Separador de milhares 2 4 2 4 3" xfId="8931"/>
    <cellStyle name="Separador de milhares 2 4 2 4 3 2" xfId="27145"/>
    <cellStyle name="Separador de milhares 2 4 2 4 3 3" xfId="21231"/>
    <cellStyle name="Separador de milhares 2 4 2 4 3 4" xfId="15317"/>
    <cellStyle name="Separador de milhares 2 4 2 4 4" xfId="5556"/>
    <cellStyle name="Separador de milhares 2 4 2 4 4 2" xfId="24188"/>
    <cellStyle name="Separador de milhares 2 4 2 4 5" xfId="18274"/>
    <cellStyle name="Separador de milhares 2 4 2 4 6" xfId="11943"/>
    <cellStyle name="Separador de milhares 2 4 2 5" xfId="3495"/>
    <cellStyle name="Separador de milhares 2 4 2 5 2" xfId="7402"/>
    <cellStyle name="Separador de milhares 2 4 2 5 2 2" xfId="10546"/>
    <cellStyle name="Separador de milhares 2 4 2 5 2 2 2" xfId="28760"/>
    <cellStyle name="Separador de milhares 2 4 2 5 2 2 3" xfId="22846"/>
    <cellStyle name="Separador de milhares 2 4 2 5 2 2 4" xfId="16932"/>
    <cellStyle name="Separador de milhares 2 4 2 5 2 3" xfId="25803"/>
    <cellStyle name="Separador de milhares 2 4 2 5 2 4" xfId="19889"/>
    <cellStyle name="Separador de milhares 2 4 2 5 2 5" xfId="13791"/>
    <cellStyle name="Separador de milhares 2 4 2 5 3" xfId="9078"/>
    <cellStyle name="Separador de milhares 2 4 2 5 3 2" xfId="27292"/>
    <cellStyle name="Separador de milhares 2 4 2 5 3 3" xfId="21378"/>
    <cellStyle name="Separador de milhares 2 4 2 5 3 4" xfId="15464"/>
    <cellStyle name="Separador de milhares 2 4 2 5 4" xfId="5703"/>
    <cellStyle name="Separador de milhares 2 4 2 5 4 2" xfId="24335"/>
    <cellStyle name="Separador de milhares 2 4 2 5 5" xfId="18421"/>
    <cellStyle name="Separador de milhares 2 4 2 5 6" xfId="12090"/>
    <cellStyle name="Separador de milhares 2 4 2 6" xfId="4022"/>
    <cellStyle name="Separador de milhares 2 4 2 6 2" xfId="7549"/>
    <cellStyle name="Separador de milhares 2 4 2 6 2 2" xfId="10693"/>
    <cellStyle name="Separador de milhares 2 4 2 6 2 2 2" xfId="28907"/>
    <cellStyle name="Separador de milhares 2 4 2 6 2 2 3" xfId="22993"/>
    <cellStyle name="Separador de milhares 2 4 2 6 2 2 4" xfId="17079"/>
    <cellStyle name="Separador de milhares 2 4 2 6 2 3" xfId="25950"/>
    <cellStyle name="Separador de milhares 2 4 2 6 2 4" xfId="20036"/>
    <cellStyle name="Separador de milhares 2 4 2 6 2 5" xfId="13938"/>
    <cellStyle name="Separador de milhares 2 4 2 6 3" xfId="9225"/>
    <cellStyle name="Separador de milhares 2 4 2 6 3 2" xfId="27439"/>
    <cellStyle name="Separador de milhares 2 4 2 6 3 3" xfId="21525"/>
    <cellStyle name="Separador de milhares 2 4 2 6 3 4" xfId="15611"/>
    <cellStyle name="Separador de milhares 2 4 2 6 4" xfId="5850"/>
    <cellStyle name="Separador de milhares 2 4 2 6 4 2" xfId="24482"/>
    <cellStyle name="Separador de milhares 2 4 2 6 5" xfId="18568"/>
    <cellStyle name="Separador de milhares 2 4 2 6 6" xfId="12237"/>
    <cellStyle name="Separador de milhares 2 4 2 7" xfId="6594"/>
    <cellStyle name="Separador de milhares 2 4 2 7 2" xfId="9741"/>
    <cellStyle name="Separador de milhares 2 4 2 7 2 2" xfId="27955"/>
    <cellStyle name="Separador de milhares 2 4 2 7 2 3" xfId="22041"/>
    <cellStyle name="Separador de milhares 2 4 2 7 2 4" xfId="16127"/>
    <cellStyle name="Separador de milhares 2 4 2 7 3" xfId="24998"/>
    <cellStyle name="Separador de milhares 2 4 2 7 4" xfId="19084"/>
    <cellStyle name="Separador de milhares 2 4 2 7 5" xfId="12983"/>
    <cellStyle name="Separador de milhares 2 4 2 8" xfId="8273"/>
    <cellStyle name="Separador de milhares 2 4 2 8 2" xfId="26487"/>
    <cellStyle name="Separador de milhares 2 4 2 8 3" xfId="20573"/>
    <cellStyle name="Separador de milhares 2 4 2 8 4" xfId="14659"/>
    <cellStyle name="Separador de milhares 2 4 2 9" xfId="4895"/>
    <cellStyle name="Separador de milhares 2 4 2 9 2" xfId="23530"/>
    <cellStyle name="Separador de milhares 2 4 3" xfId="865"/>
    <cellStyle name="Separador de milhares 2 4 3 2" xfId="6671"/>
    <cellStyle name="Separador de milhares 2 4 3 2 2" xfId="9818"/>
    <cellStyle name="Separador de milhares 2 4 3 2 2 2" xfId="28032"/>
    <cellStyle name="Separador de milhares 2 4 3 2 2 3" xfId="22118"/>
    <cellStyle name="Separador de milhares 2 4 3 2 2 4" xfId="16204"/>
    <cellStyle name="Separador de milhares 2 4 3 2 3" xfId="25075"/>
    <cellStyle name="Separador de milhares 2 4 3 2 4" xfId="19161"/>
    <cellStyle name="Separador de milhares 2 4 3 2 5" xfId="13060"/>
    <cellStyle name="Separador de milhares 2 4 3 3" xfId="8350"/>
    <cellStyle name="Separador de milhares 2 4 3 3 2" xfId="26564"/>
    <cellStyle name="Separador de milhares 2 4 3 3 3" xfId="20650"/>
    <cellStyle name="Separador de milhares 2 4 3 3 4" xfId="14736"/>
    <cellStyle name="Separador de milhares 2 4 3 4" xfId="4972"/>
    <cellStyle name="Separador de milhares 2 4 3 4 2" xfId="23607"/>
    <cellStyle name="Separador de milhares 2 4 3 5" xfId="17693"/>
    <cellStyle name="Separador de milhares 2 4 3 6" xfId="11359"/>
    <cellStyle name="Separador de milhares 2 4 4" xfId="1216"/>
    <cellStyle name="Separador de milhares 2 4 4 2" xfId="6769"/>
    <cellStyle name="Separador de milhares 2 4 4 2 2" xfId="9916"/>
    <cellStyle name="Separador de milhares 2 4 4 2 2 2" xfId="28130"/>
    <cellStyle name="Separador de milhares 2 4 4 2 2 3" xfId="22216"/>
    <cellStyle name="Separador de milhares 2 4 4 2 2 4" xfId="16302"/>
    <cellStyle name="Separador de milhares 2 4 4 2 3" xfId="25173"/>
    <cellStyle name="Separador de milhares 2 4 4 2 4" xfId="19259"/>
    <cellStyle name="Separador de milhares 2 4 4 2 5" xfId="13158"/>
    <cellStyle name="Separador de milhares 2 4 4 3" xfId="8448"/>
    <cellStyle name="Separador de milhares 2 4 4 3 2" xfId="26662"/>
    <cellStyle name="Separador de milhares 2 4 4 3 3" xfId="20748"/>
    <cellStyle name="Separador de milhares 2 4 4 3 4" xfId="14834"/>
    <cellStyle name="Separador de milhares 2 4 4 4" xfId="5070"/>
    <cellStyle name="Separador de milhares 2 4 4 4 2" xfId="23705"/>
    <cellStyle name="Separador de milhares 2 4 4 5" xfId="17791"/>
    <cellStyle name="Separador de milhares 2 4 4 6" xfId="11457"/>
    <cellStyle name="Separador de milhares 2 4 5" xfId="1651"/>
    <cellStyle name="Separador de milhares 2 4 5 2" xfId="6888"/>
    <cellStyle name="Separador de milhares 2 4 5 2 2" xfId="10035"/>
    <cellStyle name="Separador de milhares 2 4 5 2 2 2" xfId="28249"/>
    <cellStyle name="Separador de milhares 2 4 5 2 2 3" xfId="22335"/>
    <cellStyle name="Separador de milhares 2 4 5 2 2 4" xfId="16421"/>
    <cellStyle name="Separador de milhares 2 4 5 2 3" xfId="25292"/>
    <cellStyle name="Separador de milhares 2 4 5 2 4" xfId="19378"/>
    <cellStyle name="Separador de milhares 2 4 5 2 5" xfId="13277"/>
    <cellStyle name="Separador de milhares 2 4 5 3" xfId="8567"/>
    <cellStyle name="Separador de milhares 2 4 5 3 2" xfId="26781"/>
    <cellStyle name="Separador de milhares 2 4 5 3 3" xfId="20867"/>
    <cellStyle name="Separador de milhares 2 4 5 3 4" xfId="14953"/>
    <cellStyle name="Separador de milhares 2 4 5 4" xfId="5189"/>
    <cellStyle name="Separador de milhares 2 4 5 4 2" xfId="23824"/>
    <cellStyle name="Separador de milhares 2 4 5 5" xfId="17910"/>
    <cellStyle name="Separador de milhares 2 4 5 6" xfId="11576"/>
    <cellStyle name="Separador de milhares 2 4 6" xfId="2181"/>
    <cellStyle name="Separador de milhares 2 4 6 2" xfId="7038"/>
    <cellStyle name="Separador de milhares 2 4 6 2 2" xfId="10182"/>
    <cellStyle name="Separador de milhares 2 4 6 2 2 2" xfId="28396"/>
    <cellStyle name="Separador de milhares 2 4 6 2 2 3" xfId="22482"/>
    <cellStyle name="Separador de milhares 2 4 6 2 2 4" xfId="16568"/>
    <cellStyle name="Separador de milhares 2 4 6 2 3" xfId="25439"/>
    <cellStyle name="Separador de milhares 2 4 6 2 4" xfId="19525"/>
    <cellStyle name="Separador de milhares 2 4 6 2 5" xfId="13427"/>
    <cellStyle name="Separador de milhares 2 4 6 3" xfId="8714"/>
    <cellStyle name="Separador de milhares 2 4 6 3 2" xfId="26928"/>
    <cellStyle name="Separador de milhares 2 4 6 3 3" xfId="21014"/>
    <cellStyle name="Separador de milhares 2 4 6 3 4" xfId="15100"/>
    <cellStyle name="Separador de milhares 2 4 6 4" xfId="5339"/>
    <cellStyle name="Separador de milhares 2 4 6 4 2" xfId="23971"/>
    <cellStyle name="Separador de milhares 2 4 6 5" xfId="18057"/>
    <cellStyle name="Separador de milhares 2 4 6 6" xfId="11726"/>
    <cellStyle name="Separador de milhares 2 4 7" xfId="2708"/>
    <cellStyle name="Separador de milhares 2 4 7 2" xfId="7185"/>
    <cellStyle name="Separador de milhares 2 4 7 2 2" xfId="10329"/>
    <cellStyle name="Separador de milhares 2 4 7 2 2 2" xfId="28543"/>
    <cellStyle name="Separador de milhares 2 4 7 2 2 3" xfId="22629"/>
    <cellStyle name="Separador de milhares 2 4 7 2 2 4" xfId="16715"/>
    <cellStyle name="Separador de milhares 2 4 7 2 3" xfId="25586"/>
    <cellStyle name="Separador de milhares 2 4 7 2 4" xfId="19672"/>
    <cellStyle name="Separador de milhares 2 4 7 2 5" xfId="13574"/>
    <cellStyle name="Separador de milhares 2 4 7 3" xfId="8861"/>
    <cellStyle name="Separador de milhares 2 4 7 3 2" xfId="27075"/>
    <cellStyle name="Separador de milhares 2 4 7 3 3" xfId="21161"/>
    <cellStyle name="Separador de milhares 2 4 7 3 4" xfId="15247"/>
    <cellStyle name="Separador de milhares 2 4 7 4" xfId="5486"/>
    <cellStyle name="Separador de milhares 2 4 7 4 2" xfId="24118"/>
    <cellStyle name="Separador de milhares 2 4 7 5" xfId="18204"/>
    <cellStyle name="Separador de milhares 2 4 7 6" xfId="11873"/>
    <cellStyle name="Separador de milhares 2 4 8" xfId="3235"/>
    <cellStyle name="Separador de milhares 2 4 8 2" xfId="7332"/>
    <cellStyle name="Separador de milhares 2 4 8 2 2" xfId="10476"/>
    <cellStyle name="Separador de milhares 2 4 8 2 2 2" xfId="28690"/>
    <cellStyle name="Separador de milhares 2 4 8 2 2 3" xfId="22776"/>
    <cellStyle name="Separador de milhares 2 4 8 2 2 4" xfId="16862"/>
    <cellStyle name="Separador de milhares 2 4 8 2 3" xfId="25733"/>
    <cellStyle name="Separador de milhares 2 4 8 2 4" xfId="19819"/>
    <cellStyle name="Separador de milhares 2 4 8 2 5" xfId="13721"/>
    <cellStyle name="Separador de milhares 2 4 8 3" xfId="9008"/>
    <cellStyle name="Separador de milhares 2 4 8 3 2" xfId="27222"/>
    <cellStyle name="Separador de milhares 2 4 8 3 3" xfId="21308"/>
    <cellStyle name="Separador de milhares 2 4 8 3 4" xfId="15394"/>
    <cellStyle name="Separador de milhares 2 4 8 4" xfId="5633"/>
    <cellStyle name="Separador de milhares 2 4 8 4 2" xfId="24265"/>
    <cellStyle name="Separador de milhares 2 4 8 5" xfId="18351"/>
    <cellStyle name="Separador de milhares 2 4 8 6" xfId="12020"/>
    <cellStyle name="Separador de milhares 2 4 9" xfId="3762"/>
    <cellStyle name="Separador de milhares 2 4 9 2" xfId="7479"/>
    <cellStyle name="Separador de milhares 2 4 9 2 2" xfId="10623"/>
    <cellStyle name="Separador de milhares 2 4 9 2 2 2" xfId="28837"/>
    <cellStyle name="Separador de milhares 2 4 9 2 2 3" xfId="22923"/>
    <cellStyle name="Separador de milhares 2 4 9 2 2 4" xfId="17009"/>
    <cellStyle name="Separador de milhares 2 4 9 2 3" xfId="25880"/>
    <cellStyle name="Separador de milhares 2 4 9 2 4" xfId="19966"/>
    <cellStyle name="Separador de milhares 2 4 9 2 5" xfId="13868"/>
    <cellStyle name="Separador de milhares 2 4 9 3" xfId="9155"/>
    <cellStyle name="Separador de milhares 2 4 9 3 2" xfId="27369"/>
    <cellStyle name="Separador de milhares 2 4 9 3 3" xfId="21455"/>
    <cellStyle name="Separador de milhares 2 4 9 3 4" xfId="15541"/>
    <cellStyle name="Separador de milhares 2 4 9 4" xfId="5780"/>
    <cellStyle name="Separador de milhares 2 4 9 4 2" xfId="24412"/>
    <cellStyle name="Separador de milhares 2 4 9 5" xfId="18498"/>
    <cellStyle name="Separador de milhares 2 4 9 6" xfId="12167"/>
    <cellStyle name="Separador de milhares 2 5" xfId="214"/>
    <cellStyle name="Separador de milhares 2 5 10" xfId="6470"/>
    <cellStyle name="Separador de milhares 2 5 10 2" xfId="9621"/>
    <cellStyle name="Separador de milhares 2 5 10 2 2" xfId="27835"/>
    <cellStyle name="Separador de milhares 2 5 10 2 3" xfId="21921"/>
    <cellStyle name="Separador de milhares 2 5 10 2 4" xfId="16007"/>
    <cellStyle name="Separador de milhares 2 5 10 3" xfId="24878"/>
    <cellStyle name="Separador de milhares 2 5 10 4" xfId="18964"/>
    <cellStyle name="Separador de milhares 2 5 10 5" xfId="12859"/>
    <cellStyle name="Separador de milhares 2 5 11" xfId="8150"/>
    <cellStyle name="Separador de milhares 2 5 11 2" xfId="26364"/>
    <cellStyle name="Separador de milhares 2 5 11 3" xfId="20450"/>
    <cellStyle name="Separador de milhares 2 5 11 4" xfId="14539"/>
    <cellStyle name="Separador de milhares 2 5 12" xfId="4769"/>
    <cellStyle name="Separador de milhares 2 5 12 2" xfId="23407"/>
    <cellStyle name="Separador de milhares 2 5 13" xfId="17493"/>
    <cellStyle name="Separador de milhares 2 5 14" xfId="11158"/>
    <cellStyle name="Separador de milhares 2 5 2" xfId="652"/>
    <cellStyle name="Separador de milhares 2 5 2 2" xfId="6587"/>
    <cellStyle name="Separador de milhares 2 5 2 2 2" xfId="9734"/>
    <cellStyle name="Separador de milhares 2 5 2 2 2 2" xfId="27948"/>
    <cellStyle name="Separador de milhares 2 5 2 2 2 3" xfId="22034"/>
    <cellStyle name="Separador de milhares 2 5 2 2 2 4" xfId="16120"/>
    <cellStyle name="Separador de milhares 2 5 2 2 3" xfId="24991"/>
    <cellStyle name="Separador de milhares 2 5 2 2 4" xfId="19077"/>
    <cellStyle name="Separador de milhares 2 5 2 2 5" xfId="12976"/>
    <cellStyle name="Separador de milhares 2 5 2 3" xfId="8266"/>
    <cellStyle name="Separador de milhares 2 5 2 3 2" xfId="26480"/>
    <cellStyle name="Separador de milhares 2 5 2 3 3" xfId="20566"/>
    <cellStyle name="Separador de milhares 2 5 2 3 4" xfId="14652"/>
    <cellStyle name="Separador de milhares 2 5 2 4" xfId="4888"/>
    <cellStyle name="Separador de milhares 2 5 2 4 2" xfId="23523"/>
    <cellStyle name="Separador de milhares 2 5 2 5" xfId="17609"/>
    <cellStyle name="Separador de milhares 2 5 2 6" xfId="11275"/>
    <cellStyle name="Separador de milhares 2 5 3" xfId="774"/>
    <cellStyle name="Separador de milhares 2 5 3 2" xfId="6643"/>
    <cellStyle name="Separador de milhares 2 5 3 2 2" xfId="9790"/>
    <cellStyle name="Separador de milhares 2 5 3 2 2 2" xfId="28004"/>
    <cellStyle name="Separador de milhares 2 5 3 2 2 3" xfId="22090"/>
    <cellStyle name="Separador de milhares 2 5 3 2 2 4" xfId="16176"/>
    <cellStyle name="Separador de milhares 2 5 3 2 3" xfId="25047"/>
    <cellStyle name="Separador de milhares 2 5 3 2 4" xfId="19133"/>
    <cellStyle name="Separador de milhares 2 5 3 2 5" xfId="13032"/>
    <cellStyle name="Separador de milhares 2 5 3 3" xfId="8322"/>
    <cellStyle name="Separador de milhares 2 5 3 3 2" xfId="26536"/>
    <cellStyle name="Separador de milhares 2 5 3 3 3" xfId="20622"/>
    <cellStyle name="Separador de milhares 2 5 3 3 4" xfId="14708"/>
    <cellStyle name="Separador de milhares 2 5 3 4" xfId="4944"/>
    <cellStyle name="Separador de milhares 2 5 3 4 2" xfId="23579"/>
    <cellStyle name="Separador de milhares 2 5 3 5" xfId="17665"/>
    <cellStyle name="Separador de milhares 2 5 3 6" xfId="11331"/>
    <cellStyle name="Separador de milhares 2 5 4" xfId="1125"/>
    <cellStyle name="Separador de milhares 2 5 4 2" xfId="6741"/>
    <cellStyle name="Separador de milhares 2 5 4 2 2" xfId="9888"/>
    <cellStyle name="Separador de milhares 2 5 4 2 2 2" xfId="28102"/>
    <cellStyle name="Separador de milhares 2 5 4 2 2 3" xfId="22188"/>
    <cellStyle name="Separador de milhares 2 5 4 2 2 4" xfId="16274"/>
    <cellStyle name="Separador de milhares 2 5 4 2 3" xfId="25145"/>
    <cellStyle name="Separador de milhares 2 5 4 2 4" xfId="19231"/>
    <cellStyle name="Separador de milhares 2 5 4 2 5" xfId="13130"/>
    <cellStyle name="Separador de milhares 2 5 4 3" xfId="8420"/>
    <cellStyle name="Separador de milhares 2 5 4 3 2" xfId="26634"/>
    <cellStyle name="Separador de milhares 2 5 4 3 3" xfId="20720"/>
    <cellStyle name="Separador de milhares 2 5 4 3 4" xfId="14806"/>
    <cellStyle name="Separador de milhares 2 5 4 4" xfId="5042"/>
    <cellStyle name="Separador de milhares 2 5 4 4 2" xfId="23677"/>
    <cellStyle name="Separador de milhares 2 5 4 5" xfId="17763"/>
    <cellStyle name="Separador de milhares 2 5 4 6" xfId="11429"/>
    <cellStyle name="Separador de milhares 2 5 5" xfId="1560"/>
    <cellStyle name="Separador de milhares 2 5 5 2" xfId="6860"/>
    <cellStyle name="Separador de milhares 2 5 5 2 2" xfId="10007"/>
    <cellStyle name="Separador de milhares 2 5 5 2 2 2" xfId="28221"/>
    <cellStyle name="Separador de milhares 2 5 5 2 2 3" xfId="22307"/>
    <cellStyle name="Separador de milhares 2 5 5 2 2 4" xfId="16393"/>
    <cellStyle name="Separador de milhares 2 5 5 2 3" xfId="25264"/>
    <cellStyle name="Separador de milhares 2 5 5 2 4" xfId="19350"/>
    <cellStyle name="Separador de milhares 2 5 5 2 5" xfId="13249"/>
    <cellStyle name="Separador de milhares 2 5 5 3" xfId="8539"/>
    <cellStyle name="Separador de milhares 2 5 5 3 2" xfId="26753"/>
    <cellStyle name="Separador de milhares 2 5 5 3 3" xfId="20839"/>
    <cellStyle name="Separador de milhares 2 5 5 3 4" xfId="14925"/>
    <cellStyle name="Separador de milhares 2 5 5 4" xfId="5161"/>
    <cellStyle name="Separador de milhares 2 5 5 4 2" xfId="23796"/>
    <cellStyle name="Separador de milhares 2 5 5 5" xfId="17882"/>
    <cellStyle name="Separador de milhares 2 5 5 6" xfId="11548"/>
    <cellStyle name="Separador de milhares 2 5 6" xfId="2090"/>
    <cellStyle name="Separador de milhares 2 5 6 2" xfId="7010"/>
    <cellStyle name="Separador de milhares 2 5 6 2 2" xfId="10154"/>
    <cellStyle name="Separador de milhares 2 5 6 2 2 2" xfId="28368"/>
    <cellStyle name="Separador de milhares 2 5 6 2 2 3" xfId="22454"/>
    <cellStyle name="Separador de milhares 2 5 6 2 2 4" xfId="16540"/>
    <cellStyle name="Separador de milhares 2 5 6 2 3" xfId="25411"/>
    <cellStyle name="Separador de milhares 2 5 6 2 4" xfId="19497"/>
    <cellStyle name="Separador de milhares 2 5 6 2 5" xfId="13399"/>
    <cellStyle name="Separador de milhares 2 5 6 3" xfId="8686"/>
    <cellStyle name="Separador de milhares 2 5 6 3 2" xfId="26900"/>
    <cellStyle name="Separador de milhares 2 5 6 3 3" xfId="20986"/>
    <cellStyle name="Separador de milhares 2 5 6 3 4" xfId="15072"/>
    <cellStyle name="Separador de milhares 2 5 6 4" xfId="5311"/>
    <cellStyle name="Separador de milhares 2 5 6 4 2" xfId="23943"/>
    <cellStyle name="Separador de milhares 2 5 6 5" xfId="18029"/>
    <cellStyle name="Separador de milhares 2 5 6 6" xfId="11698"/>
    <cellStyle name="Separador de milhares 2 5 7" xfId="2617"/>
    <cellStyle name="Separador de milhares 2 5 7 2" xfId="7157"/>
    <cellStyle name="Separador de milhares 2 5 7 2 2" xfId="10301"/>
    <cellStyle name="Separador de milhares 2 5 7 2 2 2" xfId="28515"/>
    <cellStyle name="Separador de milhares 2 5 7 2 2 3" xfId="22601"/>
    <cellStyle name="Separador de milhares 2 5 7 2 2 4" xfId="16687"/>
    <cellStyle name="Separador de milhares 2 5 7 2 3" xfId="25558"/>
    <cellStyle name="Separador de milhares 2 5 7 2 4" xfId="19644"/>
    <cellStyle name="Separador de milhares 2 5 7 2 5" xfId="13546"/>
    <cellStyle name="Separador de milhares 2 5 7 3" xfId="8833"/>
    <cellStyle name="Separador de milhares 2 5 7 3 2" xfId="27047"/>
    <cellStyle name="Separador de milhares 2 5 7 3 3" xfId="21133"/>
    <cellStyle name="Separador de milhares 2 5 7 3 4" xfId="15219"/>
    <cellStyle name="Separador de milhares 2 5 7 4" xfId="5458"/>
    <cellStyle name="Separador de milhares 2 5 7 4 2" xfId="24090"/>
    <cellStyle name="Separador de milhares 2 5 7 5" xfId="18176"/>
    <cellStyle name="Separador de milhares 2 5 7 6" xfId="11845"/>
    <cellStyle name="Separador de milhares 2 5 8" xfId="3144"/>
    <cellStyle name="Separador de milhares 2 5 8 2" xfId="7304"/>
    <cellStyle name="Separador de milhares 2 5 8 2 2" xfId="10448"/>
    <cellStyle name="Separador de milhares 2 5 8 2 2 2" xfId="28662"/>
    <cellStyle name="Separador de milhares 2 5 8 2 2 3" xfId="22748"/>
    <cellStyle name="Separador de milhares 2 5 8 2 2 4" xfId="16834"/>
    <cellStyle name="Separador de milhares 2 5 8 2 3" xfId="25705"/>
    <cellStyle name="Separador de milhares 2 5 8 2 4" xfId="19791"/>
    <cellStyle name="Separador de milhares 2 5 8 2 5" xfId="13693"/>
    <cellStyle name="Separador de milhares 2 5 8 3" xfId="8980"/>
    <cellStyle name="Separador de milhares 2 5 8 3 2" xfId="27194"/>
    <cellStyle name="Separador de milhares 2 5 8 3 3" xfId="21280"/>
    <cellStyle name="Separador de milhares 2 5 8 3 4" xfId="15366"/>
    <cellStyle name="Separador de milhares 2 5 8 4" xfId="5605"/>
    <cellStyle name="Separador de milhares 2 5 8 4 2" xfId="24237"/>
    <cellStyle name="Separador de milhares 2 5 8 5" xfId="18323"/>
    <cellStyle name="Separador de milhares 2 5 8 6" xfId="11992"/>
    <cellStyle name="Separador de milhares 2 5 9" xfId="3671"/>
    <cellStyle name="Separador de milhares 2 5 9 2" xfId="7451"/>
    <cellStyle name="Separador de milhares 2 5 9 2 2" xfId="10595"/>
    <cellStyle name="Separador de milhares 2 5 9 2 2 2" xfId="28809"/>
    <cellStyle name="Separador de milhares 2 5 9 2 2 3" xfId="22895"/>
    <cellStyle name="Separador de milhares 2 5 9 2 2 4" xfId="16981"/>
    <cellStyle name="Separador de milhares 2 5 9 2 3" xfId="25852"/>
    <cellStyle name="Separador de milhares 2 5 9 2 4" xfId="19938"/>
    <cellStyle name="Separador de milhares 2 5 9 2 5" xfId="13840"/>
    <cellStyle name="Separador de milhares 2 5 9 3" xfId="9127"/>
    <cellStyle name="Separador de milhares 2 5 9 3 2" xfId="27341"/>
    <cellStyle name="Separador de milhares 2 5 9 3 3" xfId="21427"/>
    <cellStyle name="Separador de milhares 2 5 9 3 4" xfId="15513"/>
    <cellStyle name="Separador de milhares 2 5 9 4" xfId="5752"/>
    <cellStyle name="Separador de milhares 2 5 9 4 2" xfId="24384"/>
    <cellStyle name="Separador de milhares 2 5 9 5" xfId="18470"/>
    <cellStyle name="Separador de milhares 2 5 9 6" xfId="12139"/>
    <cellStyle name="Separador de milhares 2 6" xfId="6410"/>
    <cellStyle name="Separador de milhares 2 6 2" xfId="9566"/>
    <cellStyle name="Separador de milhares 2 6 2 2" xfId="27780"/>
    <cellStyle name="Separador de milhares 2 6 2 3" xfId="21866"/>
    <cellStyle name="Separador de milhares 2 6 2 4" xfId="15952"/>
    <cellStyle name="Separador de milhares 2 6 3" xfId="24823"/>
    <cellStyle name="Separador de milhares 2 6 4" xfId="18909"/>
    <cellStyle name="Separador de milhares 2 6 5" xfId="12799"/>
    <cellStyle name="Separador de milhares 2 7" xfId="8095"/>
    <cellStyle name="Separador de milhares 2 7 2" xfId="26309"/>
    <cellStyle name="Separador de milhares 2 7 3" xfId="20395"/>
    <cellStyle name="Separador de milhares 2 7 4" xfId="14484"/>
    <cellStyle name="Separador de milhares 2 8" xfId="4708"/>
    <cellStyle name="Separador de milhares 2 8 2" xfId="23352"/>
    <cellStyle name="Separador de milhares 2 9" xfId="17438"/>
    <cellStyle name="Separador de milhares 3" xfId="27"/>
    <cellStyle name="Separador de milhares 3 10" xfId="80"/>
    <cellStyle name="Separador de milhares 3 10 10" xfId="2583"/>
    <cellStyle name="Separador de milhares 3 10 10 2" xfId="7148"/>
    <cellStyle name="Separador de milhares 3 10 10 2 2" xfId="10292"/>
    <cellStyle name="Separador de milhares 3 10 10 2 2 2" xfId="28506"/>
    <cellStyle name="Separador de milhares 3 10 10 2 2 3" xfId="22592"/>
    <cellStyle name="Separador de milhares 3 10 10 2 2 4" xfId="16678"/>
    <cellStyle name="Separador de milhares 3 10 10 2 3" xfId="25549"/>
    <cellStyle name="Separador de milhares 3 10 10 2 4" xfId="19635"/>
    <cellStyle name="Separador de milhares 3 10 10 2 5" xfId="13537"/>
    <cellStyle name="Separador de milhares 3 10 10 3" xfId="8824"/>
    <cellStyle name="Separador de milhares 3 10 10 3 2" xfId="27038"/>
    <cellStyle name="Separador de milhares 3 10 10 3 3" xfId="21124"/>
    <cellStyle name="Separador de milhares 3 10 10 3 4" xfId="15210"/>
    <cellStyle name="Separador de milhares 3 10 10 4" xfId="5449"/>
    <cellStyle name="Separador de milhares 3 10 10 4 2" xfId="24081"/>
    <cellStyle name="Separador de milhares 3 10 10 5" xfId="18167"/>
    <cellStyle name="Separador de milhares 3 10 10 6" xfId="11836"/>
    <cellStyle name="Separador de milhares 3 10 11" xfId="3110"/>
    <cellStyle name="Separador de milhares 3 10 11 2" xfId="7295"/>
    <cellStyle name="Separador de milhares 3 10 11 2 2" xfId="10439"/>
    <cellStyle name="Separador de milhares 3 10 11 2 2 2" xfId="28653"/>
    <cellStyle name="Separador de milhares 3 10 11 2 2 3" xfId="22739"/>
    <cellStyle name="Separador de milhares 3 10 11 2 2 4" xfId="16825"/>
    <cellStyle name="Separador de milhares 3 10 11 2 3" xfId="25696"/>
    <cellStyle name="Separador de milhares 3 10 11 2 4" xfId="19782"/>
    <cellStyle name="Separador de milhares 3 10 11 2 5" xfId="13684"/>
    <cellStyle name="Separador de milhares 3 10 11 3" xfId="8971"/>
    <cellStyle name="Separador de milhares 3 10 11 3 2" xfId="27185"/>
    <cellStyle name="Separador de milhares 3 10 11 3 3" xfId="21271"/>
    <cellStyle name="Separador de milhares 3 10 11 3 4" xfId="15357"/>
    <cellStyle name="Separador de milhares 3 10 11 4" xfId="5596"/>
    <cellStyle name="Separador de milhares 3 10 11 4 2" xfId="24228"/>
    <cellStyle name="Separador de milhares 3 10 11 5" xfId="18314"/>
    <cellStyle name="Separador de milhares 3 10 11 6" xfId="11983"/>
    <cellStyle name="Separador de milhares 3 10 12" xfId="3637"/>
    <cellStyle name="Separador de milhares 3 10 12 2" xfId="7442"/>
    <cellStyle name="Separador de milhares 3 10 12 2 2" xfId="10586"/>
    <cellStyle name="Separador de milhares 3 10 12 2 2 2" xfId="28800"/>
    <cellStyle name="Separador de milhares 3 10 12 2 2 3" xfId="22886"/>
    <cellStyle name="Separador de milhares 3 10 12 2 2 4" xfId="16972"/>
    <cellStyle name="Separador de milhares 3 10 12 2 3" xfId="25843"/>
    <cellStyle name="Separador de milhares 3 10 12 2 4" xfId="19929"/>
    <cellStyle name="Separador de milhares 3 10 12 2 5" xfId="13831"/>
    <cellStyle name="Separador de milhares 3 10 12 3" xfId="9118"/>
    <cellStyle name="Separador de milhares 3 10 12 3 2" xfId="27332"/>
    <cellStyle name="Separador de milhares 3 10 12 3 3" xfId="21418"/>
    <cellStyle name="Separador de milhares 3 10 12 3 4" xfId="15504"/>
    <cellStyle name="Separador de milhares 3 10 12 4" xfId="5743"/>
    <cellStyle name="Separador de milhares 3 10 12 4 2" xfId="24375"/>
    <cellStyle name="Separador de milhares 3 10 12 5" xfId="18461"/>
    <cellStyle name="Separador de milhares 3 10 12 6" xfId="12130"/>
    <cellStyle name="Separador de milhares 3 10 13" xfId="6426"/>
    <cellStyle name="Separador de milhares 3 10 13 2" xfId="9582"/>
    <cellStyle name="Separador de milhares 3 10 13 2 2" xfId="27796"/>
    <cellStyle name="Separador de milhares 3 10 13 2 3" xfId="21882"/>
    <cellStyle name="Separador de milhares 3 10 13 2 4" xfId="15968"/>
    <cellStyle name="Separador de milhares 3 10 13 3" xfId="24839"/>
    <cellStyle name="Separador de milhares 3 10 13 4" xfId="18925"/>
    <cellStyle name="Separador de milhares 3 10 13 5" xfId="12815"/>
    <cellStyle name="Separador de milhares 3 10 14" xfId="8111"/>
    <cellStyle name="Separador de milhares 3 10 14 2" xfId="26325"/>
    <cellStyle name="Separador de milhares 3 10 14 3" xfId="20411"/>
    <cellStyle name="Separador de milhares 3 10 14 4" xfId="14500"/>
    <cellStyle name="Separador de milhares 3 10 15" xfId="4724"/>
    <cellStyle name="Separador de milhares 3 10 15 2" xfId="23368"/>
    <cellStyle name="Separador de milhares 3 10 16" xfId="17454"/>
    <cellStyle name="Separador de milhares 3 10 17" xfId="11114"/>
    <cellStyle name="Separador de milhares 3 10 2" xfId="174"/>
    <cellStyle name="Separador de milhares 3 10 2 10" xfId="6455"/>
    <cellStyle name="Separador de milhares 3 10 2 10 2" xfId="9609"/>
    <cellStyle name="Separador de milhares 3 10 2 10 2 2" xfId="27823"/>
    <cellStyle name="Separador de milhares 3 10 2 10 2 3" xfId="21909"/>
    <cellStyle name="Separador de milhares 3 10 2 10 2 4" xfId="15995"/>
    <cellStyle name="Separador de milhares 3 10 2 10 3" xfId="24866"/>
    <cellStyle name="Separador de milhares 3 10 2 10 4" xfId="18952"/>
    <cellStyle name="Separador de milhares 3 10 2 10 5" xfId="12844"/>
    <cellStyle name="Separador de milhares 3 10 2 11" xfId="8138"/>
    <cellStyle name="Separador de milhares 3 10 2 11 2" xfId="26352"/>
    <cellStyle name="Separador de milhares 3 10 2 11 3" xfId="20438"/>
    <cellStyle name="Separador de milhares 3 10 2 11 4" xfId="14527"/>
    <cellStyle name="Separador de milhares 3 10 2 12" xfId="4754"/>
    <cellStyle name="Separador de milhares 3 10 2 12 2" xfId="23395"/>
    <cellStyle name="Separador de milhares 3 10 2 13" xfId="17481"/>
    <cellStyle name="Separador de milhares 3 10 2 14" xfId="11143"/>
    <cellStyle name="Separador de milhares 3 10 2 2" xfId="447"/>
    <cellStyle name="Separador de milhares 3 10 2 2 10" xfId="17555"/>
    <cellStyle name="Separador de milhares 3 10 2 2 11" xfId="11224"/>
    <cellStyle name="Separador de milhares 3 10 2 2 2" xfId="1966"/>
    <cellStyle name="Separador de milhares 3 10 2 2 2 2" xfId="6974"/>
    <cellStyle name="Separador de milhares 3 10 2 2 2 2 2" xfId="10121"/>
    <cellStyle name="Separador de milhares 3 10 2 2 2 2 2 2" xfId="28335"/>
    <cellStyle name="Separador de milhares 3 10 2 2 2 2 2 3" xfId="22421"/>
    <cellStyle name="Separador de milhares 3 10 2 2 2 2 2 4" xfId="16507"/>
    <cellStyle name="Separador de milhares 3 10 2 2 2 2 3" xfId="25378"/>
    <cellStyle name="Separador de milhares 3 10 2 2 2 2 4" xfId="19464"/>
    <cellStyle name="Separador de milhares 3 10 2 2 2 2 5" xfId="13363"/>
    <cellStyle name="Separador de milhares 3 10 2 2 2 3" xfId="8653"/>
    <cellStyle name="Separador de milhares 3 10 2 2 2 3 2" xfId="26867"/>
    <cellStyle name="Separador de milhares 3 10 2 2 2 3 3" xfId="20953"/>
    <cellStyle name="Separador de milhares 3 10 2 2 2 3 4" xfId="15039"/>
    <cellStyle name="Separador de milhares 3 10 2 2 2 4" xfId="5275"/>
    <cellStyle name="Separador de milhares 3 10 2 2 2 4 2" xfId="23910"/>
    <cellStyle name="Separador de milhares 3 10 2 2 2 5" xfId="17996"/>
    <cellStyle name="Separador de milhares 3 10 2 2 2 6" xfId="11662"/>
    <cellStyle name="Separador de milhares 3 10 2 2 3" xfId="2496"/>
    <cellStyle name="Separador de milhares 3 10 2 2 3 2" xfId="7124"/>
    <cellStyle name="Separador de milhares 3 10 2 2 3 2 2" xfId="10268"/>
    <cellStyle name="Separador de milhares 3 10 2 2 3 2 2 2" xfId="28482"/>
    <cellStyle name="Separador de milhares 3 10 2 2 3 2 2 3" xfId="22568"/>
    <cellStyle name="Separador de milhares 3 10 2 2 3 2 2 4" xfId="16654"/>
    <cellStyle name="Separador de milhares 3 10 2 2 3 2 3" xfId="25525"/>
    <cellStyle name="Separador de milhares 3 10 2 2 3 2 4" xfId="19611"/>
    <cellStyle name="Separador de milhares 3 10 2 2 3 2 5" xfId="13513"/>
    <cellStyle name="Separador de milhares 3 10 2 2 3 3" xfId="8800"/>
    <cellStyle name="Separador de milhares 3 10 2 2 3 3 2" xfId="27014"/>
    <cellStyle name="Separador de milhares 3 10 2 2 3 3 3" xfId="21100"/>
    <cellStyle name="Separador de milhares 3 10 2 2 3 3 4" xfId="15186"/>
    <cellStyle name="Separador de milhares 3 10 2 2 3 4" xfId="5425"/>
    <cellStyle name="Separador de milhares 3 10 2 2 3 4 2" xfId="24057"/>
    <cellStyle name="Separador de milhares 3 10 2 2 3 5" xfId="18143"/>
    <cellStyle name="Separador de milhares 3 10 2 2 3 6" xfId="11812"/>
    <cellStyle name="Separador de milhares 3 10 2 2 4" xfId="3023"/>
    <cellStyle name="Separador de milhares 3 10 2 2 4 2" xfId="7271"/>
    <cellStyle name="Separador de milhares 3 10 2 2 4 2 2" xfId="10415"/>
    <cellStyle name="Separador de milhares 3 10 2 2 4 2 2 2" xfId="28629"/>
    <cellStyle name="Separador de milhares 3 10 2 2 4 2 2 3" xfId="22715"/>
    <cellStyle name="Separador de milhares 3 10 2 2 4 2 2 4" xfId="16801"/>
    <cellStyle name="Separador de milhares 3 10 2 2 4 2 3" xfId="25672"/>
    <cellStyle name="Separador de milhares 3 10 2 2 4 2 4" xfId="19758"/>
    <cellStyle name="Separador de milhares 3 10 2 2 4 2 5" xfId="13660"/>
    <cellStyle name="Separador de milhares 3 10 2 2 4 3" xfId="8947"/>
    <cellStyle name="Separador de milhares 3 10 2 2 4 3 2" xfId="27161"/>
    <cellStyle name="Separador de milhares 3 10 2 2 4 3 3" xfId="21247"/>
    <cellStyle name="Separador de milhares 3 10 2 2 4 3 4" xfId="15333"/>
    <cellStyle name="Separador de milhares 3 10 2 2 4 4" xfId="5572"/>
    <cellStyle name="Separador de milhares 3 10 2 2 4 4 2" xfId="24204"/>
    <cellStyle name="Separador de milhares 3 10 2 2 4 5" xfId="18290"/>
    <cellStyle name="Separador de milhares 3 10 2 2 4 6" xfId="11959"/>
    <cellStyle name="Separador de milhares 3 10 2 2 5" xfId="3550"/>
    <cellStyle name="Separador de milhares 3 10 2 2 5 2" xfId="7418"/>
    <cellStyle name="Separador de milhares 3 10 2 2 5 2 2" xfId="10562"/>
    <cellStyle name="Separador de milhares 3 10 2 2 5 2 2 2" xfId="28776"/>
    <cellStyle name="Separador de milhares 3 10 2 2 5 2 2 3" xfId="22862"/>
    <cellStyle name="Separador de milhares 3 10 2 2 5 2 2 4" xfId="16948"/>
    <cellStyle name="Separador de milhares 3 10 2 2 5 2 3" xfId="25819"/>
    <cellStyle name="Separador de milhares 3 10 2 2 5 2 4" xfId="19905"/>
    <cellStyle name="Separador de milhares 3 10 2 2 5 2 5" xfId="13807"/>
    <cellStyle name="Separador de milhares 3 10 2 2 5 3" xfId="9094"/>
    <cellStyle name="Separador de milhares 3 10 2 2 5 3 2" xfId="27308"/>
    <cellStyle name="Separador de milhares 3 10 2 2 5 3 3" xfId="21394"/>
    <cellStyle name="Separador de milhares 3 10 2 2 5 3 4" xfId="15480"/>
    <cellStyle name="Separador de milhares 3 10 2 2 5 4" xfId="5719"/>
    <cellStyle name="Separador de milhares 3 10 2 2 5 4 2" xfId="24351"/>
    <cellStyle name="Separador de milhares 3 10 2 2 5 5" xfId="18437"/>
    <cellStyle name="Separador de milhares 3 10 2 2 5 6" xfId="12106"/>
    <cellStyle name="Separador de milhares 3 10 2 2 6" xfId="4077"/>
    <cellStyle name="Separador de milhares 3 10 2 2 6 2" xfId="7565"/>
    <cellStyle name="Separador de milhares 3 10 2 2 6 2 2" xfId="10709"/>
    <cellStyle name="Separador de milhares 3 10 2 2 6 2 2 2" xfId="28923"/>
    <cellStyle name="Separador de milhares 3 10 2 2 6 2 2 3" xfId="23009"/>
    <cellStyle name="Separador de milhares 3 10 2 2 6 2 2 4" xfId="17095"/>
    <cellStyle name="Separador de milhares 3 10 2 2 6 2 3" xfId="25966"/>
    <cellStyle name="Separador de milhares 3 10 2 2 6 2 4" xfId="20052"/>
    <cellStyle name="Separador de milhares 3 10 2 2 6 2 5" xfId="13954"/>
    <cellStyle name="Separador de milhares 3 10 2 2 6 3" xfId="9241"/>
    <cellStyle name="Separador de milhares 3 10 2 2 6 3 2" xfId="27455"/>
    <cellStyle name="Separador de milhares 3 10 2 2 6 3 3" xfId="21541"/>
    <cellStyle name="Separador de milhares 3 10 2 2 6 3 4" xfId="15627"/>
    <cellStyle name="Separador de milhares 3 10 2 2 6 4" xfId="5866"/>
    <cellStyle name="Separador de milhares 3 10 2 2 6 4 2" xfId="24498"/>
    <cellStyle name="Separador de milhares 3 10 2 2 6 5" xfId="18584"/>
    <cellStyle name="Separador de milhares 3 10 2 2 6 6" xfId="12253"/>
    <cellStyle name="Separador de milhares 3 10 2 2 7" xfId="6536"/>
    <cellStyle name="Separador de milhares 3 10 2 2 7 2" xfId="9683"/>
    <cellStyle name="Separador de milhares 3 10 2 2 7 2 2" xfId="27897"/>
    <cellStyle name="Separador de milhares 3 10 2 2 7 2 3" xfId="21983"/>
    <cellStyle name="Separador de milhares 3 10 2 2 7 2 4" xfId="16069"/>
    <cellStyle name="Separador de milhares 3 10 2 2 7 3" xfId="24940"/>
    <cellStyle name="Separador de milhares 3 10 2 2 7 4" xfId="19026"/>
    <cellStyle name="Separador de milhares 3 10 2 2 7 5" xfId="12925"/>
    <cellStyle name="Separador de milhares 3 10 2 2 8" xfId="8212"/>
    <cellStyle name="Separador de milhares 3 10 2 2 8 2" xfId="26426"/>
    <cellStyle name="Separador de milhares 3 10 2 2 8 3" xfId="20512"/>
    <cellStyle name="Separador de milhares 3 10 2 2 8 4" xfId="14601"/>
    <cellStyle name="Separador de milhares 3 10 2 2 9" xfId="4835"/>
    <cellStyle name="Separador de milhares 3 10 2 2 9 2" xfId="23469"/>
    <cellStyle name="Separador de milhares 3 10 2 3" xfId="920"/>
    <cellStyle name="Separador de milhares 3 10 2 3 2" xfId="6687"/>
    <cellStyle name="Separador de milhares 3 10 2 3 2 2" xfId="9834"/>
    <cellStyle name="Separador de milhares 3 10 2 3 2 2 2" xfId="28048"/>
    <cellStyle name="Separador de milhares 3 10 2 3 2 2 3" xfId="22134"/>
    <cellStyle name="Separador de milhares 3 10 2 3 2 2 4" xfId="16220"/>
    <cellStyle name="Separador de milhares 3 10 2 3 2 3" xfId="25091"/>
    <cellStyle name="Separador de milhares 3 10 2 3 2 4" xfId="19177"/>
    <cellStyle name="Separador de milhares 3 10 2 3 2 5" xfId="13076"/>
    <cellStyle name="Separador de milhares 3 10 2 3 3" xfId="8366"/>
    <cellStyle name="Separador de milhares 3 10 2 3 3 2" xfId="26580"/>
    <cellStyle name="Separador de milhares 3 10 2 3 3 3" xfId="20666"/>
    <cellStyle name="Separador de milhares 3 10 2 3 3 4" xfId="14752"/>
    <cellStyle name="Separador de milhares 3 10 2 3 4" xfId="4988"/>
    <cellStyle name="Separador de milhares 3 10 2 3 4 2" xfId="23623"/>
    <cellStyle name="Separador de milhares 3 10 2 3 5" xfId="17709"/>
    <cellStyle name="Separador de milhares 3 10 2 3 6" xfId="11375"/>
    <cellStyle name="Separador de milhares 3 10 2 4" xfId="1271"/>
    <cellStyle name="Separador de milhares 3 10 2 4 2" xfId="6785"/>
    <cellStyle name="Separador de milhares 3 10 2 4 2 2" xfId="9932"/>
    <cellStyle name="Separador de milhares 3 10 2 4 2 2 2" xfId="28146"/>
    <cellStyle name="Separador de milhares 3 10 2 4 2 2 3" xfId="22232"/>
    <cellStyle name="Separador de milhares 3 10 2 4 2 2 4" xfId="16318"/>
    <cellStyle name="Separador de milhares 3 10 2 4 2 3" xfId="25189"/>
    <cellStyle name="Separador de milhares 3 10 2 4 2 4" xfId="19275"/>
    <cellStyle name="Separador de milhares 3 10 2 4 2 5" xfId="13174"/>
    <cellStyle name="Separador de milhares 3 10 2 4 3" xfId="8464"/>
    <cellStyle name="Separador de milhares 3 10 2 4 3 2" xfId="26678"/>
    <cellStyle name="Separador de milhares 3 10 2 4 3 3" xfId="20764"/>
    <cellStyle name="Separador de milhares 3 10 2 4 3 4" xfId="14850"/>
    <cellStyle name="Separador de milhares 3 10 2 4 4" xfId="5086"/>
    <cellStyle name="Separador de milhares 3 10 2 4 4 2" xfId="23721"/>
    <cellStyle name="Separador de milhares 3 10 2 4 5" xfId="17807"/>
    <cellStyle name="Separador de milhares 3 10 2 4 6" xfId="11473"/>
    <cellStyle name="Separador de milhares 3 10 2 5" xfId="1706"/>
    <cellStyle name="Separador de milhares 3 10 2 5 2" xfId="6904"/>
    <cellStyle name="Separador de milhares 3 10 2 5 2 2" xfId="10051"/>
    <cellStyle name="Separador de milhares 3 10 2 5 2 2 2" xfId="28265"/>
    <cellStyle name="Separador de milhares 3 10 2 5 2 2 3" xfId="22351"/>
    <cellStyle name="Separador de milhares 3 10 2 5 2 2 4" xfId="16437"/>
    <cellStyle name="Separador de milhares 3 10 2 5 2 3" xfId="25308"/>
    <cellStyle name="Separador de milhares 3 10 2 5 2 4" xfId="19394"/>
    <cellStyle name="Separador de milhares 3 10 2 5 2 5" xfId="13293"/>
    <cellStyle name="Separador de milhares 3 10 2 5 3" xfId="8583"/>
    <cellStyle name="Separador de milhares 3 10 2 5 3 2" xfId="26797"/>
    <cellStyle name="Separador de milhares 3 10 2 5 3 3" xfId="20883"/>
    <cellStyle name="Separador de milhares 3 10 2 5 3 4" xfId="14969"/>
    <cellStyle name="Separador de milhares 3 10 2 5 4" xfId="5205"/>
    <cellStyle name="Separador de milhares 3 10 2 5 4 2" xfId="23840"/>
    <cellStyle name="Separador de milhares 3 10 2 5 5" xfId="17926"/>
    <cellStyle name="Separador de milhares 3 10 2 5 6" xfId="11592"/>
    <cellStyle name="Separador de milhares 3 10 2 6" xfId="2236"/>
    <cellStyle name="Separador de milhares 3 10 2 6 2" xfId="7054"/>
    <cellStyle name="Separador de milhares 3 10 2 6 2 2" xfId="10198"/>
    <cellStyle name="Separador de milhares 3 10 2 6 2 2 2" xfId="28412"/>
    <cellStyle name="Separador de milhares 3 10 2 6 2 2 3" xfId="22498"/>
    <cellStyle name="Separador de milhares 3 10 2 6 2 2 4" xfId="16584"/>
    <cellStyle name="Separador de milhares 3 10 2 6 2 3" xfId="25455"/>
    <cellStyle name="Separador de milhares 3 10 2 6 2 4" xfId="19541"/>
    <cellStyle name="Separador de milhares 3 10 2 6 2 5" xfId="13443"/>
    <cellStyle name="Separador de milhares 3 10 2 6 3" xfId="8730"/>
    <cellStyle name="Separador de milhares 3 10 2 6 3 2" xfId="26944"/>
    <cellStyle name="Separador de milhares 3 10 2 6 3 3" xfId="21030"/>
    <cellStyle name="Separador de milhares 3 10 2 6 3 4" xfId="15116"/>
    <cellStyle name="Separador de milhares 3 10 2 6 4" xfId="5355"/>
    <cellStyle name="Separador de milhares 3 10 2 6 4 2" xfId="23987"/>
    <cellStyle name="Separador de milhares 3 10 2 6 5" xfId="18073"/>
    <cellStyle name="Separador de milhares 3 10 2 6 6" xfId="11742"/>
    <cellStyle name="Separador de milhares 3 10 2 7" xfId="2763"/>
    <cellStyle name="Separador de milhares 3 10 2 7 2" xfId="7201"/>
    <cellStyle name="Separador de milhares 3 10 2 7 2 2" xfId="10345"/>
    <cellStyle name="Separador de milhares 3 10 2 7 2 2 2" xfId="28559"/>
    <cellStyle name="Separador de milhares 3 10 2 7 2 2 3" xfId="22645"/>
    <cellStyle name="Separador de milhares 3 10 2 7 2 2 4" xfId="16731"/>
    <cellStyle name="Separador de milhares 3 10 2 7 2 3" xfId="25602"/>
    <cellStyle name="Separador de milhares 3 10 2 7 2 4" xfId="19688"/>
    <cellStyle name="Separador de milhares 3 10 2 7 2 5" xfId="13590"/>
    <cellStyle name="Separador de milhares 3 10 2 7 3" xfId="8877"/>
    <cellStyle name="Separador de milhares 3 10 2 7 3 2" xfId="27091"/>
    <cellStyle name="Separador de milhares 3 10 2 7 3 3" xfId="21177"/>
    <cellStyle name="Separador de milhares 3 10 2 7 3 4" xfId="15263"/>
    <cellStyle name="Separador de milhares 3 10 2 7 4" xfId="5502"/>
    <cellStyle name="Separador de milhares 3 10 2 7 4 2" xfId="24134"/>
    <cellStyle name="Separador de milhares 3 10 2 7 5" xfId="18220"/>
    <cellStyle name="Separador de milhares 3 10 2 7 6" xfId="11889"/>
    <cellStyle name="Separador de milhares 3 10 2 8" xfId="3290"/>
    <cellStyle name="Separador de milhares 3 10 2 8 2" xfId="7348"/>
    <cellStyle name="Separador de milhares 3 10 2 8 2 2" xfId="10492"/>
    <cellStyle name="Separador de milhares 3 10 2 8 2 2 2" xfId="28706"/>
    <cellStyle name="Separador de milhares 3 10 2 8 2 2 3" xfId="22792"/>
    <cellStyle name="Separador de milhares 3 10 2 8 2 2 4" xfId="16878"/>
    <cellStyle name="Separador de milhares 3 10 2 8 2 3" xfId="25749"/>
    <cellStyle name="Separador de milhares 3 10 2 8 2 4" xfId="19835"/>
    <cellStyle name="Separador de milhares 3 10 2 8 2 5" xfId="13737"/>
    <cellStyle name="Separador de milhares 3 10 2 8 3" xfId="9024"/>
    <cellStyle name="Separador de milhares 3 10 2 8 3 2" xfId="27238"/>
    <cellStyle name="Separador de milhares 3 10 2 8 3 3" xfId="21324"/>
    <cellStyle name="Separador de milhares 3 10 2 8 3 4" xfId="15410"/>
    <cellStyle name="Separador de milhares 3 10 2 8 4" xfId="5649"/>
    <cellStyle name="Separador de milhares 3 10 2 8 4 2" xfId="24281"/>
    <cellStyle name="Separador de milhares 3 10 2 8 5" xfId="18367"/>
    <cellStyle name="Separador de milhares 3 10 2 8 6" xfId="12036"/>
    <cellStyle name="Separador de milhares 3 10 2 9" xfId="3817"/>
    <cellStyle name="Separador de milhares 3 10 2 9 2" xfId="7495"/>
    <cellStyle name="Separador de milhares 3 10 2 9 2 2" xfId="10639"/>
    <cellStyle name="Separador de milhares 3 10 2 9 2 2 2" xfId="28853"/>
    <cellStyle name="Separador de milhares 3 10 2 9 2 2 3" xfId="22939"/>
    <cellStyle name="Separador de milhares 3 10 2 9 2 2 4" xfId="17025"/>
    <cellStyle name="Separador de milhares 3 10 2 9 2 3" xfId="25896"/>
    <cellStyle name="Separador de milhares 3 10 2 9 2 4" xfId="19982"/>
    <cellStyle name="Separador de milhares 3 10 2 9 2 5" xfId="13884"/>
    <cellStyle name="Separador de milhares 3 10 2 9 3" xfId="9171"/>
    <cellStyle name="Separador de milhares 3 10 2 9 3 2" xfId="27385"/>
    <cellStyle name="Separador de milhares 3 10 2 9 3 3" xfId="21471"/>
    <cellStyle name="Separador de milhares 3 10 2 9 3 4" xfId="15557"/>
    <cellStyle name="Separador de milhares 3 10 2 9 4" xfId="5796"/>
    <cellStyle name="Separador de milhares 3 10 2 9 4 2" xfId="24428"/>
    <cellStyle name="Separador de milhares 3 10 2 9 5" xfId="18514"/>
    <cellStyle name="Separador de milhares 3 10 2 9 6" xfId="12183"/>
    <cellStyle name="Separador de milhares 3 10 3" xfId="269"/>
    <cellStyle name="Separador de milhares 3 10 3 10" xfId="6486"/>
    <cellStyle name="Separador de milhares 3 10 3 10 2" xfId="9637"/>
    <cellStyle name="Separador de milhares 3 10 3 10 2 2" xfId="27851"/>
    <cellStyle name="Separador de milhares 3 10 3 10 2 3" xfId="21937"/>
    <cellStyle name="Separador de milhares 3 10 3 10 2 4" xfId="16023"/>
    <cellStyle name="Separador de milhares 3 10 3 10 3" xfId="24894"/>
    <cellStyle name="Separador de milhares 3 10 3 10 4" xfId="18980"/>
    <cellStyle name="Separador de milhares 3 10 3 10 5" xfId="12875"/>
    <cellStyle name="Separador de milhares 3 10 3 11" xfId="8166"/>
    <cellStyle name="Separador de milhares 3 10 3 11 2" xfId="26380"/>
    <cellStyle name="Separador de milhares 3 10 3 11 3" xfId="20466"/>
    <cellStyle name="Separador de milhares 3 10 3 11 4" xfId="14555"/>
    <cellStyle name="Separador de milhares 3 10 3 12" xfId="4785"/>
    <cellStyle name="Separador de milhares 3 10 3 12 2" xfId="23423"/>
    <cellStyle name="Separador de milhares 3 10 3 13" xfId="17509"/>
    <cellStyle name="Separador de milhares 3 10 3 14" xfId="11174"/>
    <cellStyle name="Separador de milhares 3 10 3 2" xfId="532"/>
    <cellStyle name="Separador de milhares 3 10 3 2 2" xfId="6557"/>
    <cellStyle name="Separador de milhares 3 10 3 2 2 2" xfId="9704"/>
    <cellStyle name="Separador de milhares 3 10 3 2 2 2 2" xfId="27918"/>
    <cellStyle name="Separador de milhares 3 10 3 2 2 2 3" xfId="22004"/>
    <cellStyle name="Separador de milhares 3 10 3 2 2 2 4" xfId="16090"/>
    <cellStyle name="Separador de milhares 3 10 3 2 2 3" xfId="24961"/>
    <cellStyle name="Separador de milhares 3 10 3 2 2 4" xfId="19047"/>
    <cellStyle name="Separador de milhares 3 10 3 2 2 5" xfId="12946"/>
    <cellStyle name="Separador de milhares 3 10 3 2 3" xfId="8233"/>
    <cellStyle name="Separador de milhares 3 10 3 2 3 2" xfId="26447"/>
    <cellStyle name="Separador de milhares 3 10 3 2 3 3" xfId="20533"/>
    <cellStyle name="Separador de milhares 3 10 3 2 3 4" xfId="14622"/>
    <cellStyle name="Separador de milhares 3 10 3 2 4" xfId="4856"/>
    <cellStyle name="Separador de milhares 3 10 3 2 4 2" xfId="23490"/>
    <cellStyle name="Separador de milhares 3 10 3 2 5" xfId="17576"/>
    <cellStyle name="Separador de milhares 3 10 3 2 6" xfId="11245"/>
    <cellStyle name="Separador de milhares 3 10 3 3" xfId="829"/>
    <cellStyle name="Separador de milhares 3 10 3 3 2" xfId="6659"/>
    <cellStyle name="Separador de milhares 3 10 3 3 2 2" xfId="9806"/>
    <cellStyle name="Separador de milhares 3 10 3 3 2 2 2" xfId="28020"/>
    <cellStyle name="Separador de milhares 3 10 3 3 2 2 3" xfId="22106"/>
    <cellStyle name="Separador de milhares 3 10 3 3 2 2 4" xfId="16192"/>
    <cellStyle name="Separador de milhares 3 10 3 3 2 3" xfId="25063"/>
    <cellStyle name="Separador de milhares 3 10 3 3 2 4" xfId="19149"/>
    <cellStyle name="Separador de milhares 3 10 3 3 2 5" xfId="13048"/>
    <cellStyle name="Separador de milhares 3 10 3 3 3" xfId="8338"/>
    <cellStyle name="Separador de milhares 3 10 3 3 3 2" xfId="26552"/>
    <cellStyle name="Separador de milhares 3 10 3 3 3 3" xfId="20638"/>
    <cellStyle name="Separador de milhares 3 10 3 3 3 4" xfId="14724"/>
    <cellStyle name="Separador de milhares 3 10 3 3 4" xfId="4960"/>
    <cellStyle name="Separador de milhares 3 10 3 3 4 2" xfId="23595"/>
    <cellStyle name="Separador de milhares 3 10 3 3 5" xfId="17681"/>
    <cellStyle name="Separador de milhares 3 10 3 3 6" xfId="11347"/>
    <cellStyle name="Separador de milhares 3 10 3 4" xfId="1180"/>
    <cellStyle name="Separador de milhares 3 10 3 4 2" xfId="6757"/>
    <cellStyle name="Separador de milhares 3 10 3 4 2 2" xfId="9904"/>
    <cellStyle name="Separador de milhares 3 10 3 4 2 2 2" xfId="28118"/>
    <cellStyle name="Separador de milhares 3 10 3 4 2 2 3" xfId="22204"/>
    <cellStyle name="Separador de milhares 3 10 3 4 2 2 4" xfId="16290"/>
    <cellStyle name="Separador de milhares 3 10 3 4 2 3" xfId="25161"/>
    <cellStyle name="Separador de milhares 3 10 3 4 2 4" xfId="19247"/>
    <cellStyle name="Separador de milhares 3 10 3 4 2 5" xfId="13146"/>
    <cellStyle name="Separador de milhares 3 10 3 4 3" xfId="8436"/>
    <cellStyle name="Separador de milhares 3 10 3 4 3 2" xfId="26650"/>
    <cellStyle name="Separador de milhares 3 10 3 4 3 3" xfId="20736"/>
    <cellStyle name="Separador de milhares 3 10 3 4 3 4" xfId="14822"/>
    <cellStyle name="Separador de milhares 3 10 3 4 4" xfId="5058"/>
    <cellStyle name="Separador de milhares 3 10 3 4 4 2" xfId="23693"/>
    <cellStyle name="Separador de milhares 3 10 3 4 5" xfId="17779"/>
    <cellStyle name="Separador de milhares 3 10 3 4 6" xfId="11445"/>
    <cellStyle name="Separador de milhares 3 10 3 5" xfId="1615"/>
    <cellStyle name="Separador de milhares 3 10 3 5 2" xfId="6876"/>
    <cellStyle name="Separador de milhares 3 10 3 5 2 2" xfId="10023"/>
    <cellStyle name="Separador de milhares 3 10 3 5 2 2 2" xfId="28237"/>
    <cellStyle name="Separador de milhares 3 10 3 5 2 2 3" xfId="22323"/>
    <cellStyle name="Separador de milhares 3 10 3 5 2 2 4" xfId="16409"/>
    <cellStyle name="Separador de milhares 3 10 3 5 2 3" xfId="25280"/>
    <cellStyle name="Separador de milhares 3 10 3 5 2 4" xfId="19366"/>
    <cellStyle name="Separador de milhares 3 10 3 5 2 5" xfId="13265"/>
    <cellStyle name="Separador de milhares 3 10 3 5 3" xfId="8555"/>
    <cellStyle name="Separador de milhares 3 10 3 5 3 2" xfId="26769"/>
    <cellStyle name="Separador de milhares 3 10 3 5 3 3" xfId="20855"/>
    <cellStyle name="Separador de milhares 3 10 3 5 3 4" xfId="14941"/>
    <cellStyle name="Separador de milhares 3 10 3 5 4" xfId="5177"/>
    <cellStyle name="Separador de milhares 3 10 3 5 4 2" xfId="23812"/>
    <cellStyle name="Separador de milhares 3 10 3 5 5" xfId="17898"/>
    <cellStyle name="Separador de milhares 3 10 3 5 6" xfId="11564"/>
    <cellStyle name="Separador de milhares 3 10 3 6" xfId="2145"/>
    <cellStyle name="Separador de milhares 3 10 3 6 2" xfId="7026"/>
    <cellStyle name="Separador de milhares 3 10 3 6 2 2" xfId="10170"/>
    <cellStyle name="Separador de milhares 3 10 3 6 2 2 2" xfId="28384"/>
    <cellStyle name="Separador de milhares 3 10 3 6 2 2 3" xfId="22470"/>
    <cellStyle name="Separador de milhares 3 10 3 6 2 2 4" xfId="16556"/>
    <cellStyle name="Separador de milhares 3 10 3 6 2 3" xfId="25427"/>
    <cellStyle name="Separador de milhares 3 10 3 6 2 4" xfId="19513"/>
    <cellStyle name="Separador de milhares 3 10 3 6 2 5" xfId="13415"/>
    <cellStyle name="Separador de milhares 3 10 3 6 3" xfId="8702"/>
    <cellStyle name="Separador de milhares 3 10 3 6 3 2" xfId="26916"/>
    <cellStyle name="Separador de milhares 3 10 3 6 3 3" xfId="21002"/>
    <cellStyle name="Separador de milhares 3 10 3 6 3 4" xfId="15088"/>
    <cellStyle name="Separador de milhares 3 10 3 6 4" xfId="5327"/>
    <cellStyle name="Separador de milhares 3 10 3 6 4 2" xfId="23959"/>
    <cellStyle name="Separador de milhares 3 10 3 6 5" xfId="18045"/>
    <cellStyle name="Separador de milhares 3 10 3 6 6" xfId="11714"/>
    <cellStyle name="Separador de milhares 3 10 3 7" xfId="2672"/>
    <cellStyle name="Separador de milhares 3 10 3 7 2" xfId="7173"/>
    <cellStyle name="Separador de milhares 3 10 3 7 2 2" xfId="10317"/>
    <cellStyle name="Separador de milhares 3 10 3 7 2 2 2" xfId="28531"/>
    <cellStyle name="Separador de milhares 3 10 3 7 2 2 3" xfId="22617"/>
    <cellStyle name="Separador de milhares 3 10 3 7 2 2 4" xfId="16703"/>
    <cellStyle name="Separador de milhares 3 10 3 7 2 3" xfId="25574"/>
    <cellStyle name="Separador de milhares 3 10 3 7 2 4" xfId="19660"/>
    <cellStyle name="Separador de milhares 3 10 3 7 2 5" xfId="13562"/>
    <cellStyle name="Separador de milhares 3 10 3 7 3" xfId="8849"/>
    <cellStyle name="Separador de milhares 3 10 3 7 3 2" xfId="27063"/>
    <cellStyle name="Separador de milhares 3 10 3 7 3 3" xfId="21149"/>
    <cellStyle name="Separador de milhares 3 10 3 7 3 4" xfId="15235"/>
    <cellStyle name="Separador de milhares 3 10 3 7 4" xfId="5474"/>
    <cellStyle name="Separador de milhares 3 10 3 7 4 2" xfId="24106"/>
    <cellStyle name="Separador de milhares 3 10 3 7 5" xfId="18192"/>
    <cellStyle name="Separador de milhares 3 10 3 7 6" xfId="11861"/>
    <cellStyle name="Separador de milhares 3 10 3 8" xfId="3199"/>
    <cellStyle name="Separador de milhares 3 10 3 8 2" xfId="7320"/>
    <cellStyle name="Separador de milhares 3 10 3 8 2 2" xfId="10464"/>
    <cellStyle name="Separador de milhares 3 10 3 8 2 2 2" xfId="28678"/>
    <cellStyle name="Separador de milhares 3 10 3 8 2 2 3" xfId="22764"/>
    <cellStyle name="Separador de milhares 3 10 3 8 2 2 4" xfId="16850"/>
    <cellStyle name="Separador de milhares 3 10 3 8 2 3" xfId="25721"/>
    <cellStyle name="Separador de milhares 3 10 3 8 2 4" xfId="19807"/>
    <cellStyle name="Separador de milhares 3 10 3 8 2 5" xfId="13709"/>
    <cellStyle name="Separador de milhares 3 10 3 8 3" xfId="8996"/>
    <cellStyle name="Separador de milhares 3 10 3 8 3 2" xfId="27210"/>
    <cellStyle name="Separador de milhares 3 10 3 8 3 3" xfId="21296"/>
    <cellStyle name="Separador de milhares 3 10 3 8 3 4" xfId="15382"/>
    <cellStyle name="Separador de milhares 3 10 3 8 4" xfId="5621"/>
    <cellStyle name="Separador de milhares 3 10 3 8 4 2" xfId="24253"/>
    <cellStyle name="Separador de milhares 3 10 3 8 5" xfId="18339"/>
    <cellStyle name="Separador de milhares 3 10 3 8 6" xfId="12008"/>
    <cellStyle name="Separador de milhares 3 10 3 9" xfId="3726"/>
    <cellStyle name="Separador de milhares 3 10 3 9 2" xfId="7467"/>
    <cellStyle name="Separador de milhares 3 10 3 9 2 2" xfId="10611"/>
    <cellStyle name="Separador de milhares 3 10 3 9 2 2 2" xfId="28825"/>
    <cellStyle name="Separador de milhares 3 10 3 9 2 2 3" xfId="22911"/>
    <cellStyle name="Separador de milhares 3 10 3 9 2 2 4" xfId="16997"/>
    <cellStyle name="Separador de milhares 3 10 3 9 2 3" xfId="25868"/>
    <cellStyle name="Separador de milhares 3 10 3 9 2 4" xfId="19954"/>
    <cellStyle name="Separador de milhares 3 10 3 9 2 5" xfId="13856"/>
    <cellStyle name="Separador de milhares 3 10 3 9 3" xfId="9143"/>
    <cellStyle name="Separador de milhares 3 10 3 9 3 2" xfId="27357"/>
    <cellStyle name="Separador de milhares 3 10 3 9 3 3" xfId="21443"/>
    <cellStyle name="Separador de milhares 3 10 3 9 3 4" xfId="15529"/>
    <cellStyle name="Separador de milhares 3 10 3 9 4" xfId="5768"/>
    <cellStyle name="Separador de milhares 3 10 3 9 4 2" xfId="24400"/>
    <cellStyle name="Separador de milhares 3 10 3 9 5" xfId="18486"/>
    <cellStyle name="Separador de milhares 3 10 3 9 6" xfId="12155"/>
    <cellStyle name="Separador de milhares 3 10 4" xfId="362"/>
    <cellStyle name="Separador de milhares 3 10 4 10" xfId="6514"/>
    <cellStyle name="Separador de milhares 3 10 4 10 2" xfId="9662"/>
    <cellStyle name="Separador de milhares 3 10 4 10 2 2" xfId="27876"/>
    <cellStyle name="Separador de milhares 3 10 4 10 2 3" xfId="21962"/>
    <cellStyle name="Separador de milhares 3 10 4 10 2 4" xfId="16048"/>
    <cellStyle name="Separador de milhares 3 10 4 10 3" xfId="24919"/>
    <cellStyle name="Separador de milhares 3 10 4 10 4" xfId="19005"/>
    <cellStyle name="Separador de milhares 3 10 4 10 5" xfId="12903"/>
    <cellStyle name="Separador de milhares 3 10 4 11" xfId="8191"/>
    <cellStyle name="Separador de milhares 3 10 4 11 2" xfId="26405"/>
    <cellStyle name="Separador de milhares 3 10 4 11 3" xfId="20491"/>
    <cellStyle name="Separador de milhares 3 10 4 11 4" xfId="14580"/>
    <cellStyle name="Separador de milhares 3 10 4 12" xfId="4813"/>
    <cellStyle name="Separador de milhares 3 10 4 12 2" xfId="23448"/>
    <cellStyle name="Separador de milhares 3 10 4 13" xfId="17534"/>
    <cellStyle name="Separador de milhares 3 10 4 14" xfId="11202"/>
    <cellStyle name="Separador de milhares 3 10 4 2" xfId="1007"/>
    <cellStyle name="Separador de milhares 3 10 4 2 2" xfId="6711"/>
    <cellStyle name="Separador de milhares 3 10 4 2 2 2" xfId="9858"/>
    <cellStyle name="Separador de milhares 3 10 4 2 2 2 2" xfId="28072"/>
    <cellStyle name="Separador de milhares 3 10 4 2 2 2 3" xfId="22158"/>
    <cellStyle name="Separador de milhares 3 10 4 2 2 2 4" xfId="16244"/>
    <cellStyle name="Separador de milhares 3 10 4 2 2 3" xfId="25115"/>
    <cellStyle name="Separador de milhares 3 10 4 2 2 4" xfId="19201"/>
    <cellStyle name="Separador de milhares 3 10 4 2 2 5" xfId="13100"/>
    <cellStyle name="Separador de milhares 3 10 4 2 3" xfId="8390"/>
    <cellStyle name="Separador de milhares 3 10 4 2 3 2" xfId="26604"/>
    <cellStyle name="Separador de milhares 3 10 4 2 3 3" xfId="20690"/>
    <cellStyle name="Separador de milhares 3 10 4 2 3 4" xfId="14776"/>
    <cellStyle name="Separador de milhares 3 10 4 2 4" xfId="5012"/>
    <cellStyle name="Separador de milhares 3 10 4 2 4 2" xfId="23647"/>
    <cellStyle name="Separador de milhares 3 10 4 2 5" xfId="17733"/>
    <cellStyle name="Separador de milhares 3 10 4 2 6" xfId="11399"/>
    <cellStyle name="Separador de milhares 3 10 4 3" xfId="1358"/>
    <cellStyle name="Separador de milhares 3 10 4 3 2" xfId="6809"/>
    <cellStyle name="Separador de milhares 3 10 4 3 2 2" xfId="9956"/>
    <cellStyle name="Separador de milhares 3 10 4 3 2 2 2" xfId="28170"/>
    <cellStyle name="Separador de milhares 3 10 4 3 2 2 3" xfId="22256"/>
    <cellStyle name="Separador de milhares 3 10 4 3 2 2 4" xfId="16342"/>
    <cellStyle name="Separador de milhares 3 10 4 3 2 3" xfId="25213"/>
    <cellStyle name="Separador de milhares 3 10 4 3 2 4" xfId="19299"/>
    <cellStyle name="Separador de milhares 3 10 4 3 2 5" xfId="13198"/>
    <cellStyle name="Separador de milhares 3 10 4 3 3" xfId="8488"/>
    <cellStyle name="Separador de milhares 3 10 4 3 3 2" xfId="26702"/>
    <cellStyle name="Separador de milhares 3 10 4 3 3 3" xfId="20788"/>
    <cellStyle name="Separador de milhares 3 10 4 3 3 4" xfId="14874"/>
    <cellStyle name="Separador de milhares 3 10 4 3 4" xfId="5110"/>
    <cellStyle name="Separador de milhares 3 10 4 3 4 2" xfId="23745"/>
    <cellStyle name="Separador de milhares 3 10 4 3 5" xfId="17831"/>
    <cellStyle name="Separador de milhares 3 10 4 3 6" xfId="11497"/>
    <cellStyle name="Separador de milhares 3 10 4 4" xfId="1793"/>
    <cellStyle name="Separador de milhares 3 10 4 4 2" xfId="6928"/>
    <cellStyle name="Separador de milhares 3 10 4 4 2 2" xfId="10075"/>
    <cellStyle name="Separador de milhares 3 10 4 4 2 2 2" xfId="28289"/>
    <cellStyle name="Separador de milhares 3 10 4 4 2 2 3" xfId="22375"/>
    <cellStyle name="Separador de milhares 3 10 4 4 2 2 4" xfId="16461"/>
    <cellStyle name="Separador de milhares 3 10 4 4 2 3" xfId="25332"/>
    <cellStyle name="Separador de milhares 3 10 4 4 2 4" xfId="19418"/>
    <cellStyle name="Separador de milhares 3 10 4 4 2 5" xfId="13317"/>
    <cellStyle name="Separador de milhares 3 10 4 4 3" xfId="8607"/>
    <cellStyle name="Separador de milhares 3 10 4 4 3 2" xfId="26821"/>
    <cellStyle name="Separador de milhares 3 10 4 4 3 3" xfId="20907"/>
    <cellStyle name="Separador de milhares 3 10 4 4 3 4" xfId="14993"/>
    <cellStyle name="Separador de milhares 3 10 4 4 4" xfId="5229"/>
    <cellStyle name="Separador de milhares 3 10 4 4 4 2" xfId="23864"/>
    <cellStyle name="Separador de milhares 3 10 4 4 5" xfId="17950"/>
    <cellStyle name="Separador de milhares 3 10 4 4 6" xfId="11616"/>
    <cellStyle name="Separador de milhares 3 10 4 5" xfId="2323"/>
    <cellStyle name="Separador de milhares 3 10 4 5 2" xfId="7078"/>
    <cellStyle name="Separador de milhares 3 10 4 5 2 2" xfId="10222"/>
    <cellStyle name="Separador de milhares 3 10 4 5 2 2 2" xfId="28436"/>
    <cellStyle name="Separador de milhares 3 10 4 5 2 2 3" xfId="22522"/>
    <cellStyle name="Separador de milhares 3 10 4 5 2 2 4" xfId="16608"/>
    <cellStyle name="Separador de milhares 3 10 4 5 2 3" xfId="25479"/>
    <cellStyle name="Separador de milhares 3 10 4 5 2 4" xfId="19565"/>
    <cellStyle name="Separador de milhares 3 10 4 5 2 5" xfId="13467"/>
    <cellStyle name="Separador de milhares 3 10 4 5 3" xfId="8754"/>
    <cellStyle name="Separador de milhares 3 10 4 5 3 2" xfId="26968"/>
    <cellStyle name="Separador de milhares 3 10 4 5 3 3" xfId="21054"/>
    <cellStyle name="Separador de milhares 3 10 4 5 3 4" xfId="15140"/>
    <cellStyle name="Separador de milhares 3 10 4 5 4" xfId="5379"/>
    <cellStyle name="Separador de milhares 3 10 4 5 4 2" xfId="24011"/>
    <cellStyle name="Separador de milhares 3 10 4 5 5" xfId="18097"/>
    <cellStyle name="Separador de milhares 3 10 4 5 6" xfId="11766"/>
    <cellStyle name="Separador de milhares 3 10 4 6" xfId="2850"/>
    <cellStyle name="Separador de milhares 3 10 4 6 2" xfId="7225"/>
    <cellStyle name="Separador de milhares 3 10 4 6 2 2" xfId="10369"/>
    <cellStyle name="Separador de milhares 3 10 4 6 2 2 2" xfId="28583"/>
    <cellStyle name="Separador de milhares 3 10 4 6 2 2 3" xfId="22669"/>
    <cellStyle name="Separador de milhares 3 10 4 6 2 2 4" xfId="16755"/>
    <cellStyle name="Separador de milhares 3 10 4 6 2 3" xfId="25626"/>
    <cellStyle name="Separador de milhares 3 10 4 6 2 4" xfId="19712"/>
    <cellStyle name="Separador de milhares 3 10 4 6 2 5" xfId="13614"/>
    <cellStyle name="Separador de milhares 3 10 4 6 3" xfId="8901"/>
    <cellStyle name="Separador de milhares 3 10 4 6 3 2" xfId="27115"/>
    <cellStyle name="Separador de milhares 3 10 4 6 3 3" xfId="21201"/>
    <cellStyle name="Separador de milhares 3 10 4 6 3 4" xfId="15287"/>
    <cellStyle name="Separador de milhares 3 10 4 6 4" xfId="5526"/>
    <cellStyle name="Separador de milhares 3 10 4 6 4 2" xfId="24158"/>
    <cellStyle name="Separador de milhares 3 10 4 6 5" xfId="18244"/>
    <cellStyle name="Separador de milhares 3 10 4 6 6" xfId="11913"/>
    <cellStyle name="Separador de milhares 3 10 4 7" xfId="3377"/>
    <cellStyle name="Separador de milhares 3 10 4 7 2" xfId="7372"/>
    <cellStyle name="Separador de milhares 3 10 4 7 2 2" xfId="10516"/>
    <cellStyle name="Separador de milhares 3 10 4 7 2 2 2" xfId="28730"/>
    <cellStyle name="Separador de milhares 3 10 4 7 2 2 3" xfId="22816"/>
    <cellStyle name="Separador de milhares 3 10 4 7 2 2 4" xfId="16902"/>
    <cellStyle name="Separador de milhares 3 10 4 7 2 3" xfId="25773"/>
    <cellStyle name="Separador de milhares 3 10 4 7 2 4" xfId="19859"/>
    <cellStyle name="Separador de milhares 3 10 4 7 2 5" xfId="13761"/>
    <cellStyle name="Separador de milhares 3 10 4 7 3" xfId="9048"/>
    <cellStyle name="Separador de milhares 3 10 4 7 3 2" xfId="27262"/>
    <cellStyle name="Separador de milhares 3 10 4 7 3 3" xfId="21348"/>
    <cellStyle name="Separador de milhares 3 10 4 7 3 4" xfId="15434"/>
    <cellStyle name="Separador de milhares 3 10 4 7 4" xfId="5673"/>
    <cellStyle name="Separador de milhares 3 10 4 7 4 2" xfId="24305"/>
    <cellStyle name="Separador de milhares 3 10 4 7 5" xfId="18391"/>
    <cellStyle name="Separador de milhares 3 10 4 7 6" xfId="12060"/>
    <cellStyle name="Separador de milhares 3 10 4 8" xfId="3904"/>
    <cellStyle name="Separador de milhares 3 10 4 8 2" xfId="7519"/>
    <cellStyle name="Separador de milhares 3 10 4 8 2 2" xfId="10663"/>
    <cellStyle name="Separador de milhares 3 10 4 8 2 2 2" xfId="28877"/>
    <cellStyle name="Separador de milhares 3 10 4 8 2 2 3" xfId="22963"/>
    <cellStyle name="Separador de milhares 3 10 4 8 2 2 4" xfId="17049"/>
    <cellStyle name="Separador de milhares 3 10 4 8 2 3" xfId="25920"/>
    <cellStyle name="Separador de milhares 3 10 4 8 2 4" xfId="20006"/>
    <cellStyle name="Separador de milhares 3 10 4 8 2 5" xfId="13908"/>
    <cellStyle name="Separador de milhares 3 10 4 8 3" xfId="9195"/>
    <cellStyle name="Separador de milhares 3 10 4 8 3 2" xfId="27409"/>
    <cellStyle name="Separador de milhares 3 10 4 8 3 3" xfId="21495"/>
    <cellStyle name="Separador de milhares 3 10 4 8 3 4" xfId="15581"/>
    <cellStyle name="Separador de milhares 3 10 4 8 4" xfId="5820"/>
    <cellStyle name="Separador de milhares 3 10 4 8 4 2" xfId="24452"/>
    <cellStyle name="Separador de milhares 3 10 4 8 5" xfId="18538"/>
    <cellStyle name="Separador de milhares 3 10 4 8 6" xfId="12207"/>
    <cellStyle name="Separador de milhares 3 10 4 9" xfId="678"/>
    <cellStyle name="Separador de milhares 3 10 4 9 2" xfId="6613"/>
    <cellStyle name="Separador de milhares 3 10 4 9 2 2" xfId="9760"/>
    <cellStyle name="Separador de milhares 3 10 4 9 2 2 2" xfId="27974"/>
    <cellStyle name="Separador de milhares 3 10 4 9 2 2 3" xfId="22060"/>
    <cellStyle name="Separador de milhares 3 10 4 9 2 2 4" xfId="16146"/>
    <cellStyle name="Separador de milhares 3 10 4 9 2 3" xfId="25017"/>
    <cellStyle name="Separador de milhares 3 10 4 9 2 4" xfId="19103"/>
    <cellStyle name="Separador de milhares 3 10 4 9 2 5" xfId="13002"/>
    <cellStyle name="Separador de milhares 3 10 4 9 3" xfId="8292"/>
    <cellStyle name="Separador de milhares 3 10 4 9 3 2" xfId="26506"/>
    <cellStyle name="Separador de milhares 3 10 4 9 3 3" xfId="20592"/>
    <cellStyle name="Separador de milhares 3 10 4 9 3 4" xfId="14678"/>
    <cellStyle name="Separador de milhares 3 10 4 9 4" xfId="4914"/>
    <cellStyle name="Separador de milhares 3 10 4 9 4 2" xfId="23549"/>
    <cellStyle name="Separador de milhares 3 10 4 9 5" xfId="17635"/>
    <cellStyle name="Separador de milhares 3 10 4 9 6" xfId="11301"/>
    <cellStyle name="Separador de milhares 3 10 5" xfId="619"/>
    <cellStyle name="Separador de milhares 3 10 5 10" xfId="4878"/>
    <cellStyle name="Separador de milhares 3 10 5 10 2" xfId="23512"/>
    <cellStyle name="Separador de milhares 3 10 5 11" xfId="17598"/>
    <cellStyle name="Separador de milhares 3 10 5 12" xfId="11267"/>
    <cellStyle name="Separador de milhares 3 10 5 2" xfId="1442"/>
    <cellStyle name="Separador de milhares 3 10 5 2 2" xfId="6830"/>
    <cellStyle name="Separador de milhares 3 10 5 2 2 2" xfId="9977"/>
    <cellStyle name="Separador de milhares 3 10 5 2 2 2 2" xfId="28191"/>
    <cellStyle name="Separador de milhares 3 10 5 2 2 2 3" xfId="22277"/>
    <cellStyle name="Separador de milhares 3 10 5 2 2 2 4" xfId="16363"/>
    <cellStyle name="Separador de milhares 3 10 5 2 2 3" xfId="25234"/>
    <cellStyle name="Separador de milhares 3 10 5 2 2 4" xfId="19320"/>
    <cellStyle name="Separador de milhares 3 10 5 2 2 5" xfId="13219"/>
    <cellStyle name="Separador de milhares 3 10 5 2 3" xfId="8509"/>
    <cellStyle name="Separador de milhares 3 10 5 2 3 2" xfId="26723"/>
    <cellStyle name="Separador de milhares 3 10 5 2 3 3" xfId="20809"/>
    <cellStyle name="Separador de milhares 3 10 5 2 3 4" xfId="14895"/>
    <cellStyle name="Separador de milhares 3 10 5 2 4" xfId="5131"/>
    <cellStyle name="Separador de milhares 3 10 5 2 4 2" xfId="23766"/>
    <cellStyle name="Separador de milhares 3 10 5 2 5" xfId="17852"/>
    <cellStyle name="Separador de milhares 3 10 5 2 6" xfId="11518"/>
    <cellStyle name="Separador de milhares 3 10 5 3" xfId="1877"/>
    <cellStyle name="Separador de milhares 3 10 5 3 2" xfId="6949"/>
    <cellStyle name="Separador de milhares 3 10 5 3 2 2" xfId="10096"/>
    <cellStyle name="Separador de milhares 3 10 5 3 2 2 2" xfId="28310"/>
    <cellStyle name="Separador de milhares 3 10 5 3 2 2 3" xfId="22396"/>
    <cellStyle name="Separador de milhares 3 10 5 3 2 2 4" xfId="16482"/>
    <cellStyle name="Separador de milhares 3 10 5 3 2 3" xfId="25353"/>
    <cellStyle name="Separador de milhares 3 10 5 3 2 4" xfId="19439"/>
    <cellStyle name="Separador de milhares 3 10 5 3 2 5" xfId="13338"/>
    <cellStyle name="Separador de milhares 3 10 5 3 3" xfId="8628"/>
    <cellStyle name="Separador de milhares 3 10 5 3 3 2" xfId="26842"/>
    <cellStyle name="Separador de milhares 3 10 5 3 3 3" xfId="20928"/>
    <cellStyle name="Separador de milhares 3 10 5 3 3 4" xfId="15014"/>
    <cellStyle name="Separador de milhares 3 10 5 3 4" xfId="5250"/>
    <cellStyle name="Separador de milhares 3 10 5 3 4 2" xfId="23885"/>
    <cellStyle name="Separador de milhares 3 10 5 3 5" xfId="17971"/>
    <cellStyle name="Separador de milhares 3 10 5 3 6" xfId="11637"/>
    <cellStyle name="Separador de milhares 3 10 5 4" xfId="2407"/>
    <cellStyle name="Separador de milhares 3 10 5 4 2" xfId="7099"/>
    <cellStyle name="Separador de milhares 3 10 5 4 2 2" xfId="10243"/>
    <cellStyle name="Separador de milhares 3 10 5 4 2 2 2" xfId="28457"/>
    <cellStyle name="Separador de milhares 3 10 5 4 2 2 3" xfId="22543"/>
    <cellStyle name="Separador de milhares 3 10 5 4 2 2 4" xfId="16629"/>
    <cellStyle name="Separador de milhares 3 10 5 4 2 3" xfId="25500"/>
    <cellStyle name="Separador de milhares 3 10 5 4 2 4" xfId="19586"/>
    <cellStyle name="Separador de milhares 3 10 5 4 2 5" xfId="13488"/>
    <cellStyle name="Separador de milhares 3 10 5 4 3" xfId="8775"/>
    <cellStyle name="Separador de milhares 3 10 5 4 3 2" xfId="26989"/>
    <cellStyle name="Separador de milhares 3 10 5 4 3 3" xfId="21075"/>
    <cellStyle name="Separador de milhares 3 10 5 4 3 4" xfId="15161"/>
    <cellStyle name="Separador de milhares 3 10 5 4 4" xfId="5400"/>
    <cellStyle name="Separador de milhares 3 10 5 4 4 2" xfId="24032"/>
    <cellStyle name="Separador de milhares 3 10 5 4 5" xfId="18118"/>
    <cellStyle name="Separador de milhares 3 10 5 4 6" xfId="11787"/>
    <cellStyle name="Separador de milhares 3 10 5 5" xfId="2934"/>
    <cellStyle name="Separador de milhares 3 10 5 5 2" xfId="7246"/>
    <cellStyle name="Separador de milhares 3 10 5 5 2 2" xfId="10390"/>
    <cellStyle name="Separador de milhares 3 10 5 5 2 2 2" xfId="28604"/>
    <cellStyle name="Separador de milhares 3 10 5 5 2 2 3" xfId="22690"/>
    <cellStyle name="Separador de milhares 3 10 5 5 2 2 4" xfId="16776"/>
    <cellStyle name="Separador de milhares 3 10 5 5 2 3" xfId="25647"/>
    <cellStyle name="Separador de milhares 3 10 5 5 2 4" xfId="19733"/>
    <cellStyle name="Separador de milhares 3 10 5 5 2 5" xfId="13635"/>
    <cellStyle name="Separador de milhares 3 10 5 5 3" xfId="8922"/>
    <cellStyle name="Separador de milhares 3 10 5 5 3 2" xfId="27136"/>
    <cellStyle name="Separador de milhares 3 10 5 5 3 3" xfId="21222"/>
    <cellStyle name="Separador de milhares 3 10 5 5 3 4" xfId="15308"/>
    <cellStyle name="Separador de milhares 3 10 5 5 4" xfId="5547"/>
    <cellStyle name="Separador de milhares 3 10 5 5 4 2" xfId="24179"/>
    <cellStyle name="Separador de milhares 3 10 5 5 5" xfId="18265"/>
    <cellStyle name="Separador de milhares 3 10 5 5 6" xfId="11934"/>
    <cellStyle name="Separador de milhares 3 10 5 6" xfId="3461"/>
    <cellStyle name="Separador de milhares 3 10 5 6 2" xfId="7393"/>
    <cellStyle name="Separador de milhares 3 10 5 6 2 2" xfId="10537"/>
    <cellStyle name="Separador de milhares 3 10 5 6 2 2 2" xfId="28751"/>
    <cellStyle name="Separador de milhares 3 10 5 6 2 2 3" xfId="22837"/>
    <cellStyle name="Separador de milhares 3 10 5 6 2 2 4" xfId="16923"/>
    <cellStyle name="Separador de milhares 3 10 5 6 2 3" xfId="25794"/>
    <cellStyle name="Separador de milhares 3 10 5 6 2 4" xfId="19880"/>
    <cellStyle name="Separador de milhares 3 10 5 6 2 5" xfId="13782"/>
    <cellStyle name="Separador de milhares 3 10 5 6 3" xfId="9069"/>
    <cellStyle name="Separador de milhares 3 10 5 6 3 2" xfId="27283"/>
    <cellStyle name="Separador de milhares 3 10 5 6 3 3" xfId="21369"/>
    <cellStyle name="Separador de milhares 3 10 5 6 3 4" xfId="15455"/>
    <cellStyle name="Separador de milhares 3 10 5 6 4" xfId="5694"/>
    <cellStyle name="Separador de milhares 3 10 5 6 4 2" xfId="24326"/>
    <cellStyle name="Separador de milhares 3 10 5 6 5" xfId="18412"/>
    <cellStyle name="Separador de milhares 3 10 5 6 6" xfId="12081"/>
    <cellStyle name="Separador de milhares 3 10 5 7" xfId="3988"/>
    <cellStyle name="Separador de milhares 3 10 5 7 2" xfId="7540"/>
    <cellStyle name="Separador de milhares 3 10 5 7 2 2" xfId="10684"/>
    <cellStyle name="Separador de milhares 3 10 5 7 2 2 2" xfId="28898"/>
    <cellStyle name="Separador de milhares 3 10 5 7 2 2 3" xfId="22984"/>
    <cellStyle name="Separador de milhares 3 10 5 7 2 2 4" xfId="17070"/>
    <cellStyle name="Separador de milhares 3 10 5 7 2 3" xfId="25941"/>
    <cellStyle name="Separador de milhares 3 10 5 7 2 4" xfId="20027"/>
    <cellStyle name="Separador de milhares 3 10 5 7 2 5" xfId="13929"/>
    <cellStyle name="Separador de milhares 3 10 5 7 3" xfId="9216"/>
    <cellStyle name="Separador de milhares 3 10 5 7 3 2" xfId="27430"/>
    <cellStyle name="Separador de milhares 3 10 5 7 3 3" xfId="21516"/>
    <cellStyle name="Separador de milhares 3 10 5 7 3 4" xfId="15602"/>
    <cellStyle name="Separador de milhares 3 10 5 7 4" xfId="5841"/>
    <cellStyle name="Separador de milhares 3 10 5 7 4 2" xfId="24473"/>
    <cellStyle name="Separador de milhares 3 10 5 7 5" xfId="18559"/>
    <cellStyle name="Separador de milhares 3 10 5 7 6" xfId="12228"/>
    <cellStyle name="Separador de milhares 3 10 5 8" xfId="6579"/>
    <cellStyle name="Separador de milhares 3 10 5 8 2" xfId="9726"/>
    <cellStyle name="Separador de milhares 3 10 5 8 2 2" xfId="27940"/>
    <cellStyle name="Separador de milhares 3 10 5 8 2 3" xfId="22026"/>
    <cellStyle name="Separador de milhares 3 10 5 8 2 4" xfId="16112"/>
    <cellStyle name="Separador de milhares 3 10 5 8 3" xfId="24983"/>
    <cellStyle name="Separador de milhares 3 10 5 8 4" xfId="19069"/>
    <cellStyle name="Separador de milhares 3 10 5 8 5" xfId="12968"/>
    <cellStyle name="Separador de milhares 3 10 5 9" xfId="8255"/>
    <cellStyle name="Separador de milhares 3 10 5 9 2" xfId="26469"/>
    <cellStyle name="Separador de milhares 3 10 5 9 3" xfId="20555"/>
    <cellStyle name="Separador de milhares 3 10 5 9 4" xfId="14644"/>
    <cellStyle name="Separador de milhares 3 10 6" xfId="740"/>
    <cellStyle name="Separador de milhares 3 10 6 2" xfId="4164"/>
    <cellStyle name="Separador de milhares 3 10 6 2 2" xfId="7589"/>
    <cellStyle name="Separador de milhares 3 10 6 2 2 2" xfId="10733"/>
    <cellStyle name="Separador de milhares 3 10 6 2 2 2 2" xfId="28947"/>
    <cellStyle name="Separador de milhares 3 10 6 2 2 2 3" xfId="23033"/>
    <cellStyle name="Separador de milhares 3 10 6 2 2 2 4" xfId="17119"/>
    <cellStyle name="Separador de milhares 3 10 6 2 2 3" xfId="25990"/>
    <cellStyle name="Separador de milhares 3 10 6 2 2 4" xfId="20076"/>
    <cellStyle name="Separador de milhares 3 10 6 2 2 5" xfId="13978"/>
    <cellStyle name="Separador de milhares 3 10 6 2 3" xfId="9265"/>
    <cellStyle name="Separador de milhares 3 10 6 2 3 2" xfId="27479"/>
    <cellStyle name="Separador de milhares 3 10 6 2 3 3" xfId="21565"/>
    <cellStyle name="Separador de milhares 3 10 6 2 3 4" xfId="15651"/>
    <cellStyle name="Separador de milhares 3 10 6 2 4" xfId="5890"/>
    <cellStyle name="Separador de milhares 3 10 6 2 4 2" xfId="24522"/>
    <cellStyle name="Separador de milhares 3 10 6 2 5" xfId="18608"/>
    <cellStyle name="Separador de milhares 3 10 6 2 6" xfId="12277"/>
    <cellStyle name="Separador de milhares 3 10 6 3" xfId="6634"/>
    <cellStyle name="Separador de milhares 3 10 6 3 2" xfId="9781"/>
    <cellStyle name="Separador de milhares 3 10 6 3 2 2" xfId="27995"/>
    <cellStyle name="Separador de milhares 3 10 6 3 2 3" xfId="22081"/>
    <cellStyle name="Separador de milhares 3 10 6 3 2 4" xfId="16167"/>
    <cellStyle name="Separador de milhares 3 10 6 3 3" xfId="25038"/>
    <cellStyle name="Separador de milhares 3 10 6 3 4" xfId="19124"/>
    <cellStyle name="Separador de milhares 3 10 6 3 5" xfId="13023"/>
    <cellStyle name="Separador de milhares 3 10 6 4" xfId="8313"/>
    <cellStyle name="Separador de milhares 3 10 6 4 2" xfId="26527"/>
    <cellStyle name="Separador de milhares 3 10 6 4 3" xfId="20613"/>
    <cellStyle name="Separador de milhares 3 10 6 4 4" xfId="14699"/>
    <cellStyle name="Separador de milhares 3 10 6 5" xfId="4935"/>
    <cellStyle name="Separador de milhares 3 10 6 5 2" xfId="23570"/>
    <cellStyle name="Separador de milhares 3 10 6 6" xfId="17656"/>
    <cellStyle name="Separador de milhares 3 10 6 7" xfId="11322"/>
    <cellStyle name="Separador de milhares 3 10 7" xfId="1091"/>
    <cellStyle name="Separador de milhares 3 10 7 2" xfId="6732"/>
    <cellStyle name="Separador de milhares 3 10 7 2 2" xfId="9879"/>
    <cellStyle name="Separador de milhares 3 10 7 2 2 2" xfId="28093"/>
    <cellStyle name="Separador de milhares 3 10 7 2 2 3" xfId="22179"/>
    <cellStyle name="Separador de milhares 3 10 7 2 2 4" xfId="16265"/>
    <cellStyle name="Separador de milhares 3 10 7 2 3" xfId="25136"/>
    <cellStyle name="Separador de milhares 3 10 7 2 4" xfId="19222"/>
    <cellStyle name="Separador de milhares 3 10 7 2 5" xfId="13121"/>
    <cellStyle name="Separador de milhares 3 10 7 3" xfId="8411"/>
    <cellStyle name="Separador de milhares 3 10 7 3 2" xfId="26625"/>
    <cellStyle name="Separador de milhares 3 10 7 3 3" xfId="20711"/>
    <cellStyle name="Separador de milhares 3 10 7 3 4" xfId="14797"/>
    <cellStyle name="Separador de milhares 3 10 7 4" xfId="5033"/>
    <cellStyle name="Separador de milhares 3 10 7 4 2" xfId="23668"/>
    <cellStyle name="Separador de milhares 3 10 7 5" xfId="17754"/>
    <cellStyle name="Separador de milhares 3 10 7 6" xfId="11420"/>
    <cellStyle name="Separador de milhares 3 10 8" xfId="1526"/>
    <cellStyle name="Separador de milhares 3 10 8 2" xfId="6851"/>
    <cellStyle name="Separador de milhares 3 10 8 2 2" xfId="9998"/>
    <cellStyle name="Separador de milhares 3 10 8 2 2 2" xfId="28212"/>
    <cellStyle name="Separador de milhares 3 10 8 2 2 3" xfId="22298"/>
    <cellStyle name="Separador de milhares 3 10 8 2 2 4" xfId="16384"/>
    <cellStyle name="Separador de milhares 3 10 8 2 3" xfId="25255"/>
    <cellStyle name="Separador de milhares 3 10 8 2 4" xfId="19341"/>
    <cellStyle name="Separador de milhares 3 10 8 2 5" xfId="13240"/>
    <cellStyle name="Separador de milhares 3 10 8 3" xfId="8530"/>
    <cellStyle name="Separador de milhares 3 10 8 3 2" xfId="26744"/>
    <cellStyle name="Separador de milhares 3 10 8 3 3" xfId="20830"/>
    <cellStyle name="Separador de milhares 3 10 8 3 4" xfId="14916"/>
    <cellStyle name="Separador de milhares 3 10 8 4" xfId="5152"/>
    <cellStyle name="Separador de milhares 3 10 8 4 2" xfId="23787"/>
    <cellStyle name="Separador de milhares 3 10 8 5" xfId="17873"/>
    <cellStyle name="Separador de milhares 3 10 8 6" xfId="11539"/>
    <cellStyle name="Separador de milhares 3 10 9" xfId="2056"/>
    <cellStyle name="Separador de milhares 3 10 9 2" xfId="7001"/>
    <cellStyle name="Separador de milhares 3 10 9 2 2" xfId="10145"/>
    <cellStyle name="Separador de milhares 3 10 9 2 2 2" xfId="28359"/>
    <cellStyle name="Separador de milhares 3 10 9 2 2 3" xfId="22445"/>
    <cellStyle name="Separador de milhares 3 10 9 2 2 4" xfId="16531"/>
    <cellStyle name="Separador de milhares 3 10 9 2 3" xfId="25402"/>
    <cellStyle name="Separador de milhares 3 10 9 2 4" xfId="19488"/>
    <cellStyle name="Separador de milhares 3 10 9 2 5" xfId="13390"/>
    <cellStyle name="Separador de milhares 3 10 9 3" xfId="8677"/>
    <cellStyle name="Separador de milhares 3 10 9 3 2" xfId="26891"/>
    <cellStyle name="Separador de milhares 3 10 9 3 3" xfId="20977"/>
    <cellStyle name="Separador de milhares 3 10 9 3 4" xfId="15063"/>
    <cellStyle name="Separador de milhares 3 10 9 4" xfId="5302"/>
    <cellStyle name="Separador de milhares 3 10 9 4 2" xfId="23934"/>
    <cellStyle name="Separador de milhares 3 10 9 5" xfId="18020"/>
    <cellStyle name="Separador de milhares 3 10 9 6" xfId="11689"/>
    <cellStyle name="Separador de milhares 3 11" xfId="88"/>
    <cellStyle name="Separador de milhares 3 11 10" xfId="2591"/>
    <cellStyle name="Separador de milhares 3 11 10 2" xfId="7150"/>
    <cellStyle name="Separador de milhares 3 11 10 2 2" xfId="10294"/>
    <cellStyle name="Separador de milhares 3 11 10 2 2 2" xfId="28508"/>
    <cellStyle name="Separador de milhares 3 11 10 2 2 3" xfId="22594"/>
    <cellStyle name="Separador de milhares 3 11 10 2 2 4" xfId="16680"/>
    <cellStyle name="Separador de milhares 3 11 10 2 3" xfId="25551"/>
    <cellStyle name="Separador de milhares 3 11 10 2 4" xfId="19637"/>
    <cellStyle name="Separador de milhares 3 11 10 2 5" xfId="13539"/>
    <cellStyle name="Separador de milhares 3 11 10 3" xfId="8826"/>
    <cellStyle name="Separador de milhares 3 11 10 3 2" xfId="27040"/>
    <cellStyle name="Separador de milhares 3 11 10 3 3" xfId="21126"/>
    <cellStyle name="Separador de milhares 3 11 10 3 4" xfId="15212"/>
    <cellStyle name="Separador de milhares 3 11 10 4" xfId="5451"/>
    <cellStyle name="Separador de milhares 3 11 10 4 2" xfId="24083"/>
    <cellStyle name="Separador de milhares 3 11 10 5" xfId="18169"/>
    <cellStyle name="Separador de milhares 3 11 10 6" xfId="11838"/>
    <cellStyle name="Separador de milhares 3 11 11" xfId="3118"/>
    <cellStyle name="Separador de milhares 3 11 11 2" xfId="7297"/>
    <cellStyle name="Separador de milhares 3 11 11 2 2" xfId="10441"/>
    <cellStyle name="Separador de milhares 3 11 11 2 2 2" xfId="28655"/>
    <cellStyle name="Separador de milhares 3 11 11 2 2 3" xfId="22741"/>
    <cellStyle name="Separador de milhares 3 11 11 2 2 4" xfId="16827"/>
    <cellStyle name="Separador de milhares 3 11 11 2 3" xfId="25698"/>
    <cellStyle name="Separador de milhares 3 11 11 2 4" xfId="19784"/>
    <cellStyle name="Separador de milhares 3 11 11 2 5" xfId="13686"/>
    <cellStyle name="Separador de milhares 3 11 11 3" xfId="8973"/>
    <cellStyle name="Separador de milhares 3 11 11 3 2" xfId="27187"/>
    <cellStyle name="Separador de milhares 3 11 11 3 3" xfId="21273"/>
    <cellStyle name="Separador de milhares 3 11 11 3 4" xfId="15359"/>
    <cellStyle name="Separador de milhares 3 11 11 4" xfId="5598"/>
    <cellStyle name="Separador de milhares 3 11 11 4 2" xfId="24230"/>
    <cellStyle name="Separador de milhares 3 11 11 5" xfId="18316"/>
    <cellStyle name="Separador de milhares 3 11 11 6" xfId="11985"/>
    <cellStyle name="Separador de milhares 3 11 12" xfId="3645"/>
    <cellStyle name="Separador de milhares 3 11 12 2" xfId="7444"/>
    <cellStyle name="Separador de milhares 3 11 12 2 2" xfId="10588"/>
    <cellStyle name="Separador de milhares 3 11 12 2 2 2" xfId="28802"/>
    <cellStyle name="Separador de milhares 3 11 12 2 2 3" xfId="22888"/>
    <cellStyle name="Separador de milhares 3 11 12 2 2 4" xfId="16974"/>
    <cellStyle name="Separador de milhares 3 11 12 2 3" xfId="25845"/>
    <cellStyle name="Separador de milhares 3 11 12 2 4" xfId="19931"/>
    <cellStyle name="Separador de milhares 3 11 12 2 5" xfId="13833"/>
    <cellStyle name="Separador de milhares 3 11 12 3" xfId="9120"/>
    <cellStyle name="Separador de milhares 3 11 12 3 2" xfId="27334"/>
    <cellStyle name="Separador de milhares 3 11 12 3 3" xfId="21420"/>
    <cellStyle name="Separador de milhares 3 11 12 3 4" xfId="15506"/>
    <cellStyle name="Separador de milhares 3 11 12 4" xfId="5745"/>
    <cellStyle name="Separador de milhares 3 11 12 4 2" xfId="24377"/>
    <cellStyle name="Separador de milhares 3 11 12 5" xfId="18463"/>
    <cellStyle name="Separador de milhares 3 11 12 6" xfId="12132"/>
    <cellStyle name="Separador de milhares 3 11 13" xfId="6428"/>
    <cellStyle name="Separador de milhares 3 11 13 2" xfId="9584"/>
    <cellStyle name="Separador de milhares 3 11 13 2 2" xfId="27798"/>
    <cellStyle name="Separador de milhares 3 11 13 2 3" xfId="21884"/>
    <cellStyle name="Separador de milhares 3 11 13 2 4" xfId="15970"/>
    <cellStyle name="Separador de milhares 3 11 13 3" xfId="24841"/>
    <cellStyle name="Separador de milhares 3 11 13 4" xfId="18927"/>
    <cellStyle name="Separador de milhares 3 11 13 5" xfId="12817"/>
    <cellStyle name="Separador de milhares 3 11 14" xfId="8113"/>
    <cellStyle name="Separador de milhares 3 11 14 2" xfId="26327"/>
    <cellStyle name="Separador de milhares 3 11 14 3" xfId="20413"/>
    <cellStyle name="Separador de milhares 3 11 14 4" xfId="14502"/>
    <cellStyle name="Separador de milhares 3 11 15" xfId="4726"/>
    <cellStyle name="Separador de milhares 3 11 15 2" xfId="23370"/>
    <cellStyle name="Separador de milhares 3 11 16" xfId="17456"/>
    <cellStyle name="Separador de milhares 3 11 17" xfId="11116"/>
    <cellStyle name="Separador de milhares 3 11 2" xfId="182"/>
    <cellStyle name="Separador de milhares 3 11 2 10" xfId="6457"/>
    <cellStyle name="Separador de milhares 3 11 2 10 2" xfId="9611"/>
    <cellStyle name="Separador de milhares 3 11 2 10 2 2" xfId="27825"/>
    <cellStyle name="Separador de milhares 3 11 2 10 2 3" xfId="21911"/>
    <cellStyle name="Separador de milhares 3 11 2 10 2 4" xfId="15997"/>
    <cellStyle name="Separador de milhares 3 11 2 10 3" xfId="24868"/>
    <cellStyle name="Separador de milhares 3 11 2 10 4" xfId="18954"/>
    <cellStyle name="Separador de milhares 3 11 2 10 5" xfId="12846"/>
    <cellStyle name="Separador de milhares 3 11 2 11" xfId="8140"/>
    <cellStyle name="Separador de milhares 3 11 2 11 2" xfId="26354"/>
    <cellStyle name="Separador de milhares 3 11 2 11 3" xfId="20440"/>
    <cellStyle name="Separador de milhares 3 11 2 11 4" xfId="14529"/>
    <cellStyle name="Separador de milhares 3 11 2 12" xfId="4756"/>
    <cellStyle name="Separador de milhares 3 11 2 12 2" xfId="23397"/>
    <cellStyle name="Separador de milhares 3 11 2 13" xfId="17483"/>
    <cellStyle name="Separador de milhares 3 11 2 14" xfId="11145"/>
    <cellStyle name="Separador de milhares 3 11 2 2" xfId="455"/>
    <cellStyle name="Separador de milhares 3 11 2 2 10" xfId="17557"/>
    <cellStyle name="Separador de milhares 3 11 2 2 11" xfId="11226"/>
    <cellStyle name="Separador de milhares 3 11 2 2 2" xfId="1974"/>
    <cellStyle name="Separador de milhares 3 11 2 2 2 2" xfId="6976"/>
    <cellStyle name="Separador de milhares 3 11 2 2 2 2 2" xfId="10123"/>
    <cellStyle name="Separador de milhares 3 11 2 2 2 2 2 2" xfId="28337"/>
    <cellStyle name="Separador de milhares 3 11 2 2 2 2 2 3" xfId="22423"/>
    <cellStyle name="Separador de milhares 3 11 2 2 2 2 2 4" xfId="16509"/>
    <cellStyle name="Separador de milhares 3 11 2 2 2 2 3" xfId="25380"/>
    <cellStyle name="Separador de milhares 3 11 2 2 2 2 4" xfId="19466"/>
    <cellStyle name="Separador de milhares 3 11 2 2 2 2 5" xfId="13365"/>
    <cellStyle name="Separador de milhares 3 11 2 2 2 3" xfId="8655"/>
    <cellStyle name="Separador de milhares 3 11 2 2 2 3 2" xfId="26869"/>
    <cellStyle name="Separador de milhares 3 11 2 2 2 3 3" xfId="20955"/>
    <cellStyle name="Separador de milhares 3 11 2 2 2 3 4" xfId="15041"/>
    <cellStyle name="Separador de milhares 3 11 2 2 2 4" xfId="5277"/>
    <cellStyle name="Separador de milhares 3 11 2 2 2 4 2" xfId="23912"/>
    <cellStyle name="Separador de milhares 3 11 2 2 2 5" xfId="17998"/>
    <cellStyle name="Separador de milhares 3 11 2 2 2 6" xfId="11664"/>
    <cellStyle name="Separador de milhares 3 11 2 2 3" xfId="2504"/>
    <cellStyle name="Separador de milhares 3 11 2 2 3 2" xfId="7126"/>
    <cellStyle name="Separador de milhares 3 11 2 2 3 2 2" xfId="10270"/>
    <cellStyle name="Separador de milhares 3 11 2 2 3 2 2 2" xfId="28484"/>
    <cellStyle name="Separador de milhares 3 11 2 2 3 2 2 3" xfId="22570"/>
    <cellStyle name="Separador de milhares 3 11 2 2 3 2 2 4" xfId="16656"/>
    <cellStyle name="Separador de milhares 3 11 2 2 3 2 3" xfId="25527"/>
    <cellStyle name="Separador de milhares 3 11 2 2 3 2 4" xfId="19613"/>
    <cellStyle name="Separador de milhares 3 11 2 2 3 2 5" xfId="13515"/>
    <cellStyle name="Separador de milhares 3 11 2 2 3 3" xfId="8802"/>
    <cellStyle name="Separador de milhares 3 11 2 2 3 3 2" xfId="27016"/>
    <cellStyle name="Separador de milhares 3 11 2 2 3 3 3" xfId="21102"/>
    <cellStyle name="Separador de milhares 3 11 2 2 3 3 4" xfId="15188"/>
    <cellStyle name="Separador de milhares 3 11 2 2 3 4" xfId="5427"/>
    <cellStyle name="Separador de milhares 3 11 2 2 3 4 2" xfId="24059"/>
    <cellStyle name="Separador de milhares 3 11 2 2 3 5" xfId="18145"/>
    <cellStyle name="Separador de milhares 3 11 2 2 3 6" xfId="11814"/>
    <cellStyle name="Separador de milhares 3 11 2 2 4" xfId="3031"/>
    <cellStyle name="Separador de milhares 3 11 2 2 4 2" xfId="7273"/>
    <cellStyle name="Separador de milhares 3 11 2 2 4 2 2" xfId="10417"/>
    <cellStyle name="Separador de milhares 3 11 2 2 4 2 2 2" xfId="28631"/>
    <cellStyle name="Separador de milhares 3 11 2 2 4 2 2 3" xfId="22717"/>
    <cellStyle name="Separador de milhares 3 11 2 2 4 2 2 4" xfId="16803"/>
    <cellStyle name="Separador de milhares 3 11 2 2 4 2 3" xfId="25674"/>
    <cellStyle name="Separador de milhares 3 11 2 2 4 2 4" xfId="19760"/>
    <cellStyle name="Separador de milhares 3 11 2 2 4 2 5" xfId="13662"/>
    <cellStyle name="Separador de milhares 3 11 2 2 4 3" xfId="8949"/>
    <cellStyle name="Separador de milhares 3 11 2 2 4 3 2" xfId="27163"/>
    <cellStyle name="Separador de milhares 3 11 2 2 4 3 3" xfId="21249"/>
    <cellStyle name="Separador de milhares 3 11 2 2 4 3 4" xfId="15335"/>
    <cellStyle name="Separador de milhares 3 11 2 2 4 4" xfId="5574"/>
    <cellStyle name="Separador de milhares 3 11 2 2 4 4 2" xfId="24206"/>
    <cellStyle name="Separador de milhares 3 11 2 2 4 5" xfId="18292"/>
    <cellStyle name="Separador de milhares 3 11 2 2 4 6" xfId="11961"/>
    <cellStyle name="Separador de milhares 3 11 2 2 5" xfId="3558"/>
    <cellStyle name="Separador de milhares 3 11 2 2 5 2" xfId="7420"/>
    <cellStyle name="Separador de milhares 3 11 2 2 5 2 2" xfId="10564"/>
    <cellStyle name="Separador de milhares 3 11 2 2 5 2 2 2" xfId="28778"/>
    <cellStyle name="Separador de milhares 3 11 2 2 5 2 2 3" xfId="22864"/>
    <cellStyle name="Separador de milhares 3 11 2 2 5 2 2 4" xfId="16950"/>
    <cellStyle name="Separador de milhares 3 11 2 2 5 2 3" xfId="25821"/>
    <cellStyle name="Separador de milhares 3 11 2 2 5 2 4" xfId="19907"/>
    <cellStyle name="Separador de milhares 3 11 2 2 5 2 5" xfId="13809"/>
    <cellStyle name="Separador de milhares 3 11 2 2 5 3" xfId="9096"/>
    <cellStyle name="Separador de milhares 3 11 2 2 5 3 2" xfId="27310"/>
    <cellStyle name="Separador de milhares 3 11 2 2 5 3 3" xfId="21396"/>
    <cellStyle name="Separador de milhares 3 11 2 2 5 3 4" xfId="15482"/>
    <cellStyle name="Separador de milhares 3 11 2 2 5 4" xfId="5721"/>
    <cellStyle name="Separador de milhares 3 11 2 2 5 4 2" xfId="24353"/>
    <cellStyle name="Separador de milhares 3 11 2 2 5 5" xfId="18439"/>
    <cellStyle name="Separador de milhares 3 11 2 2 5 6" xfId="12108"/>
    <cellStyle name="Separador de milhares 3 11 2 2 6" xfId="4085"/>
    <cellStyle name="Separador de milhares 3 11 2 2 6 2" xfId="7567"/>
    <cellStyle name="Separador de milhares 3 11 2 2 6 2 2" xfId="10711"/>
    <cellStyle name="Separador de milhares 3 11 2 2 6 2 2 2" xfId="28925"/>
    <cellStyle name="Separador de milhares 3 11 2 2 6 2 2 3" xfId="23011"/>
    <cellStyle name="Separador de milhares 3 11 2 2 6 2 2 4" xfId="17097"/>
    <cellStyle name="Separador de milhares 3 11 2 2 6 2 3" xfId="25968"/>
    <cellStyle name="Separador de milhares 3 11 2 2 6 2 4" xfId="20054"/>
    <cellStyle name="Separador de milhares 3 11 2 2 6 2 5" xfId="13956"/>
    <cellStyle name="Separador de milhares 3 11 2 2 6 3" xfId="9243"/>
    <cellStyle name="Separador de milhares 3 11 2 2 6 3 2" xfId="27457"/>
    <cellStyle name="Separador de milhares 3 11 2 2 6 3 3" xfId="21543"/>
    <cellStyle name="Separador de milhares 3 11 2 2 6 3 4" xfId="15629"/>
    <cellStyle name="Separador de milhares 3 11 2 2 6 4" xfId="5868"/>
    <cellStyle name="Separador de milhares 3 11 2 2 6 4 2" xfId="24500"/>
    <cellStyle name="Separador de milhares 3 11 2 2 6 5" xfId="18586"/>
    <cellStyle name="Separador de milhares 3 11 2 2 6 6" xfId="12255"/>
    <cellStyle name="Separador de milhares 3 11 2 2 7" xfId="6538"/>
    <cellStyle name="Separador de milhares 3 11 2 2 7 2" xfId="9685"/>
    <cellStyle name="Separador de milhares 3 11 2 2 7 2 2" xfId="27899"/>
    <cellStyle name="Separador de milhares 3 11 2 2 7 2 3" xfId="21985"/>
    <cellStyle name="Separador de milhares 3 11 2 2 7 2 4" xfId="16071"/>
    <cellStyle name="Separador de milhares 3 11 2 2 7 3" xfId="24942"/>
    <cellStyle name="Separador de milhares 3 11 2 2 7 4" xfId="19028"/>
    <cellStyle name="Separador de milhares 3 11 2 2 7 5" xfId="12927"/>
    <cellStyle name="Separador de milhares 3 11 2 2 8" xfId="8214"/>
    <cellStyle name="Separador de milhares 3 11 2 2 8 2" xfId="26428"/>
    <cellStyle name="Separador de milhares 3 11 2 2 8 3" xfId="20514"/>
    <cellStyle name="Separador de milhares 3 11 2 2 8 4" xfId="14603"/>
    <cellStyle name="Separador de milhares 3 11 2 2 9" xfId="4837"/>
    <cellStyle name="Separador de milhares 3 11 2 2 9 2" xfId="23471"/>
    <cellStyle name="Separador de milhares 3 11 2 3" xfId="928"/>
    <cellStyle name="Separador de milhares 3 11 2 3 2" xfId="6689"/>
    <cellStyle name="Separador de milhares 3 11 2 3 2 2" xfId="9836"/>
    <cellStyle name="Separador de milhares 3 11 2 3 2 2 2" xfId="28050"/>
    <cellStyle name="Separador de milhares 3 11 2 3 2 2 3" xfId="22136"/>
    <cellStyle name="Separador de milhares 3 11 2 3 2 2 4" xfId="16222"/>
    <cellStyle name="Separador de milhares 3 11 2 3 2 3" xfId="25093"/>
    <cellStyle name="Separador de milhares 3 11 2 3 2 4" xfId="19179"/>
    <cellStyle name="Separador de milhares 3 11 2 3 2 5" xfId="13078"/>
    <cellStyle name="Separador de milhares 3 11 2 3 3" xfId="8368"/>
    <cellStyle name="Separador de milhares 3 11 2 3 3 2" xfId="26582"/>
    <cellStyle name="Separador de milhares 3 11 2 3 3 3" xfId="20668"/>
    <cellStyle name="Separador de milhares 3 11 2 3 3 4" xfId="14754"/>
    <cellStyle name="Separador de milhares 3 11 2 3 4" xfId="4990"/>
    <cellStyle name="Separador de milhares 3 11 2 3 4 2" xfId="23625"/>
    <cellStyle name="Separador de milhares 3 11 2 3 5" xfId="17711"/>
    <cellStyle name="Separador de milhares 3 11 2 3 6" xfId="11377"/>
    <cellStyle name="Separador de milhares 3 11 2 4" xfId="1279"/>
    <cellStyle name="Separador de milhares 3 11 2 4 2" xfId="6787"/>
    <cellStyle name="Separador de milhares 3 11 2 4 2 2" xfId="9934"/>
    <cellStyle name="Separador de milhares 3 11 2 4 2 2 2" xfId="28148"/>
    <cellStyle name="Separador de milhares 3 11 2 4 2 2 3" xfId="22234"/>
    <cellStyle name="Separador de milhares 3 11 2 4 2 2 4" xfId="16320"/>
    <cellStyle name="Separador de milhares 3 11 2 4 2 3" xfId="25191"/>
    <cellStyle name="Separador de milhares 3 11 2 4 2 4" xfId="19277"/>
    <cellStyle name="Separador de milhares 3 11 2 4 2 5" xfId="13176"/>
    <cellStyle name="Separador de milhares 3 11 2 4 3" xfId="8466"/>
    <cellStyle name="Separador de milhares 3 11 2 4 3 2" xfId="26680"/>
    <cellStyle name="Separador de milhares 3 11 2 4 3 3" xfId="20766"/>
    <cellStyle name="Separador de milhares 3 11 2 4 3 4" xfId="14852"/>
    <cellStyle name="Separador de milhares 3 11 2 4 4" xfId="5088"/>
    <cellStyle name="Separador de milhares 3 11 2 4 4 2" xfId="23723"/>
    <cellStyle name="Separador de milhares 3 11 2 4 5" xfId="17809"/>
    <cellStyle name="Separador de milhares 3 11 2 4 6" xfId="11475"/>
    <cellStyle name="Separador de milhares 3 11 2 5" xfId="1714"/>
    <cellStyle name="Separador de milhares 3 11 2 5 2" xfId="6906"/>
    <cellStyle name="Separador de milhares 3 11 2 5 2 2" xfId="10053"/>
    <cellStyle name="Separador de milhares 3 11 2 5 2 2 2" xfId="28267"/>
    <cellStyle name="Separador de milhares 3 11 2 5 2 2 3" xfId="22353"/>
    <cellStyle name="Separador de milhares 3 11 2 5 2 2 4" xfId="16439"/>
    <cellStyle name="Separador de milhares 3 11 2 5 2 3" xfId="25310"/>
    <cellStyle name="Separador de milhares 3 11 2 5 2 4" xfId="19396"/>
    <cellStyle name="Separador de milhares 3 11 2 5 2 5" xfId="13295"/>
    <cellStyle name="Separador de milhares 3 11 2 5 3" xfId="8585"/>
    <cellStyle name="Separador de milhares 3 11 2 5 3 2" xfId="26799"/>
    <cellStyle name="Separador de milhares 3 11 2 5 3 3" xfId="20885"/>
    <cellStyle name="Separador de milhares 3 11 2 5 3 4" xfId="14971"/>
    <cellStyle name="Separador de milhares 3 11 2 5 4" xfId="5207"/>
    <cellStyle name="Separador de milhares 3 11 2 5 4 2" xfId="23842"/>
    <cellStyle name="Separador de milhares 3 11 2 5 5" xfId="17928"/>
    <cellStyle name="Separador de milhares 3 11 2 5 6" xfId="11594"/>
    <cellStyle name="Separador de milhares 3 11 2 6" xfId="2244"/>
    <cellStyle name="Separador de milhares 3 11 2 6 2" xfId="7056"/>
    <cellStyle name="Separador de milhares 3 11 2 6 2 2" xfId="10200"/>
    <cellStyle name="Separador de milhares 3 11 2 6 2 2 2" xfId="28414"/>
    <cellStyle name="Separador de milhares 3 11 2 6 2 2 3" xfId="22500"/>
    <cellStyle name="Separador de milhares 3 11 2 6 2 2 4" xfId="16586"/>
    <cellStyle name="Separador de milhares 3 11 2 6 2 3" xfId="25457"/>
    <cellStyle name="Separador de milhares 3 11 2 6 2 4" xfId="19543"/>
    <cellStyle name="Separador de milhares 3 11 2 6 2 5" xfId="13445"/>
    <cellStyle name="Separador de milhares 3 11 2 6 3" xfId="8732"/>
    <cellStyle name="Separador de milhares 3 11 2 6 3 2" xfId="26946"/>
    <cellStyle name="Separador de milhares 3 11 2 6 3 3" xfId="21032"/>
    <cellStyle name="Separador de milhares 3 11 2 6 3 4" xfId="15118"/>
    <cellStyle name="Separador de milhares 3 11 2 6 4" xfId="5357"/>
    <cellStyle name="Separador de milhares 3 11 2 6 4 2" xfId="23989"/>
    <cellStyle name="Separador de milhares 3 11 2 6 5" xfId="18075"/>
    <cellStyle name="Separador de milhares 3 11 2 6 6" xfId="11744"/>
    <cellStyle name="Separador de milhares 3 11 2 7" xfId="2771"/>
    <cellStyle name="Separador de milhares 3 11 2 7 2" xfId="7203"/>
    <cellStyle name="Separador de milhares 3 11 2 7 2 2" xfId="10347"/>
    <cellStyle name="Separador de milhares 3 11 2 7 2 2 2" xfId="28561"/>
    <cellStyle name="Separador de milhares 3 11 2 7 2 2 3" xfId="22647"/>
    <cellStyle name="Separador de milhares 3 11 2 7 2 2 4" xfId="16733"/>
    <cellStyle name="Separador de milhares 3 11 2 7 2 3" xfId="25604"/>
    <cellStyle name="Separador de milhares 3 11 2 7 2 4" xfId="19690"/>
    <cellStyle name="Separador de milhares 3 11 2 7 2 5" xfId="13592"/>
    <cellStyle name="Separador de milhares 3 11 2 7 3" xfId="8879"/>
    <cellStyle name="Separador de milhares 3 11 2 7 3 2" xfId="27093"/>
    <cellStyle name="Separador de milhares 3 11 2 7 3 3" xfId="21179"/>
    <cellStyle name="Separador de milhares 3 11 2 7 3 4" xfId="15265"/>
    <cellStyle name="Separador de milhares 3 11 2 7 4" xfId="5504"/>
    <cellStyle name="Separador de milhares 3 11 2 7 4 2" xfId="24136"/>
    <cellStyle name="Separador de milhares 3 11 2 7 5" xfId="18222"/>
    <cellStyle name="Separador de milhares 3 11 2 7 6" xfId="11891"/>
    <cellStyle name="Separador de milhares 3 11 2 8" xfId="3298"/>
    <cellStyle name="Separador de milhares 3 11 2 8 2" xfId="7350"/>
    <cellStyle name="Separador de milhares 3 11 2 8 2 2" xfId="10494"/>
    <cellStyle name="Separador de milhares 3 11 2 8 2 2 2" xfId="28708"/>
    <cellStyle name="Separador de milhares 3 11 2 8 2 2 3" xfId="22794"/>
    <cellStyle name="Separador de milhares 3 11 2 8 2 2 4" xfId="16880"/>
    <cellStyle name="Separador de milhares 3 11 2 8 2 3" xfId="25751"/>
    <cellStyle name="Separador de milhares 3 11 2 8 2 4" xfId="19837"/>
    <cellStyle name="Separador de milhares 3 11 2 8 2 5" xfId="13739"/>
    <cellStyle name="Separador de milhares 3 11 2 8 3" xfId="9026"/>
    <cellStyle name="Separador de milhares 3 11 2 8 3 2" xfId="27240"/>
    <cellStyle name="Separador de milhares 3 11 2 8 3 3" xfId="21326"/>
    <cellStyle name="Separador de milhares 3 11 2 8 3 4" xfId="15412"/>
    <cellStyle name="Separador de milhares 3 11 2 8 4" xfId="5651"/>
    <cellStyle name="Separador de milhares 3 11 2 8 4 2" xfId="24283"/>
    <cellStyle name="Separador de milhares 3 11 2 8 5" xfId="18369"/>
    <cellStyle name="Separador de milhares 3 11 2 8 6" xfId="12038"/>
    <cellStyle name="Separador de milhares 3 11 2 9" xfId="3825"/>
    <cellStyle name="Separador de milhares 3 11 2 9 2" xfId="7497"/>
    <cellStyle name="Separador de milhares 3 11 2 9 2 2" xfId="10641"/>
    <cellStyle name="Separador de milhares 3 11 2 9 2 2 2" xfId="28855"/>
    <cellStyle name="Separador de milhares 3 11 2 9 2 2 3" xfId="22941"/>
    <cellStyle name="Separador de milhares 3 11 2 9 2 2 4" xfId="17027"/>
    <cellStyle name="Separador de milhares 3 11 2 9 2 3" xfId="25898"/>
    <cellStyle name="Separador de milhares 3 11 2 9 2 4" xfId="19984"/>
    <cellStyle name="Separador de milhares 3 11 2 9 2 5" xfId="13886"/>
    <cellStyle name="Separador de milhares 3 11 2 9 3" xfId="9173"/>
    <cellStyle name="Separador de milhares 3 11 2 9 3 2" xfId="27387"/>
    <cellStyle name="Separador de milhares 3 11 2 9 3 3" xfId="21473"/>
    <cellStyle name="Separador de milhares 3 11 2 9 3 4" xfId="15559"/>
    <cellStyle name="Separador de milhares 3 11 2 9 4" xfId="5798"/>
    <cellStyle name="Separador de milhares 3 11 2 9 4 2" xfId="24430"/>
    <cellStyle name="Separador de milhares 3 11 2 9 5" xfId="18516"/>
    <cellStyle name="Separador de milhares 3 11 2 9 6" xfId="12185"/>
    <cellStyle name="Separador de milhares 3 11 3" xfId="277"/>
    <cellStyle name="Separador de milhares 3 11 3 10" xfId="6488"/>
    <cellStyle name="Separador de milhares 3 11 3 10 2" xfId="9639"/>
    <cellStyle name="Separador de milhares 3 11 3 10 2 2" xfId="27853"/>
    <cellStyle name="Separador de milhares 3 11 3 10 2 3" xfId="21939"/>
    <cellStyle name="Separador de milhares 3 11 3 10 2 4" xfId="16025"/>
    <cellStyle name="Separador de milhares 3 11 3 10 3" xfId="24896"/>
    <cellStyle name="Separador de milhares 3 11 3 10 4" xfId="18982"/>
    <cellStyle name="Separador de milhares 3 11 3 10 5" xfId="12877"/>
    <cellStyle name="Separador de milhares 3 11 3 11" xfId="8168"/>
    <cellStyle name="Separador de milhares 3 11 3 11 2" xfId="26382"/>
    <cellStyle name="Separador de milhares 3 11 3 11 3" xfId="20468"/>
    <cellStyle name="Separador de milhares 3 11 3 11 4" xfId="14557"/>
    <cellStyle name="Separador de milhares 3 11 3 12" xfId="4787"/>
    <cellStyle name="Separador de milhares 3 11 3 12 2" xfId="23425"/>
    <cellStyle name="Separador de milhares 3 11 3 13" xfId="17511"/>
    <cellStyle name="Separador de milhares 3 11 3 14" xfId="11176"/>
    <cellStyle name="Separador de milhares 3 11 3 2" xfId="540"/>
    <cellStyle name="Separador de milhares 3 11 3 2 2" xfId="6559"/>
    <cellStyle name="Separador de milhares 3 11 3 2 2 2" xfId="9706"/>
    <cellStyle name="Separador de milhares 3 11 3 2 2 2 2" xfId="27920"/>
    <cellStyle name="Separador de milhares 3 11 3 2 2 2 3" xfId="22006"/>
    <cellStyle name="Separador de milhares 3 11 3 2 2 2 4" xfId="16092"/>
    <cellStyle name="Separador de milhares 3 11 3 2 2 3" xfId="24963"/>
    <cellStyle name="Separador de milhares 3 11 3 2 2 4" xfId="19049"/>
    <cellStyle name="Separador de milhares 3 11 3 2 2 5" xfId="12948"/>
    <cellStyle name="Separador de milhares 3 11 3 2 3" xfId="8235"/>
    <cellStyle name="Separador de milhares 3 11 3 2 3 2" xfId="26449"/>
    <cellStyle name="Separador de milhares 3 11 3 2 3 3" xfId="20535"/>
    <cellStyle name="Separador de milhares 3 11 3 2 3 4" xfId="14624"/>
    <cellStyle name="Separador de milhares 3 11 3 2 4" xfId="4858"/>
    <cellStyle name="Separador de milhares 3 11 3 2 4 2" xfId="23492"/>
    <cellStyle name="Separador de milhares 3 11 3 2 5" xfId="17578"/>
    <cellStyle name="Separador de milhares 3 11 3 2 6" xfId="11247"/>
    <cellStyle name="Separador de milhares 3 11 3 3" xfId="837"/>
    <cellStyle name="Separador de milhares 3 11 3 3 2" xfId="6661"/>
    <cellStyle name="Separador de milhares 3 11 3 3 2 2" xfId="9808"/>
    <cellStyle name="Separador de milhares 3 11 3 3 2 2 2" xfId="28022"/>
    <cellStyle name="Separador de milhares 3 11 3 3 2 2 3" xfId="22108"/>
    <cellStyle name="Separador de milhares 3 11 3 3 2 2 4" xfId="16194"/>
    <cellStyle name="Separador de milhares 3 11 3 3 2 3" xfId="25065"/>
    <cellStyle name="Separador de milhares 3 11 3 3 2 4" xfId="19151"/>
    <cellStyle name="Separador de milhares 3 11 3 3 2 5" xfId="13050"/>
    <cellStyle name="Separador de milhares 3 11 3 3 3" xfId="8340"/>
    <cellStyle name="Separador de milhares 3 11 3 3 3 2" xfId="26554"/>
    <cellStyle name="Separador de milhares 3 11 3 3 3 3" xfId="20640"/>
    <cellStyle name="Separador de milhares 3 11 3 3 3 4" xfId="14726"/>
    <cellStyle name="Separador de milhares 3 11 3 3 4" xfId="4962"/>
    <cellStyle name="Separador de milhares 3 11 3 3 4 2" xfId="23597"/>
    <cellStyle name="Separador de milhares 3 11 3 3 5" xfId="17683"/>
    <cellStyle name="Separador de milhares 3 11 3 3 6" xfId="11349"/>
    <cellStyle name="Separador de milhares 3 11 3 4" xfId="1188"/>
    <cellStyle name="Separador de milhares 3 11 3 4 2" xfId="6759"/>
    <cellStyle name="Separador de milhares 3 11 3 4 2 2" xfId="9906"/>
    <cellStyle name="Separador de milhares 3 11 3 4 2 2 2" xfId="28120"/>
    <cellStyle name="Separador de milhares 3 11 3 4 2 2 3" xfId="22206"/>
    <cellStyle name="Separador de milhares 3 11 3 4 2 2 4" xfId="16292"/>
    <cellStyle name="Separador de milhares 3 11 3 4 2 3" xfId="25163"/>
    <cellStyle name="Separador de milhares 3 11 3 4 2 4" xfId="19249"/>
    <cellStyle name="Separador de milhares 3 11 3 4 2 5" xfId="13148"/>
    <cellStyle name="Separador de milhares 3 11 3 4 3" xfId="8438"/>
    <cellStyle name="Separador de milhares 3 11 3 4 3 2" xfId="26652"/>
    <cellStyle name="Separador de milhares 3 11 3 4 3 3" xfId="20738"/>
    <cellStyle name="Separador de milhares 3 11 3 4 3 4" xfId="14824"/>
    <cellStyle name="Separador de milhares 3 11 3 4 4" xfId="5060"/>
    <cellStyle name="Separador de milhares 3 11 3 4 4 2" xfId="23695"/>
    <cellStyle name="Separador de milhares 3 11 3 4 5" xfId="17781"/>
    <cellStyle name="Separador de milhares 3 11 3 4 6" xfId="11447"/>
    <cellStyle name="Separador de milhares 3 11 3 5" xfId="1623"/>
    <cellStyle name="Separador de milhares 3 11 3 5 2" xfId="6878"/>
    <cellStyle name="Separador de milhares 3 11 3 5 2 2" xfId="10025"/>
    <cellStyle name="Separador de milhares 3 11 3 5 2 2 2" xfId="28239"/>
    <cellStyle name="Separador de milhares 3 11 3 5 2 2 3" xfId="22325"/>
    <cellStyle name="Separador de milhares 3 11 3 5 2 2 4" xfId="16411"/>
    <cellStyle name="Separador de milhares 3 11 3 5 2 3" xfId="25282"/>
    <cellStyle name="Separador de milhares 3 11 3 5 2 4" xfId="19368"/>
    <cellStyle name="Separador de milhares 3 11 3 5 2 5" xfId="13267"/>
    <cellStyle name="Separador de milhares 3 11 3 5 3" xfId="8557"/>
    <cellStyle name="Separador de milhares 3 11 3 5 3 2" xfId="26771"/>
    <cellStyle name="Separador de milhares 3 11 3 5 3 3" xfId="20857"/>
    <cellStyle name="Separador de milhares 3 11 3 5 3 4" xfId="14943"/>
    <cellStyle name="Separador de milhares 3 11 3 5 4" xfId="5179"/>
    <cellStyle name="Separador de milhares 3 11 3 5 4 2" xfId="23814"/>
    <cellStyle name="Separador de milhares 3 11 3 5 5" xfId="17900"/>
    <cellStyle name="Separador de milhares 3 11 3 5 6" xfId="11566"/>
    <cellStyle name="Separador de milhares 3 11 3 6" xfId="2153"/>
    <cellStyle name="Separador de milhares 3 11 3 6 2" xfId="7028"/>
    <cellStyle name="Separador de milhares 3 11 3 6 2 2" xfId="10172"/>
    <cellStyle name="Separador de milhares 3 11 3 6 2 2 2" xfId="28386"/>
    <cellStyle name="Separador de milhares 3 11 3 6 2 2 3" xfId="22472"/>
    <cellStyle name="Separador de milhares 3 11 3 6 2 2 4" xfId="16558"/>
    <cellStyle name="Separador de milhares 3 11 3 6 2 3" xfId="25429"/>
    <cellStyle name="Separador de milhares 3 11 3 6 2 4" xfId="19515"/>
    <cellStyle name="Separador de milhares 3 11 3 6 2 5" xfId="13417"/>
    <cellStyle name="Separador de milhares 3 11 3 6 3" xfId="8704"/>
    <cellStyle name="Separador de milhares 3 11 3 6 3 2" xfId="26918"/>
    <cellStyle name="Separador de milhares 3 11 3 6 3 3" xfId="21004"/>
    <cellStyle name="Separador de milhares 3 11 3 6 3 4" xfId="15090"/>
    <cellStyle name="Separador de milhares 3 11 3 6 4" xfId="5329"/>
    <cellStyle name="Separador de milhares 3 11 3 6 4 2" xfId="23961"/>
    <cellStyle name="Separador de milhares 3 11 3 6 5" xfId="18047"/>
    <cellStyle name="Separador de milhares 3 11 3 6 6" xfId="11716"/>
    <cellStyle name="Separador de milhares 3 11 3 7" xfId="2680"/>
    <cellStyle name="Separador de milhares 3 11 3 7 2" xfId="7175"/>
    <cellStyle name="Separador de milhares 3 11 3 7 2 2" xfId="10319"/>
    <cellStyle name="Separador de milhares 3 11 3 7 2 2 2" xfId="28533"/>
    <cellStyle name="Separador de milhares 3 11 3 7 2 2 3" xfId="22619"/>
    <cellStyle name="Separador de milhares 3 11 3 7 2 2 4" xfId="16705"/>
    <cellStyle name="Separador de milhares 3 11 3 7 2 3" xfId="25576"/>
    <cellStyle name="Separador de milhares 3 11 3 7 2 4" xfId="19662"/>
    <cellStyle name="Separador de milhares 3 11 3 7 2 5" xfId="13564"/>
    <cellStyle name="Separador de milhares 3 11 3 7 3" xfId="8851"/>
    <cellStyle name="Separador de milhares 3 11 3 7 3 2" xfId="27065"/>
    <cellStyle name="Separador de milhares 3 11 3 7 3 3" xfId="21151"/>
    <cellStyle name="Separador de milhares 3 11 3 7 3 4" xfId="15237"/>
    <cellStyle name="Separador de milhares 3 11 3 7 4" xfId="5476"/>
    <cellStyle name="Separador de milhares 3 11 3 7 4 2" xfId="24108"/>
    <cellStyle name="Separador de milhares 3 11 3 7 5" xfId="18194"/>
    <cellStyle name="Separador de milhares 3 11 3 7 6" xfId="11863"/>
    <cellStyle name="Separador de milhares 3 11 3 8" xfId="3207"/>
    <cellStyle name="Separador de milhares 3 11 3 8 2" xfId="7322"/>
    <cellStyle name="Separador de milhares 3 11 3 8 2 2" xfId="10466"/>
    <cellStyle name="Separador de milhares 3 11 3 8 2 2 2" xfId="28680"/>
    <cellStyle name="Separador de milhares 3 11 3 8 2 2 3" xfId="22766"/>
    <cellStyle name="Separador de milhares 3 11 3 8 2 2 4" xfId="16852"/>
    <cellStyle name="Separador de milhares 3 11 3 8 2 3" xfId="25723"/>
    <cellStyle name="Separador de milhares 3 11 3 8 2 4" xfId="19809"/>
    <cellStyle name="Separador de milhares 3 11 3 8 2 5" xfId="13711"/>
    <cellStyle name="Separador de milhares 3 11 3 8 3" xfId="8998"/>
    <cellStyle name="Separador de milhares 3 11 3 8 3 2" xfId="27212"/>
    <cellStyle name="Separador de milhares 3 11 3 8 3 3" xfId="21298"/>
    <cellStyle name="Separador de milhares 3 11 3 8 3 4" xfId="15384"/>
    <cellStyle name="Separador de milhares 3 11 3 8 4" xfId="5623"/>
    <cellStyle name="Separador de milhares 3 11 3 8 4 2" xfId="24255"/>
    <cellStyle name="Separador de milhares 3 11 3 8 5" xfId="18341"/>
    <cellStyle name="Separador de milhares 3 11 3 8 6" xfId="12010"/>
    <cellStyle name="Separador de milhares 3 11 3 9" xfId="3734"/>
    <cellStyle name="Separador de milhares 3 11 3 9 2" xfId="7469"/>
    <cellStyle name="Separador de milhares 3 11 3 9 2 2" xfId="10613"/>
    <cellStyle name="Separador de milhares 3 11 3 9 2 2 2" xfId="28827"/>
    <cellStyle name="Separador de milhares 3 11 3 9 2 2 3" xfId="22913"/>
    <cellStyle name="Separador de milhares 3 11 3 9 2 2 4" xfId="16999"/>
    <cellStyle name="Separador de milhares 3 11 3 9 2 3" xfId="25870"/>
    <cellStyle name="Separador de milhares 3 11 3 9 2 4" xfId="19956"/>
    <cellStyle name="Separador de milhares 3 11 3 9 2 5" xfId="13858"/>
    <cellStyle name="Separador de milhares 3 11 3 9 3" xfId="9145"/>
    <cellStyle name="Separador de milhares 3 11 3 9 3 2" xfId="27359"/>
    <cellStyle name="Separador de milhares 3 11 3 9 3 3" xfId="21445"/>
    <cellStyle name="Separador de milhares 3 11 3 9 3 4" xfId="15531"/>
    <cellStyle name="Separador de milhares 3 11 3 9 4" xfId="5770"/>
    <cellStyle name="Separador de milhares 3 11 3 9 4 2" xfId="24402"/>
    <cellStyle name="Separador de milhares 3 11 3 9 5" xfId="18488"/>
    <cellStyle name="Separador de milhares 3 11 3 9 6" xfId="12157"/>
    <cellStyle name="Separador de milhares 3 11 4" xfId="370"/>
    <cellStyle name="Separador de milhares 3 11 4 10" xfId="6516"/>
    <cellStyle name="Separador de milhares 3 11 4 10 2" xfId="9664"/>
    <cellStyle name="Separador de milhares 3 11 4 10 2 2" xfId="27878"/>
    <cellStyle name="Separador de milhares 3 11 4 10 2 3" xfId="21964"/>
    <cellStyle name="Separador de milhares 3 11 4 10 2 4" xfId="16050"/>
    <cellStyle name="Separador de milhares 3 11 4 10 3" xfId="24921"/>
    <cellStyle name="Separador de milhares 3 11 4 10 4" xfId="19007"/>
    <cellStyle name="Separador de milhares 3 11 4 10 5" xfId="12905"/>
    <cellStyle name="Separador de milhares 3 11 4 11" xfId="8193"/>
    <cellStyle name="Separador de milhares 3 11 4 11 2" xfId="26407"/>
    <cellStyle name="Separador de milhares 3 11 4 11 3" xfId="20493"/>
    <cellStyle name="Separador de milhares 3 11 4 11 4" xfId="14582"/>
    <cellStyle name="Separador de milhares 3 11 4 12" xfId="4815"/>
    <cellStyle name="Separador de milhares 3 11 4 12 2" xfId="23450"/>
    <cellStyle name="Separador de milhares 3 11 4 13" xfId="17536"/>
    <cellStyle name="Separador de milhares 3 11 4 14" xfId="11204"/>
    <cellStyle name="Separador de milhares 3 11 4 2" xfId="1015"/>
    <cellStyle name="Separador de milhares 3 11 4 2 2" xfId="6713"/>
    <cellStyle name="Separador de milhares 3 11 4 2 2 2" xfId="9860"/>
    <cellStyle name="Separador de milhares 3 11 4 2 2 2 2" xfId="28074"/>
    <cellStyle name="Separador de milhares 3 11 4 2 2 2 3" xfId="22160"/>
    <cellStyle name="Separador de milhares 3 11 4 2 2 2 4" xfId="16246"/>
    <cellStyle name="Separador de milhares 3 11 4 2 2 3" xfId="25117"/>
    <cellStyle name="Separador de milhares 3 11 4 2 2 4" xfId="19203"/>
    <cellStyle name="Separador de milhares 3 11 4 2 2 5" xfId="13102"/>
    <cellStyle name="Separador de milhares 3 11 4 2 3" xfId="8392"/>
    <cellStyle name="Separador de milhares 3 11 4 2 3 2" xfId="26606"/>
    <cellStyle name="Separador de milhares 3 11 4 2 3 3" xfId="20692"/>
    <cellStyle name="Separador de milhares 3 11 4 2 3 4" xfId="14778"/>
    <cellStyle name="Separador de milhares 3 11 4 2 4" xfId="5014"/>
    <cellStyle name="Separador de milhares 3 11 4 2 4 2" xfId="23649"/>
    <cellStyle name="Separador de milhares 3 11 4 2 5" xfId="17735"/>
    <cellStyle name="Separador de milhares 3 11 4 2 6" xfId="11401"/>
    <cellStyle name="Separador de milhares 3 11 4 3" xfId="1366"/>
    <cellStyle name="Separador de milhares 3 11 4 3 2" xfId="6811"/>
    <cellStyle name="Separador de milhares 3 11 4 3 2 2" xfId="9958"/>
    <cellStyle name="Separador de milhares 3 11 4 3 2 2 2" xfId="28172"/>
    <cellStyle name="Separador de milhares 3 11 4 3 2 2 3" xfId="22258"/>
    <cellStyle name="Separador de milhares 3 11 4 3 2 2 4" xfId="16344"/>
    <cellStyle name="Separador de milhares 3 11 4 3 2 3" xfId="25215"/>
    <cellStyle name="Separador de milhares 3 11 4 3 2 4" xfId="19301"/>
    <cellStyle name="Separador de milhares 3 11 4 3 2 5" xfId="13200"/>
    <cellStyle name="Separador de milhares 3 11 4 3 3" xfId="8490"/>
    <cellStyle name="Separador de milhares 3 11 4 3 3 2" xfId="26704"/>
    <cellStyle name="Separador de milhares 3 11 4 3 3 3" xfId="20790"/>
    <cellStyle name="Separador de milhares 3 11 4 3 3 4" xfId="14876"/>
    <cellStyle name="Separador de milhares 3 11 4 3 4" xfId="5112"/>
    <cellStyle name="Separador de milhares 3 11 4 3 4 2" xfId="23747"/>
    <cellStyle name="Separador de milhares 3 11 4 3 5" xfId="17833"/>
    <cellStyle name="Separador de milhares 3 11 4 3 6" xfId="11499"/>
    <cellStyle name="Separador de milhares 3 11 4 4" xfId="1801"/>
    <cellStyle name="Separador de milhares 3 11 4 4 2" xfId="6930"/>
    <cellStyle name="Separador de milhares 3 11 4 4 2 2" xfId="10077"/>
    <cellStyle name="Separador de milhares 3 11 4 4 2 2 2" xfId="28291"/>
    <cellStyle name="Separador de milhares 3 11 4 4 2 2 3" xfId="22377"/>
    <cellStyle name="Separador de milhares 3 11 4 4 2 2 4" xfId="16463"/>
    <cellStyle name="Separador de milhares 3 11 4 4 2 3" xfId="25334"/>
    <cellStyle name="Separador de milhares 3 11 4 4 2 4" xfId="19420"/>
    <cellStyle name="Separador de milhares 3 11 4 4 2 5" xfId="13319"/>
    <cellStyle name="Separador de milhares 3 11 4 4 3" xfId="8609"/>
    <cellStyle name="Separador de milhares 3 11 4 4 3 2" xfId="26823"/>
    <cellStyle name="Separador de milhares 3 11 4 4 3 3" xfId="20909"/>
    <cellStyle name="Separador de milhares 3 11 4 4 3 4" xfId="14995"/>
    <cellStyle name="Separador de milhares 3 11 4 4 4" xfId="5231"/>
    <cellStyle name="Separador de milhares 3 11 4 4 4 2" xfId="23866"/>
    <cellStyle name="Separador de milhares 3 11 4 4 5" xfId="17952"/>
    <cellStyle name="Separador de milhares 3 11 4 4 6" xfId="11618"/>
    <cellStyle name="Separador de milhares 3 11 4 5" xfId="2331"/>
    <cellStyle name="Separador de milhares 3 11 4 5 2" xfId="7080"/>
    <cellStyle name="Separador de milhares 3 11 4 5 2 2" xfId="10224"/>
    <cellStyle name="Separador de milhares 3 11 4 5 2 2 2" xfId="28438"/>
    <cellStyle name="Separador de milhares 3 11 4 5 2 2 3" xfId="22524"/>
    <cellStyle name="Separador de milhares 3 11 4 5 2 2 4" xfId="16610"/>
    <cellStyle name="Separador de milhares 3 11 4 5 2 3" xfId="25481"/>
    <cellStyle name="Separador de milhares 3 11 4 5 2 4" xfId="19567"/>
    <cellStyle name="Separador de milhares 3 11 4 5 2 5" xfId="13469"/>
    <cellStyle name="Separador de milhares 3 11 4 5 3" xfId="8756"/>
    <cellStyle name="Separador de milhares 3 11 4 5 3 2" xfId="26970"/>
    <cellStyle name="Separador de milhares 3 11 4 5 3 3" xfId="21056"/>
    <cellStyle name="Separador de milhares 3 11 4 5 3 4" xfId="15142"/>
    <cellStyle name="Separador de milhares 3 11 4 5 4" xfId="5381"/>
    <cellStyle name="Separador de milhares 3 11 4 5 4 2" xfId="24013"/>
    <cellStyle name="Separador de milhares 3 11 4 5 5" xfId="18099"/>
    <cellStyle name="Separador de milhares 3 11 4 5 6" xfId="11768"/>
    <cellStyle name="Separador de milhares 3 11 4 6" xfId="2858"/>
    <cellStyle name="Separador de milhares 3 11 4 6 2" xfId="7227"/>
    <cellStyle name="Separador de milhares 3 11 4 6 2 2" xfId="10371"/>
    <cellStyle name="Separador de milhares 3 11 4 6 2 2 2" xfId="28585"/>
    <cellStyle name="Separador de milhares 3 11 4 6 2 2 3" xfId="22671"/>
    <cellStyle name="Separador de milhares 3 11 4 6 2 2 4" xfId="16757"/>
    <cellStyle name="Separador de milhares 3 11 4 6 2 3" xfId="25628"/>
    <cellStyle name="Separador de milhares 3 11 4 6 2 4" xfId="19714"/>
    <cellStyle name="Separador de milhares 3 11 4 6 2 5" xfId="13616"/>
    <cellStyle name="Separador de milhares 3 11 4 6 3" xfId="8903"/>
    <cellStyle name="Separador de milhares 3 11 4 6 3 2" xfId="27117"/>
    <cellStyle name="Separador de milhares 3 11 4 6 3 3" xfId="21203"/>
    <cellStyle name="Separador de milhares 3 11 4 6 3 4" xfId="15289"/>
    <cellStyle name="Separador de milhares 3 11 4 6 4" xfId="5528"/>
    <cellStyle name="Separador de milhares 3 11 4 6 4 2" xfId="24160"/>
    <cellStyle name="Separador de milhares 3 11 4 6 5" xfId="18246"/>
    <cellStyle name="Separador de milhares 3 11 4 6 6" xfId="11915"/>
    <cellStyle name="Separador de milhares 3 11 4 7" xfId="3385"/>
    <cellStyle name="Separador de milhares 3 11 4 7 2" xfId="7374"/>
    <cellStyle name="Separador de milhares 3 11 4 7 2 2" xfId="10518"/>
    <cellStyle name="Separador de milhares 3 11 4 7 2 2 2" xfId="28732"/>
    <cellStyle name="Separador de milhares 3 11 4 7 2 2 3" xfId="22818"/>
    <cellStyle name="Separador de milhares 3 11 4 7 2 2 4" xfId="16904"/>
    <cellStyle name="Separador de milhares 3 11 4 7 2 3" xfId="25775"/>
    <cellStyle name="Separador de milhares 3 11 4 7 2 4" xfId="19861"/>
    <cellStyle name="Separador de milhares 3 11 4 7 2 5" xfId="13763"/>
    <cellStyle name="Separador de milhares 3 11 4 7 3" xfId="9050"/>
    <cellStyle name="Separador de milhares 3 11 4 7 3 2" xfId="27264"/>
    <cellStyle name="Separador de milhares 3 11 4 7 3 3" xfId="21350"/>
    <cellStyle name="Separador de milhares 3 11 4 7 3 4" xfId="15436"/>
    <cellStyle name="Separador de milhares 3 11 4 7 4" xfId="5675"/>
    <cellStyle name="Separador de milhares 3 11 4 7 4 2" xfId="24307"/>
    <cellStyle name="Separador de milhares 3 11 4 7 5" xfId="18393"/>
    <cellStyle name="Separador de milhares 3 11 4 7 6" xfId="12062"/>
    <cellStyle name="Separador de milhares 3 11 4 8" xfId="3912"/>
    <cellStyle name="Separador de milhares 3 11 4 8 2" xfId="7521"/>
    <cellStyle name="Separador de milhares 3 11 4 8 2 2" xfId="10665"/>
    <cellStyle name="Separador de milhares 3 11 4 8 2 2 2" xfId="28879"/>
    <cellStyle name="Separador de milhares 3 11 4 8 2 2 3" xfId="22965"/>
    <cellStyle name="Separador de milhares 3 11 4 8 2 2 4" xfId="17051"/>
    <cellStyle name="Separador de milhares 3 11 4 8 2 3" xfId="25922"/>
    <cellStyle name="Separador de milhares 3 11 4 8 2 4" xfId="20008"/>
    <cellStyle name="Separador de milhares 3 11 4 8 2 5" xfId="13910"/>
    <cellStyle name="Separador de milhares 3 11 4 8 3" xfId="9197"/>
    <cellStyle name="Separador de milhares 3 11 4 8 3 2" xfId="27411"/>
    <cellStyle name="Separador de milhares 3 11 4 8 3 3" xfId="21497"/>
    <cellStyle name="Separador de milhares 3 11 4 8 3 4" xfId="15583"/>
    <cellStyle name="Separador de milhares 3 11 4 8 4" xfId="5822"/>
    <cellStyle name="Separador de milhares 3 11 4 8 4 2" xfId="24454"/>
    <cellStyle name="Separador de milhares 3 11 4 8 5" xfId="18540"/>
    <cellStyle name="Separador de milhares 3 11 4 8 6" xfId="12209"/>
    <cellStyle name="Separador de milhares 3 11 4 9" xfId="680"/>
    <cellStyle name="Separador de milhares 3 11 4 9 2" xfId="6615"/>
    <cellStyle name="Separador de milhares 3 11 4 9 2 2" xfId="9762"/>
    <cellStyle name="Separador de milhares 3 11 4 9 2 2 2" xfId="27976"/>
    <cellStyle name="Separador de milhares 3 11 4 9 2 2 3" xfId="22062"/>
    <cellStyle name="Separador de milhares 3 11 4 9 2 2 4" xfId="16148"/>
    <cellStyle name="Separador de milhares 3 11 4 9 2 3" xfId="25019"/>
    <cellStyle name="Separador de milhares 3 11 4 9 2 4" xfId="19105"/>
    <cellStyle name="Separador de milhares 3 11 4 9 2 5" xfId="13004"/>
    <cellStyle name="Separador de milhares 3 11 4 9 3" xfId="8294"/>
    <cellStyle name="Separador de milhares 3 11 4 9 3 2" xfId="26508"/>
    <cellStyle name="Separador de milhares 3 11 4 9 3 3" xfId="20594"/>
    <cellStyle name="Separador de milhares 3 11 4 9 3 4" xfId="14680"/>
    <cellStyle name="Separador de milhares 3 11 4 9 4" xfId="4916"/>
    <cellStyle name="Separador de milhares 3 11 4 9 4 2" xfId="23551"/>
    <cellStyle name="Separador de milhares 3 11 4 9 5" xfId="17637"/>
    <cellStyle name="Separador de milhares 3 11 4 9 6" xfId="11303"/>
    <cellStyle name="Separador de milhares 3 11 5" xfId="627"/>
    <cellStyle name="Separador de milhares 3 11 5 10" xfId="4880"/>
    <cellStyle name="Separador de milhares 3 11 5 10 2" xfId="23514"/>
    <cellStyle name="Separador de milhares 3 11 5 11" xfId="17600"/>
    <cellStyle name="Separador de milhares 3 11 5 12" xfId="11269"/>
    <cellStyle name="Separador de milhares 3 11 5 2" xfId="1450"/>
    <cellStyle name="Separador de milhares 3 11 5 2 2" xfId="6832"/>
    <cellStyle name="Separador de milhares 3 11 5 2 2 2" xfId="9979"/>
    <cellStyle name="Separador de milhares 3 11 5 2 2 2 2" xfId="28193"/>
    <cellStyle name="Separador de milhares 3 11 5 2 2 2 3" xfId="22279"/>
    <cellStyle name="Separador de milhares 3 11 5 2 2 2 4" xfId="16365"/>
    <cellStyle name="Separador de milhares 3 11 5 2 2 3" xfId="25236"/>
    <cellStyle name="Separador de milhares 3 11 5 2 2 4" xfId="19322"/>
    <cellStyle name="Separador de milhares 3 11 5 2 2 5" xfId="13221"/>
    <cellStyle name="Separador de milhares 3 11 5 2 3" xfId="8511"/>
    <cellStyle name="Separador de milhares 3 11 5 2 3 2" xfId="26725"/>
    <cellStyle name="Separador de milhares 3 11 5 2 3 3" xfId="20811"/>
    <cellStyle name="Separador de milhares 3 11 5 2 3 4" xfId="14897"/>
    <cellStyle name="Separador de milhares 3 11 5 2 4" xfId="5133"/>
    <cellStyle name="Separador de milhares 3 11 5 2 4 2" xfId="23768"/>
    <cellStyle name="Separador de milhares 3 11 5 2 5" xfId="17854"/>
    <cellStyle name="Separador de milhares 3 11 5 2 6" xfId="11520"/>
    <cellStyle name="Separador de milhares 3 11 5 3" xfId="1885"/>
    <cellStyle name="Separador de milhares 3 11 5 3 2" xfId="6951"/>
    <cellStyle name="Separador de milhares 3 11 5 3 2 2" xfId="10098"/>
    <cellStyle name="Separador de milhares 3 11 5 3 2 2 2" xfId="28312"/>
    <cellStyle name="Separador de milhares 3 11 5 3 2 2 3" xfId="22398"/>
    <cellStyle name="Separador de milhares 3 11 5 3 2 2 4" xfId="16484"/>
    <cellStyle name="Separador de milhares 3 11 5 3 2 3" xfId="25355"/>
    <cellStyle name="Separador de milhares 3 11 5 3 2 4" xfId="19441"/>
    <cellStyle name="Separador de milhares 3 11 5 3 2 5" xfId="13340"/>
    <cellStyle name="Separador de milhares 3 11 5 3 3" xfId="8630"/>
    <cellStyle name="Separador de milhares 3 11 5 3 3 2" xfId="26844"/>
    <cellStyle name="Separador de milhares 3 11 5 3 3 3" xfId="20930"/>
    <cellStyle name="Separador de milhares 3 11 5 3 3 4" xfId="15016"/>
    <cellStyle name="Separador de milhares 3 11 5 3 4" xfId="5252"/>
    <cellStyle name="Separador de milhares 3 11 5 3 4 2" xfId="23887"/>
    <cellStyle name="Separador de milhares 3 11 5 3 5" xfId="17973"/>
    <cellStyle name="Separador de milhares 3 11 5 3 6" xfId="11639"/>
    <cellStyle name="Separador de milhares 3 11 5 4" xfId="2415"/>
    <cellStyle name="Separador de milhares 3 11 5 4 2" xfId="7101"/>
    <cellStyle name="Separador de milhares 3 11 5 4 2 2" xfId="10245"/>
    <cellStyle name="Separador de milhares 3 11 5 4 2 2 2" xfId="28459"/>
    <cellStyle name="Separador de milhares 3 11 5 4 2 2 3" xfId="22545"/>
    <cellStyle name="Separador de milhares 3 11 5 4 2 2 4" xfId="16631"/>
    <cellStyle name="Separador de milhares 3 11 5 4 2 3" xfId="25502"/>
    <cellStyle name="Separador de milhares 3 11 5 4 2 4" xfId="19588"/>
    <cellStyle name="Separador de milhares 3 11 5 4 2 5" xfId="13490"/>
    <cellStyle name="Separador de milhares 3 11 5 4 3" xfId="8777"/>
    <cellStyle name="Separador de milhares 3 11 5 4 3 2" xfId="26991"/>
    <cellStyle name="Separador de milhares 3 11 5 4 3 3" xfId="21077"/>
    <cellStyle name="Separador de milhares 3 11 5 4 3 4" xfId="15163"/>
    <cellStyle name="Separador de milhares 3 11 5 4 4" xfId="5402"/>
    <cellStyle name="Separador de milhares 3 11 5 4 4 2" xfId="24034"/>
    <cellStyle name="Separador de milhares 3 11 5 4 5" xfId="18120"/>
    <cellStyle name="Separador de milhares 3 11 5 4 6" xfId="11789"/>
    <cellStyle name="Separador de milhares 3 11 5 5" xfId="2942"/>
    <cellStyle name="Separador de milhares 3 11 5 5 2" xfId="7248"/>
    <cellStyle name="Separador de milhares 3 11 5 5 2 2" xfId="10392"/>
    <cellStyle name="Separador de milhares 3 11 5 5 2 2 2" xfId="28606"/>
    <cellStyle name="Separador de milhares 3 11 5 5 2 2 3" xfId="22692"/>
    <cellStyle name="Separador de milhares 3 11 5 5 2 2 4" xfId="16778"/>
    <cellStyle name="Separador de milhares 3 11 5 5 2 3" xfId="25649"/>
    <cellStyle name="Separador de milhares 3 11 5 5 2 4" xfId="19735"/>
    <cellStyle name="Separador de milhares 3 11 5 5 2 5" xfId="13637"/>
    <cellStyle name="Separador de milhares 3 11 5 5 3" xfId="8924"/>
    <cellStyle name="Separador de milhares 3 11 5 5 3 2" xfId="27138"/>
    <cellStyle name="Separador de milhares 3 11 5 5 3 3" xfId="21224"/>
    <cellStyle name="Separador de milhares 3 11 5 5 3 4" xfId="15310"/>
    <cellStyle name="Separador de milhares 3 11 5 5 4" xfId="5549"/>
    <cellStyle name="Separador de milhares 3 11 5 5 4 2" xfId="24181"/>
    <cellStyle name="Separador de milhares 3 11 5 5 5" xfId="18267"/>
    <cellStyle name="Separador de milhares 3 11 5 5 6" xfId="11936"/>
    <cellStyle name="Separador de milhares 3 11 5 6" xfId="3469"/>
    <cellStyle name="Separador de milhares 3 11 5 6 2" xfId="7395"/>
    <cellStyle name="Separador de milhares 3 11 5 6 2 2" xfId="10539"/>
    <cellStyle name="Separador de milhares 3 11 5 6 2 2 2" xfId="28753"/>
    <cellStyle name="Separador de milhares 3 11 5 6 2 2 3" xfId="22839"/>
    <cellStyle name="Separador de milhares 3 11 5 6 2 2 4" xfId="16925"/>
    <cellStyle name="Separador de milhares 3 11 5 6 2 3" xfId="25796"/>
    <cellStyle name="Separador de milhares 3 11 5 6 2 4" xfId="19882"/>
    <cellStyle name="Separador de milhares 3 11 5 6 2 5" xfId="13784"/>
    <cellStyle name="Separador de milhares 3 11 5 6 3" xfId="9071"/>
    <cellStyle name="Separador de milhares 3 11 5 6 3 2" xfId="27285"/>
    <cellStyle name="Separador de milhares 3 11 5 6 3 3" xfId="21371"/>
    <cellStyle name="Separador de milhares 3 11 5 6 3 4" xfId="15457"/>
    <cellStyle name="Separador de milhares 3 11 5 6 4" xfId="5696"/>
    <cellStyle name="Separador de milhares 3 11 5 6 4 2" xfId="24328"/>
    <cellStyle name="Separador de milhares 3 11 5 6 5" xfId="18414"/>
    <cellStyle name="Separador de milhares 3 11 5 6 6" xfId="12083"/>
    <cellStyle name="Separador de milhares 3 11 5 7" xfId="3996"/>
    <cellStyle name="Separador de milhares 3 11 5 7 2" xfId="7542"/>
    <cellStyle name="Separador de milhares 3 11 5 7 2 2" xfId="10686"/>
    <cellStyle name="Separador de milhares 3 11 5 7 2 2 2" xfId="28900"/>
    <cellStyle name="Separador de milhares 3 11 5 7 2 2 3" xfId="22986"/>
    <cellStyle name="Separador de milhares 3 11 5 7 2 2 4" xfId="17072"/>
    <cellStyle name="Separador de milhares 3 11 5 7 2 3" xfId="25943"/>
    <cellStyle name="Separador de milhares 3 11 5 7 2 4" xfId="20029"/>
    <cellStyle name="Separador de milhares 3 11 5 7 2 5" xfId="13931"/>
    <cellStyle name="Separador de milhares 3 11 5 7 3" xfId="9218"/>
    <cellStyle name="Separador de milhares 3 11 5 7 3 2" xfId="27432"/>
    <cellStyle name="Separador de milhares 3 11 5 7 3 3" xfId="21518"/>
    <cellStyle name="Separador de milhares 3 11 5 7 3 4" xfId="15604"/>
    <cellStyle name="Separador de milhares 3 11 5 7 4" xfId="5843"/>
    <cellStyle name="Separador de milhares 3 11 5 7 4 2" xfId="24475"/>
    <cellStyle name="Separador de milhares 3 11 5 7 5" xfId="18561"/>
    <cellStyle name="Separador de milhares 3 11 5 7 6" xfId="12230"/>
    <cellStyle name="Separador de milhares 3 11 5 8" xfId="6581"/>
    <cellStyle name="Separador de milhares 3 11 5 8 2" xfId="9728"/>
    <cellStyle name="Separador de milhares 3 11 5 8 2 2" xfId="27942"/>
    <cellStyle name="Separador de milhares 3 11 5 8 2 3" xfId="22028"/>
    <cellStyle name="Separador de milhares 3 11 5 8 2 4" xfId="16114"/>
    <cellStyle name="Separador de milhares 3 11 5 8 3" xfId="24985"/>
    <cellStyle name="Separador de milhares 3 11 5 8 4" xfId="19071"/>
    <cellStyle name="Separador de milhares 3 11 5 8 5" xfId="12970"/>
    <cellStyle name="Separador de milhares 3 11 5 9" xfId="8257"/>
    <cellStyle name="Separador de milhares 3 11 5 9 2" xfId="26471"/>
    <cellStyle name="Separador de milhares 3 11 5 9 3" xfId="20557"/>
    <cellStyle name="Separador de milhares 3 11 5 9 4" xfId="14646"/>
    <cellStyle name="Separador de milhares 3 11 6" xfId="748"/>
    <cellStyle name="Separador de milhares 3 11 6 2" xfId="4172"/>
    <cellStyle name="Separador de milhares 3 11 6 2 2" xfId="7591"/>
    <cellStyle name="Separador de milhares 3 11 6 2 2 2" xfId="10735"/>
    <cellStyle name="Separador de milhares 3 11 6 2 2 2 2" xfId="28949"/>
    <cellStyle name="Separador de milhares 3 11 6 2 2 2 3" xfId="23035"/>
    <cellStyle name="Separador de milhares 3 11 6 2 2 2 4" xfId="17121"/>
    <cellStyle name="Separador de milhares 3 11 6 2 2 3" xfId="25992"/>
    <cellStyle name="Separador de milhares 3 11 6 2 2 4" xfId="20078"/>
    <cellStyle name="Separador de milhares 3 11 6 2 2 5" xfId="13980"/>
    <cellStyle name="Separador de milhares 3 11 6 2 3" xfId="9267"/>
    <cellStyle name="Separador de milhares 3 11 6 2 3 2" xfId="27481"/>
    <cellStyle name="Separador de milhares 3 11 6 2 3 3" xfId="21567"/>
    <cellStyle name="Separador de milhares 3 11 6 2 3 4" xfId="15653"/>
    <cellStyle name="Separador de milhares 3 11 6 2 4" xfId="5892"/>
    <cellStyle name="Separador de milhares 3 11 6 2 4 2" xfId="24524"/>
    <cellStyle name="Separador de milhares 3 11 6 2 5" xfId="18610"/>
    <cellStyle name="Separador de milhares 3 11 6 2 6" xfId="12279"/>
    <cellStyle name="Separador de milhares 3 11 6 3" xfId="6636"/>
    <cellStyle name="Separador de milhares 3 11 6 3 2" xfId="9783"/>
    <cellStyle name="Separador de milhares 3 11 6 3 2 2" xfId="27997"/>
    <cellStyle name="Separador de milhares 3 11 6 3 2 3" xfId="22083"/>
    <cellStyle name="Separador de milhares 3 11 6 3 2 4" xfId="16169"/>
    <cellStyle name="Separador de milhares 3 11 6 3 3" xfId="25040"/>
    <cellStyle name="Separador de milhares 3 11 6 3 4" xfId="19126"/>
    <cellStyle name="Separador de milhares 3 11 6 3 5" xfId="13025"/>
    <cellStyle name="Separador de milhares 3 11 6 4" xfId="8315"/>
    <cellStyle name="Separador de milhares 3 11 6 4 2" xfId="26529"/>
    <cellStyle name="Separador de milhares 3 11 6 4 3" xfId="20615"/>
    <cellStyle name="Separador de milhares 3 11 6 4 4" xfId="14701"/>
    <cellStyle name="Separador de milhares 3 11 6 5" xfId="4937"/>
    <cellStyle name="Separador de milhares 3 11 6 5 2" xfId="23572"/>
    <cellStyle name="Separador de milhares 3 11 6 6" xfId="17658"/>
    <cellStyle name="Separador de milhares 3 11 6 7" xfId="11324"/>
    <cellStyle name="Separador de milhares 3 11 7" xfId="1099"/>
    <cellStyle name="Separador de milhares 3 11 7 2" xfId="6734"/>
    <cellStyle name="Separador de milhares 3 11 7 2 2" xfId="9881"/>
    <cellStyle name="Separador de milhares 3 11 7 2 2 2" xfId="28095"/>
    <cellStyle name="Separador de milhares 3 11 7 2 2 3" xfId="22181"/>
    <cellStyle name="Separador de milhares 3 11 7 2 2 4" xfId="16267"/>
    <cellStyle name="Separador de milhares 3 11 7 2 3" xfId="25138"/>
    <cellStyle name="Separador de milhares 3 11 7 2 4" xfId="19224"/>
    <cellStyle name="Separador de milhares 3 11 7 2 5" xfId="13123"/>
    <cellStyle name="Separador de milhares 3 11 7 3" xfId="8413"/>
    <cellStyle name="Separador de milhares 3 11 7 3 2" xfId="26627"/>
    <cellStyle name="Separador de milhares 3 11 7 3 3" xfId="20713"/>
    <cellStyle name="Separador de milhares 3 11 7 3 4" xfId="14799"/>
    <cellStyle name="Separador de milhares 3 11 7 4" xfId="5035"/>
    <cellStyle name="Separador de milhares 3 11 7 4 2" xfId="23670"/>
    <cellStyle name="Separador de milhares 3 11 7 5" xfId="17756"/>
    <cellStyle name="Separador de milhares 3 11 7 6" xfId="11422"/>
    <cellStyle name="Separador de milhares 3 11 8" xfId="1534"/>
    <cellStyle name="Separador de milhares 3 11 8 2" xfId="6853"/>
    <cellStyle name="Separador de milhares 3 11 8 2 2" xfId="10000"/>
    <cellStyle name="Separador de milhares 3 11 8 2 2 2" xfId="28214"/>
    <cellStyle name="Separador de milhares 3 11 8 2 2 3" xfId="22300"/>
    <cellStyle name="Separador de milhares 3 11 8 2 2 4" xfId="16386"/>
    <cellStyle name="Separador de milhares 3 11 8 2 3" xfId="25257"/>
    <cellStyle name="Separador de milhares 3 11 8 2 4" xfId="19343"/>
    <cellStyle name="Separador de milhares 3 11 8 2 5" xfId="13242"/>
    <cellStyle name="Separador de milhares 3 11 8 3" xfId="8532"/>
    <cellStyle name="Separador de milhares 3 11 8 3 2" xfId="26746"/>
    <cellStyle name="Separador de milhares 3 11 8 3 3" xfId="20832"/>
    <cellStyle name="Separador de milhares 3 11 8 3 4" xfId="14918"/>
    <cellStyle name="Separador de milhares 3 11 8 4" xfId="5154"/>
    <cellStyle name="Separador de milhares 3 11 8 4 2" xfId="23789"/>
    <cellStyle name="Separador de milhares 3 11 8 5" xfId="17875"/>
    <cellStyle name="Separador de milhares 3 11 8 6" xfId="11541"/>
    <cellStyle name="Separador de milhares 3 11 9" xfId="2064"/>
    <cellStyle name="Separador de milhares 3 11 9 2" xfId="7003"/>
    <cellStyle name="Separador de milhares 3 11 9 2 2" xfId="10147"/>
    <cellStyle name="Separador de milhares 3 11 9 2 2 2" xfId="28361"/>
    <cellStyle name="Separador de milhares 3 11 9 2 2 3" xfId="22447"/>
    <cellStyle name="Separador de milhares 3 11 9 2 2 4" xfId="16533"/>
    <cellStyle name="Separador de milhares 3 11 9 2 3" xfId="25404"/>
    <cellStyle name="Separador de milhares 3 11 9 2 4" xfId="19490"/>
    <cellStyle name="Separador de milhares 3 11 9 2 5" xfId="13392"/>
    <cellStyle name="Separador de milhares 3 11 9 3" xfId="8679"/>
    <cellStyle name="Separador de milhares 3 11 9 3 2" xfId="26893"/>
    <cellStyle name="Separador de milhares 3 11 9 3 3" xfId="20979"/>
    <cellStyle name="Separador de milhares 3 11 9 3 4" xfId="15065"/>
    <cellStyle name="Separador de milhares 3 11 9 4" xfId="5304"/>
    <cellStyle name="Separador de milhares 3 11 9 4 2" xfId="23936"/>
    <cellStyle name="Separador de milhares 3 11 9 5" xfId="18022"/>
    <cellStyle name="Separador de milhares 3 11 9 6" xfId="11691"/>
    <cellStyle name="Separador de milhares 3 12" xfId="96"/>
    <cellStyle name="Separador de milhares 3 12 10" xfId="2599"/>
    <cellStyle name="Separador de milhares 3 12 10 2" xfId="7152"/>
    <cellStyle name="Separador de milhares 3 12 10 2 2" xfId="10296"/>
    <cellStyle name="Separador de milhares 3 12 10 2 2 2" xfId="28510"/>
    <cellStyle name="Separador de milhares 3 12 10 2 2 3" xfId="22596"/>
    <cellStyle name="Separador de milhares 3 12 10 2 2 4" xfId="16682"/>
    <cellStyle name="Separador de milhares 3 12 10 2 3" xfId="25553"/>
    <cellStyle name="Separador de milhares 3 12 10 2 4" xfId="19639"/>
    <cellStyle name="Separador de milhares 3 12 10 2 5" xfId="13541"/>
    <cellStyle name="Separador de milhares 3 12 10 3" xfId="8828"/>
    <cellStyle name="Separador de milhares 3 12 10 3 2" xfId="27042"/>
    <cellStyle name="Separador de milhares 3 12 10 3 3" xfId="21128"/>
    <cellStyle name="Separador de milhares 3 12 10 3 4" xfId="15214"/>
    <cellStyle name="Separador de milhares 3 12 10 4" xfId="5453"/>
    <cellStyle name="Separador de milhares 3 12 10 4 2" xfId="24085"/>
    <cellStyle name="Separador de milhares 3 12 10 5" xfId="18171"/>
    <cellStyle name="Separador de milhares 3 12 10 6" xfId="11840"/>
    <cellStyle name="Separador de milhares 3 12 11" xfId="3126"/>
    <cellStyle name="Separador de milhares 3 12 11 2" xfId="7299"/>
    <cellStyle name="Separador de milhares 3 12 11 2 2" xfId="10443"/>
    <cellStyle name="Separador de milhares 3 12 11 2 2 2" xfId="28657"/>
    <cellStyle name="Separador de milhares 3 12 11 2 2 3" xfId="22743"/>
    <cellStyle name="Separador de milhares 3 12 11 2 2 4" xfId="16829"/>
    <cellStyle name="Separador de milhares 3 12 11 2 3" xfId="25700"/>
    <cellStyle name="Separador de milhares 3 12 11 2 4" xfId="19786"/>
    <cellStyle name="Separador de milhares 3 12 11 2 5" xfId="13688"/>
    <cellStyle name="Separador de milhares 3 12 11 3" xfId="8975"/>
    <cellStyle name="Separador de milhares 3 12 11 3 2" xfId="27189"/>
    <cellStyle name="Separador de milhares 3 12 11 3 3" xfId="21275"/>
    <cellStyle name="Separador de milhares 3 12 11 3 4" xfId="15361"/>
    <cellStyle name="Separador de milhares 3 12 11 4" xfId="5600"/>
    <cellStyle name="Separador de milhares 3 12 11 4 2" xfId="24232"/>
    <cellStyle name="Separador de milhares 3 12 11 5" xfId="18318"/>
    <cellStyle name="Separador de milhares 3 12 11 6" xfId="11987"/>
    <cellStyle name="Separador de milhares 3 12 12" xfId="3653"/>
    <cellStyle name="Separador de milhares 3 12 12 2" xfId="7446"/>
    <cellStyle name="Separador de milhares 3 12 12 2 2" xfId="10590"/>
    <cellStyle name="Separador de milhares 3 12 12 2 2 2" xfId="28804"/>
    <cellStyle name="Separador de milhares 3 12 12 2 2 3" xfId="22890"/>
    <cellStyle name="Separador de milhares 3 12 12 2 2 4" xfId="16976"/>
    <cellStyle name="Separador de milhares 3 12 12 2 3" xfId="25847"/>
    <cellStyle name="Separador de milhares 3 12 12 2 4" xfId="19933"/>
    <cellStyle name="Separador de milhares 3 12 12 2 5" xfId="13835"/>
    <cellStyle name="Separador de milhares 3 12 12 3" xfId="9122"/>
    <cellStyle name="Separador de milhares 3 12 12 3 2" xfId="27336"/>
    <cellStyle name="Separador de milhares 3 12 12 3 3" xfId="21422"/>
    <cellStyle name="Separador de milhares 3 12 12 3 4" xfId="15508"/>
    <cellStyle name="Separador de milhares 3 12 12 4" xfId="5747"/>
    <cellStyle name="Separador de milhares 3 12 12 4 2" xfId="24379"/>
    <cellStyle name="Separador de milhares 3 12 12 5" xfId="18465"/>
    <cellStyle name="Separador de milhares 3 12 12 6" xfId="12134"/>
    <cellStyle name="Separador de milhares 3 12 13" xfId="6430"/>
    <cellStyle name="Separador de milhares 3 12 13 2" xfId="9586"/>
    <cellStyle name="Separador de milhares 3 12 13 2 2" xfId="27800"/>
    <cellStyle name="Separador de milhares 3 12 13 2 3" xfId="21886"/>
    <cellStyle name="Separador de milhares 3 12 13 2 4" xfId="15972"/>
    <cellStyle name="Separador de milhares 3 12 13 3" xfId="24843"/>
    <cellStyle name="Separador de milhares 3 12 13 4" xfId="18929"/>
    <cellStyle name="Separador de milhares 3 12 13 5" xfId="12819"/>
    <cellStyle name="Separador de milhares 3 12 14" xfId="8115"/>
    <cellStyle name="Separador de milhares 3 12 14 2" xfId="26329"/>
    <cellStyle name="Separador de milhares 3 12 14 3" xfId="20415"/>
    <cellStyle name="Separador de milhares 3 12 14 4" xfId="14504"/>
    <cellStyle name="Separador de milhares 3 12 15" xfId="4728"/>
    <cellStyle name="Separador de milhares 3 12 15 2" xfId="23372"/>
    <cellStyle name="Separador de milhares 3 12 16" xfId="17458"/>
    <cellStyle name="Separador de milhares 3 12 17" xfId="11118"/>
    <cellStyle name="Separador de milhares 3 12 2" xfId="190"/>
    <cellStyle name="Separador de milhares 3 12 2 10" xfId="6459"/>
    <cellStyle name="Separador de milhares 3 12 2 10 2" xfId="9613"/>
    <cellStyle name="Separador de milhares 3 12 2 10 2 2" xfId="27827"/>
    <cellStyle name="Separador de milhares 3 12 2 10 2 3" xfId="21913"/>
    <cellStyle name="Separador de milhares 3 12 2 10 2 4" xfId="15999"/>
    <cellStyle name="Separador de milhares 3 12 2 10 3" xfId="24870"/>
    <cellStyle name="Separador de milhares 3 12 2 10 4" xfId="18956"/>
    <cellStyle name="Separador de milhares 3 12 2 10 5" xfId="12848"/>
    <cellStyle name="Separador de milhares 3 12 2 11" xfId="8142"/>
    <cellStyle name="Separador de milhares 3 12 2 11 2" xfId="26356"/>
    <cellStyle name="Separador de milhares 3 12 2 11 3" xfId="20442"/>
    <cellStyle name="Separador de milhares 3 12 2 11 4" xfId="14531"/>
    <cellStyle name="Separador de milhares 3 12 2 12" xfId="4758"/>
    <cellStyle name="Separador de milhares 3 12 2 12 2" xfId="23399"/>
    <cellStyle name="Separador de milhares 3 12 2 13" xfId="17485"/>
    <cellStyle name="Separador de milhares 3 12 2 14" xfId="11147"/>
    <cellStyle name="Separador de milhares 3 12 2 2" xfId="463"/>
    <cellStyle name="Separador de milhares 3 12 2 2 10" xfId="17559"/>
    <cellStyle name="Separador de milhares 3 12 2 2 11" xfId="11228"/>
    <cellStyle name="Separador de milhares 3 12 2 2 2" xfId="1982"/>
    <cellStyle name="Separador de milhares 3 12 2 2 2 2" xfId="6978"/>
    <cellStyle name="Separador de milhares 3 12 2 2 2 2 2" xfId="10125"/>
    <cellStyle name="Separador de milhares 3 12 2 2 2 2 2 2" xfId="28339"/>
    <cellStyle name="Separador de milhares 3 12 2 2 2 2 2 3" xfId="22425"/>
    <cellStyle name="Separador de milhares 3 12 2 2 2 2 2 4" xfId="16511"/>
    <cellStyle name="Separador de milhares 3 12 2 2 2 2 3" xfId="25382"/>
    <cellStyle name="Separador de milhares 3 12 2 2 2 2 4" xfId="19468"/>
    <cellStyle name="Separador de milhares 3 12 2 2 2 2 5" xfId="13367"/>
    <cellStyle name="Separador de milhares 3 12 2 2 2 3" xfId="8657"/>
    <cellStyle name="Separador de milhares 3 12 2 2 2 3 2" xfId="26871"/>
    <cellStyle name="Separador de milhares 3 12 2 2 2 3 3" xfId="20957"/>
    <cellStyle name="Separador de milhares 3 12 2 2 2 3 4" xfId="15043"/>
    <cellStyle name="Separador de milhares 3 12 2 2 2 4" xfId="5279"/>
    <cellStyle name="Separador de milhares 3 12 2 2 2 4 2" xfId="23914"/>
    <cellStyle name="Separador de milhares 3 12 2 2 2 5" xfId="18000"/>
    <cellStyle name="Separador de milhares 3 12 2 2 2 6" xfId="11666"/>
    <cellStyle name="Separador de milhares 3 12 2 2 3" xfId="2512"/>
    <cellStyle name="Separador de milhares 3 12 2 2 3 2" xfId="7128"/>
    <cellStyle name="Separador de milhares 3 12 2 2 3 2 2" xfId="10272"/>
    <cellStyle name="Separador de milhares 3 12 2 2 3 2 2 2" xfId="28486"/>
    <cellStyle name="Separador de milhares 3 12 2 2 3 2 2 3" xfId="22572"/>
    <cellStyle name="Separador de milhares 3 12 2 2 3 2 2 4" xfId="16658"/>
    <cellStyle name="Separador de milhares 3 12 2 2 3 2 3" xfId="25529"/>
    <cellStyle name="Separador de milhares 3 12 2 2 3 2 4" xfId="19615"/>
    <cellStyle name="Separador de milhares 3 12 2 2 3 2 5" xfId="13517"/>
    <cellStyle name="Separador de milhares 3 12 2 2 3 3" xfId="8804"/>
    <cellStyle name="Separador de milhares 3 12 2 2 3 3 2" xfId="27018"/>
    <cellStyle name="Separador de milhares 3 12 2 2 3 3 3" xfId="21104"/>
    <cellStyle name="Separador de milhares 3 12 2 2 3 3 4" xfId="15190"/>
    <cellStyle name="Separador de milhares 3 12 2 2 3 4" xfId="5429"/>
    <cellStyle name="Separador de milhares 3 12 2 2 3 4 2" xfId="24061"/>
    <cellStyle name="Separador de milhares 3 12 2 2 3 5" xfId="18147"/>
    <cellStyle name="Separador de milhares 3 12 2 2 3 6" xfId="11816"/>
    <cellStyle name="Separador de milhares 3 12 2 2 4" xfId="3039"/>
    <cellStyle name="Separador de milhares 3 12 2 2 4 2" xfId="7275"/>
    <cellStyle name="Separador de milhares 3 12 2 2 4 2 2" xfId="10419"/>
    <cellStyle name="Separador de milhares 3 12 2 2 4 2 2 2" xfId="28633"/>
    <cellStyle name="Separador de milhares 3 12 2 2 4 2 2 3" xfId="22719"/>
    <cellStyle name="Separador de milhares 3 12 2 2 4 2 2 4" xfId="16805"/>
    <cellStyle name="Separador de milhares 3 12 2 2 4 2 3" xfId="25676"/>
    <cellStyle name="Separador de milhares 3 12 2 2 4 2 4" xfId="19762"/>
    <cellStyle name="Separador de milhares 3 12 2 2 4 2 5" xfId="13664"/>
    <cellStyle name="Separador de milhares 3 12 2 2 4 3" xfId="8951"/>
    <cellStyle name="Separador de milhares 3 12 2 2 4 3 2" xfId="27165"/>
    <cellStyle name="Separador de milhares 3 12 2 2 4 3 3" xfId="21251"/>
    <cellStyle name="Separador de milhares 3 12 2 2 4 3 4" xfId="15337"/>
    <cellStyle name="Separador de milhares 3 12 2 2 4 4" xfId="5576"/>
    <cellStyle name="Separador de milhares 3 12 2 2 4 4 2" xfId="24208"/>
    <cellStyle name="Separador de milhares 3 12 2 2 4 5" xfId="18294"/>
    <cellStyle name="Separador de milhares 3 12 2 2 4 6" xfId="11963"/>
    <cellStyle name="Separador de milhares 3 12 2 2 5" xfId="3566"/>
    <cellStyle name="Separador de milhares 3 12 2 2 5 2" xfId="7422"/>
    <cellStyle name="Separador de milhares 3 12 2 2 5 2 2" xfId="10566"/>
    <cellStyle name="Separador de milhares 3 12 2 2 5 2 2 2" xfId="28780"/>
    <cellStyle name="Separador de milhares 3 12 2 2 5 2 2 3" xfId="22866"/>
    <cellStyle name="Separador de milhares 3 12 2 2 5 2 2 4" xfId="16952"/>
    <cellStyle name="Separador de milhares 3 12 2 2 5 2 3" xfId="25823"/>
    <cellStyle name="Separador de milhares 3 12 2 2 5 2 4" xfId="19909"/>
    <cellStyle name="Separador de milhares 3 12 2 2 5 2 5" xfId="13811"/>
    <cellStyle name="Separador de milhares 3 12 2 2 5 3" xfId="9098"/>
    <cellStyle name="Separador de milhares 3 12 2 2 5 3 2" xfId="27312"/>
    <cellStyle name="Separador de milhares 3 12 2 2 5 3 3" xfId="21398"/>
    <cellStyle name="Separador de milhares 3 12 2 2 5 3 4" xfId="15484"/>
    <cellStyle name="Separador de milhares 3 12 2 2 5 4" xfId="5723"/>
    <cellStyle name="Separador de milhares 3 12 2 2 5 4 2" xfId="24355"/>
    <cellStyle name="Separador de milhares 3 12 2 2 5 5" xfId="18441"/>
    <cellStyle name="Separador de milhares 3 12 2 2 5 6" xfId="12110"/>
    <cellStyle name="Separador de milhares 3 12 2 2 6" xfId="4093"/>
    <cellStyle name="Separador de milhares 3 12 2 2 6 2" xfId="7569"/>
    <cellStyle name="Separador de milhares 3 12 2 2 6 2 2" xfId="10713"/>
    <cellStyle name="Separador de milhares 3 12 2 2 6 2 2 2" xfId="28927"/>
    <cellStyle name="Separador de milhares 3 12 2 2 6 2 2 3" xfId="23013"/>
    <cellStyle name="Separador de milhares 3 12 2 2 6 2 2 4" xfId="17099"/>
    <cellStyle name="Separador de milhares 3 12 2 2 6 2 3" xfId="25970"/>
    <cellStyle name="Separador de milhares 3 12 2 2 6 2 4" xfId="20056"/>
    <cellStyle name="Separador de milhares 3 12 2 2 6 2 5" xfId="13958"/>
    <cellStyle name="Separador de milhares 3 12 2 2 6 3" xfId="9245"/>
    <cellStyle name="Separador de milhares 3 12 2 2 6 3 2" xfId="27459"/>
    <cellStyle name="Separador de milhares 3 12 2 2 6 3 3" xfId="21545"/>
    <cellStyle name="Separador de milhares 3 12 2 2 6 3 4" xfId="15631"/>
    <cellStyle name="Separador de milhares 3 12 2 2 6 4" xfId="5870"/>
    <cellStyle name="Separador de milhares 3 12 2 2 6 4 2" xfId="24502"/>
    <cellStyle name="Separador de milhares 3 12 2 2 6 5" xfId="18588"/>
    <cellStyle name="Separador de milhares 3 12 2 2 6 6" xfId="12257"/>
    <cellStyle name="Separador de milhares 3 12 2 2 7" xfId="6540"/>
    <cellStyle name="Separador de milhares 3 12 2 2 7 2" xfId="9687"/>
    <cellStyle name="Separador de milhares 3 12 2 2 7 2 2" xfId="27901"/>
    <cellStyle name="Separador de milhares 3 12 2 2 7 2 3" xfId="21987"/>
    <cellStyle name="Separador de milhares 3 12 2 2 7 2 4" xfId="16073"/>
    <cellStyle name="Separador de milhares 3 12 2 2 7 3" xfId="24944"/>
    <cellStyle name="Separador de milhares 3 12 2 2 7 4" xfId="19030"/>
    <cellStyle name="Separador de milhares 3 12 2 2 7 5" xfId="12929"/>
    <cellStyle name="Separador de milhares 3 12 2 2 8" xfId="8216"/>
    <cellStyle name="Separador de milhares 3 12 2 2 8 2" xfId="26430"/>
    <cellStyle name="Separador de milhares 3 12 2 2 8 3" xfId="20516"/>
    <cellStyle name="Separador de milhares 3 12 2 2 8 4" xfId="14605"/>
    <cellStyle name="Separador de milhares 3 12 2 2 9" xfId="4839"/>
    <cellStyle name="Separador de milhares 3 12 2 2 9 2" xfId="23473"/>
    <cellStyle name="Separador de milhares 3 12 2 3" xfId="936"/>
    <cellStyle name="Separador de milhares 3 12 2 3 2" xfId="6691"/>
    <cellStyle name="Separador de milhares 3 12 2 3 2 2" xfId="9838"/>
    <cellStyle name="Separador de milhares 3 12 2 3 2 2 2" xfId="28052"/>
    <cellStyle name="Separador de milhares 3 12 2 3 2 2 3" xfId="22138"/>
    <cellStyle name="Separador de milhares 3 12 2 3 2 2 4" xfId="16224"/>
    <cellStyle name="Separador de milhares 3 12 2 3 2 3" xfId="25095"/>
    <cellStyle name="Separador de milhares 3 12 2 3 2 4" xfId="19181"/>
    <cellStyle name="Separador de milhares 3 12 2 3 2 5" xfId="13080"/>
    <cellStyle name="Separador de milhares 3 12 2 3 3" xfId="8370"/>
    <cellStyle name="Separador de milhares 3 12 2 3 3 2" xfId="26584"/>
    <cellStyle name="Separador de milhares 3 12 2 3 3 3" xfId="20670"/>
    <cellStyle name="Separador de milhares 3 12 2 3 3 4" xfId="14756"/>
    <cellStyle name="Separador de milhares 3 12 2 3 4" xfId="4992"/>
    <cellStyle name="Separador de milhares 3 12 2 3 4 2" xfId="23627"/>
    <cellStyle name="Separador de milhares 3 12 2 3 5" xfId="17713"/>
    <cellStyle name="Separador de milhares 3 12 2 3 6" xfId="11379"/>
    <cellStyle name="Separador de milhares 3 12 2 4" xfId="1287"/>
    <cellStyle name="Separador de milhares 3 12 2 4 2" xfId="6789"/>
    <cellStyle name="Separador de milhares 3 12 2 4 2 2" xfId="9936"/>
    <cellStyle name="Separador de milhares 3 12 2 4 2 2 2" xfId="28150"/>
    <cellStyle name="Separador de milhares 3 12 2 4 2 2 3" xfId="22236"/>
    <cellStyle name="Separador de milhares 3 12 2 4 2 2 4" xfId="16322"/>
    <cellStyle name="Separador de milhares 3 12 2 4 2 3" xfId="25193"/>
    <cellStyle name="Separador de milhares 3 12 2 4 2 4" xfId="19279"/>
    <cellStyle name="Separador de milhares 3 12 2 4 2 5" xfId="13178"/>
    <cellStyle name="Separador de milhares 3 12 2 4 3" xfId="8468"/>
    <cellStyle name="Separador de milhares 3 12 2 4 3 2" xfId="26682"/>
    <cellStyle name="Separador de milhares 3 12 2 4 3 3" xfId="20768"/>
    <cellStyle name="Separador de milhares 3 12 2 4 3 4" xfId="14854"/>
    <cellStyle name="Separador de milhares 3 12 2 4 4" xfId="5090"/>
    <cellStyle name="Separador de milhares 3 12 2 4 4 2" xfId="23725"/>
    <cellStyle name="Separador de milhares 3 12 2 4 5" xfId="17811"/>
    <cellStyle name="Separador de milhares 3 12 2 4 6" xfId="11477"/>
    <cellStyle name="Separador de milhares 3 12 2 5" xfId="1722"/>
    <cellStyle name="Separador de milhares 3 12 2 5 2" xfId="6908"/>
    <cellStyle name="Separador de milhares 3 12 2 5 2 2" xfId="10055"/>
    <cellStyle name="Separador de milhares 3 12 2 5 2 2 2" xfId="28269"/>
    <cellStyle name="Separador de milhares 3 12 2 5 2 2 3" xfId="22355"/>
    <cellStyle name="Separador de milhares 3 12 2 5 2 2 4" xfId="16441"/>
    <cellStyle name="Separador de milhares 3 12 2 5 2 3" xfId="25312"/>
    <cellStyle name="Separador de milhares 3 12 2 5 2 4" xfId="19398"/>
    <cellStyle name="Separador de milhares 3 12 2 5 2 5" xfId="13297"/>
    <cellStyle name="Separador de milhares 3 12 2 5 3" xfId="8587"/>
    <cellStyle name="Separador de milhares 3 12 2 5 3 2" xfId="26801"/>
    <cellStyle name="Separador de milhares 3 12 2 5 3 3" xfId="20887"/>
    <cellStyle name="Separador de milhares 3 12 2 5 3 4" xfId="14973"/>
    <cellStyle name="Separador de milhares 3 12 2 5 4" xfId="5209"/>
    <cellStyle name="Separador de milhares 3 12 2 5 4 2" xfId="23844"/>
    <cellStyle name="Separador de milhares 3 12 2 5 5" xfId="17930"/>
    <cellStyle name="Separador de milhares 3 12 2 5 6" xfId="11596"/>
    <cellStyle name="Separador de milhares 3 12 2 6" xfId="2252"/>
    <cellStyle name="Separador de milhares 3 12 2 6 2" xfId="7058"/>
    <cellStyle name="Separador de milhares 3 12 2 6 2 2" xfId="10202"/>
    <cellStyle name="Separador de milhares 3 12 2 6 2 2 2" xfId="28416"/>
    <cellStyle name="Separador de milhares 3 12 2 6 2 2 3" xfId="22502"/>
    <cellStyle name="Separador de milhares 3 12 2 6 2 2 4" xfId="16588"/>
    <cellStyle name="Separador de milhares 3 12 2 6 2 3" xfId="25459"/>
    <cellStyle name="Separador de milhares 3 12 2 6 2 4" xfId="19545"/>
    <cellStyle name="Separador de milhares 3 12 2 6 2 5" xfId="13447"/>
    <cellStyle name="Separador de milhares 3 12 2 6 3" xfId="8734"/>
    <cellStyle name="Separador de milhares 3 12 2 6 3 2" xfId="26948"/>
    <cellStyle name="Separador de milhares 3 12 2 6 3 3" xfId="21034"/>
    <cellStyle name="Separador de milhares 3 12 2 6 3 4" xfId="15120"/>
    <cellStyle name="Separador de milhares 3 12 2 6 4" xfId="5359"/>
    <cellStyle name="Separador de milhares 3 12 2 6 4 2" xfId="23991"/>
    <cellStyle name="Separador de milhares 3 12 2 6 5" xfId="18077"/>
    <cellStyle name="Separador de milhares 3 12 2 6 6" xfId="11746"/>
    <cellStyle name="Separador de milhares 3 12 2 7" xfId="2779"/>
    <cellStyle name="Separador de milhares 3 12 2 7 2" xfId="7205"/>
    <cellStyle name="Separador de milhares 3 12 2 7 2 2" xfId="10349"/>
    <cellStyle name="Separador de milhares 3 12 2 7 2 2 2" xfId="28563"/>
    <cellStyle name="Separador de milhares 3 12 2 7 2 2 3" xfId="22649"/>
    <cellStyle name="Separador de milhares 3 12 2 7 2 2 4" xfId="16735"/>
    <cellStyle name="Separador de milhares 3 12 2 7 2 3" xfId="25606"/>
    <cellStyle name="Separador de milhares 3 12 2 7 2 4" xfId="19692"/>
    <cellStyle name="Separador de milhares 3 12 2 7 2 5" xfId="13594"/>
    <cellStyle name="Separador de milhares 3 12 2 7 3" xfId="8881"/>
    <cellStyle name="Separador de milhares 3 12 2 7 3 2" xfId="27095"/>
    <cellStyle name="Separador de milhares 3 12 2 7 3 3" xfId="21181"/>
    <cellStyle name="Separador de milhares 3 12 2 7 3 4" xfId="15267"/>
    <cellStyle name="Separador de milhares 3 12 2 7 4" xfId="5506"/>
    <cellStyle name="Separador de milhares 3 12 2 7 4 2" xfId="24138"/>
    <cellStyle name="Separador de milhares 3 12 2 7 5" xfId="18224"/>
    <cellStyle name="Separador de milhares 3 12 2 7 6" xfId="11893"/>
    <cellStyle name="Separador de milhares 3 12 2 8" xfId="3306"/>
    <cellStyle name="Separador de milhares 3 12 2 8 2" xfId="7352"/>
    <cellStyle name="Separador de milhares 3 12 2 8 2 2" xfId="10496"/>
    <cellStyle name="Separador de milhares 3 12 2 8 2 2 2" xfId="28710"/>
    <cellStyle name="Separador de milhares 3 12 2 8 2 2 3" xfId="22796"/>
    <cellStyle name="Separador de milhares 3 12 2 8 2 2 4" xfId="16882"/>
    <cellStyle name="Separador de milhares 3 12 2 8 2 3" xfId="25753"/>
    <cellStyle name="Separador de milhares 3 12 2 8 2 4" xfId="19839"/>
    <cellStyle name="Separador de milhares 3 12 2 8 2 5" xfId="13741"/>
    <cellStyle name="Separador de milhares 3 12 2 8 3" xfId="9028"/>
    <cellStyle name="Separador de milhares 3 12 2 8 3 2" xfId="27242"/>
    <cellStyle name="Separador de milhares 3 12 2 8 3 3" xfId="21328"/>
    <cellStyle name="Separador de milhares 3 12 2 8 3 4" xfId="15414"/>
    <cellStyle name="Separador de milhares 3 12 2 8 4" xfId="5653"/>
    <cellStyle name="Separador de milhares 3 12 2 8 4 2" xfId="24285"/>
    <cellStyle name="Separador de milhares 3 12 2 8 5" xfId="18371"/>
    <cellStyle name="Separador de milhares 3 12 2 8 6" xfId="12040"/>
    <cellStyle name="Separador de milhares 3 12 2 9" xfId="3833"/>
    <cellStyle name="Separador de milhares 3 12 2 9 2" xfId="7499"/>
    <cellStyle name="Separador de milhares 3 12 2 9 2 2" xfId="10643"/>
    <cellStyle name="Separador de milhares 3 12 2 9 2 2 2" xfId="28857"/>
    <cellStyle name="Separador de milhares 3 12 2 9 2 2 3" xfId="22943"/>
    <cellStyle name="Separador de milhares 3 12 2 9 2 2 4" xfId="17029"/>
    <cellStyle name="Separador de milhares 3 12 2 9 2 3" xfId="25900"/>
    <cellStyle name="Separador de milhares 3 12 2 9 2 4" xfId="19986"/>
    <cellStyle name="Separador de milhares 3 12 2 9 2 5" xfId="13888"/>
    <cellStyle name="Separador de milhares 3 12 2 9 3" xfId="9175"/>
    <cellStyle name="Separador de milhares 3 12 2 9 3 2" xfId="27389"/>
    <cellStyle name="Separador de milhares 3 12 2 9 3 3" xfId="21475"/>
    <cellStyle name="Separador de milhares 3 12 2 9 3 4" xfId="15561"/>
    <cellStyle name="Separador de milhares 3 12 2 9 4" xfId="5800"/>
    <cellStyle name="Separador de milhares 3 12 2 9 4 2" xfId="24432"/>
    <cellStyle name="Separador de milhares 3 12 2 9 5" xfId="18518"/>
    <cellStyle name="Separador de milhares 3 12 2 9 6" xfId="12187"/>
    <cellStyle name="Separador de milhares 3 12 3" xfId="285"/>
    <cellStyle name="Separador de milhares 3 12 3 10" xfId="6490"/>
    <cellStyle name="Separador de milhares 3 12 3 10 2" xfId="9641"/>
    <cellStyle name="Separador de milhares 3 12 3 10 2 2" xfId="27855"/>
    <cellStyle name="Separador de milhares 3 12 3 10 2 3" xfId="21941"/>
    <cellStyle name="Separador de milhares 3 12 3 10 2 4" xfId="16027"/>
    <cellStyle name="Separador de milhares 3 12 3 10 3" xfId="24898"/>
    <cellStyle name="Separador de milhares 3 12 3 10 4" xfId="18984"/>
    <cellStyle name="Separador de milhares 3 12 3 10 5" xfId="12879"/>
    <cellStyle name="Separador de milhares 3 12 3 11" xfId="8170"/>
    <cellStyle name="Separador de milhares 3 12 3 11 2" xfId="26384"/>
    <cellStyle name="Separador de milhares 3 12 3 11 3" xfId="20470"/>
    <cellStyle name="Separador de milhares 3 12 3 11 4" xfId="14559"/>
    <cellStyle name="Separador de milhares 3 12 3 12" xfId="4789"/>
    <cellStyle name="Separador de milhares 3 12 3 12 2" xfId="23427"/>
    <cellStyle name="Separador de milhares 3 12 3 13" xfId="17513"/>
    <cellStyle name="Separador de milhares 3 12 3 14" xfId="11178"/>
    <cellStyle name="Separador de milhares 3 12 3 2" xfId="548"/>
    <cellStyle name="Separador de milhares 3 12 3 2 2" xfId="6561"/>
    <cellStyle name="Separador de milhares 3 12 3 2 2 2" xfId="9708"/>
    <cellStyle name="Separador de milhares 3 12 3 2 2 2 2" xfId="27922"/>
    <cellStyle name="Separador de milhares 3 12 3 2 2 2 3" xfId="22008"/>
    <cellStyle name="Separador de milhares 3 12 3 2 2 2 4" xfId="16094"/>
    <cellStyle name="Separador de milhares 3 12 3 2 2 3" xfId="24965"/>
    <cellStyle name="Separador de milhares 3 12 3 2 2 4" xfId="19051"/>
    <cellStyle name="Separador de milhares 3 12 3 2 2 5" xfId="12950"/>
    <cellStyle name="Separador de milhares 3 12 3 2 3" xfId="8237"/>
    <cellStyle name="Separador de milhares 3 12 3 2 3 2" xfId="26451"/>
    <cellStyle name="Separador de milhares 3 12 3 2 3 3" xfId="20537"/>
    <cellStyle name="Separador de milhares 3 12 3 2 3 4" xfId="14626"/>
    <cellStyle name="Separador de milhares 3 12 3 2 4" xfId="4860"/>
    <cellStyle name="Separador de milhares 3 12 3 2 4 2" xfId="23494"/>
    <cellStyle name="Separador de milhares 3 12 3 2 5" xfId="17580"/>
    <cellStyle name="Separador de milhares 3 12 3 2 6" xfId="11249"/>
    <cellStyle name="Separador de milhares 3 12 3 3" xfId="845"/>
    <cellStyle name="Separador de milhares 3 12 3 3 2" xfId="6663"/>
    <cellStyle name="Separador de milhares 3 12 3 3 2 2" xfId="9810"/>
    <cellStyle name="Separador de milhares 3 12 3 3 2 2 2" xfId="28024"/>
    <cellStyle name="Separador de milhares 3 12 3 3 2 2 3" xfId="22110"/>
    <cellStyle name="Separador de milhares 3 12 3 3 2 2 4" xfId="16196"/>
    <cellStyle name="Separador de milhares 3 12 3 3 2 3" xfId="25067"/>
    <cellStyle name="Separador de milhares 3 12 3 3 2 4" xfId="19153"/>
    <cellStyle name="Separador de milhares 3 12 3 3 2 5" xfId="13052"/>
    <cellStyle name="Separador de milhares 3 12 3 3 3" xfId="8342"/>
    <cellStyle name="Separador de milhares 3 12 3 3 3 2" xfId="26556"/>
    <cellStyle name="Separador de milhares 3 12 3 3 3 3" xfId="20642"/>
    <cellStyle name="Separador de milhares 3 12 3 3 3 4" xfId="14728"/>
    <cellStyle name="Separador de milhares 3 12 3 3 4" xfId="4964"/>
    <cellStyle name="Separador de milhares 3 12 3 3 4 2" xfId="23599"/>
    <cellStyle name="Separador de milhares 3 12 3 3 5" xfId="17685"/>
    <cellStyle name="Separador de milhares 3 12 3 3 6" xfId="11351"/>
    <cellStyle name="Separador de milhares 3 12 3 4" xfId="1196"/>
    <cellStyle name="Separador de milhares 3 12 3 4 2" xfId="6761"/>
    <cellStyle name="Separador de milhares 3 12 3 4 2 2" xfId="9908"/>
    <cellStyle name="Separador de milhares 3 12 3 4 2 2 2" xfId="28122"/>
    <cellStyle name="Separador de milhares 3 12 3 4 2 2 3" xfId="22208"/>
    <cellStyle name="Separador de milhares 3 12 3 4 2 2 4" xfId="16294"/>
    <cellStyle name="Separador de milhares 3 12 3 4 2 3" xfId="25165"/>
    <cellStyle name="Separador de milhares 3 12 3 4 2 4" xfId="19251"/>
    <cellStyle name="Separador de milhares 3 12 3 4 2 5" xfId="13150"/>
    <cellStyle name="Separador de milhares 3 12 3 4 3" xfId="8440"/>
    <cellStyle name="Separador de milhares 3 12 3 4 3 2" xfId="26654"/>
    <cellStyle name="Separador de milhares 3 12 3 4 3 3" xfId="20740"/>
    <cellStyle name="Separador de milhares 3 12 3 4 3 4" xfId="14826"/>
    <cellStyle name="Separador de milhares 3 12 3 4 4" xfId="5062"/>
    <cellStyle name="Separador de milhares 3 12 3 4 4 2" xfId="23697"/>
    <cellStyle name="Separador de milhares 3 12 3 4 5" xfId="17783"/>
    <cellStyle name="Separador de milhares 3 12 3 4 6" xfId="11449"/>
    <cellStyle name="Separador de milhares 3 12 3 5" xfId="1631"/>
    <cellStyle name="Separador de milhares 3 12 3 5 2" xfId="6880"/>
    <cellStyle name="Separador de milhares 3 12 3 5 2 2" xfId="10027"/>
    <cellStyle name="Separador de milhares 3 12 3 5 2 2 2" xfId="28241"/>
    <cellStyle name="Separador de milhares 3 12 3 5 2 2 3" xfId="22327"/>
    <cellStyle name="Separador de milhares 3 12 3 5 2 2 4" xfId="16413"/>
    <cellStyle name="Separador de milhares 3 12 3 5 2 3" xfId="25284"/>
    <cellStyle name="Separador de milhares 3 12 3 5 2 4" xfId="19370"/>
    <cellStyle name="Separador de milhares 3 12 3 5 2 5" xfId="13269"/>
    <cellStyle name="Separador de milhares 3 12 3 5 3" xfId="8559"/>
    <cellStyle name="Separador de milhares 3 12 3 5 3 2" xfId="26773"/>
    <cellStyle name="Separador de milhares 3 12 3 5 3 3" xfId="20859"/>
    <cellStyle name="Separador de milhares 3 12 3 5 3 4" xfId="14945"/>
    <cellStyle name="Separador de milhares 3 12 3 5 4" xfId="5181"/>
    <cellStyle name="Separador de milhares 3 12 3 5 4 2" xfId="23816"/>
    <cellStyle name="Separador de milhares 3 12 3 5 5" xfId="17902"/>
    <cellStyle name="Separador de milhares 3 12 3 5 6" xfId="11568"/>
    <cellStyle name="Separador de milhares 3 12 3 6" xfId="2161"/>
    <cellStyle name="Separador de milhares 3 12 3 6 2" xfId="7030"/>
    <cellStyle name="Separador de milhares 3 12 3 6 2 2" xfId="10174"/>
    <cellStyle name="Separador de milhares 3 12 3 6 2 2 2" xfId="28388"/>
    <cellStyle name="Separador de milhares 3 12 3 6 2 2 3" xfId="22474"/>
    <cellStyle name="Separador de milhares 3 12 3 6 2 2 4" xfId="16560"/>
    <cellStyle name="Separador de milhares 3 12 3 6 2 3" xfId="25431"/>
    <cellStyle name="Separador de milhares 3 12 3 6 2 4" xfId="19517"/>
    <cellStyle name="Separador de milhares 3 12 3 6 2 5" xfId="13419"/>
    <cellStyle name="Separador de milhares 3 12 3 6 3" xfId="8706"/>
    <cellStyle name="Separador de milhares 3 12 3 6 3 2" xfId="26920"/>
    <cellStyle name="Separador de milhares 3 12 3 6 3 3" xfId="21006"/>
    <cellStyle name="Separador de milhares 3 12 3 6 3 4" xfId="15092"/>
    <cellStyle name="Separador de milhares 3 12 3 6 4" xfId="5331"/>
    <cellStyle name="Separador de milhares 3 12 3 6 4 2" xfId="23963"/>
    <cellStyle name="Separador de milhares 3 12 3 6 5" xfId="18049"/>
    <cellStyle name="Separador de milhares 3 12 3 6 6" xfId="11718"/>
    <cellStyle name="Separador de milhares 3 12 3 7" xfId="2688"/>
    <cellStyle name="Separador de milhares 3 12 3 7 2" xfId="7177"/>
    <cellStyle name="Separador de milhares 3 12 3 7 2 2" xfId="10321"/>
    <cellStyle name="Separador de milhares 3 12 3 7 2 2 2" xfId="28535"/>
    <cellStyle name="Separador de milhares 3 12 3 7 2 2 3" xfId="22621"/>
    <cellStyle name="Separador de milhares 3 12 3 7 2 2 4" xfId="16707"/>
    <cellStyle name="Separador de milhares 3 12 3 7 2 3" xfId="25578"/>
    <cellStyle name="Separador de milhares 3 12 3 7 2 4" xfId="19664"/>
    <cellStyle name="Separador de milhares 3 12 3 7 2 5" xfId="13566"/>
    <cellStyle name="Separador de milhares 3 12 3 7 3" xfId="8853"/>
    <cellStyle name="Separador de milhares 3 12 3 7 3 2" xfId="27067"/>
    <cellStyle name="Separador de milhares 3 12 3 7 3 3" xfId="21153"/>
    <cellStyle name="Separador de milhares 3 12 3 7 3 4" xfId="15239"/>
    <cellStyle name="Separador de milhares 3 12 3 7 4" xfId="5478"/>
    <cellStyle name="Separador de milhares 3 12 3 7 4 2" xfId="24110"/>
    <cellStyle name="Separador de milhares 3 12 3 7 5" xfId="18196"/>
    <cellStyle name="Separador de milhares 3 12 3 7 6" xfId="11865"/>
    <cellStyle name="Separador de milhares 3 12 3 8" xfId="3215"/>
    <cellStyle name="Separador de milhares 3 12 3 8 2" xfId="7324"/>
    <cellStyle name="Separador de milhares 3 12 3 8 2 2" xfId="10468"/>
    <cellStyle name="Separador de milhares 3 12 3 8 2 2 2" xfId="28682"/>
    <cellStyle name="Separador de milhares 3 12 3 8 2 2 3" xfId="22768"/>
    <cellStyle name="Separador de milhares 3 12 3 8 2 2 4" xfId="16854"/>
    <cellStyle name="Separador de milhares 3 12 3 8 2 3" xfId="25725"/>
    <cellStyle name="Separador de milhares 3 12 3 8 2 4" xfId="19811"/>
    <cellStyle name="Separador de milhares 3 12 3 8 2 5" xfId="13713"/>
    <cellStyle name="Separador de milhares 3 12 3 8 3" xfId="9000"/>
    <cellStyle name="Separador de milhares 3 12 3 8 3 2" xfId="27214"/>
    <cellStyle name="Separador de milhares 3 12 3 8 3 3" xfId="21300"/>
    <cellStyle name="Separador de milhares 3 12 3 8 3 4" xfId="15386"/>
    <cellStyle name="Separador de milhares 3 12 3 8 4" xfId="5625"/>
    <cellStyle name="Separador de milhares 3 12 3 8 4 2" xfId="24257"/>
    <cellStyle name="Separador de milhares 3 12 3 8 5" xfId="18343"/>
    <cellStyle name="Separador de milhares 3 12 3 8 6" xfId="12012"/>
    <cellStyle name="Separador de milhares 3 12 3 9" xfId="3742"/>
    <cellStyle name="Separador de milhares 3 12 3 9 2" xfId="7471"/>
    <cellStyle name="Separador de milhares 3 12 3 9 2 2" xfId="10615"/>
    <cellStyle name="Separador de milhares 3 12 3 9 2 2 2" xfId="28829"/>
    <cellStyle name="Separador de milhares 3 12 3 9 2 2 3" xfId="22915"/>
    <cellStyle name="Separador de milhares 3 12 3 9 2 2 4" xfId="17001"/>
    <cellStyle name="Separador de milhares 3 12 3 9 2 3" xfId="25872"/>
    <cellStyle name="Separador de milhares 3 12 3 9 2 4" xfId="19958"/>
    <cellStyle name="Separador de milhares 3 12 3 9 2 5" xfId="13860"/>
    <cellStyle name="Separador de milhares 3 12 3 9 3" xfId="9147"/>
    <cellStyle name="Separador de milhares 3 12 3 9 3 2" xfId="27361"/>
    <cellStyle name="Separador de milhares 3 12 3 9 3 3" xfId="21447"/>
    <cellStyle name="Separador de milhares 3 12 3 9 3 4" xfId="15533"/>
    <cellStyle name="Separador de milhares 3 12 3 9 4" xfId="5772"/>
    <cellStyle name="Separador de milhares 3 12 3 9 4 2" xfId="24404"/>
    <cellStyle name="Separador de milhares 3 12 3 9 5" xfId="18490"/>
    <cellStyle name="Separador de milhares 3 12 3 9 6" xfId="12159"/>
    <cellStyle name="Separador de milhares 3 12 4" xfId="378"/>
    <cellStyle name="Separador de milhares 3 12 4 10" xfId="6518"/>
    <cellStyle name="Separador de milhares 3 12 4 10 2" xfId="9666"/>
    <cellStyle name="Separador de milhares 3 12 4 10 2 2" xfId="27880"/>
    <cellStyle name="Separador de milhares 3 12 4 10 2 3" xfId="21966"/>
    <cellStyle name="Separador de milhares 3 12 4 10 2 4" xfId="16052"/>
    <cellStyle name="Separador de milhares 3 12 4 10 3" xfId="24923"/>
    <cellStyle name="Separador de milhares 3 12 4 10 4" xfId="19009"/>
    <cellStyle name="Separador de milhares 3 12 4 10 5" xfId="12907"/>
    <cellStyle name="Separador de milhares 3 12 4 11" xfId="8195"/>
    <cellStyle name="Separador de milhares 3 12 4 11 2" xfId="26409"/>
    <cellStyle name="Separador de milhares 3 12 4 11 3" xfId="20495"/>
    <cellStyle name="Separador de milhares 3 12 4 11 4" xfId="14584"/>
    <cellStyle name="Separador de milhares 3 12 4 12" xfId="4817"/>
    <cellStyle name="Separador de milhares 3 12 4 12 2" xfId="23452"/>
    <cellStyle name="Separador de milhares 3 12 4 13" xfId="17538"/>
    <cellStyle name="Separador de milhares 3 12 4 14" xfId="11206"/>
    <cellStyle name="Separador de milhares 3 12 4 2" xfId="1023"/>
    <cellStyle name="Separador de milhares 3 12 4 2 2" xfId="6715"/>
    <cellStyle name="Separador de milhares 3 12 4 2 2 2" xfId="9862"/>
    <cellStyle name="Separador de milhares 3 12 4 2 2 2 2" xfId="28076"/>
    <cellStyle name="Separador de milhares 3 12 4 2 2 2 3" xfId="22162"/>
    <cellStyle name="Separador de milhares 3 12 4 2 2 2 4" xfId="16248"/>
    <cellStyle name="Separador de milhares 3 12 4 2 2 3" xfId="25119"/>
    <cellStyle name="Separador de milhares 3 12 4 2 2 4" xfId="19205"/>
    <cellStyle name="Separador de milhares 3 12 4 2 2 5" xfId="13104"/>
    <cellStyle name="Separador de milhares 3 12 4 2 3" xfId="8394"/>
    <cellStyle name="Separador de milhares 3 12 4 2 3 2" xfId="26608"/>
    <cellStyle name="Separador de milhares 3 12 4 2 3 3" xfId="20694"/>
    <cellStyle name="Separador de milhares 3 12 4 2 3 4" xfId="14780"/>
    <cellStyle name="Separador de milhares 3 12 4 2 4" xfId="5016"/>
    <cellStyle name="Separador de milhares 3 12 4 2 4 2" xfId="23651"/>
    <cellStyle name="Separador de milhares 3 12 4 2 5" xfId="17737"/>
    <cellStyle name="Separador de milhares 3 12 4 2 6" xfId="11403"/>
    <cellStyle name="Separador de milhares 3 12 4 3" xfId="1374"/>
    <cellStyle name="Separador de milhares 3 12 4 3 2" xfId="6813"/>
    <cellStyle name="Separador de milhares 3 12 4 3 2 2" xfId="9960"/>
    <cellStyle name="Separador de milhares 3 12 4 3 2 2 2" xfId="28174"/>
    <cellStyle name="Separador de milhares 3 12 4 3 2 2 3" xfId="22260"/>
    <cellStyle name="Separador de milhares 3 12 4 3 2 2 4" xfId="16346"/>
    <cellStyle name="Separador de milhares 3 12 4 3 2 3" xfId="25217"/>
    <cellStyle name="Separador de milhares 3 12 4 3 2 4" xfId="19303"/>
    <cellStyle name="Separador de milhares 3 12 4 3 2 5" xfId="13202"/>
    <cellStyle name="Separador de milhares 3 12 4 3 3" xfId="8492"/>
    <cellStyle name="Separador de milhares 3 12 4 3 3 2" xfId="26706"/>
    <cellStyle name="Separador de milhares 3 12 4 3 3 3" xfId="20792"/>
    <cellStyle name="Separador de milhares 3 12 4 3 3 4" xfId="14878"/>
    <cellStyle name="Separador de milhares 3 12 4 3 4" xfId="5114"/>
    <cellStyle name="Separador de milhares 3 12 4 3 4 2" xfId="23749"/>
    <cellStyle name="Separador de milhares 3 12 4 3 5" xfId="17835"/>
    <cellStyle name="Separador de milhares 3 12 4 3 6" xfId="11501"/>
    <cellStyle name="Separador de milhares 3 12 4 4" xfId="1809"/>
    <cellStyle name="Separador de milhares 3 12 4 4 2" xfId="6932"/>
    <cellStyle name="Separador de milhares 3 12 4 4 2 2" xfId="10079"/>
    <cellStyle name="Separador de milhares 3 12 4 4 2 2 2" xfId="28293"/>
    <cellStyle name="Separador de milhares 3 12 4 4 2 2 3" xfId="22379"/>
    <cellStyle name="Separador de milhares 3 12 4 4 2 2 4" xfId="16465"/>
    <cellStyle name="Separador de milhares 3 12 4 4 2 3" xfId="25336"/>
    <cellStyle name="Separador de milhares 3 12 4 4 2 4" xfId="19422"/>
    <cellStyle name="Separador de milhares 3 12 4 4 2 5" xfId="13321"/>
    <cellStyle name="Separador de milhares 3 12 4 4 3" xfId="8611"/>
    <cellStyle name="Separador de milhares 3 12 4 4 3 2" xfId="26825"/>
    <cellStyle name="Separador de milhares 3 12 4 4 3 3" xfId="20911"/>
    <cellStyle name="Separador de milhares 3 12 4 4 3 4" xfId="14997"/>
    <cellStyle name="Separador de milhares 3 12 4 4 4" xfId="5233"/>
    <cellStyle name="Separador de milhares 3 12 4 4 4 2" xfId="23868"/>
    <cellStyle name="Separador de milhares 3 12 4 4 5" xfId="17954"/>
    <cellStyle name="Separador de milhares 3 12 4 4 6" xfId="11620"/>
    <cellStyle name="Separador de milhares 3 12 4 5" xfId="2339"/>
    <cellStyle name="Separador de milhares 3 12 4 5 2" xfId="7082"/>
    <cellStyle name="Separador de milhares 3 12 4 5 2 2" xfId="10226"/>
    <cellStyle name="Separador de milhares 3 12 4 5 2 2 2" xfId="28440"/>
    <cellStyle name="Separador de milhares 3 12 4 5 2 2 3" xfId="22526"/>
    <cellStyle name="Separador de milhares 3 12 4 5 2 2 4" xfId="16612"/>
    <cellStyle name="Separador de milhares 3 12 4 5 2 3" xfId="25483"/>
    <cellStyle name="Separador de milhares 3 12 4 5 2 4" xfId="19569"/>
    <cellStyle name="Separador de milhares 3 12 4 5 2 5" xfId="13471"/>
    <cellStyle name="Separador de milhares 3 12 4 5 3" xfId="8758"/>
    <cellStyle name="Separador de milhares 3 12 4 5 3 2" xfId="26972"/>
    <cellStyle name="Separador de milhares 3 12 4 5 3 3" xfId="21058"/>
    <cellStyle name="Separador de milhares 3 12 4 5 3 4" xfId="15144"/>
    <cellStyle name="Separador de milhares 3 12 4 5 4" xfId="5383"/>
    <cellStyle name="Separador de milhares 3 12 4 5 4 2" xfId="24015"/>
    <cellStyle name="Separador de milhares 3 12 4 5 5" xfId="18101"/>
    <cellStyle name="Separador de milhares 3 12 4 5 6" xfId="11770"/>
    <cellStyle name="Separador de milhares 3 12 4 6" xfId="2866"/>
    <cellStyle name="Separador de milhares 3 12 4 6 2" xfId="7229"/>
    <cellStyle name="Separador de milhares 3 12 4 6 2 2" xfId="10373"/>
    <cellStyle name="Separador de milhares 3 12 4 6 2 2 2" xfId="28587"/>
    <cellStyle name="Separador de milhares 3 12 4 6 2 2 3" xfId="22673"/>
    <cellStyle name="Separador de milhares 3 12 4 6 2 2 4" xfId="16759"/>
    <cellStyle name="Separador de milhares 3 12 4 6 2 3" xfId="25630"/>
    <cellStyle name="Separador de milhares 3 12 4 6 2 4" xfId="19716"/>
    <cellStyle name="Separador de milhares 3 12 4 6 2 5" xfId="13618"/>
    <cellStyle name="Separador de milhares 3 12 4 6 3" xfId="8905"/>
    <cellStyle name="Separador de milhares 3 12 4 6 3 2" xfId="27119"/>
    <cellStyle name="Separador de milhares 3 12 4 6 3 3" xfId="21205"/>
    <cellStyle name="Separador de milhares 3 12 4 6 3 4" xfId="15291"/>
    <cellStyle name="Separador de milhares 3 12 4 6 4" xfId="5530"/>
    <cellStyle name="Separador de milhares 3 12 4 6 4 2" xfId="24162"/>
    <cellStyle name="Separador de milhares 3 12 4 6 5" xfId="18248"/>
    <cellStyle name="Separador de milhares 3 12 4 6 6" xfId="11917"/>
    <cellStyle name="Separador de milhares 3 12 4 7" xfId="3393"/>
    <cellStyle name="Separador de milhares 3 12 4 7 2" xfId="7376"/>
    <cellStyle name="Separador de milhares 3 12 4 7 2 2" xfId="10520"/>
    <cellStyle name="Separador de milhares 3 12 4 7 2 2 2" xfId="28734"/>
    <cellStyle name="Separador de milhares 3 12 4 7 2 2 3" xfId="22820"/>
    <cellStyle name="Separador de milhares 3 12 4 7 2 2 4" xfId="16906"/>
    <cellStyle name="Separador de milhares 3 12 4 7 2 3" xfId="25777"/>
    <cellStyle name="Separador de milhares 3 12 4 7 2 4" xfId="19863"/>
    <cellStyle name="Separador de milhares 3 12 4 7 2 5" xfId="13765"/>
    <cellStyle name="Separador de milhares 3 12 4 7 3" xfId="9052"/>
    <cellStyle name="Separador de milhares 3 12 4 7 3 2" xfId="27266"/>
    <cellStyle name="Separador de milhares 3 12 4 7 3 3" xfId="21352"/>
    <cellStyle name="Separador de milhares 3 12 4 7 3 4" xfId="15438"/>
    <cellStyle name="Separador de milhares 3 12 4 7 4" xfId="5677"/>
    <cellStyle name="Separador de milhares 3 12 4 7 4 2" xfId="24309"/>
    <cellStyle name="Separador de milhares 3 12 4 7 5" xfId="18395"/>
    <cellStyle name="Separador de milhares 3 12 4 7 6" xfId="12064"/>
    <cellStyle name="Separador de milhares 3 12 4 8" xfId="3920"/>
    <cellStyle name="Separador de milhares 3 12 4 8 2" xfId="7523"/>
    <cellStyle name="Separador de milhares 3 12 4 8 2 2" xfId="10667"/>
    <cellStyle name="Separador de milhares 3 12 4 8 2 2 2" xfId="28881"/>
    <cellStyle name="Separador de milhares 3 12 4 8 2 2 3" xfId="22967"/>
    <cellStyle name="Separador de milhares 3 12 4 8 2 2 4" xfId="17053"/>
    <cellStyle name="Separador de milhares 3 12 4 8 2 3" xfId="25924"/>
    <cellStyle name="Separador de milhares 3 12 4 8 2 4" xfId="20010"/>
    <cellStyle name="Separador de milhares 3 12 4 8 2 5" xfId="13912"/>
    <cellStyle name="Separador de milhares 3 12 4 8 3" xfId="9199"/>
    <cellStyle name="Separador de milhares 3 12 4 8 3 2" xfId="27413"/>
    <cellStyle name="Separador de milhares 3 12 4 8 3 3" xfId="21499"/>
    <cellStyle name="Separador de milhares 3 12 4 8 3 4" xfId="15585"/>
    <cellStyle name="Separador de milhares 3 12 4 8 4" xfId="5824"/>
    <cellStyle name="Separador de milhares 3 12 4 8 4 2" xfId="24456"/>
    <cellStyle name="Separador de milhares 3 12 4 8 5" xfId="18542"/>
    <cellStyle name="Separador de milhares 3 12 4 8 6" xfId="12211"/>
    <cellStyle name="Separador de milhares 3 12 4 9" xfId="682"/>
    <cellStyle name="Separador de milhares 3 12 4 9 2" xfId="6617"/>
    <cellStyle name="Separador de milhares 3 12 4 9 2 2" xfId="9764"/>
    <cellStyle name="Separador de milhares 3 12 4 9 2 2 2" xfId="27978"/>
    <cellStyle name="Separador de milhares 3 12 4 9 2 2 3" xfId="22064"/>
    <cellStyle name="Separador de milhares 3 12 4 9 2 2 4" xfId="16150"/>
    <cellStyle name="Separador de milhares 3 12 4 9 2 3" xfId="25021"/>
    <cellStyle name="Separador de milhares 3 12 4 9 2 4" xfId="19107"/>
    <cellStyle name="Separador de milhares 3 12 4 9 2 5" xfId="13006"/>
    <cellStyle name="Separador de milhares 3 12 4 9 3" xfId="8296"/>
    <cellStyle name="Separador de milhares 3 12 4 9 3 2" xfId="26510"/>
    <cellStyle name="Separador de milhares 3 12 4 9 3 3" xfId="20596"/>
    <cellStyle name="Separador de milhares 3 12 4 9 3 4" xfId="14682"/>
    <cellStyle name="Separador de milhares 3 12 4 9 4" xfId="4918"/>
    <cellStyle name="Separador de milhares 3 12 4 9 4 2" xfId="23553"/>
    <cellStyle name="Separador de milhares 3 12 4 9 5" xfId="17639"/>
    <cellStyle name="Separador de milhares 3 12 4 9 6" xfId="11305"/>
    <cellStyle name="Separador de milhares 3 12 5" xfId="635"/>
    <cellStyle name="Separador de milhares 3 12 5 10" xfId="4882"/>
    <cellStyle name="Separador de milhares 3 12 5 10 2" xfId="23516"/>
    <cellStyle name="Separador de milhares 3 12 5 11" xfId="17602"/>
    <cellStyle name="Separador de milhares 3 12 5 12" xfId="11271"/>
    <cellStyle name="Separador de milhares 3 12 5 2" xfId="1458"/>
    <cellStyle name="Separador de milhares 3 12 5 2 2" xfId="6834"/>
    <cellStyle name="Separador de milhares 3 12 5 2 2 2" xfId="9981"/>
    <cellStyle name="Separador de milhares 3 12 5 2 2 2 2" xfId="28195"/>
    <cellStyle name="Separador de milhares 3 12 5 2 2 2 3" xfId="22281"/>
    <cellStyle name="Separador de milhares 3 12 5 2 2 2 4" xfId="16367"/>
    <cellStyle name="Separador de milhares 3 12 5 2 2 3" xfId="25238"/>
    <cellStyle name="Separador de milhares 3 12 5 2 2 4" xfId="19324"/>
    <cellStyle name="Separador de milhares 3 12 5 2 2 5" xfId="13223"/>
    <cellStyle name="Separador de milhares 3 12 5 2 3" xfId="8513"/>
    <cellStyle name="Separador de milhares 3 12 5 2 3 2" xfId="26727"/>
    <cellStyle name="Separador de milhares 3 12 5 2 3 3" xfId="20813"/>
    <cellStyle name="Separador de milhares 3 12 5 2 3 4" xfId="14899"/>
    <cellStyle name="Separador de milhares 3 12 5 2 4" xfId="5135"/>
    <cellStyle name="Separador de milhares 3 12 5 2 4 2" xfId="23770"/>
    <cellStyle name="Separador de milhares 3 12 5 2 5" xfId="17856"/>
    <cellStyle name="Separador de milhares 3 12 5 2 6" xfId="11522"/>
    <cellStyle name="Separador de milhares 3 12 5 3" xfId="1893"/>
    <cellStyle name="Separador de milhares 3 12 5 3 2" xfId="6953"/>
    <cellStyle name="Separador de milhares 3 12 5 3 2 2" xfId="10100"/>
    <cellStyle name="Separador de milhares 3 12 5 3 2 2 2" xfId="28314"/>
    <cellStyle name="Separador de milhares 3 12 5 3 2 2 3" xfId="22400"/>
    <cellStyle name="Separador de milhares 3 12 5 3 2 2 4" xfId="16486"/>
    <cellStyle name="Separador de milhares 3 12 5 3 2 3" xfId="25357"/>
    <cellStyle name="Separador de milhares 3 12 5 3 2 4" xfId="19443"/>
    <cellStyle name="Separador de milhares 3 12 5 3 2 5" xfId="13342"/>
    <cellStyle name="Separador de milhares 3 12 5 3 3" xfId="8632"/>
    <cellStyle name="Separador de milhares 3 12 5 3 3 2" xfId="26846"/>
    <cellStyle name="Separador de milhares 3 12 5 3 3 3" xfId="20932"/>
    <cellStyle name="Separador de milhares 3 12 5 3 3 4" xfId="15018"/>
    <cellStyle name="Separador de milhares 3 12 5 3 4" xfId="5254"/>
    <cellStyle name="Separador de milhares 3 12 5 3 4 2" xfId="23889"/>
    <cellStyle name="Separador de milhares 3 12 5 3 5" xfId="17975"/>
    <cellStyle name="Separador de milhares 3 12 5 3 6" xfId="11641"/>
    <cellStyle name="Separador de milhares 3 12 5 4" xfId="2423"/>
    <cellStyle name="Separador de milhares 3 12 5 4 2" xfId="7103"/>
    <cellStyle name="Separador de milhares 3 12 5 4 2 2" xfId="10247"/>
    <cellStyle name="Separador de milhares 3 12 5 4 2 2 2" xfId="28461"/>
    <cellStyle name="Separador de milhares 3 12 5 4 2 2 3" xfId="22547"/>
    <cellStyle name="Separador de milhares 3 12 5 4 2 2 4" xfId="16633"/>
    <cellStyle name="Separador de milhares 3 12 5 4 2 3" xfId="25504"/>
    <cellStyle name="Separador de milhares 3 12 5 4 2 4" xfId="19590"/>
    <cellStyle name="Separador de milhares 3 12 5 4 2 5" xfId="13492"/>
    <cellStyle name="Separador de milhares 3 12 5 4 3" xfId="8779"/>
    <cellStyle name="Separador de milhares 3 12 5 4 3 2" xfId="26993"/>
    <cellStyle name="Separador de milhares 3 12 5 4 3 3" xfId="21079"/>
    <cellStyle name="Separador de milhares 3 12 5 4 3 4" xfId="15165"/>
    <cellStyle name="Separador de milhares 3 12 5 4 4" xfId="5404"/>
    <cellStyle name="Separador de milhares 3 12 5 4 4 2" xfId="24036"/>
    <cellStyle name="Separador de milhares 3 12 5 4 5" xfId="18122"/>
    <cellStyle name="Separador de milhares 3 12 5 4 6" xfId="11791"/>
    <cellStyle name="Separador de milhares 3 12 5 5" xfId="2950"/>
    <cellStyle name="Separador de milhares 3 12 5 5 2" xfId="7250"/>
    <cellStyle name="Separador de milhares 3 12 5 5 2 2" xfId="10394"/>
    <cellStyle name="Separador de milhares 3 12 5 5 2 2 2" xfId="28608"/>
    <cellStyle name="Separador de milhares 3 12 5 5 2 2 3" xfId="22694"/>
    <cellStyle name="Separador de milhares 3 12 5 5 2 2 4" xfId="16780"/>
    <cellStyle name="Separador de milhares 3 12 5 5 2 3" xfId="25651"/>
    <cellStyle name="Separador de milhares 3 12 5 5 2 4" xfId="19737"/>
    <cellStyle name="Separador de milhares 3 12 5 5 2 5" xfId="13639"/>
    <cellStyle name="Separador de milhares 3 12 5 5 3" xfId="8926"/>
    <cellStyle name="Separador de milhares 3 12 5 5 3 2" xfId="27140"/>
    <cellStyle name="Separador de milhares 3 12 5 5 3 3" xfId="21226"/>
    <cellStyle name="Separador de milhares 3 12 5 5 3 4" xfId="15312"/>
    <cellStyle name="Separador de milhares 3 12 5 5 4" xfId="5551"/>
    <cellStyle name="Separador de milhares 3 12 5 5 4 2" xfId="24183"/>
    <cellStyle name="Separador de milhares 3 12 5 5 5" xfId="18269"/>
    <cellStyle name="Separador de milhares 3 12 5 5 6" xfId="11938"/>
    <cellStyle name="Separador de milhares 3 12 5 6" xfId="3477"/>
    <cellStyle name="Separador de milhares 3 12 5 6 2" xfId="7397"/>
    <cellStyle name="Separador de milhares 3 12 5 6 2 2" xfId="10541"/>
    <cellStyle name="Separador de milhares 3 12 5 6 2 2 2" xfId="28755"/>
    <cellStyle name="Separador de milhares 3 12 5 6 2 2 3" xfId="22841"/>
    <cellStyle name="Separador de milhares 3 12 5 6 2 2 4" xfId="16927"/>
    <cellStyle name="Separador de milhares 3 12 5 6 2 3" xfId="25798"/>
    <cellStyle name="Separador de milhares 3 12 5 6 2 4" xfId="19884"/>
    <cellStyle name="Separador de milhares 3 12 5 6 2 5" xfId="13786"/>
    <cellStyle name="Separador de milhares 3 12 5 6 3" xfId="9073"/>
    <cellStyle name="Separador de milhares 3 12 5 6 3 2" xfId="27287"/>
    <cellStyle name="Separador de milhares 3 12 5 6 3 3" xfId="21373"/>
    <cellStyle name="Separador de milhares 3 12 5 6 3 4" xfId="15459"/>
    <cellStyle name="Separador de milhares 3 12 5 6 4" xfId="5698"/>
    <cellStyle name="Separador de milhares 3 12 5 6 4 2" xfId="24330"/>
    <cellStyle name="Separador de milhares 3 12 5 6 5" xfId="18416"/>
    <cellStyle name="Separador de milhares 3 12 5 6 6" xfId="12085"/>
    <cellStyle name="Separador de milhares 3 12 5 7" xfId="4004"/>
    <cellStyle name="Separador de milhares 3 12 5 7 2" xfId="7544"/>
    <cellStyle name="Separador de milhares 3 12 5 7 2 2" xfId="10688"/>
    <cellStyle name="Separador de milhares 3 12 5 7 2 2 2" xfId="28902"/>
    <cellStyle name="Separador de milhares 3 12 5 7 2 2 3" xfId="22988"/>
    <cellStyle name="Separador de milhares 3 12 5 7 2 2 4" xfId="17074"/>
    <cellStyle name="Separador de milhares 3 12 5 7 2 3" xfId="25945"/>
    <cellStyle name="Separador de milhares 3 12 5 7 2 4" xfId="20031"/>
    <cellStyle name="Separador de milhares 3 12 5 7 2 5" xfId="13933"/>
    <cellStyle name="Separador de milhares 3 12 5 7 3" xfId="9220"/>
    <cellStyle name="Separador de milhares 3 12 5 7 3 2" xfId="27434"/>
    <cellStyle name="Separador de milhares 3 12 5 7 3 3" xfId="21520"/>
    <cellStyle name="Separador de milhares 3 12 5 7 3 4" xfId="15606"/>
    <cellStyle name="Separador de milhares 3 12 5 7 4" xfId="5845"/>
    <cellStyle name="Separador de milhares 3 12 5 7 4 2" xfId="24477"/>
    <cellStyle name="Separador de milhares 3 12 5 7 5" xfId="18563"/>
    <cellStyle name="Separador de milhares 3 12 5 7 6" xfId="12232"/>
    <cellStyle name="Separador de milhares 3 12 5 8" xfId="6583"/>
    <cellStyle name="Separador de milhares 3 12 5 8 2" xfId="9730"/>
    <cellStyle name="Separador de milhares 3 12 5 8 2 2" xfId="27944"/>
    <cellStyle name="Separador de milhares 3 12 5 8 2 3" xfId="22030"/>
    <cellStyle name="Separador de milhares 3 12 5 8 2 4" xfId="16116"/>
    <cellStyle name="Separador de milhares 3 12 5 8 3" xfId="24987"/>
    <cellStyle name="Separador de milhares 3 12 5 8 4" xfId="19073"/>
    <cellStyle name="Separador de milhares 3 12 5 8 5" xfId="12972"/>
    <cellStyle name="Separador de milhares 3 12 5 9" xfId="8259"/>
    <cellStyle name="Separador de milhares 3 12 5 9 2" xfId="26473"/>
    <cellStyle name="Separador de milhares 3 12 5 9 3" xfId="20559"/>
    <cellStyle name="Separador de milhares 3 12 5 9 4" xfId="14648"/>
    <cellStyle name="Separador de milhares 3 12 6" xfId="756"/>
    <cellStyle name="Separador de milhares 3 12 6 2" xfId="4180"/>
    <cellStyle name="Separador de milhares 3 12 6 2 2" xfId="7593"/>
    <cellStyle name="Separador de milhares 3 12 6 2 2 2" xfId="10737"/>
    <cellStyle name="Separador de milhares 3 12 6 2 2 2 2" xfId="28951"/>
    <cellStyle name="Separador de milhares 3 12 6 2 2 2 3" xfId="23037"/>
    <cellStyle name="Separador de milhares 3 12 6 2 2 2 4" xfId="17123"/>
    <cellStyle name="Separador de milhares 3 12 6 2 2 3" xfId="25994"/>
    <cellStyle name="Separador de milhares 3 12 6 2 2 4" xfId="20080"/>
    <cellStyle name="Separador de milhares 3 12 6 2 2 5" xfId="13982"/>
    <cellStyle name="Separador de milhares 3 12 6 2 3" xfId="9269"/>
    <cellStyle name="Separador de milhares 3 12 6 2 3 2" xfId="27483"/>
    <cellStyle name="Separador de milhares 3 12 6 2 3 3" xfId="21569"/>
    <cellStyle name="Separador de milhares 3 12 6 2 3 4" xfId="15655"/>
    <cellStyle name="Separador de milhares 3 12 6 2 4" xfId="5894"/>
    <cellStyle name="Separador de milhares 3 12 6 2 4 2" xfId="24526"/>
    <cellStyle name="Separador de milhares 3 12 6 2 5" xfId="18612"/>
    <cellStyle name="Separador de milhares 3 12 6 2 6" xfId="12281"/>
    <cellStyle name="Separador de milhares 3 12 6 3" xfId="6638"/>
    <cellStyle name="Separador de milhares 3 12 6 3 2" xfId="9785"/>
    <cellStyle name="Separador de milhares 3 12 6 3 2 2" xfId="27999"/>
    <cellStyle name="Separador de milhares 3 12 6 3 2 3" xfId="22085"/>
    <cellStyle name="Separador de milhares 3 12 6 3 2 4" xfId="16171"/>
    <cellStyle name="Separador de milhares 3 12 6 3 3" xfId="25042"/>
    <cellStyle name="Separador de milhares 3 12 6 3 4" xfId="19128"/>
    <cellStyle name="Separador de milhares 3 12 6 3 5" xfId="13027"/>
    <cellStyle name="Separador de milhares 3 12 6 4" xfId="8317"/>
    <cellStyle name="Separador de milhares 3 12 6 4 2" xfId="26531"/>
    <cellStyle name="Separador de milhares 3 12 6 4 3" xfId="20617"/>
    <cellStyle name="Separador de milhares 3 12 6 4 4" xfId="14703"/>
    <cellStyle name="Separador de milhares 3 12 6 5" xfId="4939"/>
    <cellStyle name="Separador de milhares 3 12 6 5 2" xfId="23574"/>
    <cellStyle name="Separador de milhares 3 12 6 6" xfId="17660"/>
    <cellStyle name="Separador de milhares 3 12 6 7" xfId="11326"/>
    <cellStyle name="Separador de milhares 3 12 7" xfId="1107"/>
    <cellStyle name="Separador de milhares 3 12 7 2" xfId="6736"/>
    <cellStyle name="Separador de milhares 3 12 7 2 2" xfId="9883"/>
    <cellStyle name="Separador de milhares 3 12 7 2 2 2" xfId="28097"/>
    <cellStyle name="Separador de milhares 3 12 7 2 2 3" xfId="22183"/>
    <cellStyle name="Separador de milhares 3 12 7 2 2 4" xfId="16269"/>
    <cellStyle name="Separador de milhares 3 12 7 2 3" xfId="25140"/>
    <cellStyle name="Separador de milhares 3 12 7 2 4" xfId="19226"/>
    <cellStyle name="Separador de milhares 3 12 7 2 5" xfId="13125"/>
    <cellStyle name="Separador de milhares 3 12 7 3" xfId="8415"/>
    <cellStyle name="Separador de milhares 3 12 7 3 2" xfId="26629"/>
    <cellStyle name="Separador de milhares 3 12 7 3 3" xfId="20715"/>
    <cellStyle name="Separador de milhares 3 12 7 3 4" xfId="14801"/>
    <cellStyle name="Separador de milhares 3 12 7 4" xfId="5037"/>
    <cellStyle name="Separador de milhares 3 12 7 4 2" xfId="23672"/>
    <cellStyle name="Separador de milhares 3 12 7 5" xfId="17758"/>
    <cellStyle name="Separador de milhares 3 12 7 6" xfId="11424"/>
    <cellStyle name="Separador de milhares 3 12 8" xfId="1542"/>
    <cellStyle name="Separador de milhares 3 12 8 2" xfId="6855"/>
    <cellStyle name="Separador de milhares 3 12 8 2 2" xfId="10002"/>
    <cellStyle name="Separador de milhares 3 12 8 2 2 2" xfId="28216"/>
    <cellStyle name="Separador de milhares 3 12 8 2 2 3" xfId="22302"/>
    <cellStyle name="Separador de milhares 3 12 8 2 2 4" xfId="16388"/>
    <cellStyle name="Separador de milhares 3 12 8 2 3" xfId="25259"/>
    <cellStyle name="Separador de milhares 3 12 8 2 4" xfId="19345"/>
    <cellStyle name="Separador de milhares 3 12 8 2 5" xfId="13244"/>
    <cellStyle name="Separador de milhares 3 12 8 3" xfId="8534"/>
    <cellStyle name="Separador de milhares 3 12 8 3 2" xfId="26748"/>
    <cellStyle name="Separador de milhares 3 12 8 3 3" xfId="20834"/>
    <cellStyle name="Separador de milhares 3 12 8 3 4" xfId="14920"/>
    <cellStyle name="Separador de milhares 3 12 8 4" xfId="5156"/>
    <cellStyle name="Separador de milhares 3 12 8 4 2" xfId="23791"/>
    <cellStyle name="Separador de milhares 3 12 8 5" xfId="17877"/>
    <cellStyle name="Separador de milhares 3 12 8 6" xfId="11543"/>
    <cellStyle name="Separador de milhares 3 12 9" xfId="2072"/>
    <cellStyle name="Separador de milhares 3 12 9 2" xfId="7005"/>
    <cellStyle name="Separador de milhares 3 12 9 2 2" xfId="10149"/>
    <cellStyle name="Separador de milhares 3 12 9 2 2 2" xfId="28363"/>
    <cellStyle name="Separador de milhares 3 12 9 2 2 3" xfId="22449"/>
    <cellStyle name="Separador de milhares 3 12 9 2 2 4" xfId="16535"/>
    <cellStyle name="Separador de milhares 3 12 9 2 3" xfId="25406"/>
    <cellStyle name="Separador de milhares 3 12 9 2 4" xfId="19492"/>
    <cellStyle name="Separador de milhares 3 12 9 2 5" xfId="13394"/>
    <cellStyle name="Separador de milhares 3 12 9 3" xfId="8681"/>
    <cellStyle name="Separador de milhares 3 12 9 3 2" xfId="26895"/>
    <cellStyle name="Separador de milhares 3 12 9 3 3" xfId="20981"/>
    <cellStyle name="Separador de milhares 3 12 9 3 4" xfId="15067"/>
    <cellStyle name="Separador de milhares 3 12 9 4" xfId="5306"/>
    <cellStyle name="Separador de milhares 3 12 9 4 2" xfId="23938"/>
    <cellStyle name="Separador de milhares 3 12 9 5" xfId="18024"/>
    <cellStyle name="Separador de milhares 3 12 9 6" xfId="11693"/>
    <cellStyle name="Separador de milhares 3 13" xfId="104"/>
    <cellStyle name="Separador de milhares 3 13 10" xfId="2607"/>
    <cellStyle name="Separador de milhares 3 13 10 2" xfId="7154"/>
    <cellStyle name="Separador de milhares 3 13 10 2 2" xfId="10298"/>
    <cellStyle name="Separador de milhares 3 13 10 2 2 2" xfId="28512"/>
    <cellStyle name="Separador de milhares 3 13 10 2 2 3" xfId="22598"/>
    <cellStyle name="Separador de milhares 3 13 10 2 2 4" xfId="16684"/>
    <cellStyle name="Separador de milhares 3 13 10 2 3" xfId="25555"/>
    <cellStyle name="Separador de milhares 3 13 10 2 4" xfId="19641"/>
    <cellStyle name="Separador de milhares 3 13 10 2 5" xfId="13543"/>
    <cellStyle name="Separador de milhares 3 13 10 3" xfId="8830"/>
    <cellStyle name="Separador de milhares 3 13 10 3 2" xfId="27044"/>
    <cellStyle name="Separador de milhares 3 13 10 3 3" xfId="21130"/>
    <cellStyle name="Separador de milhares 3 13 10 3 4" xfId="15216"/>
    <cellStyle name="Separador de milhares 3 13 10 4" xfId="5455"/>
    <cellStyle name="Separador de milhares 3 13 10 4 2" xfId="24087"/>
    <cellStyle name="Separador de milhares 3 13 10 5" xfId="18173"/>
    <cellStyle name="Separador de milhares 3 13 10 6" xfId="11842"/>
    <cellStyle name="Separador de milhares 3 13 11" xfId="3134"/>
    <cellStyle name="Separador de milhares 3 13 11 2" xfId="7301"/>
    <cellStyle name="Separador de milhares 3 13 11 2 2" xfId="10445"/>
    <cellStyle name="Separador de milhares 3 13 11 2 2 2" xfId="28659"/>
    <cellStyle name="Separador de milhares 3 13 11 2 2 3" xfId="22745"/>
    <cellStyle name="Separador de milhares 3 13 11 2 2 4" xfId="16831"/>
    <cellStyle name="Separador de milhares 3 13 11 2 3" xfId="25702"/>
    <cellStyle name="Separador de milhares 3 13 11 2 4" xfId="19788"/>
    <cellStyle name="Separador de milhares 3 13 11 2 5" xfId="13690"/>
    <cellStyle name="Separador de milhares 3 13 11 3" xfId="8977"/>
    <cellStyle name="Separador de milhares 3 13 11 3 2" xfId="27191"/>
    <cellStyle name="Separador de milhares 3 13 11 3 3" xfId="21277"/>
    <cellStyle name="Separador de milhares 3 13 11 3 4" xfId="15363"/>
    <cellStyle name="Separador de milhares 3 13 11 4" xfId="5602"/>
    <cellStyle name="Separador de milhares 3 13 11 4 2" xfId="24234"/>
    <cellStyle name="Separador de milhares 3 13 11 5" xfId="18320"/>
    <cellStyle name="Separador de milhares 3 13 11 6" xfId="11989"/>
    <cellStyle name="Separador de milhares 3 13 12" xfId="3661"/>
    <cellStyle name="Separador de milhares 3 13 12 2" xfId="7448"/>
    <cellStyle name="Separador de milhares 3 13 12 2 2" xfId="10592"/>
    <cellStyle name="Separador de milhares 3 13 12 2 2 2" xfId="28806"/>
    <cellStyle name="Separador de milhares 3 13 12 2 2 3" xfId="22892"/>
    <cellStyle name="Separador de milhares 3 13 12 2 2 4" xfId="16978"/>
    <cellStyle name="Separador de milhares 3 13 12 2 3" xfId="25849"/>
    <cellStyle name="Separador de milhares 3 13 12 2 4" xfId="19935"/>
    <cellStyle name="Separador de milhares 3 13 12 2 5" xfId="13837"/>
    <cellStyle name="Separador de milhares 3 13 12 3" xfId="9124"/>
    <cellStyle name="Separador de milhares 3 13 12 3 2" xfId="27338"/>
    <cellStyle name="Separador de milhares 3 13 12 3 3" xfId="21424"/>
    <cellStyle name="Separador de milhares 3 13 12 3 4" xfId="15510"/>
    <cellStyle name="Separador de milhares 3 13 12 4" xfId="5749"/>
    <cellStyle name="Separador de milhares 3 13 12 4 2" xfId="24381"/>
    <cellStyle name="Separador de milhares 3 13 12 5" xfId="18467"/>
    <cellStyle name="Separador de milhares 3 13 12 6" xfId="12136"/>
    <cellStyle name="Separador de milhares 3 13 13" xfId="6432"/>
    <cellStyle name="Separador de milhares 3 13 13 2" xfId="9588"/>
    <cellStyle name="Separador de milhares 3 13 13 2 2" xfId="27802"/>
    <cellStyle name="Separador de milhares 3 13 13 2 3" xfId="21888"/>
    <cellStyle name="Separador de milhares 3 13 13 2 4" xfId="15974"/>
    <cellStyle name="Separador de milhares 3 13 13 3" xfId="24845"/>
    <cellStyle name="Separador de milhares 3 13 13 4" xfId="18931"/>
    <cellStyle name="Separador de milhares 3 13 13 5" xfId="12821"/>
    <cellStyle name="Separador de milhares 3 13 14" xfId="8117"/>
    <cellStyle name="Separador de milhares 3 13 14 2" xfId="26331"/>
    <cellStyle name="Separador de milhares 3 13 14 3" xfId="20417"/>
    <cellStyle name="Separador de milhares 3 13 14 4" xfId="14506"/>
    <cellStyle name="Separador de milhares 3 13 15" xfId="4730"/>
    <cellStyle name="Separador de milhares 3 13 15 2" xfId="23374"/>
    <cellStyle name="Separador de milhares 3 13 16" xfId="17460"/>
    <cellStyle name="Separador de milhares 3 13 17" xfId="11120"/>
    <cellStyle name="Separador de milhares 3 13 2" xfId="198"/>
    <cellStyle name="Separador de milhares 3 13 2 10" xfId="6461"/>
    <cellStyle name="Separador de milhares 3 13 2 10 2" xfId="9615"/>
    <cellStyle name="Separador de milhares 3 13 2 10 2 2" xfId="27829"/>
    <cellStyle name="Separador de milhares 3 13 2 10 2 3" xfId="21915"/>
    <cellStyle name="Separador de milhares 3 13 2 10 2 4" xfId="16001"/>
    <cellStyle name="Separador de milhares 3 13 2 10 3" xfId="24872"/>
    <cellStyle name="Separador de milhares 3 13 2 10 4" xfId="18958"/>
    <cellStyle name="Separador de milhares 3 13 2 10 5" xfId="12850"/>
    <cellStyle name="Separador de milhares 3 13 2 11" xfId="8144"/>
    <cellStyle name="Separador de milhares 3 13 2 11 2" xfId="26358"/>
    <cellStyle name="Separador de milhares 3 13 2 11 3" xfId="20444"/>
    <cellStyle name="Separador de milhares 3 13 2 11 4" xfId="14533"/>
    <cellStyle name="Separador de milhares 3 13 2 12" xfId="4760"/>
    <cellStyle name="Separador de milhares 3 13 2 12 2" xfId="23401"/>
    <cellStyle name="Separador de milhares 3 13 2 13" xfId="17487"/>
    <cellStyle name="Separador de milhares 3 13 2 14" xfId="11149"/>
    <cellStyle name="Separador de milhares 3 13 2 2" xfId="471"/>
    <cellStyle name="Separador de milhares 3 13 2 2 10" xfId="17561"/>
    <cellStyle name="Separador de milhares 3 13 2 2 11" xfId="11230"/>
    <cellStyle name="Separador de milhares 3 13 2 2 2" xfId="1990"/>
    <cellStyle name="Separador de milhares 3 13 2 2 2 2" xfId="6980"/>
    <cellStyle name="Separador de milhares 3 13 2 2 2 2 2" xfId="10127"/>
    <cellStyle name="Separador de milhares 3 13 2 2 2 2 2 2" xfId="28341"/>
    <cellStyle name="Separador de milhares 3 13 2 2 2 2 2 3" xfId="22427"/>
    <cellStyle name="Separador de milhares 3 13 2 2 2 2 2 4" xfId="16513"/>
    <cellStyle name="Separador de milhares 3 13 2 2 2 2 3" xfId="25384"/>
    <cellStyle name="Separador de milhares 3 13 2 2 2 2 4" xfId="19470"/>
    <cellStyle name="Separador de milhares 3 13 2 2 2 2 5" xfId="13369"/>
    <cellStyle name="Separador de milhares 3 13 2 2 2 3" xfId="8659"/>
    <cellStyle name="Separador de milhares 3 13 2 2 2 3 2" xfId="26873"/>
    <cellStyle name="Separador de milhares 3 13 2 2 2 3 3" xfId="20959"/>
    <cellStyle name="Separador de milhares 3 13 2 2 2 3 4" xfId="15045"/>
    <cellStyle name="Separador de milhares 3 13 2 2 2 4" xfId="5281"/>
    <cellStyle name="Separador de milhares 3 13 2 2 2 4 2" xfId="23916"/>
    <cellStyle name="Separador de milhares 3 13 2 2 2 5" xfId="18002"/>
    <cellStyle name="Separador de milhares 3 13 2 2 2 6" xfId="11668"/>
    <cellStyle name="Separador de milhares 3 13 2 2 3" xfId="2520"/>
    <cellStyle name="Separador de milhares 3 13 2 2 3 2" xfId="7130"/>
    <cellStyle name="Separador de milhares 3 13 2 2 3 2 2" xfId="10274"/>
    <cellStyle name="Separador de milhares 3 13 2 2 3 2 2 2" xfId="28488"/>
    <cellStyle name="Separador de milhares 3 13 2 2 3 2 2 3" xfId="22574"/>
    <cellStyle name="Separador de milhares 3 13 2 2 3 2 2 4" xfId="16660"/>
    <cellStyle name="Separador de milhares 3 13 2 2 3 2 3" xfId="25531"/>
    <cellStyle name="Separador de milhares 3 13 2 2 3 2 4" xfId="19617"/>
    <cellStyle name="Separador de milhares 3 13 2 2 3 2 5" xfId="13519"/>
    <cellStyle name="Separador de milhares 3 13 2 2 3 3" xfId="8806"/>
    <cellStyle name="Separador de milhares 3 13 2 2 3 3 2" xfId="27020"/>
    <cellStyle name="Separador de milhares 3 13 2 2 3 3 3" xfId="21106"/>
    <cellStyle name="Separador de milhares 3 13 2 2 3 3 4" xfId="15192"/>
    <cellStyle name="Separador de milhares 3 13 2 2 3 4" xfId="5431"/>
    <cellStyle name="Separador de milhares 3 13 2 2 3 4 2" xfId="24063"/>
    <cellStyle name="Separador de milhares 3 13 2 2 3 5" xfId="18149"/>
    <cellStyle name="Separador de milhares 3 13 2 2 3 6" xfId="11818"/>
    <cellStyle name="Separador de milhares 3 13 2 2 4" xfId="3047"/>
    <cellStyle name="Separador de milhares 3 13 2 2 4 2" xfId="7277"/>
    <cellStyle name="Separador de milhares 3 13 2 2 4 2 2" xfId="10421"/>
    <cellStyle name="Separador de milhares 3 13 2 2 4 2 2 2" xfId="28635"/>
    <cellStyle name="Separador de milhares 3 13 2 2 4 2 2 3" xfId="22721"/>
    <cellStyle name="Separador de milhares 3 13 2 2 4 2 2 4" xfId="16807"/>
    <cellStyle name="Separador de milhares 3 13 2 2 4 2 3" xfId="25678"/>
    <cellStyle name="Separador de milhares 3 13 2 2 4 2 4" xfId="19764"/>
    <cellStyle name="Separador de milhares 3 13 2 2 4 2 5" xfId="13666"/>
    <cellStyle name="Separador de milhares 3 13 2 2 4 3" xfId="8953"/>
    <cellStyle name="Separador de milhares 3 13 2 2 4 3 2" xfId="27167"/>
    <cellStyle name="Separador de milhares 3 13 2 2 4 3 3" xfId="21253"/>
    <cellStyle name="Separador de milhares 3 13 2 2 4 3 4" xfId="15339"/>
    <cellStyle name="Separador de milhares 3 13 2 2 4 4" xfId="5578"/>
    <cellStyle name="Separador de milhares 3 13 2 2 4 4 2" xfId="24210"/>
    <cellStyle name="Separador de milhares 3 13 2 2 4 5" xfId="18296"/>
    <cellStyle name="Separador de milhares 3 13 2 2 4 6" xfId="11965"/>
    <cellStyle name="Separador de milhares 3 13 2 2 5" xfId="3574"/>
    <cellStyle name="Separador de milhares 3 13 2 2 5 2" xfId="7424"/>
    <cellStyle name="Separador de milhares 3 13 2 2 5 2 2" xfId="10568"/>
    <cellStyle name="Separador de milhares 3 13 2 2 5 2 2 2" xfId="28782"/>
    <cellStyle name="Separador de milhares 3 13 2 2 5 2 2 3" xfId="22868"/>
    <cellStyle name="Separador de milhares 3 13 2 2 5 2 2 4" xfId="16954"/>
    <cellStyle name="Separador de milhares 3 13 2 2 5 2 3" xfId="25825"/>
    <cellStyle name="Separador de milhares 3 13 2 2 5 2 4" xfId="19911"/>
    <cellStyle name="Separador de milhares 3 13 2 2 5 2 5" xfId="13813"/>
    <cellStyle name="Separador de milhares 3 13 2 2 5 3" xfId="9100"/>
    <cellStyle name="Separador de milhares 3 13 2 2 5 3 2" xfId="27314"/>
    <cellStyle name="Separador de milhares 3 13 2 2 5 3 3" xfId="21400"/>
    <cellStyle name="Separador de milhares 3 13 2 2 5 3 4" xfId="15486"/>
    <cellStyle name="Separador de milhares 3 13 2 2 5 4" xfId="5725"/>
    <cellStyle name="Separador de milhares 3 13 2 2 5 4 2" xfId="24357"/>
    <cellStyle name="Separador de milhares 3 13 2 2 5 5" xfId="18443"/>
    <cellStyle name="Separador de milhares 3 13 2 2 5 6" xfId="12112"/>
    <cellStyle name="Separador de milhares 3 13 2 2 6" xfId="4101"/>
    <cellStyle name="Separador de milhares 3 13 2 2 6 2" xfId="7571"/>
    <cellStyle name="Separador de milhares 3 13 2 2 6 2 2" xfId="10715"/>
    <cellStyle name="Separador de milhares 3 13 2 2 6 2 2 2" xfId="28929"/>
    <cellStyle name="Separador de milhares 3 13 2 2 6 2 2 3" xfId="23015"/>
    <cellStyle name="Separador de milhares 3 13 2 2 6 2 2 4" xfId="17101"/>
    <cellStyle name="Separador de milhares 3 13 2 2 6 2 3" xfId="25972"/>
    <cellStyle name="Separador de milhares 3 13 2 2 6 2 4" xfId="20058"/>
    <cellStyle name="Separador de milhares 3 13 2 2 6 2 5" xfId="13960"/>
    <cellStyle name="Separador de milhares 3 13 2 2 6 3" xfId="9247"/>
    <cellStyle name="Separador de milhares 3 13 2 2 6 3 2" xfId="27461"/>
    <cellStyle name="Separador de milhares 3 13 2 2 6 3 3" xfId="21547"/>
    <cellStyle name="Separador de milhares 3 13 2 2 6 3 4" xfId="15633"/>
    <cellStyle name="Separador de milhares 3 13 2 2 6 4" xfId="5872"/>
    <cellStyle name="Separador de milhares 3 13 2 2 6 4 2" xfId="24504"/>
    <cellStyle name="Separador de milhares 3 13 2 2 6 5" xfId="18590"/>
    <cellStyle name="Separador de milhares 3 13 2 2 6 6" xfId="12259"/>
    <cellStyle name="Separador de milhares 3 13 2 2 7" xfId="6542"/>
    <cellStyle name="Separador de milhares 3 13 2 2 7 2" xfId="9689"/>
    <cellStyle name="Separador de milhares 3 13 2 2 7 2 2" xfId="27903"/>
    <cellStyle name="Separador de milhares 3 13 2 2 7 2 3" xfId="21989"/>
    <cellStyle name="Separador de milhares 3 13 2 2 7 2 4" xfId="16075"/>
    <cellStyle name="Separador de milhares 3 13 2 2 7 3" xfId="24946"/>
    <cellStyle name="Separador de milhares 3 13 2 2 7 4" xfId="19032"/>
    <cellStyle name="Separador de milhares 3 13 2 2 7 5" xfId="12931"/>
    <cellStyle name="Separador de milhares 3 13 2 2 8" xfId="8218"/>
    <cellStyle name="Separador de milhares 3 13 2 2 8 2" xfId="26432"/>
    <cellStyle name="Separador de milhares 3 13 2 2 8 3" xfId="20518"/>
    <cellStyle name="Separador de milhares 3 13 2 2 8 4" xfId="14607"/>
    <cellStyle name="Separador de milhares 3 13 2 2 9" xfId="4841"/>
    <cellStyle name="Separador de milhares 3 13 2 2 9 2" xfId="23475"/>
    <cellStyle name="Separador de milhares 3 13 2 3" xfId="944"/>
    <cellStyle name="Separador de milhares 3 13 2 3 2" xfId="6693"/>
    <cellStyle name="Separador de milhares 3 13 2 3 2 2" xfId="9840"/>
    <cellStyle name="Separador de milhares 3 13 2 3 2 2 2" xfId="28054"/>
    <cellStyle name="Separador de milhares 3 13 2 3 2 2 3" xfId="22140"/>
    <cellStyle name="Separador de milhares 3 13 2 3 2 2 4" xfId="16226"/>
    <cellStyle name="Separador de milhares 3 13 2 3 2 3" xfId="25097"/>
    <cellStyle name="Separador de milhares 3 13 2 3 2 4" xfId="19183"/>
    <cellStyle name="Separador de milhares 3 13 2 3 2 5" xfId="13082"/>
    <cellStyle name="Separador de milhares 3 13 2 3 3" xfId="8372"/>
    <cellStyle name="Separador de milhares 3 13 2 3 3 2" xfId="26586"/>
    <cellStyle name="Separador de milhares 3 13 2 3 3 3" xfId="20672"/>
    <cellStyle name="Separador de milhares 3 13 2 3 3 4" xfId="14758"/>
    <cellStyle name="Separador de milhares 3 13 2 3 4" xfId="4994"/>
    <cellStyle name="Separador de milhares 3 13 2 3 4 2" xfId="23629"/>
    <cellStyle name="Separador de milhares 3 13 2 3 5" xfId="17715"/>
    <cellStyle name="Separador de milhares 3 13 2 3 6" xfId="11381"/>
    <cellStyle name="Separador de milhares 3 13 2 4" xfId="1295"/>
    <cellStyle name="Separador de milhares 3 13 2 4 2" xfId="6791"/>
    <cellStyle name="Separador de milhares 3 13 2 4 2 2" xfId="9938"/>
    <cellStyle name="Separador de milhares 3 13 2 4 2 2 2" xfId="28152"/>
    <cellStyle name="Separador de milhares 3 13 2 4 2 2 3" xfId="22238"/>
    <cellStyle name="Separador de milhares 3 13 2 4 2 2 4" xfId="16324"/>
    <cellStyle name="Separador de milhares 3 13 2 4 2 3" xfId="25195"/>
    <cellStyle name="Separador de milhares 3 13 2 4 2 4" xfId="19281"/>
    <cellStyle name="Separador de milhares 3 13 2 4 2 5" xfId="13180"/>
    <cellStyle name="Separador de milhares 3 13 2 4 3" xfId="8470"/>
    <cellStyle name="Separador de milhares 3 13 2 4 3 2" xfId="26684"/>
    <cellStyle name="Separador de milhares 3 13 2 4 3 3" xfId="20770"/>
    <cellStyle name="Separador de milhares 3 13 2 4 3 4" xfId="14856"/>
    <cellStyle name="Separador de milhares 3 13 2 4 4" xfId="5092"/>
    <cellStyle name="Separador de milhares 3 13 2 4 4 2" xfId="23727"/>
    <cellStyle name="Separador de milhares 3 13 2 4 5" xfId="17813"/>
    <cellStyle name="Separador de milhares 3 13 2 4 6" xfId="11479"/>
    <cellStyle name="Separador de milhares 3 13 2 5" xfId="1730"/>
    <cellStyle name="Separador de milhares 3 13 2 5 2" xfId="6910"/>
    <cellStyle name="Separador de milhares 3 13 2 5 2 2" xfId="10057"/>
    <cellStyle name="Separador de milhares 3 13 2 5 2 2 2" xfId="28271"/>
    <cellStyle name="Separador de milhares 3 13 2 5 2 2 3" xfId="22357"/>
    <cellStyle name="Separador de milhares 3 13 2 5 2 2 4" xfId="16443"/>
    <cellStyle name="Separador de milhares 3 13 2 5 2 3" xfId="25314"/>
    <cellStyle name="Separador de milhares 3 13 2 5 2 4" xfId="19400"/>
    <cellStyle name="Separador de milhares 3 13 2 5 2 5" xfId="13299"/>
    <cellStyle name="Separador de milhares 3 13 2 5 3" xfId="8589"/>
    <cellStyle name="Separador de milhares 3 13 2 5 3 2" xfId="26803"/>
    <cellStyle name="Separador de milhares 3 13 2 5 3 3" xfId="20889"/>
    <cellStyle name="Separador de milhares 3 13 2 5 3 4" xfId="14975"/>
    <cellStyle name="Separador de milhares 3 13 2 5 4" xfId="5211"/>
    <cellStyle name="Separador de milhares 3 13 2 5 4 2" xfId="23846"/>
    <cellStyle name="Separador de milhares 3 13 2 5 5" xfId="17932"/>
    <cellStyle name="Separador de milhares 3 13 2 5 6" xfId="11598"/>
    <cellStyle name="Separador de milhares 3 13 2 6" xfId="2260"/>
    <cellStyle name="Separador de milhares 3 13 2 6 2" xfId="7060"/>
    <cellStyle name="Separador de milhares 3 13 2 6 2 2" xfId="10204"/>
    <cellStyle name="Separador de milhares 3 13 2 6 2 2 2" xfId="28418"/>
    <cellStyle name="Separador de milhares 3 13 2 6 2 2 3" xfId="22504"/>
    <cellStyle name="Separador de milhares 3 13 2 6 2 2 4" xfId="16590"/>
    <cellStyle name="Separador de milhares 3 13 2 6 2 3" xfId="25461"/>
    <cellStyle name="Separador de milhares 3 13 2 6 2 4" xfId="19547"/>
    <cellStyle name="Separador de milhares 3 13 2 6 2 5" xfId="13449"/>
    <cellStyle name="Separador de milhares 3 13 2 6 3" xfId="8736"/>
    <cellStyle name="Separador de milhares 3 13 2 6 3 2" xfId="26950"/>
    <cellStyle name="Separador de milhares 3 13 2 6 3 3" xfId="21036"/>
    <cellStyle name="Separador de milhares 3 13 2 6 3 4" xfId="15122"/>
    <cellStyle name="Separador de milhares 3 13 2 6 4" xfId="5361"/>
    <cellStyle name="Separador de milhares 3 13 2 6 4 2" xfId="23993"/>
    <cellStyle name="Separador de milhares 3 13 2 6 5" xfId="18079"/>
    <cellStyle name="Separador de milhares 3 13 2 6 6" xfId="11748"/>
    <cellStyle name="Separador de milhares 3 13 2 7" xfId="2787"/>
    <cellStyle name="Separador de milhares 3 13 2 7 2" xfId="7207"/>
    <cellStyle name="Separador de milhares 3 13 2 7 2 2" xfId="10351"/>
    <cellStyle name="Separador de milhares 3 13 2 7 2 2 2" xfId="28565"/>
    <cellStyle name="Separador de milhares 3 13 2 7 2 2 3" xfId="22651"/>
    <cellStyle name="Separador de milhares 3 13 2 7 2 2 4" xfId="16737"/>
    <cellStyle name="Separador de milhares 3 13 2 7 2 3" xfId="25608"/>
    <cellStyle name="Separador de milhares 3 13 2 7 2 4" xfId="19694"/>
    <cellStyle name="Separador de milhares 3 13 2 7 2 5" xfId="13596"/>
    <cellStyle name="Separador de milhares 3 13 2 7 3" xfId="8883"/>
    <cellStyle name="Separador de milhares 3 13 2 7 3 2" xfId="27097"/>
    <cellStyle name="Separador de milhares 3 13 2 7 3 3" xfId="21183"/>
    <cellStyle name="Separador de milhares 3 13 2 7 3 4" xfId="15269"/>
    <cellStyle name="Separador de milhares 3 13 2 7 4" xfId="5508"/>
    <cellStyle name="Separador de milhares 3 13 2 7 4 2" xfId="24140"/>
    <cellStyle name="Separador de milhares 3 13 2 7 5" xfId="18226"/>
    <cellStyle name="Separador de milhares 3 13 2 7 6" xfId="11895"/>
    <cellStyle name="Separador de milhares 3 13 2 8" xfId="3314"/>
    <cellStyle name="Separador de milhares 3 13 2 8 2" xfId="7354"/>
    <cellStyle name="Separador de milhares 3 13 2 8 2 2" xfId="10498"/>
    <cellStyle name="Separador de milhares 3 13 2 8 2 2 2" xfId="28712"/>
    <cellStyle name="Separador de milhares 3 13 2 8 2 2 3" xfId="22798"/>
    <cellStyle name="Separador de milhares 3 13 2 8 2 2 4" xfId="16884"/>
    <cellStyle name="Separador de milhares 3 13 2 8 2 3" xfId="25755"/>
    <cellStyle name="Separador de milhares 3 13 2 8 2 4" xfId="19841"/>
    <cellStyle name="Separador de milhares 3 13 2 8 2 5" xfId="13743"/>
    <cellStyle name="Separador de milhares 3 13 2 8 3" xfId="9030"/>
    <cellStyle name="Separador de milhares 3 13 2 8 3 2" xfId="27244"/>
    <cellStyle name="Separador de milhares 3 13 2 8 3 3" xfId="21330"/>
    <cellStyle name="Separador de milhares 3 13 2 8 3 4" xfId="15416"/>
    <cellStyle name="Separador de milhares 3 13 2 8 4" xfId="5655"/>
    <cellStyle name="Separador de milhares 3 13 2 8 4 2" xfId="24287"/>
    <cellStyle name="Separador de milhares 3 13 2 8 5" xfId="18373"/>
    <cellStyle name="Separador de milhares 3 13 2 8 6" xfId="12042"/>
    <cellStyle name="Separador de milhares 3 13 2 9" xfId="3841"/>
    <cellStyle name="Separador de milhares 3 13 2 9 2" xfId="7501"/>
    <cellStyle name="Separador de milhares 3 13 2 9 2 2" xfId="10645"/>
    <cellStyle name="Separador de milhares 3 13 2 9 2 2 2" xfId="28859"/>
    <cellStyle name="Separador de milhares 3 13 2 9 2 2 3" xfId="22945"/>
    <cellStyle name="Separador de milhares 3 13 2 9 2 2 4" xfId="17031"/>
    <cellStyle name="Separador de milhares 3 13 2 9 2 3" xfId="25902"/>
    <cellStyle name="Separador de milhares 3 13 2 9 2 4" xfId="19988"/>
    <cellStyle name="Separador de milhares 3 13 2 9 2 5" xfId="13890"/>
    <cellStyle name="Separador de milhares 3 13 2 9 3" xfId="9177"/>
    <cellStyle name="Separador de milhares 3 13 2 9 3 2" xfId="27391"/>
    <cellStyle name="Separador de milhares 3 13 2 9 3 3" xfId="21477"/>
    <cellStyle name="Separador de milhares 3 13 2 9 3 4" xfId="15563"/>
    <cellStyle name="Separador de milhares 3 13 2 9 4" xfId="5802"/>
    <cellStyle name="Separador de milhares 3 13 2 9 4 2" xfId="24434"/>
    <cellStyle name="Separador de milhares 3 13 2 9 5" xfId="18520"/>
    <cellStyle name="Separador de milhares 3 13 2 9 6" xfId="12189"/>
    <cellStyle name="Separador de milhares 3 13 3" xfId="293"/>
    <cellStyle name="Separador de milhares 3 13 3 10" xfId="6492"/>
    <cellStyle name="Separador de milhares 3 13 3 10 2" xfId="9643"/>
    <cellStyle name="Separador de milhares 3 13 3 10 2 2" xfId="27857"/>
    <cellStyle name="Separador de milhares 3 13 3 10 2 3" xfId="21943"/>
    <cellStyle name="Separador de milhares 3 13 3 10 2 4" xfId="16029"/>
    <cellStyle name="Separador de milhares 3 13 3 10 3" xfId="24900"/>
    <cellStyle name="Separador de milhares 3 13 3 10 4" xfId="18986"/>
    <cellStyle name="Separador de milhares 3 13 3 10 5" xfId="12881"/>
    <cellStyle name="Separador de milhares 3 13 3 11" xfId="8172"/>
    <cellStyle name="Separador de milhares 3 13 3 11 2" xfId="26386"/>
    <cellStyle name="Separador de milhares 3 13 3 11 3" xfId="20472"/>
    <cellStyle name="Separador de milhares 3 13 3 11 4" xfId="14561"/>
    <cellStyle name="Separador de milhares 3 13 3 12" xfId="4791"/>
    <cellStyle name="Separador de milhares 3 13 3 12 2" xfId="23429"/>
    <cellStyle name="Separador de milhares 3 13 3 13" xfId="17515"/>
    <cellStyle name="Separador de milhares 3 13 3 14" xfId="11180"/>
    <cellStyle name="Separador de milhares 3 13 3 2" xfId="556"/>
    <cellStyle name="Separador de milhares 3 13 3 2 2" xfId="6563"/>
    <cellStyle name="Separador de milhares 3 13 3 2 2 2" xfId="9710"/>
    <cellStyle name="Separador de milhares 3 13 3 2 2 2 2" xfId="27924"/>
    <cellStyle name="Separador de milhares 3 13 3 2 2 2 3" xfId="22010"/>
    <cellStyle name="Separador de milhares 3 13 3 2 2 2 4" xfId="16096"/>
    <cellStyle name="Separador de milhares 3 13 3 2 2 3" xfId="24967"/>
    <cellStyle name="Separador de milhares 3 13 3 2 2 4" xfId="19053"/>
    <cellStyle name="Separador de milhares 3 13 3 2 2 5" xfId="12952"/>
    <cellStyle name="Separador de milhares 3 13 3 2 3" xfId="8239"/>
    <cellStyle name="Separador de milhares 3 13 3 2 3 2" xfId="26453"/>
    <cellStyle name="Separador de milhares 3 13 3 2 3 3" xfId="20539"/>
    <cellStyle name="Separador de milhares 3 13 3 2 3 4" xfId="14628"/>
    <cellStyle name="Separador de milhares 3 13 3 2 4" xfId="4862"/>
    <cellStyle name="Separador de milhares 3 13 3 2 4 2" xfId="23496"/>
    <cellStyle name="Separador de milhares 3 13 3 2 5" xfId="17582"/>
    <cellStyle name="Separador de milhares 3 13 3 2 6" xfId="11251"/>
    <cellStyle name="Separador de milhares 3 13 3 3" xfId="853"/>
    <cellStyle name="Separador de milhares 3 13 3 3 2" xfId="6665"/>
    <cellStyle name="Separador de milhares 3 13 3 3 2 2" xfId="9812"/>
    <cellStyle name="Separador de milhares 3 13 3 3 2 2 2" xfId="28026"/>
    <cellStyle name="Separador de milhares 3 13 3 3 2 2 3" xfId="22112"/>
    <cellStyle name="Separador de milhares 3 13 3 3 2 2 4" xfId="16198"/>
    <cellStyle name="Separador de milhares 3 13 3 3 2 3" xfId="25069"/>
    <cellStyle name="Separador de milhares 3 13 3 3 2 4" xfId="19155"/>
    <cellStyle name="Separador de milhares 3 13 3 3 2 5" xfId="13054"/>
    <cellStyle name="Separador de milhares 3 13 3 3 3" xfId="8344"/>
    <cellStyle name="Separador de milhares 3 13 3 3 3 2" xfId="26558"/>
    <cellStyle name="Separador de milhares 3 13 3 3 3 3" xfId="20644"/>
    <cellStyle name="Separador de milhares 3 13 3 3 3 4" xfId="14730"/>
    <cellStyle name="Separador de milhares 3 13 3 3 4" xfId="4966"/>
    <cellStyle name="Separador de milhares 3 13 3 3 4 2" xfId="23601"/>
    <cellStyle name="Separador de milhares 3 13 3 3 5" xfId="17687"/>
    <cellStyle name="Separador de milhares 3 13 3 3 6" xfId="11353"/>
    <cellStyle name="Separador de milhares 3 13 3 4" xfId="1204"/>
    <cellStyle name="Separador de milhares 3 13 3 4 2" xfId="6763"/>
    <cellStyle name="Separador de milhares 3 13 3 4 2 2" xfId="9910"/>
    <cellStyle name="Separador de milhares 3 13 3 4 2 2 2" xfId="28124"/>
    <cellStyle name="Separador de milhares 3 13 3 4 2 2 3" xfId="22210"/>
    <cellStyle name="Separador de milhares 3 13 3 4 2 2 4" xfId="16296"/>
    <cellStyle name="Separador de milhares 3 13 3 4 2 3" xfId="25167"/>
    <cellStyle name="Separador de milhares 3 13 3 4 2 4" xfId="19253"/>
    <cellStyle name="Separador de milhares 3 13 3 4 2 5" xfId="13152"/>
    <cellStyle name="Separador de milhares 3 13 3 4 3" xfId="8442"/>
    <cellStyle name="Separador de milhares 3 13 3 4 3 2" xfId="26656"/>
    <cellStyle name="Separador de milhares 3 13 3 4 3 3" xfId="20742"/>
    <cellStyle name="Separador de milhares 3 13 3 4 3 4" xfId="14828"/>
    <cellStyle name="Separador de milhares 3 13 3 4 4" xfId="5064"/>
    <cellStyle name="Separador de milhares 3 13 3 4 4 2" xfId="23699"/>
    <cellStyle name="Separador de milhares 3 13 3 4 5" xfId="17785"/>
    <cellStyle name="Separador de milhares 3 13 3 4 6" xfId="11451"/>
    <cellStyle name="Separador de milhares 3 13 3 5" xfId="1639"/>
    <cellStyle name="Separador de milhares 3 13 3 5 2" xfId="6882"/>
    <cellStyle name="Separador de milhares 3 13 3 5 2 2" xfId="10029"/>
    <cellStyle name="Separador de milhares 3 13 3 5 2 2 2" xfId="28243"/>
    <cellStyle name="Separador de milhares 3 13 3 5 2 2 3" xfId="22329"/>
    <cellStyle name="Separador de milhares 3 13 3 5 2 2 4" xfId="16415"/>
    <cellStyle name="Separador de milhares 3 13 3 5 2 3" xfId="25286"/>
    <cellStyle name="Separador de milhares 3 13 3 5 2 4" xfId="19372"/>
    <cellStyle name="Separador de milhares 3 13 3 5 2 5" xfId="13271"/>
    <cellStyle name="Separador de milhares 3 13 3 5 3" xfId="8561"/>
    <cellStyle name="Separador de milhares 3 13 3 5 3 2" xfId="26775"/>
    <cellStyle name="Separador de milhares 3 13 3 5 3 3" xfId="20861"/>
    <cellStyle name="Separador de milhares 3 13 3 5 3 4" xfId="14947"/>
    <cellStyle name="Separador de milhares 3 13 3 5 4" xfId="5183"/>
    <cellStyle name="Separador de milhares 3 13 3 5 4 2" xfId="23818"/>
    <cellStyle name="Separador de milhares 3 13 3 5 5" xfId="17904"/>
    <cellStyle name="Separador de milhares 3 13 3 5 6" xfId="11570"/>
    <cellStyle name="Separador de milhares 3 13 3 6" xfId="2169"/>
    <cellStyle name="Separador de milhares 3 13 3 6 2" xfId="7032"/>
    <cellStyle name="Separador de milhares 3 13 3 6 2 2" xfId="10176"/>
    <cellStyle name="Separador de milhares 3 13 3 6 2 2 2" xfId="28390"/>
    <cellStyle name="Separador de milhares 3 13 3 6 2 2 3" xfId="22476"/>
    <cellStyle name="Separador de milhares 3 13 3 6 2 2 4" xfId="16562"/>
    <cellStyle name="Separador de milhares 3 13 3 6 2 3" xfId="25433"/>
    <cellStyle name="Separador de milhares 3 13 3 6 2 4" xfId="19519"/>
    <cellStyle name="Separador de milhares 3 13 3 6 2 5" xfId="13421"/>
    <cellStyle name="Separador de milhares 3 13 3 6 3" xfId="8708"/>
    <cellStyle name="Separador de milhares 3 13 3 6 3 2" xfId="26922"/>
    <cellStyle name="Separador de milhares 3 13 3 6 3 3" xfId="21008"/>
    <cellStyle name="Separador de milhares 3 13 3 6 3 4" xfId="15094"/>
    <cellStyle name="Separador de milhares 3 13 3 6 4" xfId="5333"/>
    <cellStyle name="Separador de milhares 3 13 3 6 4 2" xfId="23965"/>
    <cellStyle name="Separador de milhares 3 13 3 6 5" xfId="18051"/>
    <cellStyle name="Separador de milhares 3 13 3 6 6" xfId="11720"/>
    <cellStyle name="Separador de milhares 3 13 3 7" xfId="2696"/>
    <cellStyle name="Separador de milhares 3 13 3 7 2" xfId="7179"/>
    <cellStyle name="Separador de milhares 3 13 3 7 2 2" xfId="10323"/>
    <cellStyle name="Separador de milhares 3 13 3 7 2 2 2" xfId="28537"/>
    <cellStyle name="Separador de milhares 3 13 3 7 2 2 3" xfId="22623"/>
    <cellStyle name="Separador de milhares 3 13 3 7 2 2 4" xfId="16709"/>
    <cellStyle name="Separador de milhares 3 13 3 7 2 3" xfId="25580"/>
    <cellStyle name="Separador de milhares 3 13 3 7 2 4" xfId="19666"/>
    <cellStyle name="Separador de milhares 3 13 3 7 2 5" xfId="13568"/>
    <cellStyle name="Separador de milhares 3 13 3 7 3" xfId="8855"/>
    <cellStyle name="Separador de milhares 3 13 3 7 3 2" xfId="27069"/>
    <cellStyle name="Separador de milhares 3 13 3 7 3 3" xfId="21155"/>
    <cellStyle name="Separador de milhares 3 13 3 7 3 4" xfId="15241"/>
    <cellStyle name="Separador de milhares 3 13 3 7 4" xfId="5480"/>
    <cellStyle name="Separador de milhares 3 13 3 7 4 2" xfId="24112"/>
    <cellStyle name="Separador de milhares 3 13 3 7 5" xfId="18198"/>
    <cellStyle name="Separador de milhares 3 13 3 7 6" xfId="11867"/>
    <cellStyle name="Separador de milhares 3 13 3 8" xfId="3223"/>
    <cellStyle name="Separador de milhares 3 13 3 8 2" xfId="7326"/>
    <cellStyle name="Separador de milhares 3 13 3 8 2 2" xfId="10470"/>
    <cellStyle name="Separador de milhares 3 13 3 8 2 2 2" xfId="28684"/>
    <cellStyle name="Separador de milhares 3 13 3 8 2 2 3" xfId="22770"/>
    <cellStyle name="Separador de milhares 3 13 3 8 2 2 4" xfId="16856"/>
    <cellStyle name="Separador de milhares 3 13 3 8 2 3" xfId="25727"/>
    <cellStyle name="Separador de milhares 3 13 3 8 2 4" xfId="19813"/>
    <cellStyle name="Separador de milhares 3 13 3 8 2 5" xfId="13715"/>
    <cellStyle name="Separador de milhares 3 13 3 8 3" xfId="9002"/>
    <cellStyle name="Separador de milhares 3 13 3 8 3 2" xfId="27216"/>
    <cellStyle name="Separador de milhares 3 13 3 8 3 3" xfId="21302"/>
    <cellStyle name="Separador de milhares 3 13 3 8 3 4" xfId="15388"/>
    <cellStyle name="Separador de milhares 3 13 3 8 4" xfId="5627"/>
    <cellStyle name="Separador de milhares 3 13 3 8 4 2" xfId="24259"/>
    <cellStyle name="Separador de milhares 3 13 3 8 5" xfId="18345"/>
    <cellStyle name="Separador de milhares 3 13 3 8 6" xfId="12014"/>
    <cellStyle name="Separador de milhares 3 13 3 9" xfId="3750"/>
    <cellStyle name="Separador de milhares 3 13 3 9 2" xfId="7473"/>
    <cellStyle name="Separador de milhares 3 13 3 9 2 2" xfId="10617"/>
    <cellStyle name="Separador de milhares 3 13 3 9 2 2 2" xfId="28831"/>
    <cellStyle name="Separador de milhares 3 13 3 9 2 2 3" xfId="22917"/>
    <cellStyle name="Separador de milhares 3 13 3 9 2 2 4" xfId="17003"/>
    <cellStyle name="Separador de milhares 3 13 3 9 2 3" xfId="25874"/>
    <cellStyle name="Separador de milhares 3 13 3 9 2 4" xfId="19960"/>
    <cellStyle name="Separador de milhares 3 13 3 9 2 5" xfId="13862"/>
    <cellStyle name="Separador de milhares 3 13 3 9 3" xfId="9149"/>
    <cellStyle name="Separador de milhares 3 13 3 9 3 2" xfId="27363"/>
    <cellStyle name="Separador de milhares 3 13 3 9 3 3" xfId="21449"/>
    <cellStyle name="Separador de milhares 3 13 3 9 3 4" xfId="15535"/>
    <cellStyle name="Separador de milhares 3 13 3 9 4" xfId="5774"/>
    <cellStyle name="Separador de milhares 3 13 3 9 4 2" xfId="24406"/>
    <cellStyle name="Separador de milhares 3 13 3 9 5" xfId="18492"/>
    <cellStyle name="Separador de milhares 3 13 3 9 6" xfId="12161"/>
    <cellStyle name="Separador de milhares 3 13 4" xfId="386"/>
    <cellStyle name="Separador de milhares 3 13 4 10" xfId="6520"/>
    <cellStyle name="Separador de milhares 3 13 4 10 2" xfId="9668"/>
    <cellStyle name="Separador de milhares 3 13 4 10 2 2" xfId="27882"/>
    <cellStyle name="Separador de milhares 3 13 4 10 2 3" xfId="21968"/>
    <cellStyle name="Separador de milhares 3 13 4 10 2 4" xfId="16054"/>
    <cellStyle name="Separador de milhares 3 13 4 10 3" xfId="24925"/>
    <cellStyle name="Separador de milhares 3 13 4 10 4" xfId="19011"/>
    <cellStyle name="Separador de milhares 3 13 4 10 5" xfId="12909"/>
    <cellStyle name="Separador de milhares 3 13 4 11" xfId="8197"/>
    <cellStyle name="Separador de milhares 3 13 4 11 2" xfId="26411"/>
    <cellStyle name="Separador de milhares 3 13 4 11 3" xfId="20497"/>
    <cellStyle name="Separador de milhares 3 13 4 11 4" xfId="14586"/>
    <cellStyle name="Separador de milhares 3 13 4 12" xfId="4819"/>
    <cellStyle name="Separador de milhares 3 13 4 12 2" xfId="23454"/>
    <cellStyle name="Separador de milhares 3 13 4 13" xfId="17540"/>
    <cellStyle name="Separador de milhares 3 13 4 14" xfId="11208"/>
    <cellStyle name="Separador de milhares 3 13 4 2" xfId="1031"/>
    <cellStyle name="Separador de milhares 3 13 4 2 2" xfId="6717"/>
    <cellStyle name="Separador de milhares 3 13 4 2 2 2" xfId="9864"/>
    <cellStyle name="Separador de milhares 3 13 4 2 2 2 2" xfId="28078"/>
    <cellStyle name="Separador de milhares 3 13 4 2 2 2 3" xfId="22164"/>
    <cellStyle name="Separador de milhares 3 13 4 2 2 2 4" xfId="16250"/>
    <cellStyle name="Separador de milhares 3 13 4 2 2 3" xfId="25121"/>
    <cellStyle name="Separador de milhares 3 13 4 2 2 4" xfId="19207"/>
    <cellStyle name="Separador de milhares 3 13 4 2 2 5" xfId="13106"/>
    <cellStyle name="Separador de milhares 3 13 4 2 3" xfId="8396"/>
    <cellStyle name="Separador de milhares 3 13 4 2 3 2" xfId="26610"/>
    <cellStyle name="Separador de milhares 3 13 4 2 3 3" xfId="20696"/>
    <cellStyle name="Separador de milhares 3 13 4 2 3 4" xfId="14782"/>
    <cellStyle name="Separador de milhares 3 13 4 2 4" xfId="5018"/>
    <cellStyle name="Separador de milhares 3 13 4 2 4 2" xfId="23653"/>
    <cellStyle name="Separador de milhares 3 13 4 2 5" xfId="17739"/>
    <cellStyle name="Separador de milhares 3 13 4 2 6" xfId="11405"/>
    <cellStyle name="Separador de milhares 3 13 4 3" xfId="1382"/>
    <cellStyle name="Separador de milhares 3 13 4 3 2" xfId="6815"/>
    <cellStyle name="Separador de milhares 3 13 4 3 2 2" xfId="9962"/>
    <cellStyle name="Separador de milhares 3 13 4 3 2 2 2" xfId="28176"/>
    <cellStyle name="Separador de milhares 3 13 4 3 2 2 3" xfId="22262"/>
    <cellStyle name="Separador de milhares 3 13 4 3 2 2 4" xfId="16348"/>
    <cellStyle name="Separador de milhares 3 13 4 3 2 3" xfId="25219"/>
    <cellStyle name="Separador de milhares 3 13 4 3 2 4" xfId="19305"/>
    <cellStyle name="Separador de milhares 3 13 4 3 2 5" xfId="13204"/>
    <cellStyle name="Separador de milhares 3 13 4 3 3" xfId="8494"/>
    <cellStyle name="Separador de milhares 3 13 4 3 3 2" xfId="26708"/>
    <cellStyle name="Separador de milhares 3 13 4 3 3 3" xfId="20794"/>
    <cellStyle name="Separador de milhares 3 13 4 3 3 4" xfId="14880"/>
    <cellStyle name="Separador de milhares 3 13 4 3 4" xfId="5116"/>
    <cellStyle name="Separador de milhares 3 13 4 3 4 2" xfId="23751"/>
    <cellStyle name="Separador de milhares 3 13 4 3 5" xfId="17837"/>
    <cellStyle name="Separador de milhares 3 13 4 3 6" xfId="11503"/>
    <cellStyle name="Separador de milhares 3 13 4 4" xfId="1817"/>
    <cellStyle name="Separador de milhares 3 13 4 4 2" xfId="6934"/>
    <cellStyle name="Separador de milhares 3 13 4 4 2 2" xfId="10081"/>
    <cellStyle name="Separador de milhares 3 13 4 4 2 2 2" xfId="28295"/>
    <cellStyle name="Separador de milhares 3 13 4 4 2 2 3" xfId="22381"/>
    <cellStyle name="Separador de milhares 3 13 4 4 2 2 4" xfId="16467"/>
    <cellStyle name="Separador de milhares 3 13 4 4 2 3" xfId="25338"/>
    <cellStyle name="Separador de milhares 3 13 4 4 2 4" xfId="19424"/>
    <cellStyle name="Separador de milhares 3 13 4 4 2 5" xfId="13323"/>
    <cellStyle name="Separador de milhares 3 13 4 4 3" xfId="8613"/>
    <cellStyle name="Separador de milhares 3 13 4 4 3 2" xfId="26827"/>
    <cellStyle name="Separador de milhares 3 13 4 4 3 3" xfId="20913"/>
    <cellStyle name="Separador de milhares 3 13 4 4 3 4" xfId="14999"/>
    <cellStyle name="Separador de milhares 3 13 4 4 4" xfId="5235"/>
    <cellStyle name="Separador de milhares 3 13 4 4 4 2" xfId="23870"/>
    <cellStyle name="Separador de milhares 3 13 4 4 5" xfId="17956"/>
    <cellStyle name="Separador de milhares 3 13 4 4 6" xfId="11622"/>
    <cellStyle name="Separador de milhares 3 13 4 5" xfId="2347"/>
    <cellStyle name="Separador de milhares 3 13 4 5 2" xfId="7084"/>
    <cellStyle name="Separador de milhares 3 13 4 5 2 2" xfId="10228"/>
    <cellStyle name="Separador de milhares 3 13 4 5 2 2 2" xfId="28442"/>
    <cellStyle name="Separador de milhares 3 13 4 5 2 2 3" xfId="22528"/>
    <cellStyle name="Separador de milhares 3 13 4 5 2 2 4" xfId="16614"/>
    <cellStyle name="Separador de milhares 3 13 4 5 2 3" xfId="25485"/>
    <cellStyle name="Separador de milhares 3 13 4 5 2 4" xfId="19571"/>
    <cellStyle name="Separador de milhares 3 13 4 5 2 5" xfId="13473"/>
    <cellStyle name="Separador de milhares 3 13 4 5 3" xfId="8760"/>
    <cellStyle name="Separador de milhares 3 13 4 5 3 2" xfId="26974"/>
    <cellStyle name="Separador de milhares 3 13 4 5 3 3" xfId="21060"/>
    <cellStyle name="Separador de milhares 3 13 4 5 3 4" xfId="15146"/>
    <cellStyle name="Separador de milhares 3 13 4 5 4" xfId="5385"/>
    <cellStyle name="Separador de milhares 3 13 4 5 4 2" xfId="24017"/>
    <cellStyle name="Separador de milhares 3 13 4 5 5" xfId="18103"/>
    <cellStyle name="Separador de milhares 3 13 4 5 6" xfId="11772"/>
    <cellStyle name="Separador de milhares 3 13 4 6" xfId="2874"/>
    <cellStyle name="Separador de milhares 3 13 4 6 2" xfId="7231"/>
    <cellStyle name="Separador de milhares 3 13 4 6 2 2" xfId="10375"/>
    <cellStyle name="Separador de milhares 3 13 4 6 2 2 2" xfId="28589"/>
    <cellStyle name="Separador de milhares 3 13 4 6 2 2 3" xfId="22675"/>
    <cellStyle name="Separador de milhares 3 13 4 6 2 2 4" xfId="16761"/>
    <cellStyle name="Separador de milhares 3 13 4 6 2 3" xfId="25632"/>
    <cellStyle name="Separador de milhares 3 13 4 6 2 4" xfId="19718"/>
    <cellStyle name="Separador de milhares 3 13 4 6 2 5" xfId="13620"/>
    <cellStyle name="Separador de milhares 3 13 4 6 3" xfId="8907"/>
    <cellStyle name="Separador de milhares 3 13 4 6 3 2" xfId="27121"/>
    <cellStyle name="Separador de milhares 3 13 4 6 3 3" xfId="21207"/>
    <cellStyle name="Separador de milhares 3 13 4 6 3 4" xfId="15293"/>
    <cellStyle name="Separador de milhares 3 13 4 6 4" xfId="5532"/>
    <cellStyle name="Separador de milhares 3 13 4 6 4 2" xfId="24164"/>
    <cellStyle name="Separador de milhares 3 13 4 6 5" xfId="18250"/>
    <cellStyle name="Separador de milhares 3 13 4 6 6" xfId="11919"/>
    <cellStyle name="Separador de milhares 3 13 4 7" xfId="3401"/>
    <cellStyle name="Separador de milhares 3 13 4 7 2" xfId="7378"/>
    <cellStyle name="Separador de milhares 3 13 4 7 2 2" xfId="10522"/>
    <cellStyle name="Separador de milhares 3 13 4 7 2 2 2" xfId="28736"/>
    <cellStyle name="Separador de milhares 3 13 4 7 2 2 3" xfId="22822"/>
    <cellStyle name="Separador de milhares 3 13 4 7 2 2 4" xfId="16908"/>
    <cellStyle name="Separador de milhares 3 13 4 7 2 3" xfId="25779"/>
    <cellStyle name="Separador de milhares 3 13 4 7 2 4" xfId="19865"/>
    <cellStyle name="Separador de milhares 3 13 4 7 2 5" xfId="13767"/>
    <cellStyle name="Separador de milhares 3 13 4 7 3" xfId="9054"/>
    <cellStyle name="Separador de milhares 3 13 4 7 3 2" xfId="27268"/>
    <cellStyle name="Separador de milhares 3 13 4 7 3 3" xfId="21354"/>
    <cellStyle name="Separador de milhares 3 13 4 7 3 4" xfId="15440"/>
    <cellStyle name="Separador de milhares 3 13 4 7 4" xfId="5679"/>
    <cellStyle name="Separador de milhares 3 13 4 7 4 2" xfId="24311"/>
    <cellStyle name="Separador de milhares 3 13 4 7 5" xfId="18397"/>
    <cellStyle name="Separador de milhares 3 13 4 7 6" xfId="12066"/>
    <cellStyle name="Separador de milhares 3 13 4 8" xfId="3928"/>
    <cellStyle name="Separador de milhares 3 13 4 8 2" xfId="7525"/>
    <cellStyle name="Separador de milhares 3 13 4 8 2 2" xfId="10669"/>
    <cellStyle name="Separador de milhares 3 13 4 8 2 2 2" xfId="28883"/>
    <cellStyle name="Separador de milhares 3 13 4 8 2 2 3" xfId="22969"/>
    <cellStyle name="Separador de milhares 3 13 4 8 2 2 4" xfId="17055"/>
    <cellStyle name="Separador de milhares 3 13 4 8 2 3" xfId="25926"/>
    <cellStyle name="Separador de milhares 3 13 4 8 2 4" xfId="20012"/>
    <cellStyle name="Separador de milhares 3 13 4 8 2 5" xfId="13914"/>
    <cellStyle name="Separador de milhares 3 13 4 8 3" xfId="9201"/>
    <cellStyle name="Separador de milhares 3 13 4 8 3 2" xfId="27415"/>
    <cellStyle name="Separador de milhares 3 13 4 8 3 3" xfId="21501"/>
    <cellStyle name="Separador de milhares 3 13 4 8 3 4" xfId="15587"/>
    <cellStyle name="Separador de milhares 3 13 4 8 4" xfId="5826"/>
    <cellStyle name="Separador de milhares 3 13 4 8 4 2" xfId="24458"/>
    <cellStyle name="Separador de milhares 3 13 4 8 5" xfId="18544"/>
    <cellStyle name="Separador de milhares 3 13 4 8 6" xfId="12213"/>
    <cellStyle name="Separador de milhares 3 13 4 9" xfId="684"/>
    <cellStyle name="Separador de milhares 3 13 4 9 2" xfId="6619"/>
    <cellStyle name="Separador de milhares 3 13 4 9 2 2" xfId="9766"/>
    <cellStyle name="Separador de milhares 3 13 4 9 2 2 2" xfId="27980"/>
    <cellStyle name="Separador de milhares 3 13 4 9 2 2 3" xfId="22066"/>
    <cellStyle name="Separador de milhares 3 13 4 9 2 2 4" xfId="16152"/>
    <cellStyle name="Separador de milhares 3 13 4 9 2 3" xfId="25023"/>
    <cellStyle name="Separador de milhares 3 13 4 9 2 4" xfId="19109"/>
    <cellStyle name="Separador de milhares 3 13 4 9 2 5" xfId="13008"/>
    <cellStyle name="Separador de milhares 3 13 4 9 3" xfId="8298"/>
    <cellStyle name="Separador de milhares 3 13 4 9 3 2" xfId="26512"/>
    <cellStyle name="Separador de milhares 3 13 4 9 3 3" xfId="20598"/>
    <cellStyle name="Separador de milhares 3 13 4 9 3 4" xfId="14684"/>
    <cellStyle name="Separador de milhares 3 13 4 9 4" xfId="4920"/>
    <cellStyle name="Separador de milhares 3 13 4 9 4 2" xfId="23555"/>
    <cellStyle name="Separador de milhares 3 13 4 9 5" xfId="17641"/>
    <cellStyle name="Separador de milhares 3 13 4 9 6" xfId="11307"/>
    <cellStyle name="Separador de milhares 3 13 5" xfId="643"/>
    <cellStyle name="Separador de milhares 3 13 5 10" xfId="4884"/>
    <cellStyle name="Separador de milhares 3 13 5 10 2" xfId="23518"/>
    <cellStyle name="Separador de milhares 3 13 5 11" xfId="17604"/>
    <cellStyle name="Separador de milhares 3 13 5 12" xfId="11273"/>
    <cellStyle name="Separador de milhares 3 13 5 2" xfId="1466"/>
    <cellStyle name="Separador de milhares 3 13 5 2 2" xfId="6836"/>
    <cellStyle name="Separador de milhares 3 13 5 2 2 2" xfId="9983"/>
    <cellStyle name="Separador de milhares 3 13 5 2 2 2 2" xfId="28197"/>
    <cellStyle name="Separador de milhares 3 13 5 2 2 2 3" xfId="22283"/>
    <cellStyle name="Separador de milhares 3 13 5 2 2 2 4" xfId="16369"/>
    <cellStyle name="Separador de milhares 3 13 5 2 2 3" xfId="25240"/>
    <cellStyle name="Separador de milhares 3 13 5 2 2 4" xfId="19326"/>
    <cellStyle name="Separador de milhares 3 13 5 2 2 5" xfId="13225"/>
    <cellStyle name="Separador de milhares 3 13 5 2 3" xfId="8515"/>
    <cellStyle name="Separador de milhares 3 13 5 2 3 2" xfId="26729"/>
    <cellStyle name="Separador de milhares 3 13 5 2 3 3" xfId="20815"/>
    <cellStyle name="Separador de milhares 3 13 5 2 3 4" xfId="14901"/>
    <cellStyle name="Separador de milhares 3 13 5 2 4" xfId="5137"/>
    <cellStyle name="Separador de milhares 3 13 5 2 4 2" xfId="23772"/>
    <cellStyle name="Separador de milhares 3 13 5 2 5" xfId="17858"/>
    <cellStyle name="Separador de milhares 3 13 5 2 6" xfId="11524"/>
    <cellStyle name="Separador de milhares 3 13 5 3" xfId="1901"/>
    <cellStyle name="Separador de milhares 3 13 5 3 2" xfId="6955"/>
    <cellStyle name="Separador de milhares 3 13 5 3 2 2" xfId="10102"/>
    <cellStyle name="Separador de milhares 3 13 5 3 2 2 2" xfId="28316"/>
    <cellStyle name="Separador de milhares 3 13 5 3 2 2 3" xfId="22402"/>
    <cellStyle name="Separador de milhares 3 13 5 3 2 2 4" xfId="16488"/>
    <cellStyle name="Separador de milhares 3 13 5 3 2 3" xfId="25359"/>
    <cellStyle name="Separador de milhares 3 13 5 3 2 4" xfId="19445"/>
    <cellStyle name="Separador de milhares 3 13 5 3 2 5" xfId="13344"/>
    <cellStyle name="Separador de milhares 3 13 5 3 3" xfId="8634"/>
    <cellStyle name="Separador de milhares 3 13 5 3 3 2" xfId="26848"/>
    <cellStyle name="Separador de milhares 3 13 5 3 3 3" xfId="20934"/>
    <cellStyle name="Separador de milhares 3 13 5 3 3 4" xfId="15020"/>
    <cellStyle name="Separador de milhares 3 13 5 3 4" xfId="5256"/>
    <cellStyle name="Separador de milhares 3 13 5 3 4 2" xfId="23891"/>
    <cellStyle name="Separador de milhares 3 13 5 3 5" xfId="17977"/>
    <cellStyle name="Separador de milhares 3 13 5 3 6" xfId="11643"/>
    <cellStyle name="Separador de milhares 3 13 5 4" xfId="2431"/>
    <cellStyle name="Separador de milhares 3 13 5 4 2" xfId="7105"/>
    <cellStyle name="Separador de milhares 3 13 5 4 2 2" xfId="10249"/>
    <cellStyle name="Separador de milhares 3 13 5 4 2 2 2" xfId="28463"/>
    <cellStyle name="Separador de milhares 3 13 5 4 2 2 3" xfId="22549"/>
    <cellStyle name="Separador de milhares 3 13 5 4 2 2 4" xfId="16635"/>
    <cellStyle name="Separador de milhares 3 13 5 4 2 3" xfId="25506"/>
    <cellStyle name="Separador de milhares 3 13 5 4 2 4" xfId="19592"/>
    <cellStyle name="Separador de milhares 3 13 5 4 2 5" xfId="13494"/>
    <cellStyle name="Separador de milhares 3 13 5 4 3" xfId="8781"/>
    <cellStyle name="Separador de milhares 3 13 5 4 3 2" xfId="26995"/>
    <cellStyle name="Separador de milhares 3 13 5 4 3 3" xfId="21081"/>
    <cellStyle name="Separador de milhares 3 13 5 4 3 4" xfId="15167"/>
    <cellStyle name="Separador de milhares 3 13 5 4 4" xfId="5406"/>
    <cellStyle name="Separador de milhares 3 13 5 4 4 2" xfId="24038"/>
    <cellStyle name="Separador de milhares 3 13 5 4 5" xfId="18124"/>
    <cellStyle name="Separador de milhares 3 13 5 4 6" xfId="11793"/>
    <cellStyle name="Separador de milhares 3 13 5 5" xfId="2958"/>
    <cellStyle name="Separador de milhares 3 13 5 5 2" xfId="7252"/>
    <cellStyle name="Separador de milhares 3 13 5 5 2 2" xfId="10396"/>
    <cellStyle name="Separador de milhares 3 13 5 5 2 2 2" xfId="28610"/>
    <cellStyle name="Separador de milhares 3 13 5 5 2 2 3" xfId="22696"/>
    <cellStyle name="Separador de milhares 3 13 5 5 2 2 4" xfId="16782"/>
    <cellStyle name="Separador de milhares 3 13 5 5 2 3" xfId="25653"/>
    <cellStyle name="Separador de milhares 3 13 5 5 2 4" xfId="19739"/>
    <cellStyle name="Separador de milhares 3 13 5 5 2 5" xfId="13641"/>
    <cellStyle name="Separador de milhares 3 13 5 5 3" xfId="8928"/>
    <cellStyle name="Separador de milhares 3 13 5 5 3 2" xfId="27142"/>
    <cellStyle name="Separador de milhares 3 13 5 5 3 3" xfId="21228"/>
    <cellStyle name="Separador de milhares 3 13 5 5 3 4" xfId="15314"/>
    <cellStyle name="Separador de milhares 3 13 5 5 4" xfId="5553"/>
    <cellStyle name="Separador de milhares 3 13 5 5 4 2" xfId="24185"/>
    <cellStyle name="Separador de milhares 3 13 5 5 5" xfId="18271"/>
    <cellStyle name="Separador de milhares 3 13 5 5 6" xfId="11940"/>
    <cellStyle name="Separador de milhares 3 13 5 6" xfId="3485"/>
    <cellStyle name="Separador de milhares 3 13 5 6 2" xfId="7399"/>
    <cellStyle name="Separador de milhares 3 13 5 6 2 2" xfId="10543"/>
    <cellStyle name="Separador de milhares 3 13 5 6 2 2 2" xfId="28757"/>
    <cellStyle name="Separador de milhares 3 13 5 6 2 2 3" xfId="22843"/>
    <cellStyle name="Separador de milhares 3 13 5 6 2 2 4" xfId="16929"/>
    <cellStyle name="Separador de milhares 3 13 5 6 2 3" xfId="25800"/>
    <cellStyle name="Separador de milhares 3 13 5 6 2 4" xfId="19886"/>
    <cellStyle name="Separador de milhares 3 13 5 6 2 5" xfId="13788"/>
    <cellStyle name="Separador de milhares 3 13 5 6 3" xfId="9075"/>
    <cellStyle name="Separador de milhares 3 13 5 6 3 2" xfId="27289"/>
    <cellStyle name="Separador de milhares 3 13 5 6 3 3" xfId="21375"/>
    <cellStyle name="Separador de milhares 3 13 5 6 3 4" xfId="15461"/>
    <cellStyle name="Separador de milhares 3 13 5 6 4" xfId="5700"/>
    <cellStyle name="Separador de milhares 3 13 5 6 4 2" xfId="24332"/>
    <cellStyle name="Separador de milhares 3 13 5 6 5" xfId="18418"/>
    <cellStyle name="Separador de milhares 3 13 5 6 6" xfId="12087"/>
    <cellStyle name="Separador de milhares 3 13 5 7" xfId="4012"/>
    <cellStyle name="Separador de milhares 3 13 5 7 2" xfId="7546"/>
    <cellStyle name="Separador de milhares 3 13 5 7 2 2" xfId="10690"/>
    <cellStyle name="Separador de milhares 3 13 5 7 2 2 2" xfId="28904"/>
    <cellStyle name="Separador de milhares 3 13 5 7 2 2 3" xfId="22990"/>
    <cellStyle name="Separador de milhares 3 13 5 7 2 2 4" xfId="17076"/>
    <cellStyle name="Separador de milhares 3 13 5 7 2 3" xfId="25947"/>
    <cellStyle name="Separador de milhares 3 13 5 7 2 4" xfId="20033"/>
    <cellStyle name="Separador de milhares 3 13 5 7 2 5" xfId="13935"/>
    <cellStyle name="Separador de milhares 3 13 5 7 3" xfId="9222"/>
    <cellStyle name="Separador de milhares 3 13 5 7 3 2" xfId="27436"/>
    <cellStyle name="Separador de milhares 3 13 5 7 3 3" xfId="21522"/>
    <cellStyle name="Separador de milhares 3 13 5 7 3 4" xfId="15608"/>
    <cellStyle name="Separador de milhares 3 13 5 7 4" xfId="5847"/>
    <cellStyle name="Separador de milhares 3 13 5 7 4 2" xfId="24479"/>
    <cellStyle name="Separador de milhares 3 13 5 7 5" xfId="18565"/>
    <cellStyle name="Separador de milhares 3 13 5 7 6" xfId="12234"/>
    <cellStyle name="Separador de milhares 3 13 5 8" xfId="6585"/>
    <cellStyle name="Separador de milhares 3 13 5 8 2" xfId="9732"/>
    <cellStyle name="Separador de milhares 3 13 5 8 2 2" xfId="27946"/>
    <cellStyle name="Separador de milhares 3 13 5 8 2 3" xfId="22032"/>
    <cellStyle name="Separador de milhares 3 13 5 8 2 4" xfId="16118"/>
    <cellStyle name="Separador de milhares 3 13 5 8 3" xfId="24989"/>
    <cellStyle name="Separador de milhares 3 13 5 8 4" xfId="19075"/>
    <cellStyle name="Separador de milhares 3 13 5 8 5" xfId="12974"/>
    <cellStyle name="Separador de milhares 3 13 5 9" xfId="8261"/>
    <cellStyle name="Separador de milhares 3 13 5 9 2" xfId="26475"/>
    <cellStyle name="Separador de milhares 3 13 5 9 3" xfId="20561"/>
    <cellStyle name="Separador de milhares 3 13 5 9 4" xfId="14650"/>
    <cellStyle name="Separador de milhares 3 13 6" xfId="764"/>
    <cellStyle name="Separador de milhares 3 13 6 2" xfId="4188"/>
    <cellStyle name="Separador de milhares 3 13 6 2 2" xfId="7595"/>
    <cellStyle name="Separador de milhares 3 13 6 2 2 2" xfId="10739"/>
    <cellStyle name="Separador de milhares 3 13 6 2 2 2 2" xfId="28953"/>
    <cellStyle name="Separador de milhares 3 13 6 2 2 2 3" xfId="23039"/>
    <cellStyle name="Separador de milhares 3 13 6 2 2 2 4" xfId="17125"/>
    <cellStyle name="Separador de milhares 3 13 6 2 2 3" xfId="25996"/>
    <cellStyle name="Separador de milhares 3 13 6 2 2 4" xfId="20082"/>
    <cellStyle name="Separador de milhares 3 13 6 2 2 5" xfId="13984"/>
    <cellStyle name="Separador de milhares 3 13 6 2 3" xfId="9271"/>
    <cellStyle name="Separador de milhares 3 13 6 2 3 2" xfId="27485"/>
    <cellStyle name="Separador de milhares 3 13 6 2 3 3" xfId="21571"/>
    <cellStyle name="Separador de milhares 3 13 6 2 3 4" xfId="15657"/>
    <cellStyle name="Separador de milhares 3 13 6 2 4" xfId="5896"/>
    <cellStyle name="Separador de milhares 3 13 6 2 4 2" xfId="24528"/>
    <cellStyle name="Separador de milhares 3 13 6 2 5" xfId="18614"/>
    <cellStyle name="Separador de milhares 3 13 6 2 6" xfId="12283"/>
    <cellStyle name="Separador de milhares 3 13 6 3" xfId="6640"/>
    <cellStyle name="Separador de milhares 3 13 6 3 2" xfId="9787"/>
    <cellStyle name="Separador de milhares 3 13 6 3 2 2" xfId="28001"/>
    <cellStyle name="Separador de milhares 3 13 6 3 2 3" xfId="22087"/>
    <cellStyle name="Separador de milhares 3 13 6 3 2 4" xfId="16173"/>
    <cellStyle name="Separador de milhares 3 13 6 3 3" xfId="25044"/>
    <cellStyle name="Separador de milhares 3 13 6 3 4" xfId="19130"/>
    <cellStyle name="Separador de milhares 3 13 6 3 5" xfId="13029"/>
    <cellStyle name="Separador de milhares 3 13 6 4" xfId="8319"/>
    <cellStyle name="Separador de milhares 3 13 6 4 2" xfId="26533"/>
    <cellStyle name="Separador de milhares 3 13 6 4 3" xfId="20619"/>
    <cellStyle name="Separador de milhares 3 13 6 4 4" xfId="14705"/>
    <cellStyle name="Separador de milhares 3 13 6 5" xfId="4941"/>
    <cellStyle name="Separador de milhares 3 13 6 5 2" xfId="23576"/>
    <cellStyle name="Separador de milhares 3 13 6 6" xfId="17662"/>
    <cellStyle name="Separador de milhares 3 13 6 7" xfId="11328"/>
    <cellStyle name="Separador de milhares 3 13 7" xfId="1115"/>
    <cellStyle name="Separador de milhares 3 13 7 2" xfId="6738"/>
    <cellStyle name="Separador de milhares 3 13 7 2 2" xfId="9885"/>
    <cellStyle name="Separador de milhares 3 13 7 2 2 2" xfId="28099"/>
    <cellStyle name="Separador de milhares 3 13 7 2 2 3" xfId="22185"/>
    <cellStyle name="Separador de milhares 3 13 7 2 2 4" xfId="16271"/>
    <cellStyle name="Separador de milhares 3 13 7 2 3" xfId="25142"/>
    <cellStyle name="Separador de milhares 3 13 7 2 4" xfId="19228"/>
    <cellStyle name="Separador de milhares 3 13 7 2 5" xfId="13127"/>
    <cellStyle name="Separador de milhares 3 13 7 3" xfId="8417"/>
    <cellStyle name="Separador de milhares 3 13 7 3 2" xfId="26631"/>
    <cellStyle name="Separador de milhares 3 13 7 3 3" xfId="20717"/>
    <cellStyle name="Separador de milhares 3 13 7 3 4" xfId="14803"/>
    <cellStyle name="Separador de milhares 3 13 7 4" xfId="5039"/>
    <cellStyle name="Separador de milhares 3 13 7 4 2" xfId="23674"/>
    <cellStyle name="Separador de milhares 3 13 7 5" xfId="17760"/>
    <cellStyle name="Separador de milhares 3 13 7 6" xfId="11426"/>
    <cellStyle name="Separador de milhares 3 13 8" xfId="1550"/>
    <cellStyle name="Separador de milhares 3 13 8 2" xfId="6857"/>
    <cellStyle name="Separador de milhares 3 13 8 2 2" xfId="10004"/>
    <cellStyle name="Separador de milhares 3 13 8 2 2 2" xfId="28218"/>
    <cellStyle name="Separador de milhares 3 13 8 2 2 3" xfId="22304"/>
    <cellStyle name="Separador de milhares 3 13 8 2 2 4" xfId="16390"/>
    <cellStyle name="Separador de milhares 3 13 8 2 3" xfId="25261"/>
    <cellStyle name="Separador de milhares 3 13 8 2 4" xfId="19347"/>
    <cellStyle name="Separador de milhares 3 13 8 2 5" xfId="13246"/>
    <cellStyle name="Separador de milhares 3 13 8 3" xfId="8536"/>
    <cellStyle name="Separador de milhares 3 13 8 3 2" xfId="26750"/>
    <cellStyle name="Separador de milhares 3 13 8 3 3" xfId="20836"/>
    <cellStyle name="Separador de milhares 3 13 8 3 4" xfId="14922"/>
    <cellStyle name="Separador de milhares 3 13 8 4" xfId="5158"/>
    <cellStyle name="Separador de milhares 3 13 8 4 2" xfId="23793"/>
    <cellStyle name="Separador de milhares 3 13 8 5" xfId="17879"/>
    <cellStyle name="Separador de milhares 3 13 8 6" xfId="11545"/>
    <cellStyle name="Separador de milhares 3 13 9" xfId="2080"/>
    <cellStyle name="Separador de milhares 3 13 9 2" xfId="7007"/>
    <cellStyle name="Separador de milhares 3 13 9 2 2" xfId="10151"/>
    <cellStyle name="Separador de milhares 3 13 9 2 2 2" xfId="28365"/>
    <cellStyle name="Separador de milhares 3 13 9 2 2 3" xfId="22451"/>
    <cellStyle name="Separador de milhares 3 13 9 2 2 4" xfId="16537"/>
    <cellStyle name="Separador de milhares 3 13 9 2 3" xfId="25408"/>
    <cellStyle name="Separador de milhares 3 13 9 2 4" xfId="19494"/>
    <cellStyle name="Separador de milhares 3 13 9 2 5" xfId="13396"/>
    <cellStyle name="Separador de milhares 3 13 9 3" xfId="8683"/>
    <cellStyle name="Separador de milhares 3 13 9 3 2" xfId="26897"/>
    <cellStyle name="Separador de milhares 3 13 9 3 3" xfId="20983"/>
    <cellStyle name="Separador de milhares 3 13 9 3 4" xfId="15069"/>
    <cellStyle name="Separador de milhares 3 13 9 4" xfId="5308"/>
    <cellStyle name="Separador de milhares 3 13 9 4 2" xfId="23940"/>
    <cellStyle name="Separador de milhares 3 13 9 5" xfId="18026"/>
    <cellStyle name="Separador de milhares 3 13 9 6" xfId="11695"/>
    <cellStyle name="Separador de milhares 3 14" xfId="36"/>
    <cellStyle name="Separador de milhares 3 14 10" xfId="2539"/>
    <cellStyle name="Separador de milhares 3 14 10 2" xfId="7137"/>
    <cellStyle name="Separador de milhares 3 14 10 2 2" xfId="10281"/>
    <cellStyle name="Separador de milhares 3 14 10 2 2 2" xfId="28495"/>
    <cellStyle name="Separador de milhares 3 14 10 2 2 3" xfId="22581"/>
    <cellStyle name="Separador de milhares 3 14 10 2 2 4" xfId="16667"/>
    <cellStyle name="Separador de milhares 3 14 10 2 3" xfId="25538"/>
    <cellStyle name="Separador de milhares 3 14 10 2 4" xfId="19624"/>
    <cellStyle name="Separador de milhares 3 14 10 2 5" xfId="13526"/>
    <cellStyle name="Separador de milhares 3 14 10 3" xfId="8813"/>
    <cellStyle name="Separador de milhares 3 14 10 3 2" xfId="27027"/>
    <cellStyle name="Separador de milhares 3 14 10 3 3" xfId="21113"/>
    <cellStyle name="Separador de milhares 3 14 10 3 4" xfId="15199"/>
    <cellStyle name="Separador de milhares 3 14 10 4" xfId="5438"/>
    <cellStyle name="Separador de milhares 3 14 10 4 2" xfId="24070"/>
    <cellStyle name="Separador de milhares 3 14 10 5" xfId="18156"/>
    <cellStyle name="Separador de milhares 3 14 10 6" xfId="11825"/>
    <cellStyle name="Separador de milhares 3 14 11" xfId="3066"/>
    <cellStyle name="Separador de milhares 3 14 11 2" xfId="7284"/>
    <cellStyle name="Separador de milhares 3 14 11 2 2" xfId="10428"/>
    <cellStyle name="Separador de milhares 3 14 11 2 2 2" xfId="28642"/>
    <cellStyle name="Separador de milhares 3 14 11 2 2 3" xfId="22728"/>
    <cellStyle name="Separador de milhares 3 14 11 2 2 4" xfId="16814"/>
    <cellStyle name="Separador de milhares 3 14 11 2 3" xfId="25685"/>
    <cellStyle name="Separador de milhares 3 14 11 2 4" xfId="19771"/>
    <cellStyle name="Separador de milhares 3 14 11 2 5" xfId="13673"/>
    <cellStyle name="Separador de milhares 3 14 11 3" xfId="8960"/>
    <cellStyle name="Separador de milhares 3 14 11 3 2" xfId="27174"/>
    <cellStyle name="Separador de milhares 3 14 11 3 3" xfId="21260"/>
    <cellStyle name="Separador de milhares 3 14 11 3 4" xfId="15346"/>
    <cellStyle name="Separador de milhares 3 14 11 4" xfId="5585"/>
    <cellStyle name="Separador de milhares 3 14 11 4 2" xfId="24217"/>
    <cellStyle name="Separador de milhares 3 14 11 5" xfId="18303"/>
    <cellStyle name="Separador de milhares 3 14 11 6" xfId="11972"/>
    <cellStyle name="Separador de milhares 3 14 12" xfId="3593"/>
    <cellStyle name="Separador de milhares 3 14 12 2" xfId="7431"/>
    <cellStyle name="Separador de milhares 3 14 12 2 2" xfId="10575"/>
    <cellStyle name="Separador de milhares 3 14 12 2 2 2" xfId="28789"/>
    <cellStyle name="Separador de milhares 3 14 12 2 2 3" xfId="22875"/>
    <cellStyle name="Separador de milhares 3 14 12 2 2 4" xfId="16961"/>
    <cellStyle name="Separador de milhares 3 14 12 2 3" xfId="25832"/>
    <cellStyle name="Separador de milhares 3 14 12 2 4" xfId="19918"/>
    <cellStyle name="Separador de milhares 3 14 12 2 5" xfId="13820"/>
    <cellStyle name="Separador de milhares 3 14 12 3" xfId="9107"/>
    <cellStyle name="Separador de milhares 3 14 12 3 2" xfId="27321"/>
    <cellStyle name="Separador de milhares 3 14 12 3 3" xfId="21407"/>
    <cellStyle name="Separador de milhares 3 14 12 3 4" xfId="15493"/>
    <cellStyle name="Separador de milhares 3 14 12 4" xfId="5732"/>
    <cellStyle name="Separador de milhares 3 14 12 4 2" xfId="24364"/>
    <cellStyle name="Separador de milhares 3 14 12 5" xfId="18450"/>
    <cellStyle name="Separador de milhares 3 14 12 6" xfId="12119"/>
    <cellStyle name="Separador de milhares 3 14 13" xfId="6415"/>
    <cellStyle name="Separador de milhares 3 14 13 2" xfId="9571"/>
    <cellStyle name="Separador de milhares 3 14 13 2 2" xfId="27785"/>
    <cellStyle name="Separador de milhares 3 14 13 2 3" xfId="21871"/>
    <cellStyle name="Separador de milhares 3 14 13 2 4" xfId="15957"/>
    <cellStyle name="Separador de milhares 3 14 13 3" xfId="24828"/>
    <cellStyle name="Separador de milhares 3 14 13 4" xfId="18914"/>
    <cellStyle name="Separador de milhares 3 14 13 5" xfId="12804"/>
    <cellStyle name="Separador de milhares 3 14 14" xfId="8100"/>
    <cellStyle name="Separador de milhares 3 14 14 2" xfId="26314"/>
    <cellStyle name="Separador de milhares 3 14 14 3" xfId="20400"/>
    <cellStyle name="Separador de milhares 3 14 14 4" xfId="14489"/>
    <cellStyle name="Separador de milhares 3 14 15" xfId="4713"/>
    <cellStyle name="Separador de milhares 3 14 15 2" xfId="23357"/>
    <cellStyle name="Separador de milhares 3 14 16" xfId="17443"/>
    <cellStyle name="Separador de milhares 3 14 17" xfId="11103"/>
    <cellStyle name="Separador de milhares 3 14 2" xfId="130"/>
    <cellStyle name="Separador de milhares 3 14 2 10" xfId="6444"/>
    <cellStyle name="Separador de milhares 3 14 2 10 2" xfId="9598"/>
    <cellStyle name="Separador de milhares 3 14 2 10 2 2" xfId="27812"/>
    <cellStyle name="Separador de milhares 3 14 2 10 2 3" xfId="21898"/>
    <cellStyle name="Separador de milhares 3 14 2 10 2 4" xfId="15984"/>
    <cellStyle name="Separador de milhares 3 14 2 10 3" xfId="24855"/>
    <cellStyle name="Separador de milhares 3 14 2 10 4" xfId="18941"/>
    <cellStyle name="Separador de milhares 3 14 2 10 5" xfId="12833"/>
    <cellStyle name="Separador de milhares 3 14 2 11" xfId="8127"/>
    <cellStyle name="Separador de milhares 3 14 2 11 2" xfId="26341"/>
    <cellStyle name="Separador de milhares 3 14 2 11 3" xfId="20427"/>
    <cellStyle name="Separador de milhares 3 14 2 11 4" xfId="14516"/>
    <cellStyle name="Separador de milhares 3 14 2 12" xfId="4743"/>
    <cellStyle name="Separador de milhares 3 14 2 12 2" xfId="23384"/>
    <cellStyle name="Separador de milhares 3 14 2 13" xfId="17470"/>
    <cellStyle name="Separador de milhares 3 14 2 14" xfId="11132"/>
    <cellStyle name="Separador de milhares 3 14 2 2" xfId="403"/>
    <cellStyle name="Separador de milhares 3 14 2 2 10" xfId="17544"/>
    <cellStyle name="Separador de milhares 3 14 2 2 11" xfId="11213"/>
    <cellStyle name="Separador de milhares 3 14 2 2 2" xfId="1922"/>
    <cellStyle name="Separador de milhares 3 14 2 2 2 2" xfId="6963"/>
    <cellStyle name="Separador de milhares 3 14 2 2 2 2 2" xfId="10110"/>
    <cellStyle name="Separador de milhares 3 14 2 2 2 2 2 2" xfId="28324"/>
    <cellStyle name="Separador de milhares 3 14 2 2 2 2 2 3" xfId="22410"/>
    <cellStyle name="Separador de milhares 3 14 2 2 2 2 2 4" xfId="16496"/>
    <cellStyle name="Separador de milhares 3 14 2 2 2 2 3" xfId="25367"/>
    <cellStyle name="Separador de milhares 3 14 2 2 2 2 4" xfId="19453"/>
    <cellStyle name="Separador de milhares 3 14 2 2 2 2 5" xfId="13352"/>
    <cellStyle name="Separador de milhares 3 14 2 2 2 3" xfId="8642"/>
    <cellStyle name="Separador de milhares 3 14 2 2 2 3 2" xfId="26856"/>
    <cellStyle name="Separador de milhares 3 14 2 2 2 3 3" xfId="20942"/>
    <cellStyle name="Separador de milhares 3 14 2 2 2 3 4" xfId="15028"/>
    <cellStyle name="Separador de milhares 3 14 2 2 2 4" xfId="5264"/>
    <cellStyle name="Separador de milhares 3 14 2 2 2 4 2" xfId="23899"/>
    <cellStyle name="Separador de milhares 3 14 2 2 2 5" xfId="17985"/>
    <cellStyle name="Separador de milhares 3 14 2 2 2 6" xfId="11651"/>
    <cellStyle name="Separador de milhares 3 14 2 2 3" xfId="2452"/>
    <cellStyle name="Separador de milhares 3 14 2 2 3 2" xfId="7113"/>
    <cellStyle name="Separador de milhares 3 14 2 2 3 2 2" xfId="10257"/>
    <cellStyle name="Separador de milhares 3 14 2 2 3 2 2 2" xfId="28471"/>
    <cellStyle name="Separador de milhares 3 14 2 2 3 2 2 3" xfId="22557"/>
    <cellStyle name="Separador de milhares 3 14 2 2 3 2 2 4" xfId="16643"/>
    <cellStyle name="Separador de milhares 3 14 2 2 3 2 3" xfId="25514"/>
    <cellStyle name="Separador de milhares 3 14 2 2 3 2 4" xfId="19600"/>
    <cellStyle name="Separador de milhares 3 14 2 2 3 2 5" xfId="13502"/>
    <cellStyle name="Separador de milhares 3 14 2 2 3 3" xfId="8789"/>
    <cellStyle name="Separador de milhares 3 14 2 2 3 3 2" xfId="27003"/>
    <cellStyle name="Separador de milhares 3 14 2 2 3 3 3" xfId="21089"/>
    <cellStyle name="Separador de milhares 3 14 2 2 3 3 4" xfId="15175"/>
    <cellStyle name="Separador de milhares 3 14 2 2 3 4" xfId="5414"/>
    <cellStyle name="Separador de milhares 3 14 2 2 3 4 2" xfId="24046"/>
    <cellStyle name="Separador de milhares 3 14 2 2 3 5" xfId="18132"/>
    <cellStyle name="Separador de milhares 3 14 2 2 3 6" xfId="11801"/>
    <cellStyle name="Separador de milhares 3 14 2 2 4" xfId="2979"/>
    <cellStyle name="Separador de milhares 3 14 2 2 4 2" xfId="7260"/>
    <cellStyle name="Separador de milhares 3 14 2 2 4 2 2" xfId="10404"/>
    <cellStyle name="Separador de milhares 3 14 2 2 4 2 2 2" xfId="28618"/>
    <cellStyle name="Separador de milhares 3 14 2 2 4 2 2 3" xfId="22704"/>
    <cellStyle name="Separador de milhares 3 14 2 2 4 2 2 4" xfId="16790"/>
    <cellStyle name="Separador de milhares 3 14 2 2 4 2 3" xfId="25661"/>
    <cellStyle name="Separador de milhares 3 14 2 2 4 2 4" xfId="19747"/>
    <cellStyle name="Separador de milhares 3 14 2 2 4 2 5" xfId="13649"/>
    <cellStyle name="Separador de milhares 3 14 2 2 4 3" xfId="8936"/>
    <cellStyle name="Separador de milhares 3 14 2 2 4 3 2" xfId="27150"/>
    <cellStyle name="Separador de milhares 3 14 2 2 4 3 3" xfId="21236"/>
    <cellStyle name="Separador de milhares 3 14 2 2 4 3 4" xfId="15322"/>
    <cellStyle name="Separador de milhares 3 14 2 2 4 4" xfId="5561"/>
    <cellStyle name="Separador de milhares 3 14 2 2 4 4 2" xfId="24193"/>
    <cellStyle name="Separador de milhares 3 14 2 2 4 5" xfId="18279"/>
    <cellStyle name="Separador de milhares 3 14 2 2 4 6" xfId="11948"/>
    <cellStyle name="Separador de milhares 3 14 2 2 5" xfId="3506"/>
    <cellStyle name="Separador de milhares 3 14 2 2 5 2" xfId="7407"/>
    <cellStyle name="Separador de milhares 3 14 2 2 5 2 2" xfId="10551"/>
    <cellStyle name="Separador de milhares 3 14 2 2 5 2 2 2" xfId="28765"/>
    <cellStyle name="Separador de milhares 3 14 2 2 5 2 2 3" xfId="22851"/>
    <cellStyle name="Separador de milhares 3 14 2 2 5 2 2 4" xfId="16937"/>
    <cellStyle name="Separador de milhares 3 14 2 2 5 2 3" xfId="25808"/>
    <cellStyle name="Separador de milhares 3 14 2 2 5 2 4" xfId="19894"/>
    <cellStyle name="Separador de milhares 3 14 2 2 5 2 5" xfId="13796"/>
    <cellStyle name="Separador de milhares 3 14 2 2 5 3" xfId="9083"/>
    <cellStyle name="Separador de milhares 3 14 2 2 5 3 2" xfId="27297"/>
    <cellStyle name="Separador de milhares 3 14 2 2 5 3 3" xfId="21383"/>
    <cellStyle name="Separador de milhares 3 14 2 2 5 3 4" xfId="15469"/>
    <cellStyle name="Separador de milhares 3 14 2 2 5 4" xfId="5708"/>
    <cellStyle name="Separador de milhares 3 14 2 2 5 4 2" xfId="24340"/>
    <cellStyle name="Separador de milhares 3 14 2 2 5 5" xfId="18426"/>
    <cellStyle name="Separador de milhares 3 14 2 2 5 6" xfId="12095"/>
    <cellStyle name="Separador de milhares 3 14 2 2 6" xfId="4033"/>
    <cellStyle name="Separador de milhares 3 14 2 2 6 2" xfId="7554"/>
    <cellStyle name="Separador de milhares 3 14 2 2 6 2 2" xfId="10698"/>
    <cellStyle name="Separador de milhares 3 14 2 2 6 2 2 2" xfId="28912"/>
    <cellStyle name="Separador de milhares 3 14 2 2 6 2 2 3" xfId="22998"/>
    <cellStyle name="Separador de milhares 3 14 2 2 6 2 2 4" xfId="17084"/>
    <cellStyle name="Separador de milhares 3 14 2 2 6 2 3" xfId="25955"/>
    <cellStyle name="Separador de milhares 3 14 2 2 6 2 4" xfId="20041"/>
    <cellStyle name="Separador de milhares 3 14 2 2 6 2 5" xfId="13943"/>
    <cellStyle name="Separador de milhares 3 14 2 2 6 3" xfId="9230"/>
    <cellStyle name="Separador de milhares 3 14 2 2 6 3 2" xfId="27444"/>
    <cellStyle name="Separador de milhares 3 14 2 2 6 3 3" xfId="21530"/>
    <cellStyle name="Separador de milhares 3 14 2 2 6 3 4" xfId="15616"/>
    <cellStyle name="Separador de milhares 3 14 2 2 6 4" xfId="5855"/>
    <cellStyle name="Separador de milhares 3 14 2 2 6 4 2" xfId="24487"/>
    <cellStyle name="Separador de milhares 3 14 2 2 6 5" xfId="18573"/>
    <cellStyle name="Separador de milhares 3 14 2 2 6 6" xfId="12242"/>
    <cellStyle name="Separador de milhares 3 14 2 2 7" xfId="6525"/>
    <cellStyle name="Separador de milhares 3 14 2 2 7 2" xfId="9672"/>
    <cellStyle name="Separador de milhares 3 14 2 2 7 2 2" xfId="27886"/>
    <cellStyle name="Separador de milhares 3 14 2 2 7 2 3" xfId="21972"/>
    <cellStyle name="Separador de milhares 3 14 2 2 7 2 4" xfId="16058"/>
    <cellStyle name="Separador de milhares 3 14 2 2 7 3" xfId="24929"/>
    <cellStyle name="Separador de milhares 3 14 2 2 7 4" xfId="19015"/>
    <cellStyle name="Separador de milhares 3 14 2 2 7 5" xfId="12914"/>
    <cellStyle name="Separador de milhares 3 14 2 2 8" xfId="8201"/>
    <cellStyle name="Separador de milhares 3 14 2 2 8 2" xfId="26415"/>
    <cellStyle name="Separador de milhares 3 14 2 2 8 3" xfId="20501"/>
    <cellStyle name="Separador de milhares 3 14 2 2 8 4" xfId="14590"/>
    <cellStyle name="Separador de milhares 3 14 2 2 9" xfId="4824"/>
    <cellStyle name="Separador de milhares 3 14 2 2 9 2" xfId="23458"/>
    <cellStyle name="Separador de milhares 3 14 2 3" xfId="876"/>
    <cellStyle name="Separador de milhares 3 14 2 3 2" xfId="6676"/>
    <cellStyle name="Separador de milhares 3 14 2 3 2 2" xfId="9823"/>
    <cellStyle name="Separador de milhares 3 14 2 3 2 2 2" xfId="28037"/>
    <cellStyle name="Separador de milhares 3 14 2 3 2 2 3" xfId="22123"/>
    <cellStyle name="Separador de milhares 3 14 2 3 2 2 4" xfId="16209"/>
    <cellStyle name="Separador de milhares 3 14 2 3 2 3" xfId="25080"/>
    <cellStyle name="Separador de milhares 3 14 2 3 2 4" xfId="19166"/>
    <cellStyle name="Separador de milhares 3 14 2 3 2 5" xfId="13065"/>
    <cellStyle name="Separador de milhares 3 14 2 3 3" xfId="8355"/>
    <cellStyle name="Separador de milhares 3 14 2 3 3 2" xfId="26569"/>
    <cellStyle name="Separador de milhares 3 14 2 3 3 3" xfId="20655"/>
    <cellStyle name="Separador de milhares 3 14 2 3 3 4" xfId="14741"/>
    <cellStyle name="Separador de milhares 3 14 2 3 4" xfId="4977"/>
    <cellStyle name="Separador de milhares 3 14 2 3 4 2" xfId="23612"/>
    <cellStyle name="Separador de milhares 3 14 2 3 5" xfId="17698"/>
    <cellStyle name="Separador de milhares 3 14 2 3 6" xfId="11364"/>
    <cellStyle name="Separador de milhares 3 14 2 4" xfId="1227"/>
    <cellStyle name="Separador de milhares 3 14 2 4 2" xfId="6774"/>
    <cellStyle name="Separador de milhares 3 14 2 4 2 2" xfId="9921"/>
    <cellStyle name="Separador de milhares 3 14 2 4 2 2 2" xfId="28135"/>
    <cellStyle name="Separador de milhares 3 14 2 4 2 2 3" xfId="22221"/>
    <cellStyle name="Separador de milhares 3 14 2 4 2 2 4" xfId="16307"/>
    <cellStyle name="Separador de milhares 3 14 2 4 2 3" xfId="25178"/>
    <cellStyle name="Separador de milhares 3 14 2 4 2 4" xfId="19264"/>
    <cellStyle name="Separador de milhares 3 14 2 4 2 5" xfId="13163"/>
    <cellStyle name="Separador de milhares 3 14 2 4 3" xfId="8453"/>
    <cellStyle name="Separador de milhares 3 14 2 4 3 2" xfId="26667"/>
    <cellStyle name="Separador de milhares 3 14 2 4 3 3" xfId="20753"/>
    <cellStyle name="Separador de milhares 3 14 2 4 3 4" xfId="14839"/>
    <cellStyle name="Separador de milhares 3 14 2 4 4" xfId="5075"/>
    <cellStyle name="Separador de milhares 3 14 2 4 4 2" xfId="23710"/>
    <cellStyle name="Separador de milhares 3 14 2 4 5" xfId="17796"/>
    <cellStyle name="Separador de milhares 3 14 2 4 6" xfId="11462"/>
    <cellStyle name="Separador de milhares 3 14 2 5" xfId="1662"/>
    <cellStyle name="Separador de milhares 3 14 2 5 2" xfId="6893"/>
    <cellStyle name="Separador de milhares 3 14 2 5 2 2" xfId="10040"/>
    <cellStyle name="Separador de milhares 3 14 2 5 2 2 2" xfId="28254"/>
    <cellStyle name="Separador de milhares 3 14 2 5 2 2 3" xfId="22340"/>
    <cellStyle name="Separador de milhares 3 14 2 5 2 2 4" xfId="16426"/>
    <cellStyle name="Separador de milhares 3 14 2 5 2 3" xfId="25297"/>
    <cellStyle name="Separador de milhares 3 14 2 5 2 4" xfId="19383"/>
    <cellStyle name="Separador de milhares 3 14 2 5 2 5" xfId="13282"/>
    <cellStyle name="Separador de milhares 3 14 2 5 3" xfId="8572"/>
    <cellStyle name="Separador de milhares 3 14 2 5 3 2" xfId="26786"/>
    <cellStyle name="Separador de milhares 3 14 2 5 3 3" xfId="20872"/>
    <cellStyle name="Separador de milhares 3 14 2 5 3 4" xfId="14958"/>
    <cellStyle name="Separador de milhares 3 14 2 5 4" xfId="5194"/>
    <cellStyle name="Separador de milhares 3 14 2 5 4 2" xfId="23829"/>
    <cellStyle name="Separador de milhares 3 14 2 5 5" xfId="17915"/>
    <cellStyle name="Separador de milhares 3 14 2 5 6" xfId="11581"/>
    <cellStyle name="Separador de milhares 3 14 2 6" xfId="2192"/>
    <cellStyle name="Separador de milhares 3 14 2 6 2" xfId="7043"/>
    <cellStyle name="Separador de milhares 3 14 2 6 2 2" xfId="10187"/>
    <cellStyle name="Separador de milhares 3 14 2 6 2 2 2" xfId="28401"/>
    <cellStyle name="Separador de milhares 3 14 2 6 2 2 3" xfId="22487"/>
    <cellStyle name="Separador de milhares 3 14 2 6 2 2 4" xfId="16573"/>
    <cellStyle name="Separador de milhares 3 14 2 6 2 3" xfId="25444"/>
    <cellStyle name="Separador de milhares 3 14 2 6 2 4" xfId="19530"/>
    <cellStyle name="Separador de milhares 3 14 2 6 2 5" xfId="13432"/>
    <cellStyle name="Separador de milhares 3 14 2 6 3" xfId="8719"/>
    <cellStyle name="Separador de milhares 3 14 2 6 3 2" xfId="26933"/>
    <cellStyle name="Separador de milhares 3 14 2 6 3 3" xfId="21019"/>
    <cellStyle name="Separador de milhares 3 14 2 6 3 4" xfId="15105"/>
    <cellStyle name="Separador de milhares 3 14 2 6 4" xfId="5344"/>
    <cellStyle name="Separador de milhares 3 14 2 6 4 2" xfId="23976"/>
    <cellStyle name="Separador de milhares 3 14 2 6 5" xfId="18062"/>
    <cellStyle name="Separador de milhares 3 14 2 6 6" xfId="11731"/>
    <cellStyle name="Separador de milhares 3 14 2 7" xfId="2719"/>
    <cellStyle name="Separador de milhares 3 14 2 7 2" xfId="7190"/>
    <cellStyle name="Separador de milhares 3 14 2 7 2 2" xfId="10334"/>
    <cellStyle name="Separador de milhares 3 14 2 7 2 2 2" xfId="28548"/>
    <cellStyle name="Separador de milhares 3 14 2 7 2 2 3" xfId="22634"/>
    <cellStyle name="Separador de milhares 3 14 2 7 2 2 4" xfId="16720"/>
    <cellStyle name="Separador de milhares 3 14 2 7 2 3" xfId="25591"/>
    <cellStyle name="Separador de milhares 3 14 2 7 2 4" xfId="19677"/>
    <cellStyle name="Separador de milhares 3 14 2 7 2 5" xfId="13579"/>
    <cellStyle name="Separador de milhares 3 14 2 7 3" xfId="8866"/>
    <cellStyle name="Separador de milhares 3 14 2 7 3 2" xfId="27080"/>
    <cellStyle name="Separador de milhares 3 14 2 7 3 3" xfId="21166"/>
    <cellStyle name="Separador de milhares 3 14 2 7 3 4" xfId="15252"/>
    <cellStyle name="Separador de milhares 3 14 2 7 4" xfId="5491"/>
    <cellStyle name="Separador de milhares 3 14 2 7 4 2" xfId="24123"/>
    <cellStyle name="Separador de milhares 3 14 2 7 5" xfId="18209"/>
    <cellStyle name="Separador de milhares 3 14 2 7 6" xfId="11878"/>
    <cellStyle name="Separador de milhares 3 14 2 8" xfId="3246"/>
    <cellStyle name="Separador de milhares 3 14 2 8 2" xfId="7337"/>
    <cellStyle name="Separador de milhares 3 14 2 8 2 2" xfId="10481"/>
    <cellStyle name="Separador de milhares 3 14 2 8 2 2 2" xfId="28695"/>
    <cellStyle name="Separador de milhares 3 14 2 8 2 2 3" xfId="22781"/>
    <cellStyle name="Separador de milhares 3 14 2 8 2 2 4" xfId="16867"/>
    <cellStyle name="Separador de milhares 3 14 2 8 2 3" xfId="25738"/>
    <cellStyle name="Separador de milhares 3 14 2 8 2 4" xfId="19824"/>
    <cellStyle name="Separador de milhares 3 14 2 8 2 5" xfId="13726"/>
    <cellStyle name="Separador de milhares 3 14 2 8 3" xfId="9013"/>
    <cellStyle name="Separador de milhares 3 14 2 8 3 2" xfId="27227"/>
    <cellStyle name="Separador de milhares 3 14 2 8 3 3" xfId="21313"/>
    <cellStyle name="Separador de milhares 3 14 2 8 3 4" xfId="15399"/>
    <cellStyle name="Separador de milhares 3 14 2 8 4" xfId="5638"/>
    <cellStyle name="Separador de milhares 3 14 2 8 4 2" xfId="24270"/>
    <cellStyle name="Separador de milhares 3 14 2 8 5" xfId="18356"/>
    <cellStyle name="Separador de milhares 3 14 2 8 6" xfId="12025"/>
    <cellStyle name="Separador de milhares 3 14 2 9" xfId="3773"/>
    <cellStyle name="Separador de milhares 3 14 2 9 2" xfId="7484"/>
    <cellStyle name="Separador de milhares 3 14 2 9 2 2" xfId="10628"/>
    <cellStyle name="Separador de milhares 3 14 2 9 2 2 2" xfId="28842"/>
    <cellStyle name="Separador de milhares 3 14 2 9 2 2 3" xfId="22928"/>
    <cellStyle name="Separador de milhares 3 14 2 9 2 2 4" xfId="17014"/>
    <cellStyle name="Separador de milhares 3 14 2 9 2 3" xfId="25885"/>
    <cellStyle name="Separador de milhares 3 14 2 9 2 4" xfId="19971"/>
    <cellStyle name="Separador de milhares 3 14 2 9 2 5" xfId="13873"/>
    <cellStyle name="Separador de milhares 3 14 2 9 3" xfId="9160"/>
    <cellStyle name="Separador de milhares 3 14 2 9 3 2" xfId="27374"/>
    <cellStyle name="Separador de milhares 3 14 2 9 3 3" xfId="21460"/>
    <cellStyle name="Separador de milhares 3 14 2 9 3 4" xfId="15546"/>
    <cellStyle name="Separador de milhares 3 14 2 9 4" xfId="5785"/>
    <cellStyle name="Separador de milhares 3 14 2 9 4 2" xfId="24417"/>
    <cellStyle name="Separador de milhares 3 14 2 9 5" xfId="18503"/>
    <cellStyle name="Separador de milhares 3 14 2 9 6" xfId="12172"/>
    <cellStyle name="Separador de milhares 3 14 3" xfId="225"/>
    <cellStyle name="Separador de milhares 3 14 3 10" xfId="6475"/>
    <cellStyle name="Separador de milhares 3 14 3 10 2" xfId="9626"/>
    <cellStyle name="Separador de milhares 3 14 3 10 2 2" xfId="27840"/>
    <cellStyle name="Separador de milhares 3 14 3 10 2 3" xfId="21926"/>
    <cellStyle name="Separador de milhares 3 14 3 10 2 4" xfId="16012"/>
    <cellStyle name="Separador de milhares 3 14 3 10 3" xfId="24883"/>
    <cellStyle name="Separador de milhares 3 14 3 10 4" xfId="18969"/>
    <cellStyle name="Separador de milhares 3 14 3 10 5" xfId="12864"/>
    <cellStyle name="Separador de milhares 3 14 3 11" xfId="8155"/>
    <cellStyle name="Separador de milhares 3 14 3 11 2" xfId="26369"/>
    <cellStyle name="Separador de milhares 3 14 3 11 3" xfId="20455"/>
    <cellStyle name="Separador de milhares 3 14 3 11 4" xfId="14544"/>
    <cellStyle name="Separador de milhares 3 14 3 12" xfId="4774"/>
    <cellStyle name="Separador de milhares 3 14 3 12 2" xfId="23412"/>
    <cellStyle name="Separador de milhares 3 14 3 13" xfId="17498"/>
    <cellStyle name="Separador de milhares 3 14 3 14" xfId="11163"/>
    <cellStyle name="Separador de milhares 3 14 3 2" xfId="488"/>
    <cellStyle name="Separador de milhares 3 14 3 2 2" xfId="6546"/>
    <cellStyle name="Separador de milhares 3 14 3 2 2 2" xfId="9693"/>
    <cellStyle name="Separador de milhares 3 14 3 2 2 2 2" xfId="27907"/>
    <cellStyle name="Separador de milhares 3 14 3 2 2 2 3" xfId="21993"/>
    <cellStyle name="Separador de milhares 3 14 3 2 2 2 4" xfId="16079"/>
    <cellStyle name="Separador de milhares 3 14 3 2 2 3" xfId="24950"/>
    <cellStyle name="Separador de milhares 3 14 3 2 2 4" xfId="19036"/>
    <cellStyle name="Separador de milhares 3 14 3 2 2 5" xfId="12935"/>
    <cellStyle name="Separador de milhares 3 14 3 2 3" xfId="8222"/>
    <cellStyle name="Separador de milhares 3 14 3 2 3 2" xfId="26436"/>
    <cellStyle name="Separador de milhares 3 14 3 2 3 3" xfId="20522"/>
    <cellStyle name="Separador de milhares 3 14 3 2 3 4" xfId="14611"/>
    <cellStyle name="Separador de milhares 3 14 3 2 4" xfId="4845"/>
    <cellStyle name="Separador de milhares 3 14 3 2 4 2" xfId="23479"/>
    <cellStyle name="Separador de milhares 3 14 3 2 5" xfId="17565"/>
    <cellStyle name="Separador de milhares 3 14 3 2 6" xfId="11234"/>
    <cellStyle name="Separador de milhares 3 14 3 3" xfId="785"/>
    <cellStyle name="Separador de milhares 3 14 3 3 2" xfId="6648"/>
    <cellStyle name="Separador de milhares 3 14 3 3 2 2" xfId="9795"/>
    <cellStyle name="Separador de milhares 3 14 3 3 2 2 2" xfId="28009"/>
    <cellStyle name="Separador de milhares 3 14 3 3 2 2 3" xfId="22095"/>
    <cellStyle name="Separador de milhares 3 14 3 3 2 2 4" xfId="16181"/>
    <cellStyle name="Separador de milhares 3 14 3 3 2 3" xfId="25052"/>
    <cellStyle name="Separador de milhares 3 14 3 3 2 4" xfId="19138"/>
    <cellStyle name="Separador de milhares 3 14 3 3 2 5" xfId="13037"/>
    <cellStyle name="Separador de milhares 3 14 3 3 3" xfId="8327"/>
    <cellStyle name="Separador de milhares 3 14 3 3 3 2" xfId="26541"/>
    <cellStyle name="Separador de milhares 3 14 3 3 3 3" xfId="20627"/>
    <cellStyle name="Separador de milhares 3 14 3 3 3 4" xfId="14713"/>
    <cellStyle name="Separador de milhares 3 14 3 3 4" xfId="4949"/>
    <cellStyle name="Separador de milhares 3 14 3 3 4 2" xfId="23584"/>
    <cellStyle name="Separador de milhares 3 14 3 3 5" xfId="17670"/>
    <cellStyle name="Separador de milhares 3 14 3 3 6" xfId="11336"/>
    <cellStyle name="Separador de milhares 3 14 3 4" xfId="1136"/>
    <cellStyle name="Separador de milhares 3 14 3 4 2" xfId="6746"/>
    <cellStyle name="Separador de milhares 3 14 3 4 2 2" xfId="9893"/>
    <cellStyle name="Separador de milhares 3 14 3 4 2 2 2" xfId="28107"/>
    <cellStyle name="Separador de milhares 3 14 3 4 2 2 3" xfId="22193"/>
    <cellStyle name="Separador de milhares 3 14 3 4 2 2 4" xfId="16279"/>
    <cellStyle name="Separador de milhares 3 14 3 4 2 3" xfId="25150"/>
    <cellStyle name="Separador de milhares 3 14 3 4 2 4" xfId="19236"/>
    <cellStyle name="Separador de milhares 3 14 3 4 2 5" xfId="13135"/>
    <cellStyle name="Separador de milhares 3 14 3 4 3" xfId="8425"/>
    <cellStyle name="Separador de milhares 3 14 3 4 3 2" xfId="26639"/>
    <cellStyle name="Separador de milhares 3 14 3 4 3 3" xfId="20725"/>
    <cellStyle name="Separador de milhares 3 14 3 4 3 4" xfId="14811"/>
    <cellStyle name="Separador de milhares 3 14 3 4 4" xfId="5047"/>
    <cellStyle name="Separador de milhares 3 14 3 4 4 2" xfId="23682"/>
    <cellStyle name="Separador de milhares 3 14 3 4 5" xfId="17768"/>
    <cellStyle name="Separador de milhares 3 14 3 4 6" xfId="11434"/>
    <cellStyle name="Separador de milhares 3 14 3 5" xfId="1571"/>
    <cellStyle name="Separador de milhares 3 14 3 5 2" xfId="6865"/>
    <cellStyle name="Separador de milhares 3 14 3 5 2 2" xfId="10012"/>
    <cellStyle name="Separador de milhares 3 14 3 5 2 2 2" xfId="28226"/>
    <cellStyle name="Separador de milhares 3 14 3 5 2 2 3" xfId="22312"/>
    <cellStyle name="Separador de milhares 3 14 3 5 2 2 4" xfId="16398"/>
    <cellStyle name="Separador de milhares 3 14 3 5 2 3" xfId="25269"/>
    <cellStyle name="Separador de milhares 3 14 3 5 2 4" xfId="19355"/>
    <cellStyle name="Separador de milhares 3 14 3 5 2 5" xfId="13254"/>
    <cellStyle name="Separador de milhares 3 14 3 5 3" xfId="8544"/>
    <cellStyle name="Separador de milhares 3 14 3 5 3 2" xfId="26758"/>
    <cellStyle name="Separador de milhares 3 14 3 5 3 3" xfId="20844"/>
    <cellStyle name="Separador de milhares 3 14 3 5 3 4" xfId="14930"/>
    <cellStyle name="Separador de milhares 3 14 3 5 4" xfId="5166"/>
    <cellStyle name="Separador de milhares 3 14 3 5 4 2" xfId="23801"/>
    <cellStyle name="Separador de milhares 3 14 3 5 5" xfId="17887"/>
    <cellStyle name="Separador de milhares 3 14 3 5 6" xfId="11553"/>
    <cellStyle name="Separador de milhares 3 14 3 6" xfId="2101"/>
    <cellStyle name="Separador de milhares 3 14 3 6 2" xfId="7015"/>
    <cellStyle name="Separador de milhares 3 14 3 6 2 2" xfId="10159"/>
    <cellStyle name="Separador de milhares 3 14 3 6 2 2 2" xfId="28373"/>
    <cellStyle name="Separador de milhares 3 14 3 6 2 2 3" xfId="22459"/>
    <cellStyle name="Separador de milhares 3 14 3 6 2 2 4" xfId="16545"/>
    <cellStyle name="Separador de milhares 3 14 3 6 2 3" xfId="25416"/>
    <cellStyle name="Separador de milhares 3 14 3 6 2 4" xfId="19502"/>
    <cellStyle name="Separador de milhares 3 14 3 6 2 5" xfId="13404"/>
    <cellStyle name="Separador de milhares 3 14 3 6 3" xfId="8691"/>
    <cellStyle name="Separador de milhares 3 14 3 6 3 2" xfId="26905"/>
    <cellStyle name="Separador de milhares 3 14 3 6 3 3" xfId="20991"/>
    <cellStyle name="Separador de milhares 3 14 3 6 3 4" xfId="15077"/>
    <cellStyle name="Separador de milhares 3 14 3 6 4" xfId="5316"/>
    <cellStyle name="Separador de milhares 3 14 3 6 4 2" xfId="23948"/>
    <cellStyle name="Separador de milhares 3 14 3 6 5" xfId="18034"/>
    <cellStyle name="Separador de milhares 3 14 3 6 6" xfId="11703"/>
    <cellStyle name="Separador de milhares 3 14 3 7" xfId="2628"/>
    <cellStyle name="Separador de milhares 3 14 3 7 2" xfId="7162"/>
    <cellStyle name="Separador de milhares 3 14 3 7 2 2" xfId="10306"/>
    <cellStyle name="Separador de milhares 3 14 3 7 2 2 2" xfId="28520"/>
    <cellStyle name="Separador de milhares 3 14 3 7 2 2 3" xfId="22606"/>
    <cellStyle name="Separador de milhares 3 14 3 7 2 2 4" xfId="16692"/>
    <cellStyle name="Separador de milhares 3 14 3 7 2 3" xfId="25563"/>
    <cellStyle name="Separador de milhares 3 14 3 7 2 4" xfId="19649"/>
    <cellStyle name="Separador de milhares 3 14 3 7 2 5" xfId="13551"/>
    <cellStyle name="Separador de milhares 3 14 3 7 3" xfId="8838"/>
    <cellStyle name="Separador de milhares 3 14 3 7 3 2" xfId="27052"/>
    <cellStyle name="Separador de milhares 3 14 3 7 3 3" xfId="21138"/>
    <cellStyle name="Separador de milhares 3 14 3 7 3 4" xfId="15224"/>
    <cellStyle name="Separador de milhares 3 14 3 7 4" xfId="5463"/>
    <cellStyle name="Separador de milhares 3 14 3 7 4 2" xfId="24095"/>
    <cellStyle name="Separador de milhares 3 14 3 7 5" xfId="18181"/>
    <cellStyle name="Separador de milhares 3 14 3 7 6" xfId="11850"/>
    <cellStyle name="Separador de milhares 3 14 3 8" xfId="3155"/>
    <cellStyle name="Separador de milhares 3 14 3 8 2" xfId="7309"/>
    <cellStyle name="Separador de milhares 3 14 3 8 2 2" xfId="10453"/>
    <cellStyle name="Separador de milhares 3 14 3 8 2 2 2" xfId="28667"/>
    <cellStyle name="Separador de milhares 3 14 3 8 2 2 3" xfId="22753"/>
    <cellStyle name="Separador de milhares 3 14 3 8 2 2 4" xfId="16839"/>
    <cellStyle name="Separador de milhares 3 14 3 8 2 3" xfId="25710"/>
    <cellStyle name="Separador de milhares 3 14 3 8 2 4" xfId="19796"/>
    <cellStyle name="Separador de milhares 3 14 3 8 2 5" xfId="13698"/>
    <cellStyle name="Separador de milhares 3 14 3 8 3" xfId="8985"/>
    <cellStyle name="Separador de milhares 3 14 3 8 3 2" xfId="27199"/>
    <cellStyle name="Separador de milhares 3 14 3 8 3 3" xfId="21285"/>
    <cellStyle name="Separador de milhares 3 14 3 8 3 4" xfId="15371"/>
    <cellStyle name="Separador de milhares 3 14 3 8 4" xfId="5610"/>
    <cellStyle name="Separador de milhares 3 14 3 8 4 2" xfId="24242"/>
    <cellStyle name="Separador de milhares 3 14 3 8 5" xfId="18328"/>
    <cellStyle name="Separador de milhares 3 14 3 8 6" xfId="11997"/>
    <cellStyle name="Separador de milhares 3 14 3 9" xfId="3682"/>
    <cellStyle name="Separador de milhares 3 14 3 9 2" xfId="7456"/>
    <cellStyle name="Separador de milhares 3 14 3 9 2 2" xfId="10600"/>
    <cellStyle name="Separador de milhares 3 14 3 9 2 2 2" xfId="28814"/>
    <cellStyle name="Separador de milhares 3 14 3 9 2 2 3" xfId="22900"/>
    <cellStyle name="Separador de milhares 3 14 3 9 2 2 4" xfId="16986"/>
    <cellStyle name="Separador de milhares 3 14 3 9 2 3" xfId="25857"/>
    <cellStyle name="Separador de milhares 3 14 3 9 2 4" xfId="19943"/>
    <cellStyle name="Separador de milhares 3 14 3 9 2 5" xfId="13845"/>
    <cellStyle name="Separador de milhares 3 14 3 9 3" xfId="9132"/>
    <cellStyle name="Separador de milhares 3 14 3 9 3 2" xfId="27346"/>
    <cellStyle name="Separador de milhares 3 14 3 9 3 3" xfId="21432"/>
    <cellStyle name="Separador de milhares 3 14 3 9 3 4" xfId="15518"/>
    <cellStyle name="Separador de milhares 3 14 3 9 4" xfId="5757"/>
    <cellStyle name="Separador de milhares 3 14 3 9 4 2" xfId="24389"/>
    <cellStyle name="Separador de milhares 3 14 3 9 5" xfId="18475"/>
    <cellStyle name="Separador de milhares 3 14 3 9 6" xfId="12144"/>
    <cellStyle name="Separador de milhares 3 14 4" xfId="318"/>
    <cellStyle name="Separador de milhares 3 14 4 10" xfId="6503"/>
    <cellStyle name="Separador de milhares 3 14 4 10 2" xfId="9651"/>
    <cellStyle name="Separador de milhares 3 14 4 10 2 2" xfId="27865"/>
    <cellStyle name="Separador de milhares 3 14 4 10 2 3" xfId="21951"/>
    <cellStyle name="Separador de milhares 3 14 4 10 2 4" xfId="16037"/>
    <cellStyle name="Separador de milhares 3 14 4 10 3" xfId="24908"/>
    <cellStyle name="Separador de milhares 3 14 4 10 4" xfId="18994"/>
    <cellStyle name="Separador de milhares 3 14 4 10 5" xfId="12892"/>
    <cellStyle name="Separador de milhares 3 14 4 11" xfId="8180"/>
    <cellStyle name="Separador de milhares 3 14 4 11 2" xfId="26394"/>
    <cellStyle name="Separador de milhares 3 14 4 11 3" xfId="20480"/>
    <cellStyle name="Separador de milhares 3 14 4 11 4" xfId="14569"/>
    <cellStyle name="Separador de milhares 3 14 4 12" xfId="4802"/>
    <cellStyle name="Separador de milhares 3 14 4 12 2" xfId="23437"/>
    <cellStyle name="Separador de milhares 3 14 4 13" xfId="17523"/>
    <cellStyle name="Separador de milhares 3 14 4 14" xfId="11191"/>
    <cellStyle name="Separador de milhares 3 14 4 2" xfId="963"/>
    <cellStyle name="Separador de milhares 3 14 4 2 2" xfId="6700"/>
    <cellStyle name="Separador de milhares 3 14 4 2 2 2" xfId="9847"/>
    <cellStyle name="Separador de milhares 3 14 4 2 2 2 2" xfId="28061"/>
    <cellStyle name="Separador de milhares 3 14 4 2 2 2 3" xfId="22147"/>
    <cellStyle name="Separador de milhares 3 14 4 2 2 2 4" xfId="16233"/>
    <cellStyle name="Separador de milhares 3 14 4 2 2 3" xfId="25104"/>
    <cellStyle name="Separador de milhares 3 14 4 2 2 4" xfId="19190"/>
    <cellStyle name="Separador de milhares 3 14 4 2 2 5" xfId="13089"/>
    <cellStyle name="Separador de milhares 3 14 4 2 3" xfId="8379"/>
    <cellStyle name="Separador de milhares 3 14 4 2 3 2" xfId="26593"/>
    <cellStyle name="Separador de milhares 3 14 4 2 3 3" xfId="20679"/>
    <cellStyle name="Separador de milhares 3 14 4 2 3 4" xfId="14765"/>
    <cellStyle name="Separador de milhares 3 14 4 2 4" xfId="5001"/>
    <cellStyle name="Separador de milhares 3 14 4 2 4 2" xfId="23636"/>
    <cellStyle name="Separador de milhares 3 14 4 2 5" xfId="17722"/>
    <cellStyle name="Separador de milhares 3 14 4 2 6" xfId="11388"/>
    <cellStyle name="Separador de milhares 3 14 4 3" xfId="1314"/>
    <cellStyle name="Separador de milhares 3 14 4 3 2" xfId="6798"/>
    <cellStyle name="Separador de milhares 3 14 4 3 2 2" xfId="9945"/>
    <cellStyle name="Separador de milhares 3 14 4 3 2 2 2" xfId="28159"/>
    <cellStyle name="Separador de milhares 3 14 4 3 2 2 3" xfId="22245"/>
    <cellStyle name="Separador de milhares 3 14 4 3 2 2 4" xfId="16331"/>
    <cellStyle name="Separador de milhares 3 14 4 3 2 3" xfId="25202"/>
    <cellStyle name="Separador de milhares 3 14 4 3 2 4" xfId="19288"/>
    <cellStyle name="Separador de milhares 3 14 4 3 2 5" xfId="13187"/>
    <cellStyle name="Separador de milhares 3 14 4 3 3" xfId="8477"/>
    <cellStyle name="Separador de milhares 3 14 4 3 3 2" xfId="26691"/>
    <cellStyle name="Separador de milhares 3 14 4 3 3 3" xfId="20777"/>
    <cellStyle name="Separador de milhares 3 14 4 3 3 4" xfId="14863"/>
    <cellStyle name="Separador de milhares 3 14 4 3 4" xfId="5099"/>
    <cellStyle name="Separador de milhares 3 14 4 3 4 2" xfId="23734"/>
    <cellStyle name="Separador de milhares 3 14 4 3 5" xfId="17820"/>
    <cellStyle name="Separador de milhares 3 14 4 3 6" xfId="11486"/>
    <cellStyle name="Separador de milhares 3 14 4 4" xfId="1749"/>
    <cellStyle name="Separador de milhares 3 14 4 4 2" xfId="6917"/>
    <cellStyle name="Separador de milhares 3 14 4 4 2 2" xfId="10064"/>
    <cellStyle name="Separador de milhares 3 14 4 4 2 2 2" xfId="28278"/>
    <cellStyle name="Separador de milhares 3 14 4 4 2 2 3" xfId="22364"/>
    <cellStyle name="Separador de milhares 3 14 4 4 2 2 4" xfId="16450"/>
    <cellStyle name="Separador de milhares 3 14 4 4 2 3" xfId="25321"/>
    <cellStyle name="Separador de milhares 3 14 4 4 2 4" xfId="19407"/>
    <cellStyle name="Separador de milhares 3 14 4 4 2 5" xfId="13306"/>
    <cellStyle name="Separador de milhares 3 14 4 4 3" xfId="8596"/>
    <cellStyle name="Separador de milhares 3 14 4 4 3 2" xfId="26810"/>
    <cellStyle name="Separador de milhares 3 14 4 4 3 3" xfId="20896"/>
    <cellStyle name="Separador de milhares 3 14 4 4 3 4" xfId="14982"/>
    <cellStyle name="Separador de milhares 3 14 4 4 4" xfId="5218"/>
    <cellStyle name="Separador de milhares 3 14 4 4 4 2" xfId="23853"/>
    <cellStyle name="Separador de milhares 3 14 4 4 5" xfId="17939"/>
    <cellStyle name="Separador de milhares 3 14 4 4 6" xfId="11605"/>
    <cellStyle name="Separador de milhares 3 14 4 5" xfId="2279"/>
    <cellStyle name="Separador de milhares 3 14 4 5 2" xfId="7067"/>
    <cellStyle name="Separador de milhares 3 14 4 5 2 2" xfId="10211"/>
    <cellStyle name="Separador de milhares 3 14 4 5 2 2 2" xfId="28425"/>
    <cellStyle name="Separador de milhares 3 14 4 5 2 2 3" xfId="22511"/>
    <cellStyle name="Separador de milhares 3 14 4 5 2 2 4" xfId="16597"/>
    <cellStyle name="Separador de milhares 3 14 4 5 2 3" xfId="25468"/>
    <cellStyle name="Separador de milhares 3 14 4 5 2 4" xfId="19554"/>
    <cellStyle name="Separador de milhares 3 14 4 5 2 5" xfId="13456"/>
    <cellStyle name="Separador de milhares 3 14 4 5 3" xfId="8743"/>
    <cellStyle name="Separador de milhares 3 14 4 5 3 2" xfId="26957"/>
    <cellStyle name="Separador de milhares 3 14 4 5 3 3" xfId="21043"/>
    <cellStyle name="Separador de milhares 3 14 4 5 3 4" xfId="15129"/>
    <cellStyle name="Separador de milhares 3 14 4 5 4" xfId="5368"/>
    <cellStyle name="Separador de milhares 3 14 4 5 4 2" xfId="24000"/>
    <cellStyle name="Separador de milhares 3 14 4 5 5" xfId="18086"/>
    <cellStyle name="Separador de milhares 3 14 4 5 6" xfId="11755"/>
    <cellStyle name="Separador de milhares 3 14 4 6" xfId="2806"/>
    <cellStyle name="Separador de milhares 3 14 4 6 2" xfId="7214"/>
    <cellStyle name="Separador de milhares 3 14 4 6 2 2" xfId="10358"/>
    <cellStyle name="Separador de milhares 3 14 4 6 2 2 2" xfId="28572"/>
    <cellStyle name="Separador de milhares 3 14 4 6 2 2 3" xfId="22658"/>
    <cellStyle name="Separador de milhares 3 14 4 6 2 2 4" xfId="16744"/>
    <cellStyle name="Separador de milhares 3 14 4 6 2 3" xfId="25615"/>
    <cellStyle name="Separador de milhares 3 14 4 6 2 4" xfId="19701"/>
    <cellStyle name="Separador de milhares 3 14 4 6 2 5" xfId="13603"/>
    <cellStyle name="Separador de milhares 3 14 4 6 3" xfId="8890"/>
    <cellStyle name="Separador de milhares 3 14 4 6 3 2" xfId="27104"/>
    <cellStyle name="Separador de milhares 3 14 4 6 3 3" xfId="21190"/>
    <cellStyle name="Separador de milhares 3 14 4 6 3 4" xfId="15276"/>
    <cellStyle name="Separador de milhares 3 14 4 6 4" xfId="5515"/>
    <cellStyle name="Separador de milhares 3 14 4 6 4 2" xfId="24147"/>
    <cellStyle name="Separador de milhares 3 14 4 6 5" xfId="18233"/>
    <cellStyle name="Separador de milhares 3 14 4 6 6" xfId="11902"/>
    <cellStyle name="Separador de milhares 3 14 4 7" xfId="3333"/>
    <cellStyle name="Separador de milhares 3 14 4 7 2" xfId="7361"/>
    <cellStyle name="Separador de milhares 3 14 4 7 2 2" xfId="10505"/>
    <cellStyle name="Separador de milhares 3 14 4 7 2 2 2" xfId="28719"/>
    <cellStyle name="Separador de milhares 3 14 4 7 2 2 3" xfId="22805"/>
    <cellStyle name="Separador de milhares 3 14 4 7 2 2 4" xfId="16891"/>
    <cellStyle name="Separador de milhares 3 14 4 7 2 3" xfId="25762"/>
    <cellStyle name="Separador de milhares 3 14 4 7 2 4" xfId="19848"/>
    <cellStyle name="Separador de milhares 3 14 4 7 2 5" xfId="13750"/>
    <cellStyle name="Separador de milhares 3 14 4 7 3" xfId="9037"/>
    <cellStyle name="Separador de milhares 3 14 4 7 3 2" xfId="27251"/>
    <cellStyle name="Separador de milhares 3 14 4 7 3 3" xfId="21337"/>
    <cellStyle name="Separador de milhares 3 14 4 7 3 4" xfId="15423"/>
    <cellStyle name="Separador de milhares 3 14 4 7 4" xfId="5662"/>
    <cellStyle name="Separador de milhares 3 14 4 7 4 2" xfId="24294"/>
    <cellStyle name="Separador de milhares 3 14 4 7 5" xfId="18380"/>
    <cellStyle name="Separador de milhares 3 14 4 7 6" xfId="12049"/>
    <cellStyle name="Separador de milhares 3 14 4 8" xfId="3860"/>
    <cellStyle name="Separador de milhares 3 14 4 8 2" xfId="7508"/>
    <cellStyle name="Separador de milhares 3 14 4 8 2 2" xfId="10652"/>
    <cellStyle name="Separador de milhares 3 14 4 8 2 2 2" xfId="28866"/>
    <cellStyle name="Separador de milhares 3 14 4 8 2 2 3" xfId="22952"/>
    <cellStyle name="Separador de milhares 3 14 4 8 2 2 4" xfId="17038"/>
    <cellStyle name="Separador de milhares 3 14 4 8 2 3" xfId="25909"/>
    <cellStyle name="Separador de milhares 3 14 4 8 2 4" xfId="19995"/>
    <cellStyle name="Separador de milhares 3 14 4 8 2 5" xfId="13897"/>
    <cellStyle name="Separador de milhares 3 14 4 8 3" xfId="9184"/>
    <cellStyle name="Separador de milhares 3 14 4 8 3 2" xfId="27398"/>
    <cellStyle name="Separador de milhares 3 14 4 8 3 3" xfId="21484"/>
    <cellStyle name="Separador de milhares 3 14 4 8 3 4" xfId="15570"/>
    <cellStyle name="Separador de milhares 3 14 4 8 4" xfId="5809"/>
    <cellStyle name="Separador de milhares 3 14 4 8 4 2" xfId="24441"/>
    <cellStyle name="Separador de milhares 3 14 4 8 5" xfId="18527"/>
    <cellStyle name="Separador de milhares 3 14 4 8 6" xfId="12196"/>
    <cellStyle name="Separador de milhares 3 14 4 9" xfId="667"/>
    <cellStyle name="Separador de milhares 3 14 4 9 2" xfId="6602"/>
    <cellStyle name="Separador de milhares 3 14 4 9 2 2" xfId="9749"/>
    <cellStyle name="Separador de milhares 3 14 4 9 2 2 2" xfId="27963"/>
    <cellStyle name="Separador de milhares 3 14 4 9 2 2 3" xfId="22049"/>
    <cellStyle name="Separador de milhares 3 14 4 9 2 2 4" xfId="16135"/>
    <cellStyle name="Separador de milhares 3 14 4 9 2 3" xfId="25006"/>
    <cellStyle name="Separador de milhares 3 14 4 9 2 4" xfId="19092"/>
    <cellStyle name="Separador de milhares 3 14 4 9 2 5" xfId="12991"/>
    <cellStyle name="Separador de milhares 3 14 4 9 3" xfId="8281"/>
    <cellStyle name="Separador de milhares 3 14 4 9 3 2" xfId="26495"/>
    <cellStyle name="Separador de milhares 3 14 4 9 3 3" xfId="20581"/>
    <cellStyle name="Separador de milhares 3 14 4 9 3 4" xfId="14667"/>
    <cellStyle name="Separador de milhares 3 14 4 9 4" xfId="4903"/>
    <cellStyle name="Separador de milhares 3 14 4 9 4 2" xfId="23538"/>
    <cellStyle name="Separador de milhares 3 14 4 9 5" xfId="17624"/>
    <cellStyle name="Separador de milhares 3 14 4 9 6" xfId="11290"/>
    <cellStyle name="Separador de milhares 3 14 5" xfId="575"/>
    <cellStyle name="Separador de milhares 3 14 5 10" xfId="4867"/>
    <cellStyle name="Separador de milhares 3 14 5 10 2" xfId="23501"/>
    <cellStyle name="Separador de milhares 3 14 5 11" xfId="17587"/>
    <cellStyle name="Separador de milhares 3 14 5 12" xfId="11256"/>
    <cellStyle name="Separador de milhares 3 14 5 2" xfId="1398"/>
    <cellStyle name="Separador de milhares 3 14 5 2 2" xfId="6819"/>
    <cellStyle name="Separador de milhares 3 14 5 2 2 2" xfId="9966"/>
    <cellStyle name="Separador de milhares 3 14 5 2 2 2 2" xfId="28180"/>
    <cellStyle name="Separador de milhares 3 14 5 2 2 2 3" xfId="22266"/>
    <cellStyle name="Separador de milhares 3 14 5 2 2 2 4" xfId="16352"/>
    <cellStyle name="Separador de milhares 3 14 5 2 2 3" xfId="25223"/>
    <cellStyle name="Separador de milhares 3 14 5 2 2 4" xfId="19309"/>
    <cellStyle name="Separador de milhares 3 14 5 2 2 5" xfId="13208"/>
    <cellStyle name="Separador de milhares 3 14 5 2 3" xfId="8498"/>
    <cellStyle name="Separador de milhares 3 14 5 2 3 2" xfId="26712"/>
    <cellStyle name="Separador de milhares 3 14 5 2 3 3" xfId="20798"/>
    <cellStyle name="Separador de milhares 3 14 5 2 3 4" xfId="14884"/>
    <cellStyle name="Separador de milhares 3 14 5 2 4" xfId="5120"/>
    <cellStyle name="Separador de milhares 3 14 5 2 4 2" xfId="23755"/>
    <cellStyle name="Separador de milhares 3 14 5 2 5" xfId="17841"/>
    <cellStyle name="Separador de milhares 3 14 5 2 6" xfId="11507"/>
    <cellStyle name="Separador de milhares 3 14 5 3" xfId="1833"/>
    <cellStyle name="Separador de milhares 3 14 5 3 2" xfId="6938"/>
    <cellStyle name="Separador de milhares 3 14 5 3 2 2" xfId="10085"/>
    <cellStyle name="Separador de milhares 3 14 5 3 2 2 2" xfId="28299"/>
    <cellStyle name="Separador de milhares 3 14 5 3 2 2 3" xfId="22385"/>
    <cellStyle name="Separador de milhares 3 14 5 3 2 2 4" xfId="16471"/>
    <cellStyle name="Separador de milhares 3 14 5 3 2 3" xfId="25342"/>
    <cellStyle name="Separador de milhares 3 14 5 3 2 4" xfId="19428"/>
    <cellStyle name="Separador de milhares 3 14 5 3 2 5" xfId="13327"/>
    <cellStyle name="Separador de milhares 3 14 5 3 3" xfId="8617"/>
    <cellStyle name="Separador de milhares 3 14 5 3 3 2" xfId="26831"/>
    <cellStyle name="Separador de milhares 3 14 5 3 3 3" xfId="20917"/>
    <cellStyle name="Separador de milhares 3 14 5 3 3 4" xfId="15003"/>
    <cellStyle name="Separador de milhares 3 14 5 3 4" xfId="5239"/>
    <cellStyle name="Separador de milhares 3 14 5 3 4 2" xfId="23874"/>
    <cellStyle name="Separador de milhares 3 14 5 3 5" xfId="17960"/>
    <cellStyle name="Separador de milhares 3 14 5 3 6" xfId="11626"/>
    <cellStyle name="Separador de milhares 3 14 5 4" xfId="2363"/>
    <cellStyle name="Separador de milhares 3 14 5 4 2" xfId="7088"/>
    <cellStyle name="Separador de milhares 3 14 5 4 2 2" xfId="10232"/>
    <cellStyle name="Separador de milhares 3 14 5 4 2 2 2" xfId="28446"/>
    <cellStyle name="Separador de milhares 3 14 5 4 2 2 3" xfId="22532"/>
    <cellStyle name="Separador de milhares 3 14 5 4 2 2 4" xfId="16618"/>
    <cellStyle name="Separador de milhares 3 14 5 4 2 3" xfId="25489"/>
    <cellStyle name="Separador de milhares 3 14 5 4 2 4" xfId="19575"/>
    <cellStyle name="Separador de milhares 3 14 5 4 2 5" xfId="13477"/>
    <cellStyle name="Separador de milhares 3 14 5 4 3" xfId="8764"/>
    <cellStyle name="Separador de milhares 3 14 5 4 3 2" xfId="26978"/>
    <cellStyle name="Separador de milhares 3 14 5 4 3 3" xfId="21064"/>
    <cellStyle name="Separador de milhares 3 14 5 4 3 4" xfId="15150"/>
    <cellStyle name="Separador de milhares 3 14 5 4 4" xfId="5389"/>
    <cellStyle name="Separador de milhares 3 14 5 4 4 2" xfId="24021"/>
    <cellStyle name="Separador de milhares 3 14 5 4 5" xfId="18107"/>
    <cellStyle name="Separador de milhares 3 14 5 4 6" xfId="11776"/>
    <cellStyle name="Separador de milhares 3 14 5 5" xfId="2890"/>
    <cellStyle name="Separador de milhares 3 14 5 5 2" xfId="7235"/>
    <cellStyle name="Separador de milhares 3 14 5 5 2 2" xfId="10379"/>
    <cellStyle name="Separador de milhares 3 14 5 5 2 2 2" xfId="28593"/>
    <cellStyle name="Separador de milhares 3 14 5 5 2 2 3" xfId="22679"/>
    <cellStyle name="Separador de milhares 3 14 5 5 2 2 4" xfId="16765"/>
    <cellStyle name="Separador de milhares 3 14 5 5 2 3" xfId="25636"/>
    <cellStyle name="Separador de milhares 3 14 5 5 2 4" xfId="19722"/>
    <cellStyle name="Separador de milhares 3 14 5 5 2 5" xfId="13624"/>
    <cellStyle name="Separador de milhares 3 14 5 5 3" xfId="8911"/>
    <cellStyle name="Separador de milhares 3 14 5 5 3 2" xfId="27125"/>
    <cellStyle name="Separador de milhares 3 14 5 5 3 3" xfId="21211"/>
    <cellStyle name="Separador de milhares 3 14 5 5 3 4" xfId="15297"/>
    <cellStyle name="Separador de milhares 3 14 5 5 4" xfId="5536"/>
    <cellStyle name="Separador de milhares 3 14 5 5 4 2" xfId="24168"/>
    <cellStyle name="Separador de milhares 3 14 5 5 5" xfId="18254"/>
    <cellStyle name="Separador de milhares 3 14 5 5 6" xfId="11923"/>
    <cellStyle name="Separador de milhares 3 14 5 6" xfId="3417"/>
    <cellStyle name="Separador de milhares 3 14 5 6 2" xfId="7382"/>
    <cellStyle name="Separador de milhares 3 14 5 6 2 2" xfId="10526"/>
    <cellStyle name="Separador de milhares 3 14 5 6 2 2 2" xfId="28740"/>
    <cellStyle name="Separador de milhares 3 14 5 6 2 2 3" xfId="22826"/>
    <cellStyle name="Separador de milhares 3 14 5 6 2 2 4" xfId="16912"/>
    <cellStyle name="Separador de milhares 3 14 5 6 2 3" xfId="25783"/>
    <cellStyle name="Separador de milhares 3 14 5 6 2 4" xfId="19869"/>
    <cellStyle name="Separador de milhares 3 14 5 6 2 5" xfId="13771"/>
    <cellStyle name="Separador de milhares 3 14 5 6 3" xfId="9058"/>
    <cellStyle name="Separador de milhares 3 14 5 6 3 2" xfId="27272"/>
    <cellStyle name="Separador de milhares 3 14 5 6 3 3" xfId="21358"/>
    <cellStyle name="Separador de milhares 3 14 5 6 3 4" xfId="15444"/>
    <cellStyle name="Separador de milhares 3 14 5 6 4" xfId="5683"/>
    <cellStyle name="Separador de milhares 3 14 5 6 4 2" xfId="24315"/>
    <cellStyle name="Separador de milhares 3 14 5 6 5" xfId="18401"/>
    <cellStyle name="Separador de milhares 3 14 5 6 6" xfId="12070"/>
    <cellStyle name="Separador de milhares 3 14 5 7" xfId="3944"/>
    <cellStyle name="Separador de milhares 3 14 5 7 2" xfId="7529"/>
    <cellStyle name="Separador de milhares 3 14 5 7 2 2" xfId="10673"/>
    <cellStyle name="Separador de milhares 3 14 5 7 2 2 2" xfId="28887"/>
    <cellStyle name="Separador de milhares 3 14 5 7 2 2 3" xfId="22973"/>
    <cellStyle name="Separador de milhares 3 14 5 7 2 2 4" xfId="17059"/>
    <cellStyle name="Separador de milhares 3 14 5 7 2 3" xfId="25930"/>
    <cellStyle name="Separador de milhares 3 14 5 7 2 4" xfId="20016"/>
    <cellStyle name="Separador de milhares 3 14 5 7 2 5" xfId="13918"/>
    <cellStyle name="Separador de milhares 3 14 5 7 3" xfId="9205"/>
    <cellStyle name="Separador de milhares 3 14 5 7 3 2" xfId="27419"/>
    <cellStyle name="Separador de milhares 3 14 5 7 3 3" xfId="21505"/>
    <cellStyle name="Separador de milhares 3 14 5 7 3 4" xfId="15591"/>
    <cellStyle name="Separador de milhares 3 14 5 7 4" xfId="5830"/>
    <cellStyle name="Separador de milhares 3 14 5 7 4 2" xfId="24462"/>
    <cellStyle name="Separador de milhares 3 14 5 7 5" xfId="18548"/>
    <cellStyle name="Separador de milhares 3 14 5 7 6" xfId="12217"/>
    <cellStyle name="Separador de milhares 3 14 5 8" xfId="6568"/>
    <cellStyle name="Separador de milhares 3 14 5 8 2" xfId="9715"/>
    <cellStyle name="Separador de milhares 3 14 5 8 2 2" xfId="27929"/>
    <cellStyle name="Separador de milhares 3 14 5 8 2 3" xfId="22015"/>
    <cellStyle name="Separador de milhares 3 14 5 8 2 4" xfId="16101"/>
    <cellStyle name="Separador de milhares 3 14 5 8 3" xfId="24972"/>
    <cellStyle name="Separador de milhares 3 14 5 8 4" xfId="19058"/>
    <cellStyle name="Separador de milhares 3 14 5 8 5" xfId="12957"/>
    <cellStyle name="Separador de milhares 3 14 5 9" xfId="8244"/>
    <cellStyle name="Separador de milhares 3 14 5 9 2" xfId="26458"/>
    <cellStyle name="Separador de milhares 3 14 5 9 3" xfId="20544"/>
    <cellStyle name="Separador de milhares 3 14 5 9 4" xfId="14633"/>
    <cellStyle name="Separador de milhares 3 14 6" xfId="696"/>
    <cellStyle name="Separador de milhares 3 14 6 2" xfId="4120"/>
    <cellStyle name="Separador de milhares 3 14 6 2 2" xfId="7578"/>
    <cellStyle name="Separador de milhares 3 14 6 2 2 2" xfId="10722"/>
    <cellStyle name="Separador de milhares 3 14 6 2 2 2 2" xfId="28936"/>
    <cellStyle name="Separador de milhares 3 14 6 2 2 2 3" xfId="23022"/>
    <cellStyle name="Separador de milhares 3 14 6 2 2 2 4" xfId="17108"/>
    <cellStyle name="Separador de milhares 3 14 6 2 2 3" xfId="25979"/>
    <cellStyle name="Separador de milhares 3 14 6 2 2 4" xfId="20065"/>
    <cellStyle name="Separador de milhares 3 14 6 2 2 5" xfId="13967"/>
    <cellStyle name="Separador de milhares 3 14 6 2 3" xfId="9254"/>
    <cellStyle name="Separador de milhares 3 14 6 2 3 2" xfId="27468"/>
    <cellStyle name="Separador de milhares 3 14 6 2 3 3" xfId="21554"/>
    <cellStyle name="Separador de milhares 3 14 6 2 3 4" xfId="15640"/>
    <cellStyle name="Separador de milhares 3 14 6 2 4" xfId="5879"/>
    <cellStyle name="Separador de milhares 3 14 6 2 4 2" xfId="24511"/>
    <cellStyle name="Separador de milhares 3 14 6 2 5" xfId="18597"/>
    <cellStyle name="Separador de milhares 3 14 6 2 6" xfId="12266"/>
    <cellStyle name="Separador de milhares 3 14 6 3" xfId="6623"/>
    <cellStyle name="Separador de milhares 3 14 6 3 2" xfId="9770"/>
    <cellStyle name="Separador de milhares 3 14 6 3 2 2" xfId="27984"/>
    <cellStyle name="Separador de milhares 3 14 6 3 2 3" xfId="22070"/>
    <cellStyle name="Separador de milhares 3 14 6 3 2 4" xfId="16156"/>
    <cellStyle name="Separador de milhares 3 14 6 3 3" xfId="25027"/>
    <cellStyle name="Separador de milhares 3 14 6 3 4" xfId="19113"/>
    <cellStyle name="Separador de milhares 3 14 6 3 5" xfId="13012"/>
    <cellStyle name="Separador de milhares 3 14 6 4" xfId="8302"/>
    <cellStyle name="Separador de milhares 3 14 6 4 2" xfId="26516"/>
    <cellStyle name="Separador de milhares 3 14 6 4 3" xfId="20602"/>
    <cellStyle name="Separador de milhares 3 14 6 4 4" xfId="14688"/>
    <cellStyle name="Separador de milhares 3 14 6 5" xfId="4924"/>
    <cellStyle name="Separador de milhares 3 14 6 5 2" xfId="23559"/>
    <cellStyle name="Separador de milhares 3 14 6 6" xfId="17645"/>
    <cellStyle name="Separador de milhares 3 14 6 7" xfId="11311"/>
    <cellStyle name="Separador de milhares 3 14 7" xfId="1047"/>
    <cellStyle name="Separador de milhares 3 14 7 2" xfId="6721"/>
    <cellStyle name="Separador de milhares 3 14 7 2 2" xfId="9868"/>
    <cellStyle name="Separador de milhares 3 14 7 2 2 2" xfId="28082"/>
    <cellStyle name="Separador de milhares 3 14 7 2 2 3" xfId="22168"/>
    <cellStyle name="Separador de milhares 3 14 7 2 2 4" xfId="16254"/>
    <cellStyle name="Separador de milhares 3 14 7 2 3" xfId="25125"/>
    <cellStyle name="Separador de milhares 3 14 7 2 4" xfId="19211"/>
    <cellStyle name="Separador de milhares 3 14 7 2 5" xfId="13110"/>
    <cellStyle name="Separador de milhares 3 14 7 3" xfId="8400"/>
    <cellStyle name="Separador de milhares 3 14 7 3 2" xfId="26614"/>
    <cellStyle name="Separador de milhares 3 14 7 3 3" xfId="20700"/>
    <cellStyle name="Separador de milhares 3 14 7 3 4" xfId="14786"/>
    <cellStyle name="Separador de milhares 3 14 7 4" xfId="5022"/>
    <cellStyle name="Separador de milhares 3 14 7 4 2" xfId="23657"/>
    <cellStyle name="Separador de milhares 3 14 7 5" xfId="17743"/>
    <cellStyle name="Separador de milhares 3 14 7 6" xfId="11409"/>
    <cellStyle name="Separador de milhares 3 14 8" xfId="1482"/>
    <cellStyle name="Separador de milhares 3 14 8 2" xfId="6840"/>
    <cellStyle name="Separador de milhares 3 14 8 2 2" xfId="9987"/>
    <cellStyle name="Separador de milhares 3 14 8 2 2 2" xfId="28201"/>
    <cellStyle name="Separador de milhares 3 14 8 2 2 3" xfId="22287"/>
    <cellStyle name="Separador de milhares 3 14 8 2 2 4" xfId="16373"/>
    <cellStyle name="Separador de milhares 3 14 8 2 3" xfId="25244"/>
    <cellStyle name="Separador de milhares 3 14 8 2 4" xfId="19330"/>
    <cellStyle name="Separador de milhares 3 14 8 2 5" xfId="13229"/>
    <cellStyle name="Separador de milhares 3 14 8 3" xfId="8519"/>
    <cellStyle name="Separador de milhares 3 14 8 3 2" xfId="26733"/>
    <cellStyle name="Separador de milhares 3 14 8 3 3" xfId="20819"/>
    <cellStyle name="Separador de milhares 3 14 8 3 4" xfId="14905"/>
    <cellStyle name="Separador de milhares 3 14 8 4" xfId="5141"/>
    <cellStyle name="Separador de milhares 3 14 8 4 2" xfId="23776"/>
    <cellStyle name="Separador de milhares 3 14 8 5" xfId="17862"/>
    <cellStyle name="Separador de milhares 3 14 8 6" xfId="11528"/>
    <cellStyle name="Separador de milhares 3 14 9" xfId="2012"/>
    <cellStyle name="Separador de milhares 3 14 9 2" xfId="6990"/>
    <cellStyle name="Separador de milhares 3 14 9 2 2" xfId="10134"/>
    <cellStyle name="Separador de milhares 3 14 9 2 2 2" xfId="28348"/>
    <cellStyle name="Separador de milhares 3 14 9 2 2 3" xfId="22434"/>
    <cellStyle name="Separador de milhares 3 14 9 2 2 4" xfId="16520"/>
    <cellStyle name="Separador de milhares 3 14 9 2 3" xfId="25391"/>
    <cellStyle name="Separador de milhares 3 14 9 2 4" xfId="19477"/>
    <cellStyle name="Separador de milhares 3 14 9 2 5" xfId="13379"/>
    <cellStyle name="Separador de milhares 3 14 9 3" xfId="8666"/>
    <cellStyle name="Separador de milhares 3 14 9 3 2" xfId="26880"/>
    <cellStyle name="Separador de milhares 3 14 9 3 3" xfId="20966"/>
    <cellStyle name="Separador de milhares 3 14 9 3 4" xfId="15052"/>
    <cellStyle name="Separador de milhares 3 14 9 4" xfId="5291"/>
    <cellStyle name="Separador de milhares 3 14 9 4 2" xfId="23923"/>
    <cellStyle name="Separador de milhares 3 14 9 5" xfId="18009"/>
    <cellStyle name="Separador de milhares 3 14 9 6" xfId="11678"/>
    <cellStyle name="Separador de milhares 3 15" xfId="108"/>
    <cellStyle name="Separador de milhares 3 15 10" xfId="2611"/>
    <cellStyle name="Separador de milhares 3 15 10 2" xfId="7155"/>
    <cellStyle name="Separador de milhares 3 15 10 2 2" xfId="10299"/>
    <cellStyle name="Separador de milhares 3 15 10 2 2 2" xfId="28513"/>
    <cellStyle name="Separador de milhares 3 15 10 2 2 3" xfId="22599"/>
    <cellStyle name="Separador de milhares 3 15 10 2 2 4" xfId="16685"/>
    <cellStyle name="Separador de milhares 3 15 10 2 3" xfId="25556"/>
    <cellStyle name="Separador de milhares 3 15 10 2 4" xfId="19642"/>
    <cellStyle name="Separador de milhares 3 15 10 2 5" xfId="13544"/>
    <cellStyle name="Separador de milhares 3 15 10 3" xfId="8831"/>
    <cellStyle name="Separador de milhares 3 15 10 3 2" xfId="27045"/>
    <cellStyle name="Separador de milhares 3 15 10 3 3" xfId="21131"/>
    <cellStyle name="Separador de milhares 3 15 10 3 4" xfId="15217"/>
    <cellStyle name="Separador de milhares 3 15 10 4" xfId="5456"/>
    <cellStyle name="Separador de milhares 3 15 10 4 2" xfId="24088"/>
    <cellStyle name="Separador de milhares 3 15 10 5" xfId="18174"/>
    <cellStyle name="Separador de milhares 3 15 10 6" xfId="11843"/>
    <cellStyle name="Separador de milhares 3 15 11" xfId="3138"/>
    <cellStyle name="Separador de milhares 3 15 11 2" xfId="7302"/>
    <cellStyle name="Separador de milhares 3 15 11 2 2" xfId="10446"/>
    <cellStyle name="Separador de milhares 3 15 11 2 2 2" xfId="28660"/>
    <cellStyle name="Separador de milhares 3 15 11 2 2 3" xfId="22746"/>
    <cellStyle name="Separador de milhares 3 15 11 2 2 4" xfId="16832"/>
    <cellStyle name="Separador de milhares 3 15 11 2 3" xfId="25703"/>
    <cellStyle name="Separador de milhares 3 15 11 2 4" xfId="19789"/>
    <cellStyle name="Separador de milhares 3 15 11 2 5" xfId="13691"/>
    <cellStyle name="Separador de milhares 3 15 11 3" xfId="8978"/>
    <cellStyle name="Separador de milhares 3 15 11 3 2" xfId="27192"/>
    <cellStyle name="Separador de milhares 3 15 11 3 3" xfId="21278"/>
    <cellStyle name="Separador de milhares 3 15 11 3 4" xfId="15364"/>
    <cellStyle name="Separador de milhares 3 15 11 4" xfId="5603"/>
    <cellStyle name="Separador de milhares 3 15 11 4 2" xfId="24235"/>
    <cellStyle name="Separador de milhares 3 15 11 5" xfId="18321"/>
    <cellStyle name="Separador de milhares 3 15 11 6" xfId="11990"/>
    <cellStyle name="Separador de milhares 3 15 12" xfId="3665"/>
    <cellStyle name="Separador de milhares 3 15 12 2" xfId="7449"/>
    <cellStyle name="Separador de milhares 3 15 12 2 2" xfId="10593"/>
    <cellStyle name="Separador de milhares 3 15 12 2 2 2" xfId="28807"/>
    <cellStyle name="Separador de milhares 3 15 12 2 2 3" xfId="22893"/>
    <cellStyle name="Separador de milhares 3 15 12 2 2 4" xfId="16979"/>
    <cellStyle name="Separador de milhares 3 15 12 2 3" xfId="25850"/>
    <cellStyle name="Separador de milhares 3 15 12 2 4" xfId="19936"/>
    <cellStyle name="Separador de milhares 3 15 12 2 5" xfId="13838"/>
    <cellStyle name="Separador de milhares 3 15 12 3" xfId="9125"/>
    <cellStyle name="Separador de milhares 3 15 12 3 2" xfId="27339"/>
    <cellStyle name="Separador de milhares 3 15 12 3 3" xfId="21425"/>
    <cellStyle name="Separador de milhares 3 15 12 3 4" xfId="15511"/>
    <cellStyle name="Separador de milhares 3 15 12 4" xfId="5750"/>
    <cellStyle name="Separador de milhares 3 15 12 4 2" xfId="24382"/>
    <cellStyle name="Separador de milhares 3 15 12 5" xfId="18468"/>
    <cellStyle name="Separador de milhares 3 15 12 6" xfId="12137"/>
    <cellStyle name="Separador de milhares 3 15 13" xfId="6433"/>
    <cellStyle name="Separador de milhares 3 15 13 2" xfId="9589"/>
    <cellStyle name="Separador de milhares 3 15 13 2 2" xfId="27803"/>
    <cellStyle name="Separador de milhares 3 15 13 2 3" xfId="21889"/>
    <cellStyle name="Separador de milhares 3 15 13 2 4" xfId="15975"/>
    <cellStyle name="Separador de milhares 3 15 13 3" xfId="24846"/>
    <cellStyle name="Separador de milhares 3 15 13 4" xfId="18932"/>
    <cellStyle name="Separador de milhares 3 15 13 5" xfId="12822"/>
    <cellStyle name="Separador de milhares 3 15 14" xfId="8118"/>
    <cellStyle name="Separador de milhares 3 15 14 2" xfId="26332"/>
    <cellStyle name="Separador de milhares 3 15 14 3" xfId="20418"/>
    <cellStyle name="Separador de milhares 3 15 14 4" xfId="14507"/>
    <cellStyle name="Separador de milhares 3 15 15" xfId="4731"/>
    <cellStyle name="Separador de milhares 3 15 15 2" xfId="23375"/>
    <cellStyle name="Separador de milhares 3 15 16" xfId="17461"/>
    <cellStyle name="Separador de milhares 3 15 17" xfId="11121"/>
    <cellStyle name="Separador de milhares 3 15 2" xfId="202"/>
    <cellStyle name="Separador de milhares 3 15 2 10" xfId="6462"/>
    <cellStyle name="Separador de milhares 3 15 2 10 2" xfId="9616"/>
    <cellStyle name="Separador de milhares 3 15 2 10 2 2" xfId="27830"/>
    <cellStyle name="Separador de milhares 3 15 2 10 2 3" xfId="21916"/>
    <cellStyle name="Separador de milhares 3 15 2 10 2 4" xfId="16002"/>
    <cellStyle name="Separador de milhares 3 15 2 10 3" xfId="24873"/>
    <cellStyle name="Separador de milhares 3 15 2 10 4" xfId="18959"/>
    <cellStyle name="Separador de milhares 3 15 2 10 5" xfId="12851"/>
    <cellStyle name="Separador de milhares 3 15 2 11" xfId="8145"/>
    <cellStyle name="Separador de milhares 3 15 2 11 2" xfId="26359"/>
    <cellStyle name="Separador de milhares 3 15 2 11 3" xfId="20445"/>
    <cellStyle name="Separador de milhares 3 15 2 11 4" xfId="14534"/>
    <cellStyle name="Separador de milhares 3 15 2 12" xfId="4761"/>
    <cellStyle name="Separador de milhares 3 15 2 12 2" xfId="23402"/>
    <cellStyle name="Separador de milhares 3 15 2 13" xfId="17488"/>
    <cellStyle name="Separador de milhares 3 15 2 14" xfId="11150"/>
    <cellStyle name="Separador de milhares 3 15 2 2" xfId="475"/>
    <cellStyle name="Separador de milhares 3 15 2 2 10" xfId="17562"/>
    <cellStyle name="Separador de milhares 3 15 2 2 11" xfId="11231"/>
    <cellStyle name="Separador de milhares 3 15 2 2 2" xfId="1994"/>
    <cellStyle name="Separador de milhares 3 15 2 2 2 2" xfId="6981"/>
    <cellStyle name="Separador de milhares 3 15 2 2 2 2 2" xfId="10128"/>
    <cellStyle name="Separador de milhares 3 15 2 2 2 2 2 2" xfId="28342"/>
    <cellStyle name="Separador de milhares 3 15 2 2 2 2 2 3" xfId="22428"/>
    <cellStyle name="Separador de milhares 3 15 2 2 2 2 2 4" xfId="16514"/>
    <cellStyle name="Separador de milhares 3 15 2 2 2 2 3" xfId="25385"/>
    <cellStyle name="Separador de milhares 3 15 2 2 2 2 4" xfId="19471"/>
    <cellStyle name="Separador de milhares 3 15 2 2 2 2 5" xfId="13370"/>
    <cellStyle name="Separador de milhares 3 15 2 2 2 3" xfId="8660"/>
    <cellStyle name="Separador de milhares 3 15 2 2 2 3 2" xfId="26874"/>
    <cellStyle name="Separador de milhares 3 15 2 2 2 3 3" xfId="20960"/>
    <cellStyle name="Separador de milhares 3 15 2 2 2 3 4" xfId="15046"/>
    <cellStyle name="Separador de milhares 3 15 2 2 2 4" xfId="5282"/>
    <cellStyle name="Separador de milhares 3 15 2 2 2 4 2" xfId="23917"/>
    <cellStyle name="Separador de milhares 3 15 2 2 2 5" xfId="18003"/>
    <cellStyle name="Separador de milhares 3 15 2 2 2 6" xfId="11669"/>
    <cellStyle name="Separador de milhares 3 15 2 2 3" xfId="2524"/>
    <cellStyle name="Separador de milhares 3 15 2 2 3 2" xfId="7131"/>
    <cellStyle name="Separador de milhares 3 15 2 2 3 2 2" xfId="10275"/>
    <cellStyle name="Separador de milhares 3 15 2 2 3 2 2 2" xfId="28489"/>
    <cellStyle name="Separador de milhares 3 15 2 2 3 2 2 3" xfId="22575"/>
    <cellStyle name="Separador de milhares 3 15 2 2 3 2 2 4" xfId="16661"/>
    <cellStyle name="Separador de milhares 3 15 2 2 3 2 3" xfId="25532"/>
    <cellStyle name="Separador de milhares 3 15 2 2 3 2 4" xfId="19618"/>
    <cellStyle name="Separador de milhares 3 15 2 2 3 2 5" xfId="13520"/>
    <cellStyle name="Separador de milhares 3 15 2 2 3 3" xfId="8807"/>
    <cellStyle name="Separador de milhares 3 15 2 2 3 3 2" xfId="27021"/>
    <cellStyle name="Separador de milhares 3 15 2 2 3 3 3" xfId="21107"/>
    <cellStyle name="Separador de milhares 3 15 2 2 3 3 4" xfId="15193"/>
    <cellStyle name="Separador de milhares 3 15 2 2 3 4" xfId="5432"/>
    <cellStyle name="Separador de milhares 3 15 2 2 3 4 2" xfId="24064"/>
    <cellStyle name="Separador de milhares 3 15 2 2 3 5" xfId="18150"/>
    <cellStyle name="Separador de milhares 3 15 2 2 3 6" xfId="11819"/>
    <cellStyle name="Separador de milhares 3 15 2 2 4" xfId="3051"/>
    <cellStyle name="Separador de milhares 3 15 2 2 4 2" xfId="7278"/>
    <cellStyle name="Separador de milhares 3 15 2 2 4 2 2" xfId="10422"/>
    <cellStyle name="Separador de milhares 3 15 2 2 4 2 2 2" xfId="28636"/>
    <cellStyle name="Separador de milhares 3 15 2 2 4 2 2 3" xfId="22722"/>
    <cellStyle name="Separador de milhares 3 15 2 2 4 2 2 4" xfId="16808"/>
    <cellStyle name="Separador de milhares 3 15 2 2 4 2 3" xfId="25679"/>
    <cellStyle name="Separador de milhares 3 15 2 2 4 2 4" xfId="19765"/>
    <cellStyle name="Separador de milhares 3 15 2 2 4 2 5" xfId="13667"/>
    <cellStyle name="Separador de milhares 3 15 2 2 4 3" xfId="8954"/>
    <cellStyle name="Separador de milhares 3 15 2 2 4 3 2" xfId="27168"/>
    <cellStyle name="Separador de milhares 3 15 2 2 4 3 3" xfId="21254"/>
    <cellStyle name="Separador de milhares 3 15 2 2 4 3 4" xfId="15340"/>
    <cellStyle name="Separador de milhares 3 15 2 2 4 4" xfId="5579"/>
    <cellStyle name="Separador de milhares 3 15 2 2 4 4 2" xfId="24211"/>
    <cellStyle name="Separador de milhares 3 15 2 2 4 5" xfId="18297"/>
    <cellStyle name="Separador de milhares 3 15 2 2 4 6" xfId="11966"/>
    <cellStyle name="Separador de milhares 3 15 2 2 5" xfId="3578"/>
    <cellStyle name="Separador de milhares 3 15 2 2 5 2" xfId="7425"/>
    <cellStyle name="Separador de milhares 3 15 2 2 5 2 2" xfId="10569"/>
    <cellStyle name="Separador de milhares 3 15 2 2 5 2 2 2" xfId="28783"/>
    <cellStyle name="Separador de milhares 3 15 2 2 5 2 2 3" xfId="22869"/>
    <cellStyle name="Separador de milhares 3 15 2 2 5 2 2 4" xfId="16955"/>
    <cellStyle name="Separador de milhares 3 15 2 2 5 2 3" xfId="25826"/>
    <cellStyle name="Separador de milhares 3 15 2 2 5 2 4" xfId="19912"/>
    <cellStyle name="Separador de milhares 3 15 2 2 5 2 5" xfId="13814"/>
    <cellStyle name="Separador de milhares 3 15 2 2 5 3" xfId="9101"/>
    <cellStyle name="Separador de milhares 3 15 2 2 5 3 2" xfId="27315"/>
    <cellStyle name="Separador de milhares 3 15 2 2 5 3 3" xfId="21401"/>
    <cellStyle name="Separador de milhares 3 15 2 2 5 3 4" xfId="15487"/>
    <cellStyle name="Separador de milhares 3 15 2 2 5 4" xfId="5726"/>
    <cellStyle name="Separador de milhares 3 15 2 2 5 4 2" xfId="24358"/>
    <cellStyle name="Separador de milhares 3 15 2 2 5 5" xfId="18444"/>
    <cellStyle name="Separador de milhares 3 15 2 2 5 6" xfId="12113"/>
    <cellStyle name="Separador de milhares 3 15 2 2 6" xfId="4105"/>
    <cellStyle name="Separador de milhares 3 15 2 2 6 2" xfId="7572"/>
    <cellStyle name="Separador de milhares 3 15 2 2 6 2 2" xfId="10716"/>
    <cellStyle name="Separador de milhares 3 15 2 2 6 2 2 2" xfId="28930"/>
    <cellStyle name="Separador de milhares 3 15 2 2 6 2 2 3" xfId="23016"/>
    <cellStyle name="Separador de milhares 3 15 2 2 6 2 2 4" xfId="17102"/>
    <cellStyle name="Separador de milhares 3 15 2 2 6 2 3" xfId="25973"/>
    <cellStyle name="Separador de milhares 3 15 2 2 6 2 4" xfId="20059"/>
    <cellStyle name="Separador de milhares 3 15 2 2 6 2 5" xfId="13961"/>
    <cellStyle name="Separador de milhares 3 15 2 2 6 3" xfId="9248"/>
    <cellStyle name="Separador de milhares 3 15 2 2 6 3 2" xfId="27462"/>
    <cellStyle name="Separador de milhares 3 15 2 2 6 3 3" xfId="21548"/>
    <cellStyle name="Separador de milhares 3 15 2 2 6 3 4" xfId="15634"/>
    <cellStyle name="Separador de milhares 3 15 2 2 6 4" xfId="5873"/>
    <cellStyle name="Separador de milhares 3 15 2 2 6 4 2" xfId="24505"/>
    <cellStyle name="Separador de milhares 3 15 2 2 6 5" xfId="18591"/>
    <cellStyle name="Separador de milhares 3 15 2 2 6 6" xfId="12260"/>
    <cellStyle name="Separador de milhares 3 15 2 2 7" xfId="6543"/>
    <cellStyle name="Separador de milhares 3 15 2 2 7 2" xfId="9690"/>
    <cellStyle name="Separador de milhares 3 15 2 2 7 2 2" xfId="27904"/>
    <cellStyle name="Separador de milhares 3 15 2 2 7 2 3" xfId="21990"/>
    <cellStyle name="Separador de milhares 3 15 2 2 7 2 4" xfId="16076"/>
    <cellStyle name="Separador de milhares 3 15 2 2 7 3" xfId="24947"/>
    <cellStyle name="Separador de milhares 3 15 2 2 7 4" xfId="19033"/>
    <cellStyle name="Separador de milhares 3 15 2 2 7 5" xfId="12932"/>
    <cellStyle name="Separador de milhares 3 15 2 2 8" xfId="8219"/>
    <cellStyle name="Separador de milhares 3 15 2 2 8 2" xfId="26433"/>
    <cellStyle name="Separador de milhares 3 15 2 2 8 3" xfId="20519"/>
    <cellStyle name="Separador de milhares 3 15 2 2 8 4" xfId="14608"/>
    <cellStyle name="Separador de milhares 3 15 2 2 9" xfId="4842"/>
    <cellStyle name="Separador de milhares 3 15 2 2 9 2" xfId="23476"/>
    <cellStyle name="Separador de milhares 3 15 2 3" xfId="948"/>
    <cellStyle name="Separador de milhares 3 15 2 3 2" xfId="6694"/>
    <cellStyle name="Separador de milhares 3 15 2 3 2 2" xfId="9841"/>
    <cellStyle name="Separador de milhares 3 15 2 3 2 2 2" xfId="28055"/>
    <cellStyle name="Separador de milhares 3 15 2 3 2 2 3" xfId="22141"/>
    <cellStyle name="Separador de milhares 3 15 2 3 2 2 4" xfId="16227"/>
    <cellStyle name="Separador de milhares 3 15 2 3 2 3" xfId="25098"/>
    <cellStyle name="Separador de milhares 3 15 2 3 2 4" xfId="19184"/>
    <cellStyle name="Separador de milhares 3 15 2 3 2 5" xfId="13083"/>
    <cellStyle name="Separador de milhares 3 15 2 3 3" xfId="8373"/>
    <cellStyle name="Separador de milhares 3 15 2 3 3 2" xfId="26587"/>
    <cellStyle name="Separador de milhares 3 15 2 3 3 3" xfId="20673"/>
    <cellStyle name="Separador de milhares 3 15 2 3 3 4" xfId="14759"/>
    <cellStyle name="Separador de milhares 3 15 2 3 4" xfId="4995"/>
    <cellStyle name="Separador de milhares 3 15 2 3 4 2" xfId="23630"/>
    <cellStyle name="Separador de milhares 3 15 2 3 5" xfId="17716"/>
    <cellStyle name="Separador de milhares 3 15 2 3 6" xfId="11382"/>
    <cellStyle name="Separador de milhares 3 15 2 4" xfId="1299"/>
    <cellStyle name="Separador de milhares 3 15 2 4 2" xfId="6792"/>
    <cellStyle name="Separador de milhares 3 15 2 4 2 2" xfId="9939"/>
    <cellStyle name="Separador de milhares 3 15 2 4 2 2 2" xfId="28153"/>
    <cellStyle name="Separador de milhares 3 15 2 4 2 2 3" xfId="22239"/>
    <cellStyle name="Separador de milhares 3 15 2 4 2 2 4" xfId="16325"/>
    <cellStyle name="Separador de milhares 3 15 2 4 2 3" xfId="25196"/>
    <cellStyle name="Separador de milhares 3 15 2 4 2 4" xfId="19282"/>
    <cellStyle name="Separador de milhares 3 15 2 4 2 5" xfId="13181"/>
    <cellStyle name="Separador de milhares 3 15 2 4 3" xfId="8471"/>
    <cellStyle name="Separador de milhares 3 15 2 4 3 2" xfId="26685"/>
    <cellStyle name="Separador de milhares 3 15 2 4 3 3" xfId="20771"/>
    <cellStyle name="Separador de milhares 3 15 2 4 3 4" xfId="14857"/>
    <cellStyle name="Separador de milhares 3 15 2 4 4" xfId="5093"/>
    <cellStyle name="Separador de milhares 3 15 2 4 4 2" xfId="23728"/>
    <cellStyle name="Separador de milhares 3 15 2 4 5" xfId="17814"/>
    <cellStyle name="Separador de milhares 3 15 2 4 6" xfId="11480"/>
    <cellStyle name="Separador de milhares 3 15 2 5" xfId="1734"/>
    <cellStyle name="Separador de milhares 3 15 2 5 2" xfId="6911"/>
    <cellStyle name="Separador de milhares 3 15 2 5 2 2" xfId="10058"/>
    <cellStyle name="Separador de milhares 3 15 2 5 2 2 2" xfId="28272"/>
    <cellStyle name="Separador de milhares 3 15 2 5 2 2 3" xfId="22358"/>
    <cellStyle name="Separador de milhares 3 15 2 5 2 2 4" xfId="16444"/>
    <cellStyle name="Separador de milhares 3 15 2 5 2 3" xfId="25315"/>
    <cellStyle name="Separador de milhares 3 15 2 5 2 4" xfId="19401"/>
    <cellStyle name="Separador de milhares 3 15 2 5 2 5" xfId="13300"/>
    <cellStyle name="Separador de milhares 3 15 2 5 3" xfId="8590"/>
    <cellStyle name="Separador de milhares 3 15 2 5 3 2" xfId="26804"/>
    <cellStyle name="Separador de milhares 3 15 2 5 3 3" xfId="20890"/>
    <cellStyle name="Separador de milhares 3 15 2 5 3 4" xfId="14976"/>
    <cellStyle name="Separador de milhares 3 15 2 5 4" xfId="5212"/>
    <cellStyle name="Separador de milhares 3 15 2 5 4 2" xfId="23847"/>
    <cellStyle name="Separador de milhares 3 15 2 5 5" xfId="17933"/>
    <cellStyle name="Separador de milhares 3 15 2 5 6" xfId="11599"/>
    <cellStyle name="Separador de milhares 3 15 2 6" xfId="2264"/>
    <cellStyle name="Separador de milhares 3 15 2 6 2" xfId="7061"/>
    <cellStyle name="Separador de milhares 3 15 2 6 2 2" xfId="10205"/>
    <cellStyle name="Separador de milhares 3 15 2 6 2 2 2" xfId="28419"/>
    <cellStyle name="Separador de milhares 3 15 2 6 2 2 3" xfId="22505"/>
    <cellStyle name="Separador de milhares 3 15 2 6 2 2 4" xfId="16591"/>
    <cellStyle name="Separador de milhares 3 15 2 6 2 3" xfId="25462"/>
    <cellStyle name="Separador de milhares 3 15 2 6 2 4" xfId="19548"/>
    <cellStyle name="Separador de milhares 3 15 2 6 2 5" xfId="13450"/>
    <cellStyle name="Separador de milhares 3 15 2 6 3" xfId="8737"/>
    <cellStyle name="Separador de milhares 3 15 2 6 3 2" xfId="26951"/>
    <cellStyle name="Separador de milhares 3 15 2 6 3 3" xfId="21037"/>
    <cellStyle name="Separador de milhares 3 15 2 6 3 4" xfId="15123"/>
    <cellStyle name="Separador de milhares 3 15 2 6 4" xfId="5362"/>
    <cellStyle name="Separador de milhares 3 15 2 6 4 2" xfId="23994"/>
    <cellStyle name="Separador de milhares 3 15 2 6 5" xfId="18080"/>
    <cellStyle name="Separador de milhares 3 15 2 6 6" xfId="11749"/>
    <cellStyle name="Separador de milhares 3 15 2 7" xfId="2791"/>
    <cellStyle name="Separador de milhares 3 15 2 7 2" xfId="7208"/>
    <cellStyle name="Separador de milhares 3 15 2 7 2 2" xfId="10352"/>
    <cellStyle name="Separador de milhares 3 15 2 7 2 2 2" xfId="28566"/>
    <cellStyle name="Separador de milhares 3 15 2 7 2 2 3" xfId="22652"/>
    <cellStyle name="Separador de milhares 3 15 2 7 2 2 4" xfId="16738"/>
    <cellStyle name="Separador de milhares 3 15 2 7 2 3" xfId="25609"/>
    <cellStyle name="Separador de milhares 3 15 2 7 2 4" xfId="19695"/>
    <cellStyle name="Separador de milhares 3 15 2 7 2 5" xfId="13597"/>
    <cellStyle name="Separador de milhares 3 15 2 7 3" xfId="8884"/>
    <cellStyle name="Separador de milhares 3 15 2 7 3 2" xfId="27098"/>
    <cellStyle name="Separador de milhares 3 15 2 7 3 3" xfId="21184"/>
    <cellStyle name="Separador de milhares 3 15 2 7 3 4" xfId="15270"/>
    <cellStyle name="Separador de milhares 3 15 2 7 4" xfId="5509"/>
    <cellStyle name="Separador de milhares 3 15 2 7 4 2" xfId="24141"/>
    <cellStyle name="Separador de milhares 3 15 2 7 5" xfId="18227"/>
    <cellStyle name="Separador de milhares 3 15 2 7 6" xfId="11896"/>
    <cellStyle name="Separador de milhares 3 15 2 8" xfId="3318"/>
    <cellStyle name="Separador de milhares 3 15 2 8 2" xfId="7355"/>
    <cellStyle name="Separador de milhares 3 15 2 8 2 2" xfId="10499"/>
    <cellStyle name="Separador de milhares 3 15 2 8 2 2 2" xfId="28713"/>
    <cellStyle name="Separador de milhares 3 15 2 8 2 2 3" xfId="22799"/>
    <cellStyle name="Separador de milhares 3 15 2 8 2 2 4" xfId="16885"/>
    <cellStyle name="Separador de milhares 3 15 2 8 2 3" xfId="25756"/>
    <cellStyle name="Separador de milhares 3 15 2 8 2 4" xfId="19842"/>
    <cellStyle name="Separador de milhares 3 15 2 8 2 5" xfId="13744"/>
    <cellStyle name="Separador de milhares 3 15 2 8 3" xfId="9031"/>
    <cellStyle name="Separador de milhares 3 15 2 8 3 2" xfId="27245"/>
    <cellStyle name="Separador de milhares 3 15 2 8 3 3" xfId="21331"/>
    <cellStyle name="Separador de milhares 3 15 2 8 3 4" xfId="15417"/>
    <cellStyle name="Separador de milhares 3 15 2 8 4" xfId="5656"/>
    <cellStyle name="Separador de milhares 3 15 2 8 4 2" xfId="24288"/>
    <cellStyle name="Separador de milhares 3 15 2 8 5" xfId="18374"/>
    <cellStyle name="Separador de milhares 3 15 2 8 6" xfId="12043"/>
    <cellStyle name="Separador de milhares 3 15 2 9" xfId="3845"/>
    <cellStyle name="Separador de milhares 3 15 2 9 2" xfId="7502"/>
    <cellStyle name="Separador de milhares 3 15 2 9 2 2" xfId="10646"/>
    <cellStyle name="Separador de milhares 3 15 2 9 2 2 2" xfId="28860"/>
    <cellStyle name="Separador de milhares 3 15 2 9 2 2 3" xfId="22946"/>
    <cellStyle name="Separador de milhares 3 15 2 9 2 2 4" xfId="17032"/>
    <cellStyle name="Separador de milhares 3 15 2 9 2 3" xfId="25903"/>
    <cellStyle name="Separador de milhares 3 15 2 9 2 4" xfId="19989"/>
    <cellStyle name="Separador de milhares 3 15 2 9 2 5" xfId="13891"/>
    <cellStyle name="Separador de milhares 3 15 2 9 3" xfId="9178"/>
    <cellStyle name="Separador de milhares 3 15 2 9 3 2" xfId="27392"/>
    <cellStyle name="Separador de milhares 3 15 2 9 3 3" xfId="21478"/>
    <cellStyle name="Separador de milhares 3 15 2 9 3 4" xfId="15564"/>
    <cellStyle name="Separador de milhares 3 15 2 9 4" xfId="5803"/>
    <cellStyle name="Separador de milhares 3 15 2 9 4 2" xfId="24435"/>
    <cellStyle name="Separador de milhares 3 15 2 9 5" xfId="18521"/>
    <cellStyle name="Separador de milhares 3 15 2 9 6" xfId="12190"/>
    <cellStyle name="Separador de milhares 3 15 3" xfId="297"/>
    <cellStyle name="Separador de milhares 3 15 3 10" xfId="6493"/>
    <cellStyle name="Separador de milhares 3 15 3 10 2" xfId="9644"/>
    <cellStyle name="Separador de milhares 3 15 3 10 2 2" xfId="27858"/>
    <cellStyle name="Separador de milhares 3 15 3 10 2 3" xfId="21944"/>
    <cellStyle name="Separador de milhares 3 15 3 10 2 4" xfId="16030"/>
    <cellStyle name="Separador de milhares 3 15 3 10 3" xfId="24901"/>
    <cellStyle name="Separador de milhares 3 15 3 10 4" xfId="18987"/>
    <cellStyle name="Separador de milhares 3 15 3 10 5" xfId="12882"/>
    <cellStyle name="Separador de milhares 3 15 3 11" xfId="8173"/>
    <cellStyle name="Separador de milhares 3 15 3 11 2" xfId="26387"/>
    <cellStyle name="Separador de milhares 3 15 3 11 3" xfId="20473"/>
    <cellStyle name="Separador de milhares 3 15 3 11 4" xfId="14562"/>
    <cellStyle name="Separador de milhares 3 15 3 12" xfId="4792"/>
    <cellStyle name="Separador de milhares 3 15 3 12 2" xfId="23430"/>
    <cellStyle name="Separador de milhares 3 15 3 13" xfId="17516"/>
    <cellStyle name="Separador de milhares 3 15 3 14" xfId="11181"/>
    <cellStyle name="Separador de milhares 3 15 3 2" xfId="560"/>
    <cellStyle name="Separador de milhares 3 15 3 2 2" xfId="6564"/>
    <cellStyle name="Separador de milhares 3 15 3 2 2 2" xfId="9711"/>
    <cellStyle name="Separador de milhares 3 15 3 2 2 2 2" xfId="27925"/>
    <cellStyle name="Separador de milhares 3 15 3 2 2 2 3" xfId="22011"/>
    <cellStyle name="Separador de milhares 3 15 3 2 2 2 4" xfId="16097"/>
    <cellStyle name="Separador de milhares 3 15 3 2 2 3" xfId="24968"/>
    <cellStyle name="Separador de milhares 3 15 3 2 2 4" xfId="19054"/>
    <cellStyle name="Separador de milhares 3 15 3 2 2 5" xfId="12953"/>
    <cellStyle name="Separador de milhares 3 15 3 2 3" xfId="8240"/>
    <cellStyle name="Separador de milhares 3 15 3 2 3 2" xfId="26454"/>
    <cellStyle name="Separador de milhares 3 15 3 2 3 3" xfId="20540"/>
    <cellStyle name="Separador de milhares 3 15 3 2 3 4" xfId="14629"/>
    <cellStyle name="Separador de milhares 3 15 3 2 4" xfId="4863"/>
    <cellStyle name="Separador de milhares 3 15 3 2 4 2" xfId="23497"/>
    <cellStyle name="Separador de milhares 3 15 3 2 5" xfId="17583"/>
    <cellStyle name="Separador de milhares 3 15 3 2 6" xfId="11252"/>
    <cellStyle name="Separador de milhares 3 15 3 3" xfId="857"/>
    <cellStyle name="Separador de milhares 3 15 3 3 2" xfId="6666"/>
    <cellStyle name="Separador de milhares 3 15 3 3 2 2" xfId="9813"/>
    <cellStyle name="Separador de milhares 3 15 3 3 2 2 2" xfId="28027"/>
    <cellStyle name="Separador de milhares 3 15 3 3 2 2 3" xfId="22113"/>
    <cellStyle name="Separador de milhares 3 15 3 3 2 2 4" xfId="16199"/>
    <cellStyle name="Separador de milhares 3 15 3 3 2 3" xfId="25070"/>
    <cellStyle name="Separador de milhares 3 15 3 3 2 4" xfId="19156"/>
    <cellStyle name="Separador de milhares 3 15 3 3 2 5" xfId="13055"/>
    <cellStyle name="Separador de milhares 3 15 3 3 3" xfId="8345"/>
    <cellStyle name="Separador de milhares 3 15 3 3 3 2" xfId="26559"/>
    <cellStyle name="Separador de milhares 3 15 3 3 3 3" xfId="20645"/>
    <cellStyle name="Separador de milhares 3 15 3 3 3 4" xfId="14731"/>
    <cellStyle name="Separador de milhares 3 15 3 3 4" xfId="4967"/>
    <cellStyle name="Separador de milhares 3 15 3 3 4 2" xfId="23602"/>
    <cellStyle name="Separador de milhares 3 15 3 3 5" xfId="17688"/>
    <cellStyle name="Separador de milhares 3 15 3 3 6" xfId="11354"/>
    <cellStyle name="Separador de milhares 3 15 3 4" xfId="1208"/>
    <cellStyle name="Separador de milhares 3 15 3 4 2" xfId="6764"/>
    <cellStyle name="Separador de milhares 3 15 3 4 2 2" xfId="9911"/>
    <cellStyle name="Separador de milhares 3 15 3 4 2 2 2" xfId="28125"/>
    <cellStyle name="Separador de milhares 3 15 3 4 2 2 3" xfId="22211"/>
    <cellStyle name="Separador de milhares 3 15 3 4 2 2 4" xfId="16297"/>
    <cellStyle name="Separador de milhares 3 15 3 4 2 3" xfId="25168"/>
    <cellStyle name="Separador de milhares 3 15 3 4 2 4" xfId="19254"/>
    <cellStyle name="Separador de milhares 3 15 3 4 2 5" xfId="13153"/>
    <cellStyle name="Separador de milhares 3 15 3 4 3" xfId="8443"/>
    <cellStyle name="Separador de milhares 3 15 3 4 3 2" xfId="26657"/>
    <cellStyle name="Separador de milhares 3 15 3 4 3 3" xfId="20743"/>
    <cellStyle name="Separador de milhares 3 15 3 4 3 4" xfId="14829"/>
    <cellStyle name="Separador de milhares 3 15 3 4 4" xfId="5065"/>
    <cellStyle name="Separador de milhares 3 15 3 4 4 2" xfId="23700"/>
    <cellStyle name="Separador de milhares 3 15 3 4 5" xfId="17786"/>
    <cellStyle name="Separador de milhares 3 15 3 4 6" xfId="11452"/>
    <cellStyle name="Separador de milhares 3 15 3 5" xfId="1643"/>
    <cellStyle name="Separador de milhares 3 15 3 5 2" xfId="6883"/>
    <cellStyle name="Separador de milhares 3 15 3 5 2 2" xfId="10030"/>
    <cellStyle name="Separador de milhares 3 15 3 5 2 2 2" xfId="28244"/>
    <cellStyle name="Separador de milhares 3 15 3 5 2 2 3" xfId="22330"/>
    <cellStyle name="Separador de milhares 3 15 3 5 2 2 4" xfId="16416"/>
    <cellStyle name="Separador de milhares 3 15 3 5 2 3" xfId="25287"/>
    <cellStyle name="Separador de milhares 3 15 3 5 2 4" xfId="19373"/>
    <cellStyle name="Separador de milhares 3 15 3 5 2 5" xfId="13272"/>
    <cellStyle name="Separador de milhares 3 15 3 5 3" xfId="8562"/>
    <cellStyle name="Separador de milhares 3 15 3 5 3 2" xfId="26776"/>
    <cellStyle name="Separador de milhares 3 15 3 5 3 3" xfId="20862"/>
    <cellStyle name="Separador de milhares 3 15 3 5 3 4" xfId="14948"/>
    <cellStyle name="Separador de milhares 3 15 3 5 4" xfId="5184"/>
    <cellStyle name="Separador de milhares 3 15 3 5 4 2" xfId="23819"/>
    <cellStyle name="Separador de milhares 3 15 3 5 5" xfId="17905"/>
    <cellStyle name="Separador de milhares 3 15 3 5 6" xfId="11571"/>
    <cellStyle name="Separador de milhares 3 15 3 6" xfId="2173"/>
    <cellStyle name="Separador de milhares 3 15 3 6 2" xfId="7033"/>
    <cellStyle name="Separador de milhares 3 15 3 6 2 2" xfId="10177"/>
    <cellStyle name="Separador de milhares 3 15 3 6 2 2 2" xfId="28391"/>
    <cellStyle name="Separador de milhares 3 15 3 6 2 2 3" xfId="22477"/>
    <cellStyle name="Separador de milhares 3 15 3 6 2 2 4" xfId="16563"/>
    <cellStyle name="Separador de milhares 3 15 3 6 2 3" xfId="25434"/>
    <cellStyle name="Separador de milhares 3 15 3 6 2 4" xfId="19520"/>
    <cellStyle name="Separador de milhares 3 15 3 6 2 5" xfId="13422"/>
    <cellStyle name="Separador de milhares 3 15 3 6 3" xfId="8709"/>
    <cellStyle name="Separador de milhares 3 15 3 6 3 2" xfId="26923"/>
    <cellStyle name="Separador de milhares 3 15 3 6 3 3" xfId="21009"/>
    <cellStyle name="Separador de milhares 3 15 3 6 3 4" xfId="15095"/>
    <cellStyle name="Separador de milhares 3 15 3 6 4" xfId="5334"/>
    <cellStyle name="Separador de milhares 3 15 3 6 4 2" xfId="23966"/>
    <cellStyle name="Separador de milhares 3 15 3 6 5" xfId="18052"/>
    <cellStyle name="Separador de milhares 3 15 3 6 6" xfId="11721"/>
    <cellStyle name="Separador de milhares 3 15 3 7" xfId="2700"/>
    <cellStyle name="Separador de milhares 3 15 3 7 2" xfId="7180"/>
    <cellStyle name="Separador de milhares 3 15 3 7 2 2" xfId="10324"/>
    <cellStyle name="Separador de milhares 3 15 3 7 2 2 2" xfId="28538"/>
    <cellStyle name="Separador de milhares 3 15 3 7 2 2 3" xfId="22624"/>
    <cellStyle name="Separador de milhares 3 15 3 7 2 2 4" xfId="16710"/>
    <cellStyle name="Separador de milhares 3 15 3 7 2 3" xfId="25581"/>
    <cellStyle name="Separador de milhares 3 15 3 7 2 4" xfId="19667"/>
    <cellStyle name="Separador de milhares 3 15 3 7 2 5" xfId="13569"/>
    <cellStyle name="Separador de milhares 3 15 3 7 3" xfId="8856"/>
    <cellStyle name="Separador de milhares 3 15 3 7 3 2" xfId="27070"/>
    <cellStyle name="Separador de milhares 3 15 3 7 3 3" xfId="21156"/>
    <cellStyle name="Separador de milhares 3 15 3 7 3 4" xfId="15242"/>
    <cellStyle name="Separador de milhares 3 15 3 7 4" xfId="5481"/>
    <cellStyle name="Separador de milhares 3 15 3 7 4 2" xfId="24113"/>
    <cellStyle name="Separador de milhares 3 15 3 7 5" xfId="18199"/>
    <cellStyle name="Separador de milhares 3 15 3 7 6" xfId="11868"/>
    <cellStyle name="Separador de milhares 3 15 3 8" xfId="3227"/>
    <cellStyle name="Separador de milhares 3 15 3 8 2" xfId="7327"/>
    <cellStyle name="Separador de milhares 3 15 3 8 2 2" xfId="10471"/>
    <cellStyle name="Separador de milhares 3 15 3 8 2 2 2" xfId="28685"/>
    <cellStyle name="Separador de milhares 3 15 3 8 2 2 3" xfId="22771"/>
    <cellStyle name="Separador de milhares 3 15 3 8 2 2 4" xfId="16857"/>
    <cellStyle name="Separador de milhares 3 15 3 8 2 3" xfId="25728"/>
    <cellStyle name="Separador de milhares 3 15 3 8 2 4" xfId="19814"/>
    <cellStyle name="Separador de milhares 3 15 3 8 2 5" xfId="13716"/>
    <cellStyle name="Separador de milhares 3 15 3 8 3" xfId="9003"/>
    <cellStyle name="Separador de milhares 3 15 3 8 3 2" xfId="27217"/>
    <cellStyle name="Separador de milhares 3 15 3 8 3 3" xfId="21303"/>
    <cellStyle name="Separador de milhares 3 15 3 8 3 4" xfId="15389"/>
    <cellStyle name="Separador de milhares 3 15 3 8 4" xfId="5628"/>
    <cellStyle name="Separador de milhares 3 15 3 8 4 2" xfId="24260"/>
    <cellStyle name="Separador de milhares 3 15 3 8 5" xfId="18346"/>
    <cellStyle name="Separador de milhares 3 15 3 8 6" xfId="12015"/>
    <cellStyle name="Separador de milhares 3 15 3 9" xfId="3754"/>
    <cellStyle name="Separador de milhares 3 15 3 9 2" xfId="7474"/>
    <cellStyle name="Separador de milhares 3 15 3 9 2 2" xfId="10618"/>
    <cellStyle name="Separador de milhares 3 15 3 9 2 2 2" xfId="28832"/>
    <cellStyle name="Separador de milhares 3 15 3 9 2 2 3" xfId="22918"/>
    <cellStyle name="Separador de milhares 3 15 3 9 2 2 4" xfId="17004"/>
    <cellStyle name="Separador de milhares 3 15 3 9 2 3" xfId="25875"/>
    <cellStyle name="Separador de milhares 3 15 3 9 2 4" xfId="19961"/>
    <cellStyle name="Separador de milhares 3 15 3 9 2 5" xfId="13863"/>
    <cellStyle name="Separador de milhares 3 15 3 9 3" xfId="9150"/>
    <cellStyle name="Separador de milhares 3 15 3 9 3 2" xfId="27364"/>
    <cellStyle name="Separador de milhares 3 15 3 9 3 3" xfId="21450"/>
    <cellStyle name="Separador de milhares 3 15 3 9 3 4" xfId="15536"/>
    <cellStyle name="Separador de milhares 3 15 3 9 4" xfId="5775"/>
    <cellStyle name="Separador de milhares 3 15 3 9 4 2" xfId="24407"/>
    <cellStyle name="Separador de milhares 3 15 3 9 5" xfId="18493"/>
    <cellStyle name="Separador de milhares 3 15 3 9 6" xfId="12162"/>
    <cellStyle name="Separador de milhares 3 15 4" xfId="390"/>
    <cellStyle name="Separador de milhares 3 15 4 10" xfId="6521"/>
    <cellStyle name="Separador de milhares 3 15 4 10 2" xfId="9669"/>
    <cellStyle name="Separador de milhares 3 15 4 10 2 2" xfId="27883"/>
    <cellStyle name="Separador de milhares 3 15 4 10 2 3" xfId="21969"/>
    <cellStyle name="Separador de milhares 3 15 4 10 2 4" xfId="16055"/>
    <cellStyle name="Separador de milhares 3 15 4 10 3" xfId="24926"/>
    <cellStyle name="Separador de milhares 3 15 4 10 4" xfId="19012"/>
    <cellStyle name="Separador de milhares 3 15 4 10 5" xfId="12910"/>
    <cellStyle name="Separador de milhares 3 15 4 11" xfId="8198"/>
    <cellStyle name="Separador de milhares 3 15 4 11 2" xfId="26412"/>
    <cellStyle name="Separador de milhares 3 15 4 11 3" xfId="20498"/>
    <cellStyle name="Separador de milhares 3 15 4 11 4" xfId="14587"/>
    <cellStyle name="Separador de milhares 3 15 4 12" xfId="4820"/>
    <cellStyle name="Separador de milhares 3 15 4 12 2" xfId="23455"/>
    <cellStyle name="Separador de milhares 3 15 4 13" xfId="17541"/>
    <cellStyle name="Separador de milhares 3 15 4 14" xfId="11209"/>
    <cellStyle name="Separador de milhares 3 15 4 2" xfId="1035"/>
    <cellStyle name="Separador de milhares 3 15 4 2 2" xfId="6718"/>
    <cellStyle name="Separador de milhares 3 15 4 2 2 2" xfId="9865"/>
    <cellStyle name="Separador de milhares 3 15 4 2 2 2 2" xfId="28079"/>
    <cellStyle name="Separador de milhares 3 15 4 2 2 2 3" xfId="22165"/>
    <cellStyle name="Separador de milhares 3 15 4 2 2 2 4" xfId="16251"/>
    <cellStyle name="Separador de milhares 3 15 4 2 2 3" xfId="25122"/>
    <cellStyle name="Separador de milhares 3 15 4 2 2 4" xfId="19208"/>
    <cellStyle name="Separador de milhares 3 15 4 2 2 5" xfId="13107"/>
    <cellStyle name="Separador de milhares 3 15 4 2 3" xfId="8397"/>
    <cellStyle name="Separador de milhares 3 15 4 2 3 2" xfId="26611"/>
    <cellStyle name="Separador de milhares 3 15 4 2 3 3" xfId="20697"/>
    <cellStyle name="Separador de milhares 3 15 4 2 3 4" xfId="14783"/>
    <cellStyle name="Separador de milhares 3 15 4 2 4" xfId="5019"/>
    <cellStyle name="Separador de milhares 3 15 4 2 4 2" xfId="23654"/>
    <cellStyle name="Separador de milhares 3 15 4 2 5" xfId="17740"/>
    <cellStyle name="Separador de milhares 3 15 4 2 6" xfId="11406"/>
    <cellStyle name="Separador de milhares 3 15 4 3" xfId="1386"/>
    <cellStyle name="Separador de milhares 3 15 4 3 2" xfId="6816"/>
    <cellStyle name="Separador de milhares 3 15 4 3 2 2" xfId="9963"/>
    <cellStyle name="Separador de milhares 3 15 4 3 2 2 2" xfId="28177"/>
    <cellStyle name="Separador de milhares 3 15 4 3 2 2 3" xfId="22263"/>
    <cellStyle name="Separador de milhares 3 15 4 3 2 2 4" xfId="16349"/>
    <cellStyle name="Separador de milhares 3 15 4 3 2 3" xfId="25220"/>
    <cellStyle name="Separador de milhares 3 15 4 3 2 4" xfId="19306"/>
    <cellStyle name="Separador de milhares 3 15 4 3 2 5" xfId="13205"/>
    <cellStyle name="Separador de milhares 3 15 4 3 3" xfId="8495"/>
    <cellStyle name="Separador de milhares 3 15 4 3 3 2" xfId="26709"/>
    <cellStyle name="Separador de milhares 3 15 4 3 3 3" xfId="20795"/>
    <cellStyle name="Separador de milhares 3 15 4 3 3 4" xfId="14881"/>
    <cellStyle name="Separador de milhares 3 15 4 3 4" xfId="5117"/>
    <cellStyle name="Separador de milhares 3 15 4 3 4 2" xfId="23752"/>
    <cellStyle name="Separador de milhares 3 15 4 3 5" xfId="17838"/>
    <cellStyle name="Separador de milhares 3 15 4 3 6" xfId="11504"/>
    <cellStyle name="Separador de milhares 3 15 4 4" xfId="1821"/>
    <cellStyle name="Separador de milhares 3 15 4 4 2" xfId="6935"/>
    <cellStyle name="Separador de milhares 3 15 4 4 2 2" xfId="10082"/>
    <cellStyle name="Separador de milhares 3 15 4 4 2 2 2" xfId="28296"/>
    <cellStyle name="Separador de milhares 3 15 4 4 2 2 3" xfId="22382"/>
    <cellStyle name="Separador de milhares 3 15 4 4 2 2 4" xfId="16468"/>
    <cellStyle name="Separador de milhares 3 15 4 4 2 3" xfId="25339"/>
    <cellStyle name="Separador de milhares 3 15 4 4 2 4" xfId="19425"/>
    <cellStyle name="Separador de milhares 3 15 4 4 2 5" xfId="13324"/>
    <cellStyle name="Separador de milhares 3 15 4 4 3" xfId="8614"/>
    <cellStyle name="Separador de milhares 3 15 4 4 3 2" xfId="26828"/>
    <cellStyle name="Separador de milhares 3 15 4 4 3 3" xfId="20914"/>
    <cellStyle name="Separador de milhares 3 15 4 4 3 4" xfId="15000"/>
    <cellStyle name="Separador de milhares 3 15 4 4 4" xfId="5236"/>
    <cellStyle name="Separador de milhares 3 15 4 4 4 2" xfId="23871"/>
    <cellStyle name="Separador de milhares 3 15 4 4 5" xfId="17957"/>
    <cellStyle name="Separador de milhares 3 15 4 4 6" xfId="11623"/>
    <cellStyle name="Separador de milhares 3 15 4 5" xfId="2351"/>
    <cellStyle name="Separador de milhares 3 15 4 5 2" xfId="7085"/>
    <cellStyle name="Separador de milhares 3 15 4 5 2 2" xfId="10229"/>
    <cellStyle name="Separador de milhares 3 15 4 5 2 2 2" xfId="28443"/>
    <cellStyle name="Separador de milhares 3 15 4 5 2 2 3" xfId="22529"/>
    <cellStyle name="Separador de milhares 3 15 4 5 2 2 4" xfId="16615"/>
    <cellStyle name="Separador de milhares 3 15 4 5 2 3" xfId="25486"/>
    <cellStyle name="Separador de milhares 3 15 4 5 2 4" xfId="19572"/>
    <cellStyle name="Separador de milhares 3 15 4 5 2 5" xfId="13474"/>
    <cellStyle name="Separador de milhares 3 15 4 5 3" xfId="8761"/>
    <cellStyle name="Separador de milhares 3 15 4 5 3 2" xfId="26975"/>
    <cellStyle name="Separador de milhares 3 15 4 5 3 3" xfId="21061"/>
    <cellStyle name="Separador de milhares 3 15 4 5 3 4" xfId="15147"/>
    <cellStyle name="Separador de milhares 3 15 4 5 4" xfId="5386"/>
    <cellStyle name="Separador de milhares 3 15 4 5 4 2" xfId="24018"/>
    <cellStyle name="Separador de milhares 3 15 4 5 5" xfId="18104"/>
    <cellStyle name="Separador de milhares 3 15 4 5 6" xfId="11773"/>
    <cellStyle name="Separador de milhares 3 15 4 6" xfId="2878"/>
    <cellStyle name="Separador de milhares 3 15 4 6 2" xfId="7232"/>
    <cellStyle name="Separador de milhares 3 15 4 6 2 2" xfId="10376"/>
    <cellStyle name="Separador de milhares 3 15 4 6 2 2 2" xfId="28590"/>
    <cellStyle name="Separador de milhares 3 15 4 6 2 2 3" xfId="22676"/>
    <cellStyle name="Separador de milhares 3 15 4 6 2 2 4" xfId="16762"/>
    <cellStyle name="Separador de milhares 3 15 4 6 2 3" xfId="25633"/>
    <cellStyle name="Separador de milhares 3 15 4 6 2 4" xfId="19719"/>
    <cellStyle name="Separador de milhares 3 15 4 6 2 5" xfId="13621"/>
    <cellStyle name="Separador de milhares 3 15 4 6 3" xfId="8908"/>
    <cellStyle name="Separador de milhares 3 15 4 6 3 2" xfId="27122"/>
    <cellStyle name="Separador de milhares 3 15 4 6 3 3" xfId="21208"/>
    <cellStyle name="Separador de milhares 3 15 4 6 3 4" xfId="15294"/>
    <cellStyle name="Separador de milhares 3 15 4 6 4" xfId="5533"/>
    <cellStyle name="Separador de milhares 3 15 4 6 4 2" xfId="24165"/>
    <cellStyle name="Separador de milhares 3 15 4 6 5" xfId="18251"/>
    <cellStyle name="Separador de milhares 3 15 4 6 6" xfId="11920"/>
    <cellStyle name="Separador de milhares 3 15 4 7" xfId="3405"/>
    <cellStyle name="Separador de milhares 3 15 4 7 2" xfId="7379"/>
    <cellStyle name="Separador de milhares 3 15 4 7 2 2" xfId="10523"/>
    <cellStyle name="Separador de milhares 3 15 4 7 2 2 2" xfId="28737"/>
    <cellStyle name="Separador de milhares 3 15 4 7 2 2 3" xfId="22823"/>
    <cellStyle name="Separador de milhares 3 15 4 7 2 2 4" xfId="16909"/>
    <cellStyle name="Separador de milhares 3 15 4 7 2 3" xfId="25780"/>
    <cellStyle name="Separador de milhares 3 15 4 7 2 4" xfId="19866"/>
    <cellStyle name="Separador de milhares 3 15 4 7 2 5" xfId="13768"/>
    <cellStyle name="Separador de milhares 3 15 4 7 3" xfId="9055"/>
    <cellStyle name="Separador de milhares 3 15 4 7 3 2" xfId="27269"/>
    <cellStyle name="Separador de milhares 3 15 4 7 3 3" xfId="21355"/>
    <cellStyle name="Separador de milhares 3 15 4 7 3 4" xfId="15441"/>
    <cellStyle name="Separador de milhares 3 15 4 7 4" xfId="5680"/>
    <cellStyle name="Separador de milhares 3 15 4 7 4 2" xfId="24312"/>
    <cellStyle name="Separador de milhares 3 15 4 7 5" xfId="18398"/>
    <cellStyle name="Separador de milhares 3 15 4 7 6" xfId="12067"/>
    <cellStyle name="Separador de milhares 3 15 4 8" xfId="3932"/>
    <cellStyle name="Separador de milhares 3 15 4 8 2" xfId="7526"/>
    <cellStyle name="Separador de milhares 3 15 4 8 2 2" xfId="10670"/>
    <cellStyle name="Separador de milhares 3 15 4 8 2 2 2" xfId="28884"/>
    <cellStyle name="Separador de milhares 3 15 4 8 2 2 3" xfId="22970"/>
    <cellStyle name="Separador de milhares 3 15 4 8 2 2 4" xfId="17056"/>
    <cellStyle name="Separador de milhares 3 15 4 8 2 3" xfId="25927"/>
    <cellStyle name="Separador de milhares 3 15 4 8 2 4" xfId="20013"/>
    <cellStyle name="Separador de milhares 3 15 4 8 2 5" xfId="13915"/>
    <cellStyle name="Separador de milhares 3 15 4 8 3" xfId="9202"/>
    <cellStyle name="Separador de milhares 3 15 4 8 3 2" xfId="27416"/>
    <cellStyle name="Separador de milhares 3 15 4 8 3 3" xfId="21502"/>
    <cellStyle name="Separador de milhares 3 15 4 8 3 4" xfId="15588"/>
    <cellStyle name="Separador de milhares 3 15 4 8 4" xfId="5827"/>
    <cellStyle name="Separador de milhares 3 15 4 8 4 2" xfId="24459"/>
    <cellStyle name="Separador de milhares 3 15 4 8 5" xfId="18545"/>
    <cellStyle name="Separador de milhares 3 15 4 8 6" xfId="12214"/>
    <cellStyle name="Separador de milhares 3 15 4 9" xfId="685"/>
    <cellStyle name="Separador de milhares 3 15 4 9 2" xfId="6620"/>
    <cellStyle name="Separador de milhares 3 15 4 9 2 2" xfId="9767"/>
    <cellStyle name="Separador de milhares 3 15 4 9 2 2 2" xfId="27981"/>
    <cellStyle name="Separador de milhares 3 15 4 9 2 2 3" xfId="22067"/>
    <cellStyle name="Separador de milhares 3 15 4 9 2 2 4" xfId="16153"/>
    <cellStyle name="Separador de milhares 3 15 4 9 2 3" xfId="25024"/>
    <cellStyle name="Separador de milhares 3 15 4 9 2 4" xfId="19110"/>
    <cellStyle name="Separador de milhares 3 15 4 9 2 5" xfId="13009"/>
    <cellStyle name="Separador de milhares 3 15 4 9 3" xfId="8299"/>
    <cellStyle name="Separador de milhares 3 15 4 9 3 2" xfId="26513"/>
    <cellStyle name="Separador de milhares 3 15 4 9 3 3" xfId="20599"/>
    <cellStyle name="Separador de milhares 3 15 4 9 3 4" xfId="14685"/>
    <cellStyle name="Separador de milhares 3 15 4 9 4" xfId="4921"/>
    <cellStyle name="Separador de milhares 3 15 4 9 4 2" xfId="23556"/>
    <cellStyle name="Separador de milhares 3 15 4 9 5" xfId="17642"/>
    <cellStyle name="Separador de milhares 3 15 4 9 6" xfId="11308"/>
    <cellStyle name="Separador de milhares 3 15 5" xfId="647"/>
    <cellStyle name="Separador de milhares 3 15 5 10" xfId="4885"/>
    <cellStyle name="Separador de milhares 3 15 5 10 2" xfId="23519"/>
    <cellStyle name="Separador de milhares 3 15 5 11" xfId="17605"/>
    <cellStyle name="Separador de milhares 3 15 5 12" xfId="11274"/>
    <cellStyle name="Separador de milhares 3 15 5 2" xfId="1470"/>
    <cellStyle name="Separador de milhares 3 15 5 2 2" xfId="6837"/>
    <cellStyle name="Separador de milhares 3 15 5 2 2 2" xfId="9984"/>
    <cellStyle name="Separador de milhares 3 15 5 2 2 2 2" xfId="28198"/>
    <cellStyle name="Separador de milhares 3 15 5 2 2 2 3" xfId="22284"/>
    <cellStyle name="Separador de milhares 3 15 5 2 2 2 4" xfId="16370"/>
    <cellStyle name="Separador de milhares 3 15 5 2 2 3" xfId="25241"/>
    <cellStyle name="Separador de milhares 3 15 5 2 2 4" xfId="19327"/>
    <cellStyle name="Separador de milhares 3 15 5 2 2 5" xfId="13226"/>
    <cellStyle name="Separador de milhares 3 15 5 2 3" xfId="8516"/>
    <cellStyle name="Separador de milhares 3 15 5 2 3 2" xfId="26730"/>
    <cellStyle name="Separador de milhares 3 15 5 2 3 3" xfId="20816"/>
    <cellStyle name="Separador de milhares 3 15 5 2 3 4" xfId="14902"/>
    <cellStyle name="Separador de milhares 3 15 5 2 4" xfId="5138"/>
    <cellStyle name="Separador de milhares 3 15 5 2 4 2" xfId="23773"/>
    <cellStyle name="Separador de milhares 3 15 5 2 5" xfId="17859"/>
    <cellStyle name="Separador de milhares 3 15 5 2 6" xfId="11525"/>
    <cellStyle name="Separador de milhares 3 15 5 3" xfId="1905"/>
    <cellStyle name="Separador de milhares 3 15 5 3 2" xfId="6956"/>
    <cellStyle name="Separador de milhares 3 15 5 3 2 2" xfId="10103"/>
    <cellStyle name="Separador de milhares 3 15 5 3 2 2 2" xfId="28317"/>
    <cellStyle name="Separador de milhares 3 15 5 3 2 2 3" xfId="22403"/>
    <cellStyle name="Separador de milhares 3 15 5 3 2 2 4" xfId="16489"/>
    <cellStyle name="Separador de milhares 3 15 5 3 2 3" xfId="25360"/>
    <cellStyle name="Separador de milhares 3 15 5 3 2 4" xfId="19446"/>
    <cellStyle name="Separador de milhares 3 15 5 3 2 5" xfId="13345"/>
    <cellStyle name="Separador de milhares 3 15 5 3 3" xfId="8635"/>
    <cellStyle name="Separador de milhares 3 15 5 3 3 2" xfId="26849"/>
    <cellStyle name="Separador de milhares 3 15 5 3 3 3" xfId="20935"/>
    <cellStyle name="Separador de milhares 3 15 5 3 3 4" xfId="15021"/>
    <cellStyle name="Separador de milhares 3 15 5 3 4" xfId="5257"/>
    <cellStyle name="Separador de milhares 3 15 5 3 4 2" xfId="23892"/>
    <cellStyle name="Separador de milhares 3 15 5 3 5" xfId="17978"/>
    <cellStyle name="Separador de milhares 3 15 5 3 6" xfId="11644"/>
    <cellStyle name="Separador de milhares 3 15 5 4" xfId="2435"/>
    <cellStyle name="Separador de milhares 3 15 5 4 2" xfId="7106"/>
    <cellStyle name="Separador de milhares 3 15 5 4 2 2" xfId="10250"/>
    <cellStyle name="Separador de milhares 3 15 5 4 2 2 2" xfId="28464"/>
    <cellStyle name="Separador de milhares 3 15 5 4 2 2 3" xfId="22550"/>
    <cellStyle name="Separador de milhares 3 15 5 4 2 2 4" xfId="16636"/>
    <cellStyle name="Separador de milhares 3 15 5 4 2 3" xfId="25507"/>
    <cellStyle name="Separador de milhares 3 15 5 4 2 4" xfId="19593"/>
    <cellStyle name="Separador de milhares 3 15 5 4 2 5" xfId="13495"/>
    <cellStyle name="Separador de milhares 3 15 5 4 3" xfId="8782"/>
    <cellStyle name="Separador de milhares 3 15 5 4 3 2" xfId="26996"/>
    <cellStyle name="Separador de milhares 3 15 5 4 3 3" xfId="21082"/>
    <cellStyle name="Separador de milhares 3 15 5 4 3 4" xfId="15168"/>
    <cellStyle name="Separador de milhares 3 15 5 4 4" xfId="5407"/>
    <cellStyle name="Separador de milhares 3 15 5 4 4 2" xfId="24039"/>
    <cellStyle name="Separador de milhares 3 15 5 4 5" xfId="18125"/>
    <cellStyle name="Separador de milhares 3 15 5 4 6" xfId="11794"/>
    <cellStyle name="Separador de milhares 3 15 5 5" xfId="2962"/>
    <cellStyle name="Separador de milhares 3 15 5 5 2" xfId="7253"/>
    <cellStyle name="Separador de milhares 3 15 5 5 2 2" xfId="10397"/>
    <cellStyle name="Separador de milhares 3 15 5 5 2 2 2" xfId="28611"/>
    <cellStyle name="Separador de milhares 3 15 5 5 2 2 3" xfId="22697"/>
    <cellStyle name="Separador de milhares 3 15 5 5 2 2 4" xfId="16783"/>
    <cellStyle name="Separador de milhares 3 15 5 5 2 3" xfId="25654"/>
    <cellStyle name="Separador de milhares 3 15 5 5 2 4" xfId="19740"/>
    <cellStyle name="Separador de milhares 3 15 5 5 2 5" xfId="13642"/>
    <cellStyle name="Separador de milhares 3 15 5 5 3" xfId="8929"/>
    <cellStyle name="Separador de milhares 3 15 5 5 3 2" xfId="27143"/>
    <cellStyle name="Separador de milhares 3 15 5 5 3 3" xfId="21229"/>
    <cellStyle name="Separador de milhares 3 15 5 5 3 4" xfId="15315"/>
    <cellStyle name="Separador de milhares 3 15 5 5 4" xfId="5554"/>
    <cellStyle name="Separador de milhares 3 15 5 5 4 2" xfId="24186"/>
    <cellStyle name="Separador de milhares 3 15 5 5 5" xfId="18272"/>
    <cellStyle name="Separador de milhares 3 15 5 5 6" xfId="11941"/>
    <cellStyle name="Separador de milhares 3 15 5 6" xfId="3489"/>
    <cellStyle name="Separador de milhares 3 15 5 6 2" xfId="7400"/>
    <cellStyle name="Separador de milhares 3 15 5 6 2 2" xfId="10544"/>
    <cellStyle name="Separador de milhares 3 15 5 6 2 2 2" xfId="28758"/>
    <cellStyle name="Separador de milhares 3 15 5 6 2 2 3" xfId="22844"/>
    <cellStyle name="Separador de milhares 3 15 5 6 2 2 4" xfId="16930"/>
    <cellStyle name="Separador de milhares 3 15 5 6 2 3" xfId="25801"/>
    <cellStyle name="Separador de milhares 3 15 5 6 2 4" xfId="19887"/>
    <cellStyle name="Separador de milhares 3 15 5 6 2 5" xfId="13789"/>
    <cellStyle name="Separador de milhares 3 15 5 6 3" xfId="9076"/>
    <cellStyle name="Separador de milhares 3 15 5 6 3 2" xfId="27290"/>
    <cellStyle name="Separador de milhares 3 15 5 6 3 3" xfId="21376"/>
    <cellStyle name="Separador de milhares 3 15 5 6 3 4" xfId="15462"/>
    <cellStyle name="Separador de milhares 3 15 5 6 4" xfId="5701"/>
    <cellStyle name="Separador de milhares 3 15 5 6 4 2" xfId="24333"/>
    <cellStyle name="Separador de milhares 3 15 5 6 5" xfId="18419"/>
    <cellStyle name="Separador de milhares 3 15 5 6 6" xfId="12088"/>
    <cellStyle name="Separador de milhares 3 15 5 7" xfId="4016"/>
    <cellStyle name="Separador de milhares 3 15 5 7 2" xfId="7547"/>
    <cellStyle name="Separador de milhares 3 15 5 7 2 2" xfId="10691"/>
    <cellStyle name="Separador de milhares 3 15 5 7 2 2 2" xfId="28905"/>
    <cellStyle name="Separador de milhares 3 15 5 7 2 2 3" xfId="22991"/>
    <cellStyle name="Separador de milhares 3 15 5 7 2 2 4" xfId="17077"/>
    <cellStyle name="Separador de milhares 3 15 5 7 2 3" xfId="25948"/>
    <cellStyle name="Separador de milhares 3 15 5 7 2 4" xfId="20034"/>
    <cellStyle name="Separador de milhares 3 15 5 7 2 5" xfId="13936"/>
    <cellStyle name="Separador de milhares 3 15 5 7 3" xfId="9223"/>
    <cellStyle name="Separador de milhares 3 15 5 7 3 2" xfId="27437"/>
    <cellStyle name="Separador de milhares 3 15 5 7 3 3" xfId="21523"/>
    <cellStyle name="Separador de milhares 3 15 5 7 3 4" xfId="15609"/>
    <cellStyle name="Separador de milhares 3 15 5 7 4" xfId="5848"/>
    <cellStyle name="Separador de milhares 3 15 5 7 4 2" xfId="24480"/>
    <cellStyle name="Separador de milhares 3 15 5 7 5" xfId="18566"/>
    <cellStyle name="Separador de milhares 3 15 5 7 6" xfId="12235"/>
    <cellStyle name="Separador de milhares 3 15 5 8" xfId="6586"/>
    <cellStyle name="Separador de milhares 3 15 5 8 2" xfId="9733"/>
    <cellStyle name="Separador de milhares 3 15 5 8 2 2" xfId="27947"/>
    <cellStyle name="Separador de milhares 3 15 5 8 2 3" xfId="22033"/>
    <cellStyle name="Separador de milhares 3 15 5 8 2 4" xfId="16119"/>
    <cellStyle name="Separador de milhares 3 15 5 8 3" xfId="24990"/>
    <cellStyle name="Separador de milhares 3 15 5 8 4" xfId="19076"/>
    <cellStyle name="Separador de milhares 3 15 5 8 5" xfId="12975"/>
    <cellStyle name="Separador de milhares 3 15 5 9" xfId="8262"/>
    <cellStyle name="Separador de milhares 3 15 5 9 2" xfId="26476"/>
    <cellStyle name="Separador de milhares 3 15 5 9 3" xfId="20562"/>
    <cellStyle name="Separador de milhares 3 15 5 9 4" xfId="14651"/>
    <cellStyle name="Separador de milhares 3 15 6" xfId="768"/>
    <cellStyle name="Separador de milhares 3 15 6 2" xfId="4192"/>
    <cellStyle name="Separador de milhares 3 15 6 2 2" xfId="7596"/>
    <cellStyle name="Separador de milhares 3 15 6 2 2 2" xfId="10740"/>
    <cellStyle name="Separador de milhares 3 15 6 2 2 2 2" xfId="28954"/>
    <cellStyle name="Separador de milhares 3 15 6 2 2 2 3" xfId="23040"/>
    <cellStyle name="Separador de milhares 3 15 6 2 2 2 4" xfId="17126"/>
    <cellStyle name="Separador de milhares 3 15 6 2 2 3" xfId="25997"/>
    <cellStyle name="Separador de milhares 3 15 6 2 2 4" xfId="20083"/>
    <cellStyle name="Separador de milhares 3 15 6 2 2 5" xfId="13985"/>
    <cellStyle name="Separador de milhares 3 15 6 2 3" xfId="9272"/>
    <cellStyle name="Separador de milhares 3 15 6 2 3 2" xfId="27486"/>
    <cellStyle name="Separador de milhares 3 15 6 2 3 3" xfId="21572"/>
    <cellStyle name="Separador de milhares 3 15 6 2 3 4" xfId="15658"/>
    <cellStyle name="Separador de milhares 3 15 6 2 4" xfId="5897"/>
    <cellStyle name="Separador de milhares 3 15 6 2 4 2" xfId="24529"/>
    <cellStyle name="Separador de milhares 3 15 6 2 5" xfId="18615"/>
    <cellStyle name="Separador de milhares 3 15 6 2 6" xfId="12284"/>
    <cellStyle name="Separador de milhares 3 15 6 3" xfId="6641"/>
    <cellStyle name="Separador de milhares 3 15 6 3 2" xfId="9788"/>
    <cellStyle name="Separador de milhares 3 15 6 3 2 2" xfId="28002"/>
    <cellStyle name="Separador de milhares 3 15 6 3 2 3" xfId="22088"/>
    <cellStyle name="Separador de milhares 3 15 6 3 2 4" xfId="16174"/>
    <cellStyle name="Separador de milhares 3 15 6 3 3" xfId="25045"/>
    <cellStyle name="Separador de milhares 3 15 6 3 4" xfId="19131"/>
    <cellStyle name="Separador de milhares 3 15 6 3 5" xfId="13030"/>
    <cellStyle name="Separador de milhares 3 15 6 4" xfId="8320"/>
    <cellStyle name="Separador de milhares 3 15 6 4 2" xfId="26534"/>
    <cellStyle name="Separador de milhares 3 15 6 4 3" xfId="20620"/>
    <cellStyle name="Separador de milhares 3 15 6 4 4" xfId="14706"/>
    <cellStyle name="Separador de milhares 3 15 6 5" xfId="4942"/>
    <cellStyle name="Separador de milhares 3 15 6 5 2" xfId="23577"/>
    <cellStyle name="Separador de milhares 3 15 6 6" xfId="17663"/>
    <cellStyle name="Separador de milhares 3 15 6 7" xfId="11329"/>
    <cellStyle name="Separador de milhares 3 15 7" xfId="1119"/>
    <cellStyle name="Separador de milhares 3 15 7 2" xfId="6739"/>
    <cellStyle name="Separador de milhares 3 15 7 2 2" xfId="9886"/>
    <cellStyle name="Separador de milhares 3 15 7 2 2 2" xfId="28100"/>
    <cellStyle name="Separador de milhares 3 15 7 2 2 3" xfId="22186"/>
    <cellStyle name="Separador de milhares 3 15 7 2 2 4" xfId="16272"/>
    <cellStyle name="Separador de milhares 3 15 7 2 3" xfId="25143"/>
    <cellStyle name="Separador de milhares 3 15 7 2 4" xfId="19229"/>
    <cellStyle name="Separador de milhares 3 15 7 2 5" xfId="13128"/>
    <cellStyle name="Separador de milhares 3 15 7 3" xfId="8418"/>
    <cellStyle name="Separador de milhares 3 15 7 3 2" xfId="26632"/>
    <cellStyle name="Separador de milhares 3 15 7 3 3" xfId="20718"/>
    <cellStyle name="Separador de milhares 3 15 7 3 4" xfId="14804"/>
    <cellStyle name="Separador de milhares 3 15 7 4" xfId="5040"/>
    <cellStyle name="Separador de milhares 3 15 7 4 2" xfId="23675"/>
    <cellStyle name="Separador de milhares 3 15 7 5" xfId="17761"/>
    <cellStyle name="Separador de milhares 3 15 7 6" xfId="11427"/>
    <cellStyle name="Separador de milhares 3 15 8" xfId="1554"/>
    <cellStyle name="Separador de milhares 3 15 8 2" xfId="6858"/>
    <cellStyle name="Separador de milhares 3 15 8 2 2" xfId="10005"/>
    <cellStyle name="Separador de milhares 3 15 8 2 2 2" xfId="28219"/>
    <cellStyle name="Separador de milhares 3 15 8 2 2 3" xfId="22305"/>
    <cellStyle name="Separador de milhares 3 15 8 2 2 4" xfId="16391"/>
    <cellStyle name="Separador de milhares 3 15 8 2 3" xfId="25262"/>
    <cellStyle name="Separador de milhares 3 15 8 2 4" xfId="19348"/>
    <cellStyle name="Separador de milhares 3 15 8 2 5" xfId="13247"/>
    <cellStyle name="Separador de milhares 3 15 8 3" xfId="8537"/>
    <cellStyle name="Separador de milhares 3 15 8 3 2" xfId="26751"/>
    <cellStyle name="Separador de milhares 3 15 8 3 3" xfId="20837"/>
    <cellStyle name="Separador de milhares 3 15 8 3 4" xfId="14923"/>
    <cellStyle name="Separador de milhares 3 15 8 4" xfId="5159"/>
    <cellStyle name="Separador de milhares 3 15 8 4 2" xfId="23794"/>
    <cellStyle name="Separador de milhares 3 15 8 5" xfId="17880"/>
    <cellStyle name="Separador de milhares 3 15 8 6" xfId="11546"/>
    <cellStyle name="Separador de milhares 3 15 9" xfId="2084"/>
    <cellStyle name="Separador de milhares 3 15 9 2" xfId="7008"/>
    <cellStyle name="Separador de milhares 3 15 9 2 2" xfId="10152"/>
    <cellStyle name="Separador de milhares 3 15 9 2 2 2" xfId="28366"/>
    <cellStyle name="Separador de milhares 3 15 9 2 2 3" xfId="22452"/>
    <cellStyle name="Separador de milhares 3 15 9 2 2 4" xfId="16538"/>
    <cellStyle name="Separador de milhares 3 15 9 2 3" xfId="25409"/>
    <cellStyle name="Separador de milhares 3 15 9 2 4" xfId="19495"/>
    <cellStyle name="Separador de milhares 3 15 9 2 5" xfId="13397"/>
    <cellStyle name="Separador de milhares 3 15 9 3" xfId="8684"/>
    <cellStyle name="Separador de milhares 3 15 9 3 2" xfId="26898"/>
    <cellStyle name="Separador de milhares 3 15 9 3 3" xfId="20984"/>
    <cellStyle name="Separador de milhares 3 15 9 3 4" xfId="15070"/>
    <cellStyle name="Separador de milhares 3 15 9 4" xfId="5309"/>
    <cellStyle name="Separador de milhares 3 15 9 4 2" xfId="23941"/>
    <cellStyle name="Separador de milhares 3 15 9 5" xfId="18027"/>
    <cellStyle name="Separador de milhares 3 15 9 6" xfId="11696"/>
    <cellStyle name="Separador de milhares 3 16" xfId="122"/>
    <cellStyle name="Separador de milhares 3 16 10" xfId="6442"/>
    <cellStyle name="Separador de milhares 3 16 10 2" xfId="9596"/>
    <cellStyle name="Separador de milhares 3 16 10 2 2" xfId="27810"/>
    <cellStyle name="Separador de milhares 3 16 10 2 3" xfId="21896"/>
    <cellStyle name="Separador de milhares 3 16 10 2 4" xfId="15982"/>
    <cellStyle name="Separador de milhares 3 16 10 3" xfId="24853"/>
    <cellStyle name="Separador de milhares 3 16 10 4" xfId="18939"/>
    <cellStyle name="Separador de milhares 3 16 10 5" xfId="12831"/>
    <cellStyle name="Separador de milhares 3 16 11" xfId="8125"/>
    <cellStyle name="Separador de milhares 3 16 11 2" xfId="26339"/>
    <cellStyle name="Separador de milhares 3 16 11 3" xfId="20425"/>
    <cellStyle name="Separador de milhares 3 16 11 4" xfId="14514"/>
    <cellStyle name="Separador de milhares 3 16 12" xfId="4741"/>
    <cellStyle name="Separador de milhares 3 16 12 2" xfId="23382"/>
    <cellStyle name="Separador de milhares 3 16 13" xfId="17468"/>
    <cellStyle name="Separador de milhares 3 16 14" xfId="11130"/>
    <cellStyle name="Separador de milhares 3 16 2" xfId="395"/>
    <cellStyle name="Separador de milhares 3 16 2 10" xfId="17542"/>
    <cellStyle name="Separador de milhares 3 16 2 11" xfId="11211"/>
    <cellStyle name="Separador de milhares 3 16 2 2" xfId="1914"/>
    <cellStyle name="Separador de milhares 3 16 2 2 2" xfId="6961"/>
    <cellStyle name="Separador de milhares 3 16 2 2 2 2" xfId="10108"/>
    <cellStyle name="Separador de milhares 3 16 2 2 2 2 2" xfId="28322"/>
    <cellStyle name="Separador de milhares 3 16 2 2 2 2 3" xfId="22408"/>
    <cellStyle name="Separador de milhares 3 16 2 2 2 2 4" xfId="16494"/>
    <cellStyle name="Separador de milhares 3 16 2 2 2 3" xfId="25365"/>
    <cellStyle name="Separador de milhares 3 16 2 2 2 4" xfId="19451"/>
    <cellStyle name="Separador de milhares 3 16 2 2 2 5" xfId="13350"/>
    <cellStyle name="Separador de milhares 3 16 2 2 3" xfId="8640"/>
    <cellStyle name="Separador de milhares 3 16 2 2 3 2" xfId="26854"/>
    <cellStyle name="Separador de milhares 3 16 2 2 3 3" xfId="20940"/>
    <cellStyle name="Separador de milhares 3 16 2 2 3 4" xfId="15026"/>
    <cellStyle name="Separador de milhares 3 16 2 2 4" xfId="5262"/>
    <cellStyle name="Separador de milhares 3 16 2 2 4 2" xfId="23897"/>
    <cellStyle name="Separador de milhares 3 16 2 2 5" xfId="17983"/>
    <cellStyle name="Separador de milhares 3 16 2 2 6" xfId="11649"/>
    <cellStyle name="Separador de milhares 3 16 2 3" xfId="2444"/>
    <cellStyle name="Separador de milhares 3 16 2 3 2" xfId="7111"/>
    <cellStyle name="Separador de milhares 3 16 2 3 2 2" xfId="10255"/>
    <cellStyle name="Separador de milhares 3 16 2 3 2 2 2" xfId="28469"/>
    <cellStyle name="Separador de milhares 3 16 2 3 2 2 3" xfId="22555"/>
    <cellStyle name="Separador de milhares 3 16 2 3 2 2 4" xfId="16641"/>
    <cellStyle name="Separador de milhares 3 16 2 3 2 3" xfId="25512"/>
    <cellStyle name="Separador de milhares 3 16 2 3 2 4" xfId="19598"/>
    <cellStyle name="Separador de milhares 3 16 2 3 2 5" xfId="13500"/>
    <cellStyle name="Separador de milhares 3 16 2 3 3" xfId="8787"/>
    <cellStyle name="Separador de milhares 3 16 2 3 3 2" xfId="27001"/>
    <cellStyle name="Separador de milhares 3 16 2 3 3 3" xfId="21087"/>
    <cellStyle name="Separador de milhares 3 16 2 3 3 4" xfId="15173"/>
    <cellStyle name="Separador de milhares 3 16 2 3 4" xfId="5412"/>
    <cellStyle name="Separador de milhares 3 16 2 3 4 2" xfId="24044"/>
    <cellStyle name="Separador de milhares 3 16 2 3 5" xfId="18130"/>
    <cellStyle name="Separador de milhares 3 16 2 3 6" xfId="11799"/>
    <cellStyle name="Separador de milhares 3 16 2 4" xfId="2971"/>
    <cellStyle name="Separador de milhares 3 16 2 4 2" xfId="7258"/>
    <cellStyle name="Separador de milhares 3 16 2 4 2 2" xfId="10402"/>
    <cellStyle name="Separador de milhares 3 16 2 4 2 2 2" xfId="28616"/>
    <cellStyle name="Separador de milhares 3 16 2 4 2 2 3" xfId="22702"/>
    <cellStyle name="Separador de milhares 3 16 2 4 2 2 4" xfId="16788"/>
    <cellStyle name="Separador de milhares 3 16 2 4 2 3" xfId="25659"/>
    <cellStyle name="Separador de milhares 3 16 2 4 2 4" xfId="19745"/>
    <cellStyle name="Separador de milhares 3 16 2 4 2 5" xfId="13647"/>
    <cellStyle name="Separador de milhares 3 16 2 4 3" xfId="8934"/>
    <cellStyle name="Separador de milhares 3 16 2 4 3 2" xfId="27148"/>
    <cellStyle name="Separador de milhares 3 16 2 4 3 3" xfId="21234"/>
    <cellStyle name="Separador de milhares 3 16 2 4 3 4" xfId="15320"/>
    <cellStyle name="Separador de milhares 3 16 2 4 4" xfId="5559"/>
    <cellStyle name="Separador de milhares 3 16 2 4 4 2" xfId="24191"/>
    <cellStyle name="Separador de milhares 3 16 2 4 5" xfId="18277"/>
    <cellStyle name="Separador de milhares 3 16 2 4 6" xfId="11946"/>
    <cellStyle name="Separador de milhares 3 16 2 5" xfId="3498"/>
    <cellStyle name="Separador de milhares 3 16 2 5 2" xfId="7405"/>
    <cellStyle name="Separador de milhares 3 16 2 5 2 2" xfId="10549"/>
    <cellStyle name="Separador de milhares 3 16 2 5 2 2 2" xfId="28763"/>
    <cellStyle name="Separador de milhares 3 16 2 5 2 2 3" xfId="22849"/>
    <cellStyle name="Separador de milhares 3 16 2 5 2 2 4" xfId="16935"/>
    <cellStyle name="Separador de milhares 3 16 2 5 2 3" xfId="25806"/>
    <cellStyle name="Separador de milhares 3 16 2 5 2 4" xfId="19892"/>
    <cellStyle name="Separador de milhares 3 16 2 5 2 5" xfId="13794"/>
    <cellStyle name="Separador de milhares 3 16 2 5 3" xfId="9081"/>
    <cellStyle name="Separador de milhares 3 16 2 5 3 2" xfId="27295"/>
    <cellStyle name="Separador de milhares 3 16 2 5 3 3" xfId="21381"/>
    <cellStyle name="Separador de milhares 3 16 2 5 3 4" xfId="15467"/>
    <cellStyle name="Separador de milhares 3 16 2 5 4" xfId="5706"/>
    <cellStyle name="Separador de milhares 3 16 2 5 4 2" xfId="24338"/>
    <cellStyle name="Separador de milhares 3 16 2 5 5" xfId="18424"/>
    <cellStyle name="Separador de milhares 3 16 2 5 6" xfId="12093"/>
    <cellStyle name="Separador de milhares 3 16 2 6" xfId="4025"/>
    <cellStyle name="Separador de milhares 3 16 2 6 2" xfId="7552"/>
    <cellStyle name="Separador de milhares 3 16 2 6 2 2" xfId="10696"/>
    <cellStyle name="Separador de milhares 3 16 2 6 2 2 2" xfId="28910"/>
    <cellStyle name="Separador de milhares 3 16 2 6 2 2 3" xfId="22996"/>
    <cellStyle name="Separador de milhares 3 16 2 6 2 2 4" xfId="17082"/>
    <cellStyle name="Separador de milhares 3 16 2 6 2 3" xfId="25953"/>
    <cellStyle name="Separador de milhares 3 16 2 6 2 4" xfId="20039"/>
    <cellStyle name="Separador de milhares 3 16 2 6 2 5" xfId="13941"/>
    <cellStyle name="Separador de milhares 3 16 2 6 3" xfId="9228"/>
    <cellStyle name="Separador de milhares 3 16 2 6 3 2" xfId="27442"/>
    <cellStyle name="Separador de milhares 3 16 2 6 3 3" xfId="21528"/>
    <cellStyle name="Separador de milhares 3 16 2 6 3 4" xfId="15614"/>
    <cellStyle name="Separador de milhares 3 16 2 6 4" xfId="5853"/>
    <cellStyle name="Separador de milhares 3 16 2 6 4 2" xfId="24485"/>
    <cellStyle name="Separador de milhares 3 16 2 6 5" xfId="18571"/>
    <cellStyle name="Separador de milhares 3 16 2 6 6" xfId="12240"/>
    <cellStyle name="Separador de milhares 3 16 2 7" xfId="6523"/>
    <cellStyle name="Separador de milhares 3 16 2 7 2" xfId="9670"/>
    <cellStyle name="Separador de milhares 3 16 2 7 2 2" xfId="27884"/>
    <cellStyle name="Separador de milhares 3 16 2 7 2 3" xfId="21970"/>
    <cellStyle name="Separador de milhares 3 16 2 7 2 4" xfId="16056"/>
    <cellStyle name="Separador de milhares 3 16 2 7 3" xfId="24927"/>
    <cellStyle name="Separador de milhares 3 16 2 7 4" xfId="19013"/>
    <cellStyle name="Separador de milhares 3 16 2 7 5" xfId="12912"/>
    <cellStyle name="Separador de milhares 3 16 2 8" xfId="8199"/>
    <cellStyle name="Separador de milhares 3 16 2 8 2" xfId="26413"/>
    <cellStyle name="Separador de milhares 3 16 2 8 3" xfId="20499"/>
    <cellStyle name="Separador de milhares 3 16 2 8 4" xfId="14588"/>
    <cellStyle name="Separador de milhares 3 16 2 9" xfId="4822"/>
    <cellStyle name="Separador de milhares 3 16 2 9 2" xfId="23456"/>
    <cellStyle name="Separador de milhares 3 16 3" xfId="868"/>
    <cellStyle name="Separador de milhares 3 16 3 2" xfId="6674"/>
    <cellStyle name="Separador de milhares 3 16 3 2 2" xfId="9821"/>
    <cellStyle name="Separador de milhares 3 16 3 2 2 2" xfId="28035"/>
    <cellStyle name="Separador de milhares 3 16 3 2 2 3" xfId="22121"/>
    <cellStyle name="Separador de milhares 3 16 3 2 2 4" xfId="16207"/>
    <cellStyle name="Separador de milhares 3 16 3 2 3" xfId="25078"/>
    <cellStyle name="Separador de milhares 3 16 3 2 4" xfId="19164"/>
    <cellStyle name="Separador de milhares 3 16 3 2 5" xfId="13063"/>
    <cellStyle name="Separador de milhares 3 16 3 3" xfId="8353"/>
    <cellStyle name="Separador de milhares 3 16 3 3 2" xfId="26567"/>
    <cellStyle name="Separador de milhares 3 16 3 3 3" xfId="20653"/>
    <cellStyle name="Separador de milhares 3 16 3 3 4" xfId="14739"/>
    <cellStyle name="Separador de milhares 3 16 3 4" xfId="4975"/>
    <cellStyle name="Separador de milhares 3 16 3 4 2" xfId="23610"/>
    <cellStyle name="Separador de milhares 3 16 3 5" xfId="17696"/>
    <cellStyle name="Separador de milhares 3 16 3 6" xfId="11362"/>
    <cellStyle name="Separador de milhares 3 16 4" xfId="1219"/>
    <cellStyle name="Separador de milhares 3 16 4 2" xfId="6772"/>
    <cellStyle name="Separador de milhares 3 16 4 2 2" xfId="9919"/>
    <cellStyle name="Separador de milhares 3 16 4 2 2 2" xfId="28133"/>
    <cellStyle name="Separador de milhares 3 16 4 2 2 3" xfId="22219"/>
    <cellStyle name="Separador de milhares 3 16 4 2 2 4" xfId="16305"/>
    <cellStyle name="Separador de milhares 3 16 4 2 3" xfId="25176"/>
    <cellStyle name="Separador de milhares 3 16 4 2 4" xfId="19262"/>
    <cellStyle name="Separador de milhares 3 16 4 2 5" xfId="13161"/>
    <cellStyle name="Separador de milhares 3 16 4 3" xfId="8451"/>
    <cellStyle name="Separador de milhares 3 16 4 3 2" xfId="26665"/>
    <cellStyle name="Separador de milhares 3 16 4 3 3" xfId="20751"/>
    <cellStyle name="Separador de milhares 3 16 4 3 4" xfId="14837"/>
    <cellStyle name="Separador de milhares 3 16 4 4" xfId="5073"/>
    <cellStyle name="Separador de milhares 3 16 4 4 2" xfId="23708"/>
    <cellStyle name="Separador de milhares 3 16 4 5" xfId="17794"/>
    <cellStyle name="Separador de milhares 3 16 4 6" xfId="11460"/>
    <cellStyle name="Separador de milhares 3 16 5" xfId="1654"/>
    <cellStyle name="Separador de milhares 3 16 5 2" xfId="6891"/>
    <cellStyle name="Separador de milhares 3 16 5 2 2" xfId="10038"/>
    <cellStyle name="Separador de milhares 3 16 5 2 2 2" xfId="28252"/>
    <cellStyle name="Separador de milhares 3 16 5 2 2 3" xfId="22338"/>
    <cellStyle name="Separador de milhares 3 16 5 2 2 4" xfId="16424"/>
    <cellStyle name="Separador de milhares 3 16 5 2 3" xfId="25295"/>
    <cellStyle name="Separador de milhares 3 16 5 2 4" xfId="19381"/>
    <cellStyle name="Separador de milhares 3 16 5 2 5" xfId="13280"/>
    <cellStyle name="Separador de milhares 3 16 5 3" xfId="8570"/>
    <cellStyle name="Separador de milhares 3 16 5 3 2" xfId="26784"/>
    <cellStyle name="Separador de milhares 3 16 5 3 3" xfId="20870"/>
    <cellStyle name="Separador de milhares 3 16 5 3 4" xfId="14956"/>
    <cellStyle name="Separador de milhares 3 16 5 4" xfId="5192"/>
    <cellStyle name="Separador de milhares 3 16 5 4 2" xfId="23827"/>
    <cellStyle name="Separador de milhares 3 16 5 5" xfId="17913"/>
    <cellStyle name="Separador de milhares 3 16 5 6" xfId="11579"/>
    <cellStyle name="Separador de milhares 3 16 6" xfId="2184"/>
    <cellStyle name="Separador de milhares 3 16 6 2" xfId="7041"/>
    <cellStyle name="Separador de milhares 3 16 6 2 2" xfId="10185"/>
    <cellStyle name="Separador de milhares 3 16 6 2 2 2" xfId="28399"/>
    <cellStyle name="Separador de milhares 3 16 6 2 2 3" xfId="22485"/>
    <cellStyle name="Separador de milhares 3 16 6 2 2 4" xfId="16571"/>
    <cellStyle name="Separador de milhares 3 16 6 2 3" xfId="25442"/>
    <cellStyle name="Separador de milhares 3 16 6 2 4" xfId="19528"/>
    <cellStyle name="Separador de milhares 3 16 6 2 5" xfId="13430"/>
    <cellStyle name="Separador de milhares 3 16 6 3" xfId="8717"/>
    <cellStyle name="Separador de milhares 3 16 6 3 2" xfId="26931"/>
    <cellStyle name="Separador de milhares 3 16 6 3 3" xfId="21017"/>
    <cellStyle name="Separador de milhares 3 16 6 3 4" xfId="15103"/>
    <cellStyle name="Separador de milhares 3 16 6 4" xfId="5342"/>
    <cellStyle name="Separador de milhares 3 16 6 4 2" xfId="23974"/>
    <cellStyle name="Separador de milhares 3 16 6 5" xfId="18060"/>
    <cellStyle name="Separador de milhares 3 16 6 6" xfId="11729"/>
    <cellStyle name="Separador de milhares 3 16 7" xfId="2711"/>
    <cellStyle name="Separador de milhares 3 16 7 2" xfId="7188"/>
    <cellStyle name="Separador de milhares 3 16 7 2 2" xfId="10332"/>
    <cellStyle name="Separador de milhares 3 16 7 2 2 2" xfId="28546"/>
    <cellStyle name="Separador de milhares 3 16 7 2 2 3" xfId="22632"/>
    <cellStyle name="Separador de milhares 3 16 7 2 2 4" xfId="16718"/>
    <cellStyle name="Separador de milhares 3 16 7 2 3" xfId="25589"/>
    <cellStyle name="Separador de milhares 3 16 7 2 4" xfId="19675"/>
    <cellStyle name="Separador de milhares 3 16 7 2 5" xfId="13577"/>
    <cellStyle name="Separador de milhares 3 16 7 3" xfId="8864"/>
    <cellStyle name="Separador de milhares 3 16 7 3 2" xfId="27078"/>
    <cellStyle name="Separador de milhares 3 16 7 3 3" xfId="21164"/>
    <cellStyle name="Separador de milhares 3 16 7 3 4" xfId="15250"/>
    <cellStyle name="Separador de milhares 3 16 7 4" xfId="5489"/>
    <cellStyle name="Separador de milhares 3 16 7 4 2" xfId="24121"/>
    <cellStyle name="Separador de milhares 3 16 7 5" xfId="18207"/>
    <cellStyle name="Separador de milhares 3 16 7 6" xfId="11876"/>
    <cellStyle name="Separador de milhares 3 16 8" xfId="3238"/>
    <cellStyle name="Separador de milhares 3 16 8 2" xfId="7335"/>
    <cellStyle name="Separador de milhares 3 16 8 2 2" xfId="10479"/>
    <cellStyle name="Separador de milhares 3 16 8 2 2 2" xfId="28693"/>
    <cellStyle name="Separador de milhares 3 16 8 2 2 3" xfId="22779"/>
    <cellStyle name="Separador de milhares 3 16 8 2 2 4" xfId="16865"/>
    <cellStyle name="Separador de milhares 3 16 8 2 3" xfId="25736"/>
    <cellStyle name="Separador de milhares 3 16 8 2 4" xfId="19822"/>
    <cellStyle name="Separador de milhares 3 16 8 2 5" xfId="13724"/>
    <cellStyle name="Separador de milhares 3 16 8 3" xfId="9011"/>
    <cellStyle name="Separador de milhares 3 16 8 3 2" xfId="27225"/>
    <cellStyle name="Separador de milhares 3 16 8 3 3" xfId="21311"/>
    <cellStyle name="Separador de milhares 3 16 8 3 4" xfId="15397"/>
    <cellStyle name="Separador de milhares 3 16 8 4" xfId="5636"/>
    <cellStyle name="Separador de milhares 3 16 8 4 2" xfId="24268"/>
    <cellStyle name="Separador de milhares 3 16 8 5" xfId="18354"/>
    <cellStyle name="Separador de milhares 3 16 8 6" xfId="12023"/>
    <cellStyle name="Separador de milhares 3 16 9" xfId="3765"/>
    <cellStyle name="Separador de milhares 3 16 9 2" xfId="7482"/>
    <cellStyle name="Separador de milhares 3 16 9 2 2" xfId="10626"/>
    <cellStyle name="Separador de milhares 3 16 9 2 2 2" xfId="28840"/>
    <cellStyle name="Separador de milhares 3 16 9 2 2 3" xfId="22926"/>
    <cellStyle name="Separador de milhares 3 16 9 2 2 4" xfId="17012"/>
    <cellStyle name="Separador de milhares 3 16 9 2 3" xfId="25883"/>
    <cellStyle name="Separador de milhares 3 16 9 2 4" xfId="19969"/>
    <cellStyle name="Separador de milhares 3 16 9 2 5" xfId="13871"/>
    <cellStyle name="Separador de milhares 3 16 9 3" xfId="9158"/>
    <cellStyle name="Separador de milhares 3 16 9 3 2" xfId="27372"/>
    <cellStyle name="Separador de milhares 3 16 9 3 3" xfId="21458"/>
    <cellStyle name="Separador de milhares 3 16 9 3 4" xfId="15544"/>
    <cellStyle name="Separador de milhares 3 16 9 4" xfId="5783"/>
    <cellStyle name="Separador de milhares 3 16 9 4 2" xfId="24415"/>
    <cellStyle name="Separador de milhares 3 16 9 5" xfId="18501"/>
    <cellStyle name="Separador de milhares 3 16 9 6" xfId="12170"/>
    <cellStyle name="Separador de milhares 3 17" xfId="217"/>
    <cellStyle name="Separador de milhares 3 17 10" xfId="6473"/>
    <cellStyle name="Separador de milhares 3 17 10 2" xfId="9624"/>
    <cellStyle name="Separador de milhares 3 17 10 2 2" xfId="27838"/>
    <cellStyle name="Separador de milhares 3 17 10 2 3" xfId="21924"/>
    <cellStyle name="Separador de milhares 3 17 10 2 4" xfId="16010"/>
    <cellStyle name="Separador de milhares 3 17 10 3" xfId="24881"/>
    <cellStyle name="Separador de milhares 3 17 10 4" xfId="18967"/>
    <cellStyle name="Separador de milhares 3 17 10 5" xfId="12862"/>
    <cellStyle name="Separador de milhares 3 17 11" xfId="8153"/>
    <cellStyle name="Separador de milhares 3 17 11 2" xfId="26367"/>
    <cellStyle name="Separador de milhares 3 17 11 3" xfId="20453"/>
    <cellStyle name="Separador de milhares 3 17 11 4" xfId="14542"/>
    <cellStyle name="Separador de milhares 3 17 12" xfId="4772"/>
    <cellStyle name="Separador de milhares 3 17 12 2" xfId="23410"/>
    <cellStyle name="Separador de milhares 3 17 13" xfId="17496"/>
    <cellStyle name="Separador de milhares 3 17 14" xfId="11161"/>
    <cellStyle name="Separador de milhares 3 17 2" xfId="480"/>
    <cellStyle name="Separador de milhares 3 17 2 2" xfId="6544"/>
    <cellStyle name="Separador de milhares 3 17 2 2 2" xfId="9691"/>
    <cellStyle name="Separador de milhares 3 17 2 2 2 2" xfId="27905"/>
    <cellStyle name="Separador de milhares 3 17 2 2 2 3" xfId="21991"/>
    <cellStyle name="Separador de milhares 3 17 2 2 2 4" xfId="16077"/>
    <cellStyle name="Separador de milhares 3 17 2 2 3" xfId="24948"/>
    <cellStyle name="Separador de milhares 3 17 2 2 4" xfId="19034"/>
    <cellStyle name="Separador de milhares 3 17 2 2 5" xfId="12933"/>
    <cellStyle name="Separador de milhares 3 17 2 3" xfId="8220"/>
    <cellStyle name="Separador de milhares 3 17 2 3 2" xfId="26434"/>
    <cellStyle name="Separador de milhares 3 17 2 3 3" xfId="20520"/>
    <cellStyle name="Separador de milhares 3 17 2 3 4" xfId="14609"/>
    <cellStyle name="Separador de milhares 3 17 2 4" xfId="4843"/>
    <cellStyle name="Separador de milhares 3 17 2 4 2" xfId="23477"/>
    <cellStyle name="Separador de milhares 3 17 2 5" xfId="17563"/>
    <cellStyle name="Separador de milhares 3 17 2 6" xfId="11232"/>
    <cellStyle name="Separador de milhares 3 17 3" xfId="777"/>
    <cellStyle name="Separador de milhares 3 17 3 2" xfId="6646"/>
    <cellStyle name="Separador de milhares 3 17 3 2 2" xfId="9793"/>
    <cellStyle name="Separador de milhares 3 17 3 2 2 2" xfId="28007"/>
    <cellStyle name="Separador de milhares 3 17 3 2 2 3" xfId="22093"/>
    <cellStyle name="Separador de milhares 3 17 3 2 2 4" xfId="16179"/>
    <cellStyle name="Separador de milhares 3 17 3 2 3" xfId="25050"/>
    <cellStyle name="Separador de milhares 3 17 3 2 4" xfId="19136"/>
    <cellStyle name="Separador de milhares 3 17 3 2 5" xfId="13035"/>
    <cellStyle name="Separador de milhares 3 17 3 3" xfId="8325"/>
    <cellStyle name="Separador de milhares 3 17 3 3 2" xfId="26539"/>
    <cellStyle name="Separador de milhares 3 17 3 3 3" xfId="20625"/>
    <cellStyle name="Separador de milhares 3 17 3 3 4" xfId="14711"/>
    <cellStyle name="Separador de milhares 3 17 3 4" xfId="4947"/>
    <cellStyle name="Separador de milhares 3 17 3 4 2" xfId="23582"/>
    <cellStyle name="Separador de milhares 3 17 3 5" xfId="17668"/>
    <cellStyle name="Separador de milhares 3 17 3 6" xfId="11334"/>
    <cellStyle name="Separador de milhares 3 17 4" xfId="1128"/>
    <cellStyle name="Separador de milhares 3 17 4 2" xfId="6744"/>
    <cellStyle name="Separador de milhares 3 17 4 2 2" xfId="9891"/>
    <cellStyle name="Separador de milhares 3 17 4 2 2 2" xfId="28105"/>
    <cellStyle name="Separador de milhares 3 17 4 2 2 3" xfId="22191"/>
    <cellStyle name="Separador de milhares 3 17 4 2 2 4" xfId="16277"/>
    <cellStyle name="Separador de milhares 3 17 4 2 3" xfId="25148"/>
    <cellStyle name="Separador de milhares 3 17 4 2 4" xfId="19234"/>
    <cellStyle name="Separador de milhares 3 17 4 2 5" xfId="13133"/>
    <cellStyle name="Separador de milhares 3 17 4 3" xfId="8423"/>
    <cellStyle name="Separador de milhares 3 17 4 3 2" xfId="26637"/>
    <cellStyle name="Separador de milhares 3 17 4 3 3" xfId="20723"/>
    <cellStyle name="Separador de milhares 3 17 4 3 4" xfId="14809"/>
    <cellStyle name="Separador de milhares 3 17 4 4" xfId="5045"/>
    <cellStyle name="Separador de milhares 3 17 4 4 2" xfId="23680"/>
    <cellStyle name="Separador de milhares 3 17 4 5" xfId="17766"/>
    <cellStyle name="Separador de milhares 3 17 4 6" xfId="11432"/>
    <cellStyle name="Separador de milhares 3 17 5" xfId="1563"/>
    <cellStyle name="Separador de milhares 3 17 5 2" xfId="6863"/>
    <cellStyle name="Separador de milhares 3 17 5 2 2" xfId="10010"/>
    <cellStyle name="Separador de milhares 3 17 5 2 2 2" xfId="28224"/>
    <cellStyle name="Separador de milhares 3 17 5 2 2 3" xfId="22310"/>
    <cellStyle name="Separador de milhares 3 17 5 2 2 4" xfId="16396"/>
    <cellStyle name="Separador de milhares 3 17 5 2 3" xfId="25267"/>
    <cellStyle name="Separador de milhares 3 17 5 2 4" xfId="19353"/>
    <cellStyle name="Separador de milhares 3 17 5 2 5" xfId="13252"/>
    <cellStyle name="Separador de milhares 3 17 5 3" xfId="8542"/>
    <cellStyle name="Separador de milhares 3 17 5 3 2" xfId="26756"/>
    <cellStyle name="Separador de milhares 3 17 5 3 3" xfId="20842"/>
    <cellStyle name="Separador de milhares 3 17 5 3 4" xfId="14928"/>
    <cellStyle name="Separador de milhares 3 17 5 4" xfId="5164"/>
    <cellStyle name="Separador de milhares 3 17 5 4 2" xfId="23799"/>
    <cellStyle name="Separador de milhares 3 17 5 5" xfId="17885"/>
    <cellStyle name="Separador de milhares 3 17 5 6" xfId="11551"/>
    <cellStyle name="Separador de milhares 3 17 6" xfId="2093"/>
    <cellStyle name="Separador de milhares 3 17 6 2" xfId="7013"/>
    <cellStyle name="Separador de milhares 3 17 6 2 2" xfId="10157"/>
    <cellStyle name="Separador de milhares 3 17 6 2 2 2" xfId="28371"/>
    <cellStyle name="Separador de milhares 3 17 6 2 2 3" xfId="22457"/>
    <cellStyle name="Separador de milhares 3 17 6 2 2 4" xfId="16543"/>
    <cellStyle name="Separador de milhares 3 17 6 2 3" xfId="25414"/>
    <cellStyle name="Separador de milhares 3 17 6 2 4" xfId="19500"/>
    <cellStyle name="Separador de milhares 3 17 6 2 5" xfId="13402"/>
    <cellStyle name="Separador de milhares 3 17 6 3" xfId="8689"/>
    <cellStyle name="Separador de milhares 3 17 6 3 2" xfId="26903"/>
    <cellStyle name="Separador de milhares 3 17 6 3 3" xfId="20989"/>
    <cellStyle name="Separador de milhares 3 17 6 3 4" xfId="15075"/>
    <cellStyle name="Separador de milhares 3 17 6 4" xfId="5314"/>
    <cellStyle name="Separador de milhares 3 17 6 4 2" xfId="23946"/>
    <cellStyle name="Separador de milhares 3 17 6 5" xfId="18032"/>
    <cellStyle name="Separador de milhares 3 17 6 6" xfId="11701"/>
    <cellStyle name="Separador de milhares 3 17 7" xfId="2620"/>
    <cellStyle name="Separador de milhares 3 17 7 2" xfId="7160"/>
    <cellStyle name="Separador de milhares 3 17 7 2 2" xfId="10304"/>
    <cellStyle name="Separador de milhares 3 17 7 2 2 2" xfId="28518"/>
    <cellStyle name="Separador de milhares 3 17 7 2 2 3" xfId="22604"/>
    <cellStyle name="Separador de milhares 3 17 7 2 2 4" xfId="16690"/>
    <cellStyle name="Separador de milhares 3 17 7 2 3" xfId="25561"/>
    <cellStyle name="Separador de milhares 3 17 7 2 4" xfId="19647"/>
    <cellStyle name="Separador de milhares 3 17 7 2 5" xfId="13549"/>
    <cellStyle name="Separador de milhares 3 17 7 3" xfId="8836"/>
    <cellStyle name="Separador de milhares 3 17 7 3 2" xfId="27050"/>
    <cellStyle name="Separador de milhares 3 17 7 3 3" xfId="21136"/>
    <cellStyle name="Separador de milhares 3 17 7 3 4" xfId="15222"/>
    <cellStyle name="Separador de milhares 3 17 7 4" xfId="5461"/>
    <cellStyle name="Separador de milhares 3 17 7 4 2" xfId="24093"/>
    <cellStyle name="Separador de milhares 3 17 7 5" xfId="18179"/>
    <cellStyle name="Separador de milhares 3 17 7 6" xfId="11848"/>
    <cellStyle name="Separador de milhares 3 17 8" xfId="3147"/>
    <cellStyle name="Separador de milhares 3 17 8 2" xfId="7307"/>
    <cellStyle name="Separador de milhares 3 17 8 2 2" xfId="10451"/>
    <cellStyle name="Separador de milhares 3 17 8 2 2 2" xfId="28665"/>
    <cellStyle name="Separador de milhares 3 17 8 2 2 3" xfId="22751"/>
    <cellStyle name="Separador de milhares 3 17 8 2 2 4" xfId="16837"/>
    <cellStyle name="Separador de milhares 3 17 8 2 3" xfId="25708"/>
    <cellStyle name="Separador de milhares 3 17 8 2 4" xfId="19794"/>
    <cellStyle name="Separador de milhares 3 17 8 2 5" xfId="13696"/>
    <cellStyle name="Separador de milhares 3 17 8 3" xfId="8983"/>
    <cellStyle name="Separador de milhares 3 17 8 3 2" xfId="27197"/>
    <cellStyle name="Separador de milhares 3 17 8 3 3" xfId="21283"/>
    <cellStyle name="Separador de milhares 3 17 8 3 4" xfId="15369"/>
    <cellStyle name="Separador de milhares 3 17 8 4" xfId="5608"/>
    <cellStyle name="Separador de milhares 3 17 8 4 2" xfId="24240"/>
    <cellStyle name="Separador de milhares 3 17 8 5" xfId="18326"/>
    <cellStyle name="Separador de milhares 3 17 8 6" xfId="11995"/>
    <cellStyle name="Separador de milhares 3 17 9" xfId="3674"/>
    <cellStyle name="Separador de milhares 3 17 9 2" xfId="7454"/>
    <cellStyle name="Separador de milhares 3 17 9 2 2" xfId="10598"/>
    <cellStyle name="Separador de milhares 3 17 9 2 2 2" xfId="28812"/>
    <cellStyle name="Separador de milhares 3 17 9 2 2 3" xfId="22898"/>
    <cellStyle name="Separador de milhares 3 17 9 2 2 4" xfId="16984"/>
    <cellStyle name="Separador de milhares 3 17 9 2 3" xfId="25855"/>
    <cellStyle name="Separador de milhares 3 17 9 2 4" xfId="19941"/>
    <cellStyle name="Separador de milhares 3 17 9 2 5" xfId="13843"/>
    <cellStyle name="Separador de milhares 3 17 9 3" xfId="9130"/>
    <cellStyle name="Separador de milhares 3 17 9 3 2" xfId="27344"/>
    <cellStyle name="Separador de milhares 3 17 9 3 3" xfId="21430"/>
    <cellStyle name="Separador de milhares 3 17 9 3 4" xfId="15516"/>
    <cellStyle name="Separador de milhares 3 17 9 4" xfId="5755"/>
    <cellStyle name="Separador de milhares 3 17 9 4 2" xfId="24387"/>
    <cellStyle name="Separador de milhares 3 17 9 5" xfId="18473"/>
    <cellStyle name="Separador de milhares 3 17 9 6" xfId="12142"/>
    <cellStyle name="Separador de milhares 3 18" xfId="310"/>
    <cellStyle name="Separador de milhares 3 18 10" xfId="6501"/>
    <cellStyle name="Separador de milhares 3 18 10 2" xfId="9649"/>
    <cellStyle name="Separador de milhares 3 18 10 2 2" xfId="27863"/>
    <cellStyle name="Separador de milhares 3 18 10 2 3" xfId="21949"/>
    <cellStyle name="Separador de milhares 3 18 10 2 4" xfId="16035"/>
    <cellStyle name="Separador de milhares 3 18 10 3" xfId="24906"/>
    <cellStyle name="Separador de milhares 3 18 10 4" xfId="18992"/>
    <cellStyle name="Separador de milhares 3 18 10 5" xfId="12890"/>
    <cellStyle name="Separador de milhares 3 18 11" xfId="8178"/>
    <cellStyle name="Separador de milhares 3 18 11 2" xfId="26392"/>
    <cellStyle name="Separador de milhares 3 18 11 3" xfId="20478"/>
    <cellStyle name="Separador de milhares 3 18 11 4" xfId="14567"/>
    <cellStyle name="Separador de milhares 3 18 12" xfId="4800"/>
    <cellStyle name="Separador de milhares 3 18 12 2" xfId="23435"/>
    <cellStyle name="Separador de milhares 3 18 13" xfId="17521"/>
    <cellStyle name="Separador de milhares 3 18 14" xfId="11189"/>
    <cellStyle name="Separador de milhares 3 18 2" xfId="955"/>
    <cellStyle name="Separador de milhares 3 18 2 2" xfId="6698"/>
    <cellStyle name="Separador de milhares 3 18 2 2 2" xfId="9845"/>
    <cellStyle name="Separador de milhares 3 18 2 2 2 2" xfId="28059"/>
    <cellStyle name="Separador de milhares 3 18 2 2 2 3" xfId="22145"/>
    <cellStyle name="Separador de milhares 3 18 2 2 2 4" xfId="16231"/>
    <cellStyle name="Separador de milhares 3 18 2 2 3" xfId="25102"/>
    <cellStyle name="Separador de milhares 3 18 2 2 4" xfId="19188"/>
    <cellStyle name="Separador de milhares 3 18 2 2 5" xfId="13087"/>
    <cellStyle name="Separador de milhares 3 18 2 3" xfId="8377"/>
    <cellStyle name="Separador de milhares 3 18 2 3 2" xfId="26591"/>
    <cellStyle name="Separador de milhares 3 18 2 3 3" xfId="20677"/>
    <cellStyle name="Separador de milhares 3 18 2 3 4" xfId="14763"/>
    <cellStyle name="Separador de milhares 3 18 2 4" xfId="4999"/>
    <cellStyle name="Separador de milhares 3 18 2 4 2" xfId="23634"/>
    <cellStyle name="Separador de milhares 3 18 2 5" xfId="17720"/>
    <cellStyle name="Separador de milhares 3 18 2 6" xfId="11386"/>
    <cellStyle name="Separador de milhares 3 18 3" xfId="1306"/>
    <cellStyle name="Separador de milhares 3 18 3 2" xfId="6796"/>
    <cellStyle name="Separador de milhares 3 18 3 2 2" xfId="9943"/>
    <cellStyle name="Separador de milhares 3 18 3 2 2 2" xfId="28157"/>
    <cellStyle name="Separador de milhares 3 18 3 2 2 3" xfId="22243"/>
    <cellStyle name="Separador de milhares 3 18 3 2 2 4" xfId="16329"/>
    <cellStyle name="Separador de milhares 3 18 3 2 3" xfId="25200"/>
    <cellStyle name="Separador de milhares 3 18 3 2 4" xfId="19286"/>
    <cellStyle name="Separador de milhares 3 18 3 2 5" xfId="13185"/>
    <cellStyle name="Separador de milhares 3 18 3 3" xfId="8475"/>
    <cellStyle name="Separador de milhares 3 18 3 3 2" xfId="26689"/>
    <cellStyle name="Separador de milhares 3 18 3 3 3" xfId="20775"/>
    <cellStyle name="Separador de milhares 3 18 3 3 4" xfId="14861"/>
    <cellStyle name="Separador de milhares 3 18 3 4" xfId="5097"/>
    <cellStyle name="Separador de milhares 3 18 3 4 2" xfId="23732"/>
    <cellStyle name="Separador de milhares 3 18 3 5" xfId="17818"/>
    <cellStyle name="Separador de milhares 3 18 3 6" xfId="11484"/>
    <cellStyle name="Separador de milhares 3 18 4" xfId="1741"/>
    <cellStyle name="Separador de milhares 3 18 4 2" xfId="6915"/>
    <cellStyle name="Separador de milhares 3 18 4 2 2" xfId="10062"/>
    <cellStyle name="Separador de milhares 3 18 4 2 2 2" xfId="28276"/>
    <cellStyle name="Separador de milhares 3 18 4 2 2 3" xfId="22362"/>
    <cellStyle name="Separador de milhares 3 18 4 2 2 4" xfId="16448"/>
    <cellStyle name="Separador de milhares 3 18 4 2 3" xfId="25319"/>
    <cellStyle name="Separador de milhares 3 18 4 2 4" xfId="19405"/>
    <cellStyle name="Separador de milhares 3 18 4 2 5" xfId="13304"/>
    <cellStyle name="Separador de milhares 3 18 4 3" xfId="8594"/>
    <cellStyle name="Separador de milhares 3 18 4 3 2" xfId="26808"/>
    <cellStyle name="Separador de milhares 3 18 4 3 3" xfId="20894"/>
    <cellStyle name="Separador de milhares 3 18 4 3 4" xfId="14980"/>
    <cellStyle name="Separador de milhares 3 18 4 4" xfId="5216"/>
    <cellStyle name="Separador de milhares 3 18 4 4 2" xfId="23851"/>
    <cellStyle name="Separador de milhares 3 18 4 5" xfId="17937"/>
    <cellStyle name="Separador de milhares 3 18 4 6" xfId="11603"/>
    <cellStyle name="Separador de milhares 3 18 5" xfId="2271"/>
    <cellStyle name="Separador de milhares 3 18 5 2" xfId="7065"/>
    <cellStyle name="Separador de milhares 3 18 5 2 2" xfId="10209"/>
    <cellStyle name="Separador de milhares 3 18 5 2 2 2" xfId="28423"/>
    <cellStyle name="Separador de milhares 3 18 5 2 2 3" xfId="22509"/>
    <cellStyle name="Separador de milhares 3 18 5 2 2 4" xfId="16595"/>
    <cellStyle name="Separador de milhares 3 18 5 2 3" xfId="25466"/>
    <cellStyle name="Separador de milhares 3 18 5 2 4" xfId="19552"/>
    <cellStyle name="Separador de milhares 3 18 5 2 5" xfId="13454"/>
    <cellStyle name="Separador de milhares 3 18 5 3" xfId="8741"/>
    <cellStyle name="Separador de milhares 3 18 5 3 2" xfId="26955"/>
    <cellStyle name="Separador de milhares 3 18 5 3 3" xfId="21041"/>
    <cellStyle name="Separador de milhares 3 18 5 3 4" xfId="15127"/>
    <cellStyle name="Separador de milhares 3 18 5 4" xfId="5366"/>
    <cellStyle name="Separador de milhares 3 18 5 4 2" xfId="23998"/>
    <cellStyle name="Separador de milhares 3 18 5 5" xfId="18084"/>
    <cellStyle name="Separador de milhares 3 18 5 6" xfId="11753"/>
    <cellStyle name="Separador de milhares 3 18 6" xfId="2798"/>
    <cellStyle name="Separador de milhares 3 18 6 2" xfId="7212"/>
    <cellStyle name="Separador de milhares 3 18 6 2 2" xfId="10356"/>
    <cellStyle name="Separador de milhares 3 18 6 2 2 2" xfId="28570"/>
    <cellStyle name="Separador de milhares 3 18 6 2 2 3" xfId="22656"/>
    <cellStyle name="Separador de milhares 3 18 6 2 2 4" xfId="16742"/>
    <cellStyle name="Separador de milhares 3 18 6 2 3" xfId="25613"/>
    <cellStyle name="Separador de milhares 3 18 6 2 4" xfId="19699"/>
    <cellStyle name="Separador de milhares 3 18 6 2 5" xfId="13601"/>
    <cellStyle name="Separador de milhares 3 18 6 3" xfId="8888"/>
    <cellStyle name="Separador de milhares 3 18 6 3 2" xfId="27102"/>
    <cellStyle name="Separador de milhares 3 18 6 3 3" xfId="21188"/>
    <cellStyle name="Separador de milhares 3 18 6 3 4" xfId="15274"/>
    <cellStyle name="Separador de milhares 3 18 6 4" xfId="5513"/>
    <cellStyle name="Separador de milhares 3 18 6 4 2" xfId="24145"/>
    <cellStyle name="Separador de milhares 3 18 6 5" xfId="18231"/>
    <cellStyle name="Separador de milhares 3 18 6 6" xfId="11900"/>
    <cellStyle name="Separador de milhares 3 18 7" xfId="3325"/>
    <cellStyle name="Separador de milhares 3 18 7 2" xfId="7359"/>
    <cellStyle name="Separador de milhares 3 18 7 2 2" xfId="10503"/>
    <cellStyle name="Separador de milhares 3 18 7 2 2 2" xfId="28717"/>
    <cellStyle name="Separador de milhares 3 18 7 2 2 3" xfId="22803"/>
    <cellStyle name="Separador de milhares 3 18 7 2 2 4" xfId="16889"/>
    <cellStyle name="Separador de milhares 3 18 7 2 3" xfId="25760"/>
    <cellStyle name="Separador de milhares 3 18 7 2 4" xfId="19846"/>
    <cellStyle name="Separador de milhares 3 18 7 2 5" xfId="13748"/>
    <cellStyle name="Separador de milhares 3 18 7 3" xfId="9035"/>
    <cellStyle name="Separador de milhares 3 18 7 3 2" xfId="27249"/>
    <cellStyle name="Separador de milhares 3 18 7 3 3" xfId="21335"/>
    <cellStyle name="Separador de milhares 3 18 7 3 4" xfId="15421"/>
    <cellStyle name="Separador de milhares 3 18 7 4" xfId="5660"/>
    <cellStyle name="Separador de milhares 3 18 7 4 2" xfId="24292"/>
    <cellStyle name="Separador de milhares 3 18 7 5" xfId="18378"/>
    <cellStyle name="Separador de milhares 3 18 7 6" xfId="12047"/>
    <cellStyle name="Separador de milhares 3 18 8" xfId="3852"/>
    <cellStyle name="Separador de milhares 3 18 8 2" xfId="7506"/>
    <cellStyle name="Separador de milhares 3 18 8 2 2" xfId="10650"/>
    <cellStyle name="Separador de milhares 3 18 8 2 2 2" xfId="28864"/>
    <cellStyle name="Separador de milhares 3 18 8 2 2 3" xfId="22950"/>
    <cellStyle name="Separador de milhares 3 18 8 2 2 4" xfId="17036"/>
    <cellStyle name="Separador de milhares 3 18 8 2 3" xfId="25907"/>
    <cellStyle name="Separador de milhares 3 18 8 2 4" xfId="19993"/>
    <cellStyle name="Separador de milhares 3 18 8 2 5" xfId="13895"/>
    <cellStyle name="Separador de milhares 3 18 8 3" xfId="9182"/>
    <cellStyle name="Separador de milhares 3 18 8 3 2" xfId="27396"/>
    <cellStyle name="Separador de milhares 3 18 8 3 3" xfId="21482"/>
    <cellStyle name="Separador de milhares 3 18 8 3 4" xfId="15568"/>
    <cellStyle name="Separador de milhares 3 18 8 4" xfId="5807"/>
    <cellStyle name="Separador de milhares 3 18 8 4 2" xfId="24439"/>
    <cellStyle name="Separador de milhares 3 18 8 5" xfId="18525"/>
    <cellStyle name="Separador de milhares 3 18 8 6" xfId="12194"/>
    <cellStyle name="Separador de milhares 3 18 9" xfId="665"/>
    <cellStyle name="Separador de milhares 3 18 9 2" xfId="6600"/>
    <cellStyle name="Separador de milhares 3 18 9 2 2" xfId="9747"/>
    <cellStyle name="Separador de milhares 3 18 9 2 2 2" xfId="27961"/>
    <cellStyle name="Separador de milhares 3 18 9 2 2 3" xfId="22047"/>
    <cellStyle name="Separador de milhares 3 18 9 2 2 4" xfId="16133"/>
    <cellStyle name="Separador de milhares 3 18 9 2 3" xfId="25004"/>
    <cellStyle name="Separador de milhares 3 18 9 2 4" xfId="19090"/>
    <cellStyle name="Separador de milhares 3 18 9 2 5" xfId="12989"/>
    <cellStyle name="Separador de milhares 3 18 9 3" xfId="8279"/>
    <cellStyle name="Separador de milhares 3 18 9 3 2" xfId="26493"/>
    <cellStyle name="Separador de milhares 3 18 9 3 3" xfId="20579"/>
    <cellStyle name="Separador de milhares 3 18 9 3 4" xfId="14665"/>
    <cellStyle name="Separador de milhares 3 18 9 4" xfId="4901"/>
    <cellStyle name="Separador de milhares 3 18 9 4 2" xfId="23536"/>
    <cellStyle name="Separador de milhares 3 18 9 5" xfId="17622"/>
    <cellStyle name="Separador de milhares 3 18 9 6" xfId="11288"/>
    <cellStyle name="Separador de milhares 3 19" xfId="567"/>
    <cellStyle name="Separador de milhares 3 19 10" xfId="4865"/>
    <cellStyle name="Separador de milhares 3 19 10 2" xfId="23499"/>
    <cellStyle name="Separador de milhares 3 19 11" xfId="17585"/>
    <cellStyle name="Separador de milhares 3 19 12" xfId="11254"/>
    <cellStyle name="Separador de milhares 3 19 2" xfId="1390"/>
    <cellStyle name="Separador de milhares 3 19 2 2" xfId="6817"/>
    <cellStyle name="Separador de milhares 3 19 2 2 2" xfId="9964"/>
    <cellStyle name="Separador de milhares 3 19 2 2 2 2" xfId="28178"/>
    <cellStyle name="Separador de milhares 3 19 2 2 2 3" xfId="22264"/>
    <cellStyle name="Separador de milhares 3 19 2 2 2 4" xfId="16350"/>
    <cellStyle name="Separador de milhares 3 19 2 2 3" xfId="25221"/>
    <cellStyle name="Separador de milhares 3 19 2 2 4" xfId="19307"/>
    <cellStyle name="Separador de milhares 3 19 2 2 5" xfId="13206"/>
    <cellStyle name="Separador de milhares 3 19 2 3" xfId="8496"/>
    <cellStyle name="Separador de milhares 3 19 2 3 2" xfId="26710"/>
    <cellStyle name="Separador de milhares 3 19 2 3 3" xfId="20796"/>
    <cellStyle name="Separador de milhares 3 19 2 3 4" xfId="14882"/>
    <cellStyle name="Separador de milhares 3 19 2 4" xfId="5118"/>
    <cellStyle name="Separador de milhares 3 19 2 4 2" xfId="23753"/>
    <cellStyle name="Separador de milhares 3 19 2 5" xfId="17839"/>
    <cellStyle name="Separador de milhares 3 19 2 6" xfId="11505"/>
    <cellStyle name="Separador de milhares 3 19 3" xfId="1825"/>
    <cellStyle name="Separador de milhares 3 19 3 2" xfId="6936"/>
    <cellStyle name="Separador de milhares 3 19 3 2 2" xfId="10083"/>
    <cellStyle name="Separador de milhares 3 19 3 2 2 2" xfId="28297"/>
    <cellStyle name="Separador de milhares 3 19 3 2 2 3" xfId="22383"/>
    <cellStyle name="Separador de milhares 3 19 3 2 2 4" xfId="16469"/>
    <cellStyle name="Separador de milhares 3 19 3 2 3" xfId="25340"/>
    <cellStyle name="Separador de milhares 3 19 3 2 4" xfId="19426"/>
    <cellStyle name="Separador de milhares 3 19 3 2 5" xfId="13325"/>
    <cellStyle name="Separador de milhares 3 19 3 3" xfId="8615"/>
    <cellStyle name="Separador de milhares 3 19 3 3 2" xfId="26829"/>
    <cellStyle name="Separador de milhares 3 19 3 3 3" xfId="20915"/>
    <cellStyle name="Separador de milhares 3 19 3 3 4" xfId="15001"/>
    <cellStyle name="Separador de milhares 3 19 3 4" xfId="5237"/>
    <cellStyle name="Separador de milhares 3 19 3 4 2" xfId="23872"/>
    <cellStyle name="Separador de milhares 3 19 3 5" xfId="17958"/>
    <cellStyle name="Separador de milhares 3 19 3 6" xfId="11624"/>
    <cellStyle name="Separador de milhares 3 19 4" xfId="2355"/>
    <cellStyle name="Separador de milhares 3 19 4 2" xfId="7086"/>
    <cellStyle name="Separador de milhares 3 19 4 2 2" xfId="10230"/>
    <cellStyle name="Separador de milhares 3 19 4 2 2 2" xfId="28444"/>
    <cellStyle name="Separador de milhares 3 19 4 2 2 3" xfId="22530"/>
    <cellStyle name="Separador de milhares 3 19 4 2 2 4" xfId="16616"/>
    <cellStyle name="Separador de milhares 3 19 4 2 3" xfId="25487"/>
    <cellStyle name="Separador de milhares 3 19 4 2 4" xfId="19573"/>
    <cellStyle name="Separador de milhares 3 19 4 2 5" xfId="13475"/>
    <cellStyle name="Separador de milhares 3 19 4 3" xfId="8762"/>
    <cellStyle name="Separador de milhares 3 19 4 3 2" xfId="26976"/>
    <cellStyle name="Separador de milhares 3 19 4 3 3" xfId="21062"/>
    <cellStyle name="Separador de milhares 3 19 4 3 4" xfId="15148"/>
    <cellStyle name="Separador de milhares 3 19 4 4" xfId="5387"/>
    <cellStyle name="Separador de milhares 3 19 4 4 2" xfId="24019"/>
    <cellStyle name="Separador de milhares 3 19 4 5" xfId="18105"/>
    <cellStyle name="Separador de milhares 3 19 4 6" xfId="11774"/>
    <cellStyle name="Separador de milhares 3 19 5" xfId="2882"/>
    <cellStyle name="Separador de milhares 3 19 5 2" xfId="7233"/>
    <cellStyle name="Separador de milhares 3 19 5 2 2" xfId="10377"/>
    <cellStyle name="Separador de milhares 3 19 5 2 2 2" xfId="28591"/>
    <cellStyle name="Separador de milhares 3 19 5 2 2 3" xfId="22677"/>
    <cellStyle name="Separador de milhares 3 19 5 2 2 4" xfId="16763"/>
    <cellStyle name="Separador de milhares 3 19 5 2 3" xfId="25634"/>
    <cellStyle name="Separador de milhares 3 19 5 2 4" xfId="19720"/>
    <cellStyle name="Separador de milhares 3 19 5 2 5" xfId="13622"/>
    <cellStyle name="Separador de milhares 3 19 5 3" xfId="8909"/>
    <cellStyle name="Separador de milhares 3 19 5 3 2" xfId="27123"/>
    <cellStyle name="Separador de milhares 3 19 5 3 3" xfId="21209"/>
    <cellStyle name="Separador de milhares 3 19 5 3 4" xfId="15295"/>
    <cellStyle name="Separador de milhares 3 19 5 4" xfId="5534"/>
    <cellStyle name="Separador de milhares 3 19 5 4 2" xfId="24166"/>
    <cellStyle name="Separador de milhares 3 19 5 5" xfId="18252"/>
    <cellStyle name="Separador de milhares 3 19 5 6" xfId="11921"/>
    <cellStyle name="Separador de milhares 3 19 6" xfId="3409"/>
    <cellStyle name="Separador de milhares 3 19 6 2" xfId="7380"/>
    <cellStyle name="Separador de milhares 3 19 6 2 2" xfId="10524"/>
    <cellStyle name="Separador de milhares 3 19 6 2 2 2" xfId="28738"/>
    <cellStyle name="Separador de milhares 3 19 6 2 2 3" xfId="22824"/>
    <cellStyle name="Separador de milhares 3 19 6 2 2 4" xfId="16910"/>
    <cellStyle name="Separador de milhares 3 19 6 2 3" xfId="25781"/>
    <cellStyle name="Separador de milhares 3 19 6 2 4" xfId="19867"/>
    <cellStyle name="Separador de milhares 3 19 6 2 5" xfId="13769"/>
    <cellStyle name="Separador de milhares 3 19 6 3" xfId="9056"/>
    <cellStyle name="Separador de milhares 3 19 6 3 2" xfId="27270"/>
    <cellStyle name="Separador de milhares 3 19 6 3 3" xfId="21356"/>
    <cellStyle name="Separador de milhares 3 19 6 3 4" xfId="15442"/>
    <cellStyle name="Separador de milhares 3 19 6 4" xfId="5681"/>
    <cellStyle name="Separador de milhares 3 19 6 4 2" xfId="24313"/>
    <cellStyle name="Separador de milhares 3 19 6 5" xfId="18399"/>
    <cellStyle name="Separador de milhares 3 19 6 6" xfId="12068"/>
    <cellStyle name="Separador de milhares 3 19 7" xfId="3936"/>
    <cellStyle name="Separador de milhares 3 19 7 2" xfId="7527"/>
    <cellStyle name="Separador de milhares 3 19 7 2 2" xfId="10671"/>
    <cellStyle name="Separador de milhares 3 19 7 2 2 2" xfId="28885"/>
    <cellStyle name="Separador de milhares 3 19 7 2 2 3" xfId="22971"/>
    <cellStyle name="Separador de milhares 3 19 7 2 2 4" xfId="17057"/>
    <cellStyle name="Separador de milhares 3 19 7 2 3" xfId="25928"/>
    <cellStyle name="Separador de milhares 3 19 7 2 4" xfId="20014"/>
    <cellStyle name="Separador de milhares 3 19 7 2 5" xfId="13916"/>
    <cellStyle name="Separador de milhares 3 19 7 3" xfId="9203"/>
    <cellStyle name="Separador de milhares 3 19 7 3 2" xfId="27417"/>
    <cellStyle name="Separador de milhares 3 19 7 3 3" xfId="21503"/>
    <cellStyle name="Separador de milhares 3 19 7 3 4" xfId="15589"/>
    <cellStyle name="Separador de milhares 3 19 7 4" xfId="5828"/>
    <cellStyle name="Separador de milhares 3 19 7 4 2" xfId="24460"/>
    <cellStyle name="Separador de milhares 3 19 7 5" xfId="18546"/>
    <cellStyle name="Separador de milhares 3 19 7 6" xfId="12215"/>
    <cellStyle name="Separador de milhares 3 19 8" xfId="6566"/>
    <cellStyle name="Separador de milhares 3 19 8 2" xfId="9713"/>
    <cellStyle name="Separador de milhares 3 19 8 2 2" xfId="27927"/>
    <cellStyle name="Separador de milhares 3 19 8 2 3" xfId="22013"/>
    <cellStyle name="Separador de milhares 3 19 8 2 4" xfId="16099"/>
    <cellStyle name="Separador de milhares 3 19 8 3" xfId="24970"/>
    <cellStyle name="Separador de milhares 3 19 8 4" xfId="19056"/>
    <cellStyle name="Separador de milhares 3 19 8 5" xfId="12955"/>
    <cellStyle name="Separador de milhares 3 19 9" xfId="8242"/>
    <cellStyle name="Separador de milhares 3 19 9 2" xfId="26456"/>
    <cellStyle name="Separador de milhares 3 19 9 3" xfId="20542"/>
    <cellStyle name="Separador de milhares 3 19 9 4" xfId="14631"/>
    <cellStyle name="Separador de milhares 3 2" xfId="32"/>
    <cellStyle name="Separador de milhares 3 2 10" xfId="314"/>
    <cellStyle name="Separador de milhares 3 2 10 10" xfId="6502"/>
    <cellStyle name="Separador de milhares 3 2 10 10 2" xfId="9650"/>
    <cellStyle name="Separador de milhares 3 2 10 10 2 2" xfId="27864"/>
    <cellStyle name="Separador de milhares 3 2 10 10 2 3" xfId="21950"/>
    <cellStyle name="Separador de milhares 3 2 10 10 2 4" xfId="16036"/>
    <cellStyle name="Separador de milhares 3 2 10 10 3" xfId="24907"/>
    <cellStyle name="Separador de milhares 3 2 10 10 4" xfId="18993"/>
    <cellStyle name="Separador de milhares 3 2 10 10 5" xfId="12891"/>
    <cellStyle name="Separador de milhares 3 2 10 11" xfId="8179"/>
    <cellStyle name="Separador de milhares 3 2 10 11 2" xfId="26393"/>
    <cellStyle name="Separador de milhares 3 2 10 11 3" xfId="20479"/>
    <cellStyle name="Separador de milhares 3 2 10 11 4" xfId="14568"/>
    <cellStyle name="Separador de milhares 3 2 10 12" xfId="4801"/>
    <cellStyle name="Separador de milhares 3 2 10 12 2" xfId="23436"/>
    <cellStyle name="Separador de milhares 3 2 10 13" xfId="17522"/>
    <cellStyle name="Separador de milhares 3 2 10 14" xfId="11190"/>
    <cellStyle name="Separador de milhares 3 2 10 2" xfId="959"/>
    <cellStyle name="Separador de milhares 3 2 10 2 2" xfId="6699"/>
    <cellStyle name="Separador de milhares 3 2 10 2 2 2" xfId="9846"/>
    <cellStyle name="Separador de milhares 3 2 10 2 2 2 2" xfId="28060"/>
    <cellStyle name="Separador de milhares 3 2 10 2 2 2 3" xfId="22146"/>
    <cellStyle name="Separador de milhares 3 2 10 2 2 2 4" xfId="16232"/>
    <cellStyle name="Separador de milhares 3 2 10 2 2 3" xfId="25103"/>
    <cellStyle name="Separador de milhares 3 2 10 2 2 4" xfId="19189"/>
    <cellStyle name="Separador de milhares 3 2 10 2 2 5" xfId="13088"/>
    <cellStyle name="Separador de milhares 3 2 10 2 3" xfId="8378"/>
    <cellStyle name="Separador de milhares 3 2 10 2 3 2" xfId="26592"/>
    <cellStyle name="Separador de milhares 3 2 10 2 3 3" xfId="20678"/>
    <cellStyle name="Separador de milhares 3 2 10 2 3 4" xfId="14764"/>
    <cellStyle name="Separador de milhares 3 2 10 2 4" xfId="5000"/>
    <cellStyle name="Separador de milhares 3 2 10 2 4 2" xfId="23635"/>
    <cellStyle name="Separador de milhares 3 2 10 2 5" xfId="17721"/>
    <cellStyle name="Separador de milhares 3 2 10 2 6" xfId="11387"/>
    <cellStyle name="Separador de milhares 3 2 10 3" xfId="1310"/>
    <cellStyle name="Separador de milhares 3 2 10 3 2" xfId="6797"/>
    <cellStyle name="Separador de milhares 3 2 10 3 2 2" xfId="9944"/>
    <cellStyle name="Separador de milhares 3 2 10 3 2 2 2" xfId="28158"/>
    <cellStyle name="Separador de milhares 3 2 10 3 2 2 3" xfId="22244"/>
    <cellStyle name="Separador de milhares 3 2 10 3 2 2 4" xfId="16330"/>
    <cellStyle name="Separador de milhares 3 2 10 3 2 3" xfId="25201"/>
    <cellStyle name="Separador de milhares 3 2 10 3 2 4" xfId="19287"/>
    <cellStyle name="Separador de milhares 3 2 10 3 2 5" xfId="13186"/>
    <cellStyle name="Separador de milhares 3 2 10 3 3" xfId="8476"/>
    <cellStyle name="Separador de milhares 3 2 10 3 3 2" xfId="26690"/>
    <cellStyle name="Separador de milhares 3 2 10 3 3 3" xfId="20776"/>
    <cellStyle name="Separador de milhares 3 2 10 3 3 4" xfId="14862"/>
    <cellStyle name="Separador de milhares 3 2 10 3 4" xfId="5098"/>
    <cellStyle name="Separador de milhares 3 2 10 3 4 2" xfId="23733"/>
    <cellStyle name="Separador de milhares 3 2 10 3 5" xfId="17819"/>
    <cellStyle name="Separador de milhares 3 2 10 3 6" xfId="11485"/>
    <cellStyle name="Separador de milhares 3 2 10 4" xfId="1745"/>
    <cellStyle name="Separador de milhares 3 2 10 4 2" xfId="6916"/>
    <cellStyle name="Separador de milhares 3 2 10 4 2 2" xfId="10063"/>
    <cellStyle name="Separador de milhares 3 2 10 4 2 2 2" xfId="28277"/>
    <cellStyle name="Separador de milhares 3 2 10 4 2 2 3" xfId="22363"/>
    <cellStyle name="Separador de milhares 3 2 10 4 2 2 4" xfId="16449"/>
    <cellStyle name="Separador de milhares 3 2 10 4 2 3" xfId="25320"/>
    <cellStyle name="Separador de milhares 3 2 10 4 2 4" xfId="19406"/>
    <cellStyle name="Separador de milhares 3 2 10 4 2 5" xfId="13305"/>
    <cellStyle name="Separador de milhares 3 2 10 4 3" xfId="8595"/>
    <cellStyle name="Separador de milhares 3 2 10 4 3 2" xfId="26809"/>
    <cellStyle name="Separador de milhares 3 2 10 4 3 3" xfId="20895"/>
    <cellStyle name="Separador de milhares 3 2 10 4 3 4" xfId="14981"/>
    <cellStyle name="Separador de milhares 3 2 10 4 4" xfId="5217"/>
    <cellStyle name="Separador de milhares 3 2 10 4 4 2" xfId="23852"/>
    <cellStyle name="Separador de milhares 3 2 10 4 5" xfId="17938"/>
    <cellStyle name="Separador de milhares 3 2 10 4 6" xfId="11604"/>
    <cellStyle name="Separador de milhares 3 2 10 5" xfId="2275"/>
    <cellStyle name="Separador de milhares 3 2 10 5 2" xfId="7066"/>
    <cellStyle name="Separador de milhares 3 2 10 5 2 2" xfId="10210"/>
    <cellStyle name="Separador de milhares 3 2 10 5 2 2 2" xfId="28424"/>
    <cellStyle name="Separador de milhares 3 2 10 5 2 2 3" xfId="22510"/>
    <cellStyle name="Separador de milhares 3 2 10 5 2 2 4" xfId="16596"/>
    <cellStyle name="Separador de milhares 3 2 10 5 2 3" xfId="25467"/>
    <cellStyle name="Separador de milhares 3 2 10 5 2 4" xfId="19553"/>
    <cellStyle name="Separador de milhares 3 2 10 5 2 5" xfId="13455"/>
    <cellStyle name="Separador de milhares 3 2 10 5 3" xfId="8742"/>
    <cellStyle name="Separador de milhares 3 2 10 5 3 2" xfId="26956"/>
    <cellStyle name="Separador de milhares 3 2 10 5 3 3" xfId="21042"/>
    <cellStyle name="Separador de milhares 3 2 10 5 3 4" xfId="15128"/>
    <cellStyle name="Separador de milhares 3 2 10 5 4" xfId="5367"/>
    <cellStyle name="Separador de milhares 3 2 10 5 4 2" xfId="23999"/>
    <cellStyle name="Separador de milhares 3 2 10 5 5" xfId="18085"/>
    <cellStyle name="Separador de milhares 3 2 10 5 6" xfId="11754"/>
    <cellStyle name="Separador de milhares 3 2 10 6" xfId="2802"/>
    <cellStyle name="Separador de milhares 3 2 10 6 2" xfId="7213"/>
    <cellStyle name="Separador de milhares 3 2 10 6 2 2" xfId="10357"/>
    <cellStyle name="Separador de milhares 3 2 10 6 2 2 2" xfId="28571"/>
    <cellStyle name="Separador de milhares 3 2 10 6 2 2 3" xfId="22657"/>
    <cellStyle name="Separador de milhares 3 2 10 6 2 2 4" xfId="16743"/>
    <cellStyle name="Separador de milhares 3 2 10 6 2 3" xfId="25614"/>
    <cellStyle name="Separador de milhares 3 2 10 6 2 4" xfId="19700"/>
    <cellStyle name="Separador de milhares 3 2 10 6 2 5" xfId="13602"/>
    <cellStyle name="Separador de milhares 3 2 10 6 3" xfId="8889"/>
    <cellStyle name="Separador de milhares 3 2 10 6 3 2" xfId="27103"/>
    <cellStyle name="Separador de milhares 3 2 10 6 3 3" xfId="21189"/>
    <cellStyle name="Separador de milhares 3 2 10 6 3 4" xfId="15275"/>
    <cellStyle name="Separador de milhares 3 2 10 6 4" xfId="5514"/>
    <cellStyle name="Separador de milhares 3 2 10 6 4 2" xfId="24146"/>
    <cellStyle name="Separador de milhares 3 2 10 6 5" xfId="18232"/>
    <cellStyle name="Separador de milhares 3 2 10 6 6" xfId="11901"/>
    <cellStyle name="Separador de milhares 3 2 10 7" xfId="3329"/>
    <cellStyle name="Separador de milhares 3 2 10 7 2" xfId="7360"/>
    <cellStyle name="Separador de milhares 3 2 10 7 2 2" xfId="10504"/>
    <cellStyle name="Separador de milhares 3 2 10 7 2 2 2" xfId="28718"/>
    <cellStyle name="Separador de milhares 3 2 10 7 2 2 3" xfId="22804"/>
    <cellStyle name="Separador de milhares 3 2 10 7 2 2 4" xfId="16890"/>
    <cellStyle name="Separador de milhares 3 2 10 7 2 3" xfId="25761"/>
    <cellStyle name="Separador de milhares 3 2 10 7 2 4" xfId="19847"/>
    <cellStyle name="Separador de milhares 3 2 10 7 2 5" xfId="13749"/>
    <cellStyle name="Separador de milhares 3 2 10 7 3" xfId="9036"/>
    <cellStyle name="Separador de milhares 3 2 10 7 3 2" xfId="27250"/>
    <cellStyle name="Separador de milhares 3 2 10 7 3 3" xfId="21336"/>
    <cellStyle name="Separador de milhares 3 2 10 7 3 4" xfId="15422"/>
    <cellStyle name="Separador de milhares 3 2 10 7 4" xfId="5661"/>
    <cellStyle name="Separador de milhares 3 2 10 7 4 2" xfId="24293"/>
    <cellStyle name="Separador de milhares 3 2 10 7 5" xfId="18379"/>
    <cellStyle name="Separador de milhares 3 2 10 7 6" xfId="12048"/>
    <cellStyle name="Separador de milhares 3 2 10 8" xfId="3856"/>
    <cellStyle name="Separador de milhares 3 2 10 8 2" xfId="7507"/>
    <cellStyle name="Separador de milhares 3 2 10 8 2 2" xfId="10651"/>
    <cellStyle name="Separador de milhares 3 2 10 8 2 2 2" xfId="28865"/>
    <cellStyle name="Separador de milhares 3 2 10 8 2 2 3" xfId="22951"/>
    <cellStyle name="Separador de milhares 3 2 10 8 2 2 4" xfId="17037"/>
    <cellStyle name="Separador de milhares 3 2 10 8 2 3" xfId="25908"/>
    <cellStyle name="Separador de milhares 3 2 10 8 2 4" xfId="19994"/>
    <cellStyle name="Separador de milhares 3 2 10 8 2 5" xfId="13896"/>
    <cellStyle name="Separador de milhares 3 2 10 8 3" xfId="9183"/>
    <cellStyle name="Separador de milhares 3 2 10 8 3 2" xfId="27397"/>
    <cellStyle name="Separador de milhares 3 2 10 8 3 3" xfId="21483"/>
    <cellStyle name="Separador de milhares 3 2 10 8 3 4" xfId="15569"/>
    <cellStyle name="Separador de milhares 3 2 10 8 4" xfId="5808"/>
    <cellStyle name="Separador de milhares 3 2 10 8 4 2" xfId="24440"/>
    <cellStyle name="Separador de milhares 3 2 10 8 5" xfId="18526"/>
    <cellStyle name="Separador de milhares 3 2 10 8 6" xfId="12195"/>
    <cellStyle name="Separador de milhares 3 2 10 9" xfId="666"/>
    <cellStyle name="Separador de milhares 3 2 10 9 2" xfId="6601"/>
    <cellStyle name="Separador de milhares 3 2 10 9 2 2" xfId="9748"/>
    <cellStyle name="Separador de milhares 3 2 10 9 2 2 2" xfId="27962"/>
    <cellStyle name="Separador de milhares 3 2 10 9 2 2 3" xfId="22048"/>
    <cellStyle name="Separador de milhares 3 2 10 9 2 2 4" xfId="16134"/>
    <cellStyle name="Separador de milhares 3 2 10 9 2 3" xfId="25005"/>
    <cellStyle name="Separador de milhares 3 2 10 9 2 4" xfId="19091"/>
    <cellStyle name="Separador de milhares 3 2 10 9 2 5" xfId="12990"/>
    <cellStyle name="Separador de milhares 3 2 10 9 3" xfId="8280"/>
    <cellStyle name="Separador de milhares 3 2 10 9 3 2" xfId="26494"/>
    <cellStyle name="Separador de milhares 3 2 10 9 3 3" xfId="20580"/>
    <cellStyle name="Separador de milhares 3 2 10 9 3 4" xfId="14666"/>
    <cellStyle name="Separador de milhares 3 2 10 9 4" xfId="4902"/>
    <cellStyle name="Separador de milhares 3 2 10 9 4 2" xfId="23537"/>
    <cellStyle name="Separador de milhares 3 2 10 9 5" xfId="17623"/>
    <cellStyle name="Separador de milhares 3 2 10 9 6" xfId="11289"/>
    <cellStyle name="Separador de milhares 3 2 11" xfId="571"/>
    <cellStyle name="Separador de milhares 3 2 11 10" xfId="4866"/>
    <cellStyle name="Separador de milhares 3 2 11 10 2" xfId="23500"/>
    <cellStyle name="Separador de milhares 3 2 11 11" xfId="17586"/>
    <cellStyle name="Separador de milhares 3 2 11 12" xfId="11255"/>
    <cellStyle name="Separador de milhares 3 2 11 2" xfId="1394"/>
    <cellStyle name="Separador de milhares 3 2 11 2 2" xfId="6818"/>
    <cellStyle name="Separador de milhares 3 2 11 2 2 2" xfId="9965"/>
    <cellStyle name="Separador de milhares 3 2 11 2 2 2 2" xfId="28179"/>
    <cellStyle name="Separador de milhares 3 2 11 2 2 2 3" xfId="22265"/>
    <cellStyle name="Separador de milhares 3 2 11 2 2 2 4" xfId="16351"/>
    <cellStyle name="Separador de milhares 3 2 11 2 2 3" xfId="25222"/>
    <cellStyle name="Separador de milhares 3 2 11 2 2 4" xfId="19308"/>
    <cellStyle name="Separador de milhares 3 2 11 2 2 5" xfId="13207"/>
    <cellStyle name="Separador de milhares 3 2 11 2 3" xfId="8497"/>
    <cellStyle name="Separador de milhares 3 2 11 2 3 2" xfId="26711"/>
    <cellStyle name="Separador de milhares 3 2 11 2 3 3" xfId="20797"/>
    <cellStyle name="Separador de milhares 3 2 11 2 3 4" xfId="14883"/>
    <cellStyle name="Separador de milhares 3 2 11 2 4" xfId="5119"/>
    <cellStyle name="Separador de milhares 3 2 11 2 4 2" xfId="23754"/>
    <cellStyle name="Separador de milhares 3 2 11 2 5" xfId="17840"/>
    <cellStyle name="Separador de milhares 3 2 11 2 6" xfId="11506"/>
    <cellStyle name="Separador de milhares 3 2 11 3" xfId="1829"/>
    <cellStyle name="Separador de milhares 3 2 11 3 2" xfId="6937"/>
    <cellStyle name="Separador de milhares 3 2 11 3 2 2" xfId="10084"/>
    <cellStyle name="Separador de milhares 3 2 11 3 2 2 2" xfId="28298"/>
    <cellStyle name="Separador de milhares 3 2 11 3 2 2 3" xfId="22384"/>
    <cellStyle name="Separador de milhares 3 2 11 3 2 2 4" xfId="16470"/>
    <cellStyle name="Separador de milhares 3 2 11 3 2 3" xfId="25341"/>
    <cellStyle name="Separador de milhares 3 2 11 3 2 4" xfId="19427"/>
    <cellStyle name="Separador de milhares 3 2 11 3 2 5" xfId="13326"/>
    <cellStyle name="Separador de milhares 3 2 11 3 3" xfId="8616"/>
    <cellStyle name="Separador de milhares 3 2 11 3 3 2" xfId="26830"/>
    <cellStyle name="Separador de milhares 3 2 11 3 3 3" xfId="20916"/>
    <cellStyle name="Separador de milhares 3 2 11 3 3 4" xfId="15002"/>
    <cellStyle name="Separador de milhares 3 2 11 3 4" xfId="5238"/>
    <cellStyle name="Separador de milhares 3 2 11 3 4 2" xfId="23873"/>
    <cellStyle name="Separador de milhares 3 2 11 3 5" xfId="17959"/>
    <cellStyle name="Separador de milhares 3 2 11 3 6" xfId="11625"/>
    <cellStyle name="Separador de milhares 3 2 11 4" xfId="2359"/>
    <cellStyle name="Separador de milhares 3 2 11 4 2" xfId="7087"/>
    <cellStyle name="Separador de milhares 3 2 11 4 2 2" xfId="10231"/>
    <cellStyle name="Separador de milhares 3 2 11 4 2 2 2" xfId="28445"/>
    <cellStyle name="Separador de milhares 3 2 11 4 2 2 3" xfId="22531"/>
    <cellStyle name="Separador de milhares 3 2 11 4 2 2 4" xfId="16617"/>
    <cellStyle name="Separador de milhares 3 2 11 4 2 3" xfId="25488"/>
    <cellStyle name="Separador de milhares 3 2 11 4 2 4" xfId="19574"/>
    <cellStyle name="Separador de milhares 3 2 11 4 2 5" xfId="13476"/>
    <cellStyle name="Separador de milhares 3 2 11 4 3" xfId="8763"/>
    <cellStyle name="Separador de milhares 3 2 11 4 3 2" xfId="26977"/>
    <cellStyle name="Separador de milhares 3 2 11 4 3 3" xfId="21063"/>
    <cellStyle name="Separador de milhares 3 2 11 4 3 4" xfId="15149"/>
    <cellStyle name="Separador de milhares 3 2 11 4 4" xfId="5388"/>
    <cellStyle name="Separador de milhares 3 2 11 4 4 2" xfId="24020"/>
    <cellStyle name="Separador de milhares 3 2 11 4 5" xfId="18106"/>
    <cellStyle name="Separador de milhares 3 2 11 4 6" xfId="11775"/>
    <cellStyle name="Separador de milhares 3 2 11 5" xfId="2886"/>
    <cellStyle name="Separador de milhares 3 2 11 5 2" xfId="7234"/>
    <cellStyle name="Separador de milhares 3 2 11 5 2 2" xfId="10378"/>
    <cellStyle name="Separador de milhares 3 2 11 5 2 2 2" xfId="28592"/>
    <cellStyle name="Separador de milhares 3 2 11 5 2 2 3" xfId="22678"/>
    <cellStyle name="Separador de milhares 3 2 11 5 2 2 4" xfId="16764"/>
    <cellStyle name="Separador de milhares 3 2 11 5 2 3" xfId="25635"/>
    <cellStyle name="Separador de milhares 3 2 11 5 2 4" xfId="19721"/>
    <cellStyle name="Separador de milhares 3 2 11 5 2 5" xfId="13623"/>
    <cellStyle name="Separador de milhares 3 2 11 5 3" xfId="8910"/>
    <cellStyle name="Separador de milhares 3 2 11 5 3 2" xfId="27124"/>
    <cellStyle name="Separador de milhares 3 2 11 5 3 3" xfId="21210"/>
    <cellStyle name="Separador de milhares 3 2 11 5 3 4" xfId="15296"/>
    <cellStyle name="Separador de milhares 3 2 11 5 4" xfId="5535"/>
    <cellStyle name="Separador de milhares 3 2 11 5 4 2" xfId="24167"/>
    <cellStyle name="Separador de milhares 3 2 11 5 5" xfId="18253"/>
    <cellStyle name="Separador de milhares 3 2 11 5 6" xfId="11922"/>
    <cellStyle name="Separador de milhares 3 2 11 6" xfId="3413"/>
    <cellStyle name="Separador de milhares 3 2 11 6 2" xfId="7381"/>
    <cellStyle name="Separador de milhares 3 2 11 6 2 2" xfId="10525"/>
    <cellStyle name="Separador de milhares 3 2 11 6 2 2 2" xfId="28739"/>
    <cellStyle name="Separador de milhares 3 2 11 6 2 2 3" xfId="22825"/>
    <cellStyle name="Separador de milhares 3 2 11 6 2 2 4" xfId="16911"/>
    <cellStyle name="Separador de milhares 3 2 11 6 2 3" xfId="25782"/>
    <cellStyle name="Separador de milhares 3 2 11 6 2 4" xfId="19868"/>
    <cellStyle name="Separador de milhares 3 2 11 6 2 5" xfId="13770"/>
    <cellStyle name="Separador de milhares 3 2 11 6 3" xfId="9057"/>
    <cellStyle name="Separador de milhares 3 2 11 6 3 2" xfId="27271"/>
    <cellStyle name="Separador de milhares 3 2 11 6 3 3" xfId="21357"/>
    <cellStyle name="Separador de milhares 3 2 11 6 3 4" xfId="15443"/>
    <cellStyle name="Separador de milhares 3 2 11 6 4" xfId="5682"/>
    <cellStyle name="Separador de milhares 3 2 11 6 4 2" xfId="24314"/>
    <cellStyle name="Separador de milhares 3 2 11 6 5" xfId="18400"/>
    <cellStyle name="Separador de milhares 3 2 11 6 6" xfId="12069"/>
    <cellStyle name="Separador de milhares 3 2 11 7" xfId="3940"/>
    <cellStyle name="Separador de milhares 3 2 11 7 2" xfId="7528"/>
    <cellStyle name="Separador de milhares 3 2 11 7 2 2" xfId="10672"/>
    <cellStyle name="Separador de milhares 3 2 11 7 2 2 2" xfId="28886"/>
    <cellStyle name="Separador de milhares 3 2 11 7 2 2 3" xfId="22972"/>
    <cellStyle name="Separador de milhares 3 2 11 7 2 2 4" xfId="17058"/>
    <cellStyle name="Separador de milhares 3 2 11 7 2 3" xfId="25929"/>
    <cellStyle name="Separador de milhares 3 2 11 7 2 4" xfId="20015"/>
    <cellStyle name="Separador de milhares 3 2 11 7 2 5" xfId="13917"/>
    <cellStyle name="Separador de milhares 3 2 11 7 3" xfId="9204"/>
    <cellStyle name="Separador de milhares 3 2 11 7 3 2" xfId="27418"/>
    <cellStyle name="Separador de milhares 3 2 11 7 3 3" xfId="21504"/>
    <cellStyle name="Separador de milhares 3 2 11 7 3 4" xfId="15590"/>
    <cellStyle name="Separador de milhares 3 2 11 7 4" xfId="5829"/>
    <cellStyle name="Separador de milhares 3 2 11 7 4 2" xfId="24461"/>
    <cellStyle name="Separador de milhares 3 2 11 7 5" xfId="18547"/>
    <cellStyle name="Separador de milhares 3 2 11 7 6" xfId="12216"/>
    <cellStyle name="Separador de milhares 3 2 11 8" xfId="6567"/>
    <cellStyle name="Separador de milhares 3 2 11 8 2" xfId="9714"/>
    <cellStyle name="Separador de milhares 3 2 11 8 2 2" xfId="27928"/>
    <cellStyle name="Separador de milhares 3 2 11 8 2 3" xfId="22014"/>
    <cellStyle name="Separador de milhares 3 2 11 8 2 4" xfId="16100"/>
    <cellStyle name="Separador de milhares 3 2 11 8 3" xfId="24971"/>
    <cellStyle name="Separador de milhares 3 2 11 8 4" xfId="19057"/>
    <cellStyle name="Separador de milhares 3 2 11 8 5" xfId="12956"/>
    <cellStyle name="Separador de milhares 3 2 11 9" xfId="8243"/>
    <cellStyle name="Separador de milhares 3 2 11 9 2" xfId="26457"/>
    <cellStyle name="Separador de milhares 3 2 11 9 3" xfId="20543"/>
    <cellStyle name="Separador de milhares 3 2 11 9 4" xfId="14632"/>
    <cellStyle name="Separador de milhares 3 2 12" xfId="692"/>
    <cellStyle name="Separador de milhares 3 2 12 2" xfId="4116"/>
    <cellStyle name="Separador de milhares 3 2 12 2 2" xfId="7577"/>
    <cellStyle name="Separador de milhares 3 2 12 2 2 2" xfId="10721"/>
    <cellStyle name="Separador de milhares 3 2 12 2 2 2 2" xfId="28935"/>
    <cellStyle name="Separador de milhares 3 2 12 2 2 2 3" xfId="23021"/>
    <cellStyle name="Separador de milhares 3 2 12 2 2 2 4" xfId="17107"/>
    <cellStyle name="Separador de milhares 3 2 12 2 2 3" xfId="25978"/>
    <cellStyle name="Separador de milhares 3 2 12 2 2 4" xfId="20064"/>
    <cellStyle name="Separador de milhares 3 2 12 2 2 5" xfId="13966"/>
    <cellStyle name="Separador de milhares 3 2 12 2 3" xfId="9253"/>
    <cellStyle name="Separador de milhares 3 2 12 2 3 2" xfId="27467"/>
    <cellStyle name="Separador de milhares 3 2 12 2 3 3" xfId="21553"/>
    <cellStyle name="Separador de milhares 3 2 12 2 3 4" xfId="15639"/>
    <cellStyle name="Separador de milhares 3 2 12 2 4" xfId="5878"/>
    <cellStyle name="Separador de milhares 3 2 12 2 4 2" xfId="24510"/>
    <cellStyle name="Separador de milhares 3 2 12 2 5" xfId="18596"/>
    <cellStyle name="Separador de milhares 3 2 12 2 6" xfId="12265"/>
    <cellStyle name="Separador de milhares 3 2 12 3" xfId="6622"/>
    <cellStyle name="Separador de milhares 3 2 12 3 2" xfId="9769"/>
    <cellStyle name="Separador de milhares 3 2 12 3 2 2" xfId="27983"/>
    <cellStyle name="Separador de milhares 3 2 12 3 2 3" xfId="22069"/>
    <cellStyle name="Separador de milhares 3 2 12 3 2 4" xfId="16155"/>
    <cellStyle name="Separador de milhares 3 2 12 3 3" xfId="25026"/>
    <cellStyle name="Separador de milhares 3 2 12 3 4" xfId="19112"/>
    <cellStyle name="Separador de milhares 3 2 12 3 5" xfId="13011"/>
    <cellStyle name="Separador de milhares 3 2 12 4" xfId="8301"/>
    <cellStyle name="Separador de milhares 3 2 12 4 2" xfId="26515"/>
    <cellStyle name="Separador de milhares 3 2 12 4 3" xfId="20601"/>
    <cellStyle name="Separador de milhares 3 2 12 4 4" xfId="14687"/>
    <cellStyle name="Separador de milhares 3 2 12 5" xfId="4923"/>
    <cellStyle name="Separador de milhares 3 2 12 5 2" xfId="23558"/>
    <cellStyle name="Separador de milhares 3 2 12 6" xfId="17644"/>
    <cellStyle name="Separador de milhares 3 2 12 7" xfId="11310"/>
    <cellStyle name="Separador de milhares 3 2 13" xfId="1043"/>
    <cellStyle name="Separador de milhares 3 2 13 2" xfId="6720"/>
    <cellStyle name="Separador de milhares 3 2 13 2 2" xfId="9867"/>
    <cellStyle name="Separador de milhares 3 2 13 2 2 2" xfId="28081"/>
    <cellStyle name="Separador de milhares 3 2 13 2 2 3" xfId="22167"/>
    <cellStyle name="Separador de milhares 3 2 13 2 2 4" xfId="16253"/>
    <cellStyle name="Separador de milhares 3 2 13 2 3" xfId="25124"/>
    <cellStyle name="Separador de milhares 3 2 13 2 4" xfId="19210"/>
    <cellStyle name="Separador de milhares 3 2 13 2 5" xfId="13109"/>
    <cellStyle name="Separador de milhares 3 2 13 3" xfId="8399"/>
    <cellStyle name="Separador de milhares 3 2 13 3 2" xfId="26613"/>
    <cellStyle name="Separador de milhares 3 2 13 3 3" xfId="20699"/>
    <cellStyle name="Separador de milhares 3 2 13 3 4" xfId="14785"/>
    <cellStyle name="Separador de milhares 3 2 13 4" xfId="5021"/>
    <cellStyle name="Separador de milhares 3 2 13 4 2" xfId="23656"/>
    <cellStyle name="Separador de milhares 3 2 13 5" xfId="17742"/>
    <cellStyle name="Separador de milhares 3 2 13 6" xfId="11408"/>
    <cellStyle name="Separador de milhares 3 2 14" xfId="1478"/>
    <cellStyle name="Separador de milhares 3 2 14 2" xfId="6839"/>
    <cellStyle name="Separador de milhares 3 2 14 2 2" xfId="9986"/>
    <cellStyle name="Separador de milhares 3 2 14 2 2 2" xfId="28200"/>
    <cellStyle name="Separador de milhares 3 2 14 2 2 3" xfId="22286"/>
    <cellStyle name="Separador de milhares 3 2 14 2 2 4" xfId="16372"/>
    <cellStyle name="Separador de milhares 3 2 14 2 3" xfId="25243"/>
    <cellStyle name="Separador de milhares 3 2 14 2 4" xfId="19329"/>
    <cellStyle name="Separador de milhares 3 2 14 2 5" xfId="13228"/>
    <cellStyle name="Separador de milhares 3 2 14 3" xfId="8518"/>
    <cellStyle name="Separador de milhares 3 2 14 3 2" xfId="26732"/>
    <cellStyle name="Separador de milhares 3 2 14 3 3" xfId="20818"/>
    <cellStyle name="Separador de milhares 3 2 14 3 4" xfId="14904"/>
    <cellStyle name="Separador de milhares 3 2 14 4" xfId="5140"/>
    <cellStyle name="Separador de milhares 3 2 14 4 2" xfId="23775"/>
    <cellStyle name="Separador de milhares 3 2 14 5" xfId="17861"/>
    <cellStyle name="Separador de milhares 3 2 14 6" xfId="11527"/>
    <cellStyle name="Separador de milhares 3 2 15" xfId="2008"/>
    <cellStyle name="Separador de milhares 3 2 15 2" xfId="6989"/>
    <cellStyle name="Separador de milhares 3 2 15 2 2" xfId="10133"/>
    <cellStyle name="Separador de milhares 3 2 15 2 2 2" xfId="28347"/>
    <cellStyle name="Separador de milhares 3 2 15 2 2 3" xfId="22433"/>
    <cellStyle name="Separador de milhares 3 2 15 2 2 4" xfId="16519"/>
    <cellStyle name="Separador de milhares 3 2 15 2 3" xfId="25390"/>
    <cellStyle name="Separador de milhares 3 2 15 2 4" xfId="19476"/>
    <cellStyle name="Separador de milhares 3 2 15 2 5" xfId="13378"/>
    <cellStyle name="Separador de milhares 3 2 15 3" xfId="8665"/>
    <cellStyle name="Separador de milhares 3 2 15 3 2" xfId="26879"/>
    <cellStyle name="Separador de milhares 3 2 15 3 3" xfId="20965"/>
    <cellStyle name="Separador de milhares 3 2 15 3 4" xfId="15051"/>
    <cellStyle name="Separador de milhares 3 2 15 4" xfId="5290"/>
    <cellStyle name="Separador de milhares 3 2 15 4 2" xfId="23922"/>
    <cellStyle name="Separador de milhares 3 2 15 5" xfId="18008"/>
    <cellStyle name="Separador de milhares 3 2 15 6" xfId="11677"/>
    <cellStyle name="Separador de milhares 3 2 16" xfId="2535"/>
    <cellStyle name="Separador de milhares 3 2 16 2" xfId="7136"/>
    <cellStyle name="Separador de milhares 3 2 16 2 2" xfId="10280"/>
    <cellStyle name="Separador de milhares 3 2 16 2 2 2" xfId="28494"/>
    <cellStyle name="Separador de milhares 3 2 16 2 2 3" xfId="22580"/>
    <cellStyle name="Separador de milhares 3 2 16 2 2 4" xfId="16666"/>
    <cellStyle name="Separador de milhares 3 2 16 2 3" xfId="25537"/>
    <cellStyle name="Separador de milhares 3 2 16 2 4" xfId="19623"/>
    <cellStyle name="Separador de milhares 3 2 16 2 5" xfId="13525"/>
    <cellStyle name="Separador de milhares 3 2 16 3" xfId="8812"/>
    <cellStyle name="Separador de milhares 3 2 16 3 2" xfId="27026"/>
    <cellStyle name="Separador de milhares 3 2 16 3 3" xfId="21112"/>
    <cellStyle name="Separador de milhares 3 2 16 3 4" xfId="15198"/>
    <cellStyle name="Separador de milhares 3 2 16 4" xfId="5437"/>
    <cellStyle name="Separador de milhares 3 2 16 4 2" xfId="24069"/>
    <cellStyle name="Separador de milhares 3 2 16 5" xfId="18155"/>
    <cellStyle name="Separador de milhares 3 2 16 6" xfId="11824"/>
    <cellStyle name="Separador de milhares 3 2 17" xfId="3062"/>
    <cellStyle name="Separador de milhares 3 2 17 2" xfId="7283"/>
    <cellStyle name="Separador de milhares 3 2 17 2 2" xfId="10427"/>
    <cellStyle name="Separador de milhares 3 2 17 2 2 2" xfId="28641"/>
    <cellStyle name="Separador de milhares 3 2 17 2 2 3" xfId="22727"/>
    <cellStyle name="Separador de milhares 3 2 17 2 2 4" xfId="16813"/>
    <cellStyle name="Separador de milhares 3 2 17 2 3" xfId="25684"/>
    <cellStyle name="Separador de milhares 3 2 17 2 4" xfId="19770"/>
    <cellStyle name="Separador de milhares 3 2 17 2 5" xfId="13672"/>
    <cellStyle name="Separador de milhares 3 2 17 3" xfId="8959"/>
    <cellStyle name="Separador de milhares 3 2 17 3 2" xfId="27173"/>
    <cellStyle name="Separador de milhares 3 2 17 3 3" xfId="21259"/>
    <cellStyle name="Separador de milhares 3 2 17 3 4" xfId="15345"/>
    <cellStyle name="Separador de milhares 3 2 17 4" xfId="5584"/>
    <cellStyle name="Separador de milhares 3 2 17 4 2" xfId="24216"/>
    <cellStyle name="Separador de milhares 3 2 17 5" xfId="18302"/>
    <cellStyle name="Separador de milhares 3 2 17 6" xfId="11971"/>
    <cellStyle name="Separador de milhares 3 2 18" xfId="3589"/>
    <cellStyle name="Separador de milhares 3 2 18 2" xfId="7430"/>
    <cellStyle name="Separador de milhares 3 2 18 2 2" xfId="10574"/>
    <cellStyle name="Separador de milhares 3 2 18 2 2 2" xfId="28788"/>
    <cellStyle name="Separador de milhares 3 2 18 2 2 3" xfId="22874"/>
    <cellStyle name="Separador de milhares 3 2 18 2 2 4" xfId="16960"/>
    <cellStyle name="Separador de milhares 3 2 18 2 3" xfId="25831"/>
    <cellStyle name="Separador de milhares 3 2 18 2 4" xfId="19917"/>
    <cellStyle name="Separador de milhares 3 2 18 2 5" xfId="13819"/>
    <cellStyle name="Separador de milhares 3 2 18 3" xfId="9106"/>
    <cellStyle name="Separador de milhares 3 2 18 3 2" xfId="27320"/>
    <cellStyle name="Separador de milhares 3 2 18 3 3" xfId="21406"/>
    <cellStyle name="Separador de milhares 3 2 18 3 4" xfId="15492"/>
    <cellStyle name="Separador de milhares 3 2 18 4" xfId="5731"/>
    <cellStyle name="Separador de milhares 3 2 18 4 2" xfId="24363"/>
    <cellStyle name="Separador de milhares 3 2 18 5" xfId="18449"/>
    <cellStyle name="Separador de milhares 3 2 18 6" xfId="12118"/>
    <cellStyle name="Separador de milhares 3 2 19" xfId="6414"/>
    <cellStyle name="Separador de milhares 3 2 19 2" xfId="9570"/>
    <cellStyle name="Separador de milhares 3 2 19 2 2" xfId="27784"/>
    <cellStyle name="Separador de milhares 3 2 19 2 3" xfId="21870"/>
    <cellStyle name="Separador de milhares 3 2 19 2 4" xfId="15956"/>
    <cellStyle name="Separador de milhares 3 2 19 3" xfId="24827"/>
    <cellStyle name="Separador de milhares 3 2 19 4" xfId="18913"/>
    <cellStyle name="Separador de milhares 3 2 19 5" xfId="12803"/>
    <cellStyle name="Separador de milhares 3 2 2" xfId="68"/>
    <cellStyle name="Separador de milhares 3 2 2 10" xfId="2571"/>
    <cellStyle name="Separador de milhares 3 2 2 10 2" xfId="7145"/>
    <cellStyle name="Separador de milhares 3 2 2 10 2 2" xfId="10289"/>
    <cellStyle name="Separador de milhares 3 2 2 10 2 2 2" xfId="28503"/>
    <cellStyle name="Separador de milhares 3 2 2 10 2 2 3" xfId="22589"/>
    <cellStyle name="Separador de milhares 3 2 2 10 2 2 4" xfId="16675"/>
    <cellStyle name="Separador de milhares 3 2 2 10 2 3" xfId="25546"/>
    <cellStyle name="Separador de milhares 3 2 2 10 2 4" xfId="19632"/>
    <cellStyle name="Separador de milhares 3 2 2 10 2 5" xfId="13534"/>
    <cellStyle name="Separador de milhares 3 2 2 10 3" xfId="8821"/>
    <cellStyle name="Separador de milhares 3 2 2 10 3 2" xfId="27035"/>
    <cellStyle name="Separador de milhares 3 2 2 10 3 3" xfId="21121"/>
    <cellStyle name="Separador de milhares 3 2 2 10 3 4" xfId="15207"/>
    <cellStyle name="Separador de milhares 3 2 2 10 4" xfId="5446"/>
    <cellStyle name="Separador de milhares 3 2 2 10 4 2" xfId="24078"/>
    <cellStyle name="Separador de milhares 3 2 2 10 5" xfId="18164"/>
    <cellStyle name="Separador de milhares 3 2 2 10 6" xfId="11833"/>
    <cellStyle name="Separador de milhares 3 2 2 11" xfId="3098"/>
    <cellStyle name="Separador de milhares 3 2 2 11 2" xfId="7292"/>
    <cellStyle name="Separador de milhares 3 2 2 11 2 2" xfId="10436"/>
    <cellStyle name="Separador de milhares 3 2 2 11 2 2 2" xfId="28650"/>
    <cellStyle name="Separador de milhares 3 2 2 11 2 2 3" xfId="22736"/>
    <cellStyle name="Separador de milhares 3 2 2 11 2 2 4" xfId="16822"/>
    <cellStyle name="Separador de milhares 3 2 2 11 2 3" xfId="25693"/>
    <cellStyle name="Separador de milhares 3 2 2 11 2 4" xfId="19779"/>
    <cellStyle name="Separador de milhares 3 2 2 11 2 5" xfId="13681"/>
    <cellStyle name="Separador de milhares 3 2 2 11 3" xfId="8968"/>
    <cellStyle name="Separador de milhares 3 2 2 11 3 2" xfId="27182"/>
    <cellStyle name="Separador de milhares 3 2 2 11 3 3" xfId="21268"/>
    <cellStyle name="Separador de milhares 3 2 2 11 3 4" xfId="15354"/>
    <cellStyle name="Separador de milhares 3 2 2 11 4" xfId="5593"/>
    <cellStyle name="Separador de milhares 3 2 2 11 4 2" xfId="24225"/>
    <cellStyle name="Separador de milhares 3 2 2 11 5" xfId="18311"/>
    <cellStyle name="Separador de milhares 3 2 2 11 6" xfId="11980"/>
    <cellStyle name="Separador de milhares 3 2 2 12" xfId="3625"/>
    <cellStyle name="Separador de milhares 3 2 2 12 2" xfId="7439"/>
    <cellStyle name="Separador de milhares 3 2 2 12 2 2" xfId="10583"/>
    <cellStyle name="Separador de milhares 3 2 2 12 2 2 2" xfId="28797"/>
    <cellStyle name="Separador de milhares 3 2 2 12 2 2 3" xfId="22883"/>
    <cellStyle name="Separador de milhares 3 2 2 12 2 2 4" xfId="16969"/>
    <cellStyle name="Separador de milhares 3 2 2 12 2 3" xfId="25840"/>
    <cellStyle name="Separador de milhares 3 2 2 12 2 4" xfId="19926"/>
    <cellStyle name="Separador de milhares 3 2 2 12 2 5" xfId="13828"/>
    <cellStyle name="Separador de milhares 3 2 2 12 3" xfId="9115"/>
    <cellStyle name="Separador de milhares 3 2 2 12 3 2" xfId="27329"/>
    <cellStyle name="Separador de milhares 3 2 2 12 3 3" xfId="21415"/>
    <cellStyle name="Separador de milhares 3 2 2 12 3 4" xfId="15501"/>
    <cellStyle name="Separador de milhares 3 2 2 12 4" xfId="5740"/>
    <cellStyle name="Separador de milhares 3 2 2 12 4 2" xfId="24372"/>
    <cellStyle name="Separador de milhares 3 2 2 12 5" xfId="18458"/>
    <cellStyle name="Separador de milhares 3 2 2 12 6" xfId="12127"/>
    <cellStyle name="Separador de milhares 3 2 2 13" xfId="6423"/>
    <cellStyle name="Separador de milhares 3 2 2 13 2" xfId="9579"/>
    <cellStyle name="Separador de milhares 3 2 2 13 2 2" xfId="27793"/>
    <cellStyle name="Separador de milhares 3 2 2 13 2 3" xfId="21879"/>
    <cellStyle name="Separador de milhares 3 2 2 13 2 4" xfId="15965"/>
    <cellStyle name="Separador de milhares 3 2 2 13 3" xfId="24836"/>
    <cellStyle name="Separador de milhares 3 2 2 13 4" xfId="18922"/>
    <cellStyle name="Separador de milhares 3 2 2 13 5" xfId="12812"/>
    <cellStyle name="Separador de milhares 3 2 2 14" xfId="8108"/>
    <cellStyle name="Separador de milhares 3 2 2 14 2" xfId="26322"/>
    <cellStyle name="Separador de milhares 3 2 2 14 3" xfId="20408"/>
    <cellStyle name="Separador de milhares 3 2 2 14 4" xfId="14497"/>
    <cellStyle name="Separador de milhares 3 2 2 15" xfId="4721"/>
    <cellStyle name="Separador de milhares 3 2 2 15 2" xfId="23365"/>
    <cellStyle name="Separador de milhares 3 2 2 16" xfId="17451"/>
    <cellStyle name="Separador de milhares 3 2 2 17" xfId="11111"/>
    <cellStyle name="Separador de milhares 3 2 2 2" xfId="162"/>
    <cellStyle name="Separador de milhares 3 2 2 2 10" xfId="6452"/>
    <cellStyle name="Separador de milhares 3 2 2 2 10 2" xfId="9606"/>
    <cellStyle name="Separador de milhares 3 2 2 2 10 2 2" xfId="27820"/>
    <cellStyle name="Separador de milhares 3 2 2 2 10 2 3" xfId="21906"/>
    <cellStyle name="Separador de milhares 3 2 2 2 10 2 4" xfId="15992"/>
    <cellStyle name="Separador de milhares 3 2 2 2 10 3" xfId="24863"/>
    <cellStyle name="Separador de milhares 3 2 2 2 10 4" xfId="18949"/>
    <cellStyle name="Separador de milhares 3 2 2 2 10 5" xfId="12841"/>
    <cellStyle name="Separador de milhares 3 2 2 2 11" xfId="8135"/>
    <cellStyle name="Separador de milhares 3 2 2 2 11 2" xfId="26349"/>
    <cellStyle name="Separador de milhares 3 2 2 2 11 3" xfId="20435"/>
    <cellStyle name="Separador de milhares 3 2 2 2 11 4" xfId="14524"/>
    <cellStyle name="Separador de milhares 3 2 2 2 12" xfId="4751"/>
    <cellStyle name="Separador de milhares 3 2 2 2 12 2" xfId="23392"/>
    <cellStyle name="Separador de milhares 3 2 2 2 13" xfId="17478"/>
    <cellStyle name="Separador de milhares 3 2 2 2 14" xfId="11140"/>
    <cellStyle name="Separador de milhares 3 2 2 2 2" xfId="435"/>
    <cellStyle name="Separador de milhares 3 2 2 2 2 10" xfId="17552"/>
    <cellStyle name="Separador de milhares 3 2 2 2 2 11" xfId="11221"/>
    <cellStyle name="Separador de milhares 3 2 2 2 2 2" xfId="1954"/>
    <cellStyle name="Separador de milhares 3 2 2 2 2 2 2" xfId="6971"/>
    <cellStyle name="Separador de milhares 3 2 2 2 2 2 2 2" xfId="10118"/>
    <cellStyle name="Separador de milhares 3 2 2 2 2 2 2 2 2" xfId="28332"/>
    <cellStyle name="Separador de milhares 3 2 2 2 2 2 2 2 3" xfId="22418"/>
    <cellStyle name="Separador de milhares 3 2 2 2 2 2 2 2 4" xfId="16504"/>
    <cellStyle name="Separador de milhares 3 2 2 2 2 2 2 3" xfId="25375"/>
    <cellStyle name="Separador de milhares 3 2 2 2 2 2 2 4" xfId="19461"/>
    <cellStyle name="Separador de milhares 3 2 2 2 2 2 2 5" xfId="13360"/>
    <cellStyle name="Separador de milhares 3 2 2 2 2 2 3" xfId="8650"/>
    <cellStyle name="Separador de milhares 3 2 2 2 2 2 3 2" xfId="26864"/>
    <cellStyle name="Separador de milhares 3 2 2 2 2 2 3 3" xfId="20950"/>
    <cellStyle name="Separador de milhares 3 2 2 2 2 2 3 4" xfId="15036"/>
    <cellStyle name="Separador de milhares 3 2 2 2 2 2 4" xfId="5272"/>
    <cellStyle name="Separador de milhares 3 2 2 2 2 2 4 2" xfId="23907"/>
    <cellStyle name="Separador de milhares 3 2 2 2 2 2 5" xfId="17993"/>
    <cellStyle name="Separador de milhares 3 2 2 2 2 2 6" xfId="11659"/>
    <cellStyle name="Separador de milhares 3 2 2 2 2 3" xfId="2484"/>
    <cellStyle name="Separador de milhares 3 2 2 2 2 3 2" xfId="7121"/>
    <cellStyle name="Separador de milhares 3 2 2 2 2 3 2 2" xfId="10265"/>
    <cellStyle name="Separador de milhares 3 2 2 2 2 3 2 2 2" xfId="28479"/>
    <cellStyle name="Separador de milhares 3 2 2 2 2 3 2 2 3" xfId="22565"/>
    <cellStyle name="Separador de milhares 3 2 2 2 2 3 2 2 4" xfId="16651"/>
    <cellStyle name="Separador de milhares 3 2 2 2 2 3 2 3" xfId="25522"/>
    <cellStyle name="Separador de milhares 3 2 2 2 2 3 2 4" xfId="19608"/>
    <cellStyle name="Separador de milhares 3 2 2 2 2 3 2 5" xfId="13510"/>
    <cellStyle name="Separador de milhares 3 2 2 2 2 3 3" xfId="8797"/>
    <cellStyle name="Separador de milhares 3 2 2 2 2 3 3 2" xfId="27011"/>
    <cellStyle name="Separador de milhares 3 2 2 2 2 3 3 3" xfId="21097"/>
    <cellStyle name="Separador de milhares 3 2 2 2 2 3 3 4" xfId="15183"/>
    <cellStyle name="Separador de milhares 3 2 2 2 2 3 4" xfId="5422"/>
    <cellStyle name="Separador de milhares 3 2 2 2 2 3 4 2" xfId="24054"/>
    <cellStyle name="Separador de milhares 3 2 2 2 2 3 5" xfId="18140"/>
    <cellStyle name="Separador de milhares 3 2 2 2 2 3 6" xfId="11809"/>
    <cellStyle name="Separador de milhares 3 2 2 2 2 4" xfId="3011"/>
    <cellStyle name="Separador de milhares 3 2 2 2 2 4 2" xfId="7268"/>
    <cellStyle name="Separador de milhares 3 2 2 2 2 4 2 2" xfId="10412"/>
    <cellStyle name="Separador de milhares 3 2 2 2 2 4 2 2 2" xfId="28626"/>
    <cellStyle name="Separador de milhares 3 2 2 2 2 4 2 2 3" xfId="22712"/>
    <cellStyle name="Separador de milhares 3 2 2 2 2 4 2 2 4" xfId="16798"/>
    <cellStyle name="Separador de milhares 3 2 2 2 2 4 2 3" xfId="25669"/>
    <cellStyle name="Separador de milhares 3 2 2 2 2 4 2 4" xfId="19755"/>
    <cellStyle name="Separador de milhares 3 2 2 2 2 4 2 5" xfId="13657"/>
    <cellStyle name="Separador de milhares 3 2 2 2 2 4 3" xfId="8944"/>
    <cellStyle name="Separador de milhares 3 2 2 2 2 4 3 2" xfId="27158"/>
    <cellStyle name="Separador de milhares 3 2 2 2 2 4 3 3" xfId="21244"/>
    <cellStyle name="Separador de milhares 3 2 2 2 2 4 3 4" xfId="15330"/>
    <cellStyle name="Separador de milhares 3 2 2 2 2 4 4" xfId="5569"/>
    <cellStyle name="Separador de milhares 3 2 2 2 2 4 4 2" xfId="24201"/>
    <cellStyle name="Separador de milhares 3 2 2 2 2 4 5" xfId="18287"/>
    <cellStyle name="Separador de milhares 3 2 2 2 2 4 6" xfId="11956"/>
    <cellStyle name="Separador de milhares 3 2 2 2 2 5" xfId="3538"/>
    <cellStyle name="Separador de milhares 3 2 2 2 2 5 2" xfId="7415"/>
    <cellStyle name="Separador de milhares 3 2 2 2 2 5 2 2" xfId="10559"/>
    <cellStyle name="Separador de milhares 3 2 2 2 2 5 2 2 2" xfId="28773"/>
    <cellStyle name="Separador de milhares 3 2 2 2 2 5 2 2 3" xfId="22859"/>
    <cellStyle name="Separador de milhares 3 2 2 2 2 5 2 2 4" xfId="16945"/>
    <cellStyle name="Separador de milhares 3 2 2 2 2 5 2 3" xfId="25816"/>
    <cellStyle name="Separador de milhares 3 2 2 2 2 5 2 4" xfId="19902"/>
    <cellStyle name="Separador de milhares 3 2 2 2 2 5 2 5" xfId="13804"/>
    <cellStyle name="Separador de milhares 3 2 2 2 2 5 3" xfId="9091"/>
    <cellStyle name="Separador de milhares 3 2 2 2 2 5 3 2" xfId="27305"/>
    <cellStyle name="Separador de milhares 3 2 2 2 2 5 3 3" xfId="21391"/>
    <cellStyle name="Separador de milhares 3 2 2 2 2 5 3 4" xfId="15477"/>
    <cellStyle name="Separador de milhares 3 2 2 2 2 5 4" xfId="5716"/>
    <cellStyle name="Separador de milhares 3 2 2 2 2 5 4 2" xfId="24348"/>
    <cellStyle name="Separador de milhares 3 2 2 2 2 5 5" xfId="18434"/>
    <cellStyle name="Separador de milhares 3 2 2 2 2 5 6" xfId="12103"/>
    <cellStyle name="Separador de milhares 3 2 2 2 2 6" xfId="4065"/>
    <cellStyle name="Separador de milhares 3 2 2 2 2 6 2" xfId="7562"/>
    <cellStyle name="Separador de milhares 3 2 2 2 2 6 2 2" xfId="10706"/>
    <cellStyle name="Separador de milhares 3 2 2 2 2 6 2 2 2" xfId="28920"/>
    <cellStyle name="Separador de milhares 3 2 2 2 2 6 2 2 3" xfId="23006"/>
    <cellStyle name="Separador de milhares 3 2 2 2 2 6 2 2 4" xfId="17092"/>
    <cellStyle name="Separador de milhares 3 2 2 2 2 6 2 3" xfId="25963"/>
    <cellStyle name="Separador de milhares 3 2 2 2 2 6 2 4" xfId="20049"/>
    <cellStyle name="Separador de milhares 3 2 2 2 2 6 2 5" xfId="13951"/>
    <cellStyle name="Separador de milhares 3 2 2 2 2 6 3" xfId="9238"/>
    <cellStyle name="Separador de milhares 3 2 2 2 2 6 3 2" xfId="27452"/>
    <cellStyle name="Separador de milhares 3 2 2 2 2 6 3 3" xfId="21538"/>
    <cellStyle name="Separador de milhares 3 2 2 2 2 6 3 4" xfId="15624"/>
    <cellStyle name="Separador de milhares 3 2 2 2 2 6 4" xfId="5863"/>
    <cellStyle name="Separador de milhares 3 2 2 2 2 6 4 2" xfId="24495"/>
    <cellStyle name="Separador de milhares 3 2 2 2 2 6 5" xfId="18581"/>
    <cellStyle name="Separador de milhares 3 2 2 2 2 6 6" xfId="12250"/>
    <cellStyle name="Separador de milhares 3 2 2 2 2 7" xfId="6533"/>
    <cellStyle name="Separador de milhares 3 2 2 2 2 7 2" xfId="9680"/>
    <cellStyle name="Separador de milhares 3 2 2 2 2 7 2 2" xfId="27894"/>
    <cellStyle name="Separador de milhares 3 2 2 2 2 7 2 3" xfId="21980"/>
    <cellStyle name="Separador de milhares 3 2 2 2 2 7 2 4" xfId="16066"/>
    <cellStyle name="Separador de milhares 3 2 2 2 2 7 3" xfId="24937"/>
    <cellStyle name="Separador de milhares 3 2 2 2 2 7 4" xfId="19023"/>
    <cellStyle name="Separador de milhares 3 2 2 2 2 7 5" xfId="12922"/>
    <cellStyle name="Separador de milhares 3 2 2 2 2 8" xfId="8209"/>
    <cellStyle name="Separador de milhares 3 2 2 2 2 8 2" xfId="26423"/>
    <cellStyle name="Separador de milhares 3 2 2 2 2 8 3" xfId="20509"/>
    <cellStyle name="Separador de milhares 3 2 2 2 2 8 4" xfId="14598"/>
    <cellStyle name="Separador de milhares 3 2 2 2 2 9" xfId="4832"/>
    <cellStyle name="Separador de milhares 3 2 2 2 2 9 2" xfId="23466"/>
    <cellStyle name="Separador de milhares 3 2 2 2 3" xfId="908"/>
    <cellStyle name="Separador de milhares 3 2 2 2 3 2" xfId="6684"/>
    <cellStyle name="Separador de milhares 3 2 2 2 3 2 2" xfId="9831"/>
    <cellStyle name="Separador de milhares 3 2 2 2 3 2 2 2" xfId="28045"/>
    <cellStyle name="Separador de milhares 3 2 2 2 3 2 2 3" xfId="22131"/>
    <cellStyle name="Separador de milhares 3 2 2 2 3 2 2 4" xfId="16217"/>
    <cellStyle name="Separador de milhares 3 2 2 2 3 2 3" xfId="25088"/>
    <cellStyle name="Separador de milhares 3 2 2 2 3 2 4" xfId="19174"/>
    <cellStyle name="Separador de milhares 3 2 2 2 3 2 5" xfId="13073"/>
    <cellStyle name="Separador de milhares 3 2 2 2 3 3" xfId="8363"/>
    <cellStyle name="Separador de milhares 3 2 2 2 3 3 2" xfId="26577"/>
    <cellStyle name="Separador de milhares 3 2 2 2 3 3 3" xfId="20663"/>
    <cellStyle name="Separador de milhares 3 2 2 2 3 3 4" xfId="14749"/>
    <cellStyle name="Separador de milhares 3 2 2 2 3 4" xfId="4985"/>
    <cellStyle name="Separador de milhares 3 2 2 2 3 4 2" xfId="23620"/>
    <cellStyle name="Separador de milhares 3 2 2 2 3 5" xfId="17706"/>
    <cellStyle name="Separador de milhares 3 2 2 2 3 6" xfId="11372"/>
    <cellStyle name="Separador de milhares 3 2 2 2 4" xfId="1259"/>
    <cellStyle name="Separador de milhares 3 2 2 2 4 2" xfId="6782"/>
    <cellStyle name="Separador de milhares 3 2 2 2 4 2 2" xfId="9929"/>
    <cellStyle name="Separador de milhares 3 2 2 2 4 2 2 2" xfId="28143"/>
    <cellStyle name="Separador de milhares 3 2 2 2 4 2 2 3" xfId="22229"/>
    <cellStyle name="Separador de milhares 3 2 2 2 4 2 2 4" xfId="16315"/>
    <cellStyle name="Separador de milhares 3 2 2 2 4 2 3" xfId="25186"/>
    <cellStyle name="Separador de milhares 3 2 2 2 4 2 4" xfId="19272"/>
    <cellStyle name="Separador de milhares 3 2 2 2 4 2 5" xfId="13171"/>
    <cellStyle name="Separador de milhares 3 2 2 2 4 3" xfId="8461"/>
    <cellStyle name="Separador de milhares 3 2 2 2 4 3 2" xfId="26675"/>
    <cellStyle name="Separador de milhares 3 2 2 2 4 3 3" xfId="20761"/>
    <cellStyle name="Separador de milhares 3 2 2 2 4 3 4" xfId="14847"/>
    <cellStyle name="Separador de milhares 3 2 2 2 4 4" xfId="5083"/>
    <cellStyle name="Separador de milhares 3 2 2 2 4 4 2" xfId="23718"/>
    <cellStyle name="Separador de milhares 3 2 2 2 4 5" xfId="17804"/>
    <cellStyle name="Separador de milhares 3 2 2 2 4 6" xfId="11470"/>
    <cellStyle name="Separador de milhares 3 2 2 2 5" xfId="1694"/>
    <cellStyle name="Separador de milhares 3 2 2 2 5 2" xfId="6901"/>
    <cellStyle name="Separador de milhares 3 2 2 2 5 2 2" xfId="10048"/>
    <cellStyle name="Separador de milhares 3 2 2 2 5 2 2 2" xfId="28262"/>
    <cellStyle name="Separador de milhares 3 2 2 2 5 2 2 3" xfId="22348"/>
    <cellStyle name="Separador de milhares 3 2 2 2 5 2 2 4" xfId="16434"/>
    <cellStyle name="Separador de milhares 3 2 2 2 5 2 3" xfId="25305"/>
    <cellStyle name="Separador de milhares 3 2 2 2 5 2 4" xfId="19391"/>
    <cellStyle name="Separador de milhares 3 2 2 2 5 2 5" xfId="13290"/>
    <cellStyle name="Separador de milhares 3 2 2 2 5 3" xfId="8580"/>
    <cellStyle name="Separador de milhares 3 2 2 2 5 3 2" xfId="26794"/>
    <cellStyle name="Separador de milhares 3 2 2 2 5 3 3" xfId="20880"/>
    <cellStyle name="Separador de milhares 3 2 2 2 5 3 4" xfId="14966"/>
    <cellStyle name="Separador de milhares 3 2 2 2 5 4" xfId="5202"/>
    <cellStyle name="Separador de milhares 3 2 2 2 5 4 2" xfId="23837"/>
    <cellStyle name="Separador de milhares 3 2 2 2 5 5" xfId="17923"/>
    <cellStyle name="Separador de milhares 3 2 2 2 5 6" xfId="11589"/>
    <cellStyle name="Separador de milhares 3 2 2 2 6" xfId="2224"/>
    <cellStyle name="Separador de milhares 3 2 2 2 6 2" xfId="7051"/>
    <cellStyle name="Separador de milhares 3 2 2 2 6 2 2" xfId="10195"/>
    <cellStyle name="Separador de milhares 3 2 2 2 6 2 2 2" xfId="28409"/>
    <cellStyle name="Separador de milhares 3 2 2 2 6 2 2 3" xfId="22495"/>
    <cellStyle name="Separador de milhares 3 2 2 2 6 2 2 4" xfId="16581"/>
    <cellStyle name="Separador de milhares 3 2 2 2 6 2 3" xfId="25452"/>
    <cellStyle name="Separador de milhares 3 2 2 2 6 2 4" xfId="19538"/>
    <cellStyle name="Separador de milhares 3 2 2 2 6 2 5" xfId="13440"/>
    <cellStyle name="Separador de milhares 3 2 2 2 6 3" xfId="8727"/>
    <cellStyle name="Separador de milhares 3 2 2 2 6 3 2" xfId="26941"/>
    <cellStyle name="Separador de milhares 3 2 2 2 6 3 3" xfId="21027"/>
    <cellStyle name="Separador de milhares 3 2 2 2 6 3 4" xfId="15113"/>
    <cellStyle name="Separador de milhares 3 2 2 2 6 4" xfId="5352"/>
    <cellStyle name="Separador de milhares 3 2 2 2 6 4 2" xfId="23984"/>
    <cellStyle name="Separador de milhares 3 2 2 2 6 5" xfId="18070"/>
    <cellStyle name="Separador de milhares 3 2 2 2 6 6" xfId="11739"/>
    <cellStyle name="Separador de milhares 3 2 2 2 7" xfId="2751"/>
    <cellStyle name="Separador de milhares 3 2 2 2 7 2" xfId="7198"/>
    <cellStyle name="Separador de milhares 3 2 2 2 7 2 2" xfId="10342"/>
    <cellStyle name="Separador de milhares 3 2 2 2 7 2 2 2" xfId="28556"/>
    <cellStyle name="Separador de milhares 3 2 2 2 7 2 2 3" xfId="22642"/>
    <cellStyle name="Separador de milhares 3 2 2 2 7 2 2 4" xfId="16728"/>
    <cellStyle name="Separador de milhares 3 2 2 2 7 2 3" xfId="25599"/>
    <cellStyle name="Separador de milhares 3 2 2 2 7 2 4" xfId="19685"/>
    <cellStyle name="Separador de milhares 3 2 2 2 7 2 5" xfId="13587"/>
    <cellStyle name="Separador de milhares 3 2 2 2 7 3" xfId="8874"/>
    <cellStyle name="Separador de milhares 3 2 2 2 7 3 2" xfId="27088"/>
    <cellStyle name="Separador de milhares 3 2 2 2 7 3 3" xfId="21174"/>
    <cellStyle name="Separador de milhares 3 2 2 2 7 3 4" xfId="15260"/>
    <cellStyle name="Separador de milhares 3 2 2 2 7 4" xfId="5499"/>
    <cellStyle name="Separador de milhares 3 2 2 2 7 4 2" xfId="24131"/>
    <cellStyle name="Separador de milhares 3 2 2 2 7 5" xfId="18217"/>
    <cellStyle name="Separador de milhares 3 2 2 2 7 6" xfId="11886"/>
    <cellStyle name="Separador de milhares 3 2 2 2 8" xfId="3278"/>
    <cellStyle name="Separador de milhares 3 2 2 2 8 2" xfId="7345"/>
    <cellStyle name="Separador de milhares 3 2 2 2 8 2 2" xfId="10489"/>
    <cellStyle name="Separador de milhares 3 2 2 2 8 2 2 2" xfId="28703"/>
    <cellStyle name="Separador de milhares 3 2 2 2 8 2 2 3" xfId="22789"/>
    <cellStyle name="Separador de milhares 3 2 2 2 8 2 2 4" xfId="16875"/>
    <cellStyle name="Separador de milhares 3 2 2 2 8 2 3" xfId="25746"/>
    <cellStyle name="Separador de milhares 3 2 2 2 8 2 4" xfId="19832"/>
    <cellStyle name="Separador de milhares 3 2 2 2 8 2 5" xfId="13734"/>
    <cellStyle name="Separador de milhares 3 2 2 2 8 3" xfId="9021"/>
    <cellStyle name="Separador de milhares 3 2 2 2 8 3 2" xfId="27235"/>
    <cellStyle name="Separador de milhares 3 2 2 2 8 3 3" xfId="21321"/>
    <cellStyle name="Separador de milhares 3 2 2 2 8 3 4" xfId="15407"/>
    <cellStyle name="Separador de milhares 3 2 2 2 8 4" xfId="5646"/>
    <cellStyle name="Separador de milhares 3 2 2 2 8 4 2" xfId="24278"/>
    <cellStyle name="Separador de milhares 3 2 2 2 8 5" xfId="18364"/>
    <cellStyle name="Separador de milhares 3 2 2 2 8 6" xfId="12033"/>
    <cellStyle name="Separador de milhares 3 2 2 2 9" xfId="3805"/>
    <cellStyle name="Separador de milhares 3 2 2 2 9 2" xfId="7492"/>
    <cellStyle name="Separador de milhares 3 2 2 2 9 2 2" xfId="10636"/>
    <cellStyle name="Separador de milhares 3 2 2 2 9 2 2 2" xfId="28850"/>
    <cellStyle name="Separador de milhares 3 2 2 2 9 2 2 3" xfId="22936"/>
    <cellStyle name="Separador de milhares 3 2 2 2 9 2 2 4" xfId="17022"/>
    <cellStyle name="Separador de milhares 3 2 2 2 9 2 3" xfId="25893"/>
    <cellStyle name="Separador de milhares 3 2 2 2 9 2 4" xfId="19979"/>
    <cellStyle name="Separador de milhares 3 2 2 2 9 2 5" xfId="13881"/>
    <cellStyle name="Separador de milhares 3 2 2 2 9 3" xfId="9168"/>
    <cellStyle name="Separador de milhares 3 2 2 2 9 3 2" xfId="27382"/>
    <cellStyle name="Separador de milhares 3 2 2 2 9 3 3" xfId="21468"/>
    <cellStyle name="Separador de milhares 3 2 2 2 9 3 4" xfId="15554"/>
    <cellStyle name="Separador de milhares 3 2 2 2 9 4" xfId="5793"/>
    <cellStyle name="Separador de milhares 3 2 2 2 9 4 2" xfId="24425"/>
    <cellStyle name="Separador de milhares 3 2 2 2 9 5" xfId="18511"/>
    <cellStyle name="Separador de milhares 3 2 2 2 9 6" xfId="12180"/>
    <cellStyle name="Separador de milhares 3 2 2 3" xfId="257"/>
    <cellStyle name="Separador de milhares 3 2 2 3 10" xfId="6483"/>
    <cellStyle name="Separador de milhares 3 2 2 3 10 2" xfId="9634"/>
    <cellStyle name="Separador de milhares 3 2 2 3 10 2 2" xfId="27848"/>
    <cellStyle name="Separador de milhares 3 2 2 3 10 2 3" xfId="21934"/>
    <cellStyle name="Separador de milhares 3 2 2 3 10 2 4" xfId="16020"/>
    <cellStyle name="Separador de milhares 3 2 2 3 10 3" xfId="24891"/>
    <cellStyle name="Separador de milhares 3 2 2 3 10 4" xfId="18977"/>
    <cellStyle name="Separador de milhares 3 2 2 3 10 5" xfId="12872"/>
    <cellStyle name="Separador de milhares 3 2 2 3 11" xfId="8163"/>
    <cellStyle name="Separador de milhares 3 2 2 3 11 2" xfId="26377"/>
    <cellStyle name="Separador de milhares 3 2 2 3 11 3" xfId="20463"/>
    <cellStyle name="Separador de milhares 3 2 2 3 11 4" xfId="14552"/>
    <cellStyle name="Separador de milhares 3 2 2 3 12" xfId="4782"/>
    <cellStyle name="Separador de milhares 3 2 2 3 12 2" xfId="23420"/>
    <cellStyle name="Separador de milhares 3 2 2 3 13" xfId="17506"/>
    <cellStyle name="Separador de milhares 3 2 2 3 14" xfId="11171"/>
    <cellStyle name="Separador de milhares 3 2 2 3 2" xfId="520"/>
    <cellStyle name="Separador de milhares 3 2 2 3 2 2" xfId="6554"/>
    <cellStyle name="Separador de milhares 3 2 2 3 2 2 2" xfId="9701"/>
    <cellStyle name="Separador de milhares 3 2 2 3 2 2 2 2" xfId="27915"/>
    <cellStyle name="Separador de milhares 3 2 2 3 2 2 2 3" xfId="22001"/>
    <cellStyle name="Separador de milhares 3 2 2 3 2 2 2 4" xfId="16087"/>
    <cellStyle name="Separador de milhares 3 2 2 3 2 2 3" xfId="24958"/>
    <cellStyle name="Separador de milhares 3 2 2 3 2 2 4" xfId="19044"/>
    <cellStyle name="Separador de milhares 3 2 2 3 2 2 5" xfId="12943"/>
    <cellStyle name="Separador de milhares 3 2 2 3 2 3" xfId="8230"/>
    <cellStyle name="Separador de milhares 3 2 2 3 2 3 2" xfId="26444"/>
    <cellStyle name="Separador de milhares 3 2 2 3 2 3 3" xfId="20530"/>
    <cellStyle name="Separador de milhares 3 2 2 3 2 3 4" xfId="14619"/>
    <cellStyle name="Separador de milhares 3 2 2 3 2 4" xfId="4853"/>
    <cellStyle name="Separador de milhares 3 2 2 3 2 4 2" xfId="23487"/>
    <cellStyle name="Separador de milhares 3 2 2 3 2 5" xfId="17573"/>
    <cellStyle name="Separador de milhares 3 2 2 3 2 6" xfId="11242"/>
    <cellStyle name="Separador de milhares 3 2 2 3 3" xfId="817"/>
    <cellStyle name="Separador de milhares 3 2 2 3 3 2" xfId="6656"/>
    <cellStyle name="Separador de milhares 3 2 2 3 3 2 2" xfId="9803"/>
    <cellStyle name="Separador de milhares 3 2 2 3 3 2 2 2" xfId="28017"/>
    <cellStyle name="Separador de milhares 3 2 2 3 3 2 2 3" xfId="22103"/>
    <cellStyle name="Separador de milhares 3 2 2 3 3 2 2 4" xfId="16189"/>
    <cellStyle name="Separador de milhares 3 2 2 3 3 2 3" xfId="25060"/>
    <cellStyle name="Separador de milhares 3 2 2 3 3 2 4" xfId="19146"/>
    <cellStyle name="Separador de milhares 3 2 2 3 3 2 5" xfId="13045"/>
    <cellStyle name="Separador de milhares 3 2 2 3 3 3" xfId="8335"/>
    <cellStyle name="Separador de milhares 3 2 2 3 3 3 2" xfId="26549"/>
    <cellStyle name="Separador de milhares 3 2 2 3 3 3 3" xfId="20635"/>
    <cellStyle name="Separador de milhares 3 2 2 3 3 3 4" xfId="14721"/>
    <cellStyle name="Separador de milhares 3 2 2 3 3 4" xfId="4957"/>
    <cellStyle name="Separador de milhares 3 2 2 3 3 4 2" xfId="23592"/>
    <cellStyle name="Separador de milhares 3 2 2 3 3 5" xfId="17678"/>
    <cellStyle name="Separador de milhares 3 2 2 3 3 6" xfId="11344"/>
    <cellStyle name="Separador de milhares 3 2 2 3 4" xfId="1168"/>
    <cellStyle name="Separador de milhares 3 2 2 3 4 2" xfId="6754"/>
    <cellStyle name="Separador de milhares 3 2 2 3 4 2 2" xfId="9901"/>
    <cellStyle name="Separador de milhares 3 2 2 3 4 2 2 2" xfId="28115"/>
    <cellStyle name="Separador de milhares 3 2 2 3 4 2 2 3" xfId="22201"/>
    <cellStyle name="Separador de milhares 3 2 2 3 4 2 2 4" xfId="16287"/>
    <cellStyle name="Separador de milhares 3 2 2 3 4 2 3" xfId="25158"/>
    <cellStyle name="Separador de milhares 3 2 2 3 4 2 4" xfId="19244"/>
    <cellStyle name="Separador de milhares 3 2 2 3 4 2 5" xfId="13143"/>
    <cellStyle name="Separador de milhares 3 2 2 3 4 3" xfId="8433"/>
    <cellStyle name="Separador de milhares 3 2 2 3 4 3 2" xfId="26647"/>
    <cellStyle name="Separador de milhares 3 2 2 3 4 3 3" xfId="20733"/>
    <cellStyle name="Separador de milhares 3 2 2 3 4 3 4" xfId="14819"/>
    <cellStyle name="Separador de milhares 3 2 2 3 4 4" xfId="5055"/>
    <cellStyle name="Separador de milhares 3 2 2 3 4 4 2" xfId="23690"/>
    <cellStyle name="Separador de milhares 3 2 2 3 4 5" xfId="17776"/>
    <cellStyle name="Separador de milhares 3 2 2 3 4 6" xfId="11442"/>
    <cellStyle name="Separador de milhares 3 2 2 3 5" xfId="1603"/>
    <cellStyle name="Separador de milhares 3 2 2 3 5 2" xfId="6873"/>
    <cellStyle name="Separador de milhares 3 2 2 3 5 2 2" xfId="10020"/>
    <cellStyle name="Separador de milhares 3 2 2 3 5 2 2 2" xfId="28234"/>
    <cellStyle name="Separador de milhares 3 2 2 3 5 2 2 3" xfId="22320"/>
    <cellStyle name="Separador de milhares 3 2 2 3 5 2 2 4" xfId="16406"/>
    <cellStyle name="Separador de milhares 3 2 2 3 5 2 3" xfId="25277"/>
    <cellStyle name="Separador de milhares 3 2 2 3 5 2 4" xfId="19363"/>
    <cellStyle name="Separador de milhares 3 2 2 3 5 2 5" xfId="13262"/>
    <cellStyle name="Separador de milhares 3 2 2 3 5 3" xfId="8552"/>
    <cellStyle name="Separador de milhares 3 2 2 3 5 3 2" xfId="26766"/>
    <cellStyle name="Separador de milhares 3 2 2 3 5 3 3" xfId="20852"/>
    <cellStyle name="Separador de milhares 3 2 2 3 5 3 4" xfId="14938"/>
    <cellStyle name="Separador de milhares 3 2 2 3 5 4" xfId="5174"/>
    <cellStyle name="Separador de milhares 3 2 2 3 5 4 2" xfId="23809"/>
    <cellStyle name="Separador de milhares 3 2 2 3 5 5" xfId="17895"/>
    <cellStyle name="Separador de milhares 3 2 2 3 5 6" xfId="11561"/>
    <cellStyle name="Separador de milhares 3 2 2 3 6" xfId="2133"/>
    <cellStyle name="Separador de milhares 3 2 2 3 6 2" xfId="7023"/>
    <cellStyle name="Separador de milhares 3 2 2 3 6 2 2" xfId="10167"/>
    <cellStyle name="Separador de milhares 3 2 2 3 6 2 2 2" xfId="28381"/>
    <cellStyle name="Separador de milhares 3 2 2 3 6 2 2 3" xfId="22467"/>
    <cellStyle name="Separador de milhares 3 2 2 3 6 2 2 4" xfId="16553"/>
    <cellStyle name="Separador de milhares 3 2 2 3 6 2 3" xfId="25424"/>
    <cellStyle name="Separador de milhares 3 2 2 3 6 2 4" xfId="19510"/>
    <cellStyle name="Separador de milhares 3 2 2 3 6 2 5" xfId="13412"/>
    <cellStyle name="Separador de milhares 3 2 2 3 6 3" xfId="8699"/>
    <cellStyle name="Separador de milhares 3 2 2 3 6 3 2" xfId="26913"/>
    <cellStyle name="Separador de milhares 3 2 2 3 6 3 3" xfId="20999"/>
    <cellStyle name="Separador de milhares 3 2 2 3 6 3 4" xfId="15085"/>
    <cellStyle name="Separador de milhares 3 2 2 3 6 4" xfId="5324"/>
    <cellStyle name="Separador de milhares 3 2 2 3 6 4 2" xfId="23956"/>
    <cellStyle name="Separador de milhares 3 2 2 3 6 5" xfId="18042"/>
    <cellStyle name="Separador de milhares 3 2 2 3 6 6" xfId="11711"/>
    <cellStyle name="Separador de milhares 3 2 2 3 7" xfId="2660"/>
    <cellStyle name="Separador de milhares 3 2 2 3 7 2" xfId="7170"/>
    <cellStyle name="Separador de milhares 3 2 2 3 7 2 2" xfId="10314"/>
    <cellStyle name="Separador de milhares 3 2 2 3 7 2 2 2" xfId="28528"/>
    <cellStyle name="Separador de milhares 3 2 2 3 7 2 2 3" xfId="22614"/>
    <cellStyle name="Separador de milhares 3 2 2 3 7 2 2 4" xfId="16700"/>
    <cellStyle name="Separador de milhares 3 2 2 3 7 2 3" xfId="25571"/>
    <cellStyle name="Separador de milhares 3 2 2 3 7 2 4" xfId="19657"/>
    <cellStyle name="Separador de milhares 3 2 2 3 7 2 5" xfId="13559"/>
    <cellStyle name="Separador de milhares 3 2 2 3 7 3" xfId="8846"/>
    <cellStyle name="Separador de milhares 3 2 2 3 7 3 2" xfId="27060"/>
    <cellStyle name="Separador de milhares 3 2 2 3 7 3 3" xfId="21146"/>
    <cellStyle name="Separador de milhares 3 2 2 3 7 3 4" xfId="15232"/>
    <cellStyle name="Separador de milhares 3 2 2 3 7 4" xfId="5471"/>
    <cellStyle name="Separador de milhares 3 2 2 3 7 4 2" xfId="24103"/>
    <cellStyle name="Separador de milhares 3 2 2 3 7 5" xfId="18189"/>
    <cellStyle name="Separador de milhares 3 2 2 3 7 6" xfId="11858"/>
    <cellStyle name="Separador de milhares 3 2 2 3 8" xfId="3187"/>
    <cellStyle name="Separador de milhares 3 2 2 3 8 2" xfId="7317"/>
    <cellStyle name="Separador de milhares 3 2 2 3 8 2 2" xfId="10461"/>
    <cellStyle name="Separador de milhares 3 2 2 3 8 2 2 2" xfId="28675"/>
    <cellStyle name="Separador de milhares 3 2 2 3 8 2 2 3" xfId="22761"/>
    <cellStyle name="Separador de milhares 3 2 2 3 8 2 2 4" xfId="16847"/>
    <cellStyle name="Separador de milhares 3 2 2 3 8 2 3" xfId="25718"/>
    <cellStyle name="Separador de milhares 3 2 2 3 8 2 4" xfId="19804"/>
    <cellStyle name="Separador de milhares 3 2 2 3 8 2 5" xfId="13706"/>
    <cellStyle name="Separador de milhares 3 2 2 3 8 3" xfId="8993"/>
    <cellStyle name="Separador de milhares 3 2 2 3 8 3 2" xfId="27207"/>
    <cellStyle name="Separador de milhares 3 2 2 3 8 3 3" xfId="21293"/>
    <cellStyle name="Separador de milhares 3 2 2 3 8 3 4" xfId="15379"/>
    <cellStyle name="Separador de milhares 3 2 2 3 8 4" xfId="5618"/>
    <cellStyle name="Separador de milhares 3 2 2 3 8 4 2" xfId="24250"/>
    <cellStyle name="Separador de milhares 3 2 2 3 8 5" xfId="18336"/>
    <cellStyle name="Separador de milhares 3 2 2 3 8 6" xfId="12005"/>
    <cellStyle name="Separador de milhares 3 2 2 3 9" xfId="3714"/>
    <cellStyle name="Separador de milhares 3 2 2 3 9 2" xfId="7464"/>
    <cellStyle name="Separador de milhares 3 2 2 3 9 2 2" xfId="10608"/>
    <cellStyle name="Separador de milhares 3 2 2 3 9 2 2 2" xfId="28822"/>
    <cellStyle name="Separador de milhares 3 2 2 3 9 2 2 3" xfId="22908"/>
    <cellStyle name="Separador de milhares 3 2 2 3 9 2 2 4" xfId="16994"/>
    <cellStyle name="Separador de milhares 3 2 2 3 9 2 3" xfId="25865"/>
    <cellStyle name="Separador de milhares 3 2 2 3 9 2 4" xfId="19951"/>
    <cellStyle name="Separador de milhares 3 2 2 3 9 2 5" xfId="13853"/>
    <cellStyle name="Separador de milhares 3 2 2 3 9 3" xfId="9140"/>
    <cellStyle name="Separador de milhares 3 2 2 3 9 3 2" xfId="27354"/>
    <cellStyle name="Separador de milhares 3 2 2 3 9 3 3" xfId="21440"/>
    <cellStyle name="Separador de milhares 3 2 2 3 9 3 4" xfId="15526"/>
    <cellStyle name="Separador de milhares 3 2 2 3 9 4" xfId="5765"/>
    <cellStyle name="Separador de milhares 3 2 2 3 9 4 2" xfId="24397"/>
    <cellStyle name="Separador de milhares 3 2 2 3 9 5" xfId="18483"/>
    <cellStyle name="Separador de milhares 3 2 2 3 9 6" xfId="12152"/>
    <cellStyle name="Separador de milhares 3 2 2 4" xfId="350"/>
    <cellStyle name="Separador de milhares 3 2 2 4 10" xfId="6511"/>
    <cellStyle name="Separador de milhares 3 2 2 4 10 2" xfId="9659"/>
    <cellStyle name="Separador de milhares 3 2 2 4 10 2 2" xfId="27873"/>
    <cellStyle name="Separador de milhares 3 2 2 4 10 2 3" xfId="21959"/>
    <cellStyle name="Separador de milhares 3 2 2 4 10 2 4" xfId="16045"/>
    <cellStyle name="Separador de milhares 3 2 2 4 10 3" xfId="24916"/>
    <cellStyle name="Separador de milhares 3 2 2 4 10 4" xfId="19002"/>
    <cellStyle name="Separador de milhares 3 2 2 4 10 5" xfId="12900"/>
    <cellStyle name="Separador de milhares 3 2 2 4 11" xfId="8188"/>
    <cellStyle name="Separador de milhares 3 2 2 4 11 2" xfId="26402"/>
    <cellStyle name="Separador de milhares 3 2 2 4 11 3" xfId="20488"/>
    <cellStyle name="Separador de milhares 3 2 2 4 11 4" xfId="14577"/>
    <cellStyle name="Separador de milhares 3 2 2 4 12" xfId="4810"/>
    <cellStyle name="Separador de milhares 3 2 2 4 12 2" xfId="23445"/>
    <cellStyle name="Separador de milhares 3 2 2 4 13" xfId="17531"/>
    <cellStyle name="Separador de milhares 3 2 2 4 14" xfId="11199"/>
    <cellStyle name="Separador de milhares 3 2 2 4 2" xfId="995"/>
    <cellStyle name="Separador de milhares 3 2 2 4 2 2" xfId="6708"/>
    <cellStyle name="Separador de milhares 3 2 2 4 2 2 2" xfId="9855"/>
    <cellStyle name="Separador de milhares 3 2 2 4 2 2 2 2" xfId="28069"/>
    <cellStyle name="Separador de milhares 3 2 2 4 2 2 2 3" xfId="22155"/>
    <cellStyle name="Separador de milhares 3 2 2 4 2 2 2 4" xfId="16241"/>
    <cellStyle name="Separador de milhares 3 2 2 4 2 2 3" xfId="25112"/>
    <cellStyle name="Separador de milhares 3 2 2 4 2 2 4" xfId="19198"/>
    <cellStyle name="Separador de milhares 3 2 2 4 2 2 5" xfId="13097"/>
    <cellStyle name="Separador de milhares 3 2 2 4 2 3" xfId="8387"/>
    <cellStyle name="Separador de milhares 3 2 2 4 2 3 2" xfId="26601"/>
    <cellStyle name="Separador de milhares 3 2 2 4 2 3 3" xfId="20687"/>
    <cellStyle name="Separador de milhares 3 2 2 4 2 3 4" xfId="14773"/>
    <cellStyle name="Separador de milhares 3 2 2 4 2 4" xfId="5009"/>
    <cellStyle name="Separador de milhares 3 2 2 4 2 4 2" xfId="23644"/>
    <cellStyle name="Separador de milhares 3 2 2 4 2 5" xfId="17730"/>
    <cellStyle name="Separador de milhares 3 2 2 4 2 6" xfId="11396"/>
    <cellStyle name="Separador de milhares 3 2 2 4 3" xfId="1346"/>
    <cellStyle name="Separador de milhares 3 2 2 4 3 2" xfId="6806"/>
    <cellStyle name="Separador de milhares 3 2 2 4 3 2 2" xfId="9953"/>
    <cellStyle name="Separador de milhares 3 2 2 4 3 2 2 2" xfId="28167"/>
    <cellStyle name="Separador de milhares 3 2 2 4 3 2 2 3" xfId="22253"/>
    <cellStyle name="Separador de milhares 3 2 2 4 3 2 2 4" xfId="16339"/>
    <cellStyle name="Separador de milhares 3 2 2 4 3 2 3" xfId="25210"/>
    <cellStyle name="Separador de milhares 3 2 2 4 3 2 4" xfId="19296"/>
    <cellStyle name="Separador de milhares 3 2 2 4 3 2 5" xfId="13195"/>
    <cellStyle name="Separador de milhares 3 2 2 4 3 3" xfId="8485"/>
    <cellStyle name="Separador de milhares 3 2 2 4 3 3 2" xfId="26699"/>
    <cellStyle name="Separador de milhares 3 2 2 4 3 3 3" xfId="20785"/>
    <cellStyle name="Separador de milhares 3 2 2 4 3 3 4" xfId="14871"/>
    <cellStyle name="Separador de milhares 3 2 2 4 3 4" xfId="5107"/>
    <cellStyle name="Separador de milhares 3 2 2 4 3 4 2" xfId="23742"/>
    <cellStyle name="Separador de milhares 3 2 2 4 3 5" xfId="17828"/>
    <cellStyle name="Separador de milhares 3 2 2 4 3 6" xfId="11494"/>
    <cellStyle name="Separador de milhares 3 2 2 4 4" xfId="1781"/>
    <cellStyle name="Separador de milhares 3 2 2 4 4 2" xfId="6925"/>
    <cellStyle name="Separador de milhares 3 2 2 4 4 2 2" xfId="10072"/>
    <cellStyle name="Separador de milhares 3 2 2 4 4 2 2 2" xfId="28286"/>
    <cellStyle name="Separador de milhares 3 2 2 4 4 2 2 3" xfId="22372"/>
    <cellStyle name="Separador de milhares 3 2 2 4 4 2 2 4" xfId="16458"/>
    <cellStyle name="Separador de milhares 3 2 2 4 4 2 3" xfId="25329"/>
    <cellStyle name="Separador de milhares 3 2 2 4 4 2 4" xfId="19415"/>
    <cellStyle name="Separador de milhares 3 2 2 4 4 2 5" xfId="13314"/>
    <cellStyle name="Separador de milhares 3 2 2 4 4 3" xfId="8604"/>
    <cellStyle name="Separador de milhares 3 2 2 4 4 3 2" xfId="26818"/>
    <cellStyle name="Separador de milhares 3 2 2 4 4 3 3" xfId="20904"/>
    <cellStyle name="Separador de milhares 3 2 2 4 4 3 4" xfId="14990"/>
    <cellStyle name="Separador de milhares 3 2 2 4 4 4" xfId="5226"/>
    <cellStyle name="Separador de milhares 3 2 2 4 4 4 2" xfId="23861"/>
    <cellStyle name="Separador de milhares 3 2 2 4 4 5" xfId="17947"/>
    <cellStyle name="Separador de milhares 3 2 2 4 4 6" xfId="11613"/>
    <cellStyle name="Separador de milhares 3 2 2 4 5" xfId="2311"/>
    <cellStyle name="Separador de milhares 3 2 2 4 5 2" xfId="7075"/>
    <cellStyle name="Separador de milhares 3 2 2 4 5 2 2" xfId="10219"/>
    <cellStyle name="Separador de milhares 3 2 2 4 5 2 2 2" xfId="28433"/>
    <cellStyle name="Separador de milhares 3 2 2 4 5 2 2 3" xfId="22519"/>
    <cellStyle name="Separador de milhares 3 2 2 4 5 2 2 4" xfId="16605"/>
    <cellStyle name="Separador de milhares 3 2 2 4 5 2 3" xfId="25476"/>
    <cellStyle name="Separador de milhares 3 2 2 4 5 2 4" xfId="19562"/>
    <cellStyle name="Separador de milhares 3 2 2 4 5 2 5" xfId="13464"/>
    <cellStyle name="Separador de milhares 3 2 2 4 5 3" xfId="8751"/>
    <cellStyle name="Separador de milhares 3 2 2 4 5 3 2" xfId="26965"/>
    <cellStyle name="Separador de milhares 3 2 2 4 5 3 3" xfId="21051"/>
    <cellStyle name="Separador de milhares 3 2 2 4 5 3 4" xfId="15137"/>
    <cellStyle name="Separador de milhares 3 2 2 4 5 4" xfId="5376"/>
    <cellStyle name="Separador de milhares 3 2 2 4 5 4 2" xfId="24008"/>
    <cellStyle name="Separador de milhares 3 2 2 4 5 5" xfId="18094"/>
    <cellStyle name="Separador de milhares 3 2 2 4 5 6" xfId="11763"/>
    <cellStyle name="Separador de milhares 3 2 2 4 6" xfId="2838"/>
    <cellStyle name="Separador de milhares 3 2 2 4 6 2" xfId="7222"/>
    <cellStyle name="Separador de milhares 3 2 2 4 6 2 2" xfId="10366"/>
    <cellStyle name="Separador de milhares 3 2 2 4 6 2 2 2" xfId="28580"/>
    <cellStyle name="Separador de milhares 3 2 2 4 6 2 2 3" xfId="22666"/>
    <cellStyle name="Separador de milhares 3 2 2 4 6 2 2 4" xfId="16752"/>
    <cellStyle name="Separador de milhares 3 2 2 4 6 2 3" xfId="25623"/>
    <cellStyle name="Separador de milhares 3 2 2 4 6 2 4" xfId="19709"/>
    <cellStyle name="Separador de milhares 3 2 2 4 6 2 5" xfId="13611"/>
    <cellStyle name="Separador de milhares 3 2 2 4 6 3" xfId="8898"/>
    <cellStyle name="Separador de milhares 3 2 2 4 6 3 2" xfId="27112"/>
    <cellStyle name="Separador de milhares 3 2 2 4 6 3 3" xfId="21198"/>
    <cellStyle name="Separador de milhares 3 2 2 4 6 3 4" xfId="15284"/>
    <cellStyle name="Separador de milhares 3 2 2 4 6 4" xfId="5523"/>
    <cellStyle name="Separador de milhares 3 2 2 4 6 4 2" xfId="24155"/>
    <cellStyle name="Separador de milhares 3 2 2 4 6 5" xfId="18241"/>
    <cellStyle name="Separador de milhares 3 2 2 4 6 6" xfId="11910"/>
    <cellStyle name="Separador de milhares 3 2 2 4 7" xfId="3365"/>
    <cellStyle name="Separador de milhares 3 2 2 4 7 2" xfId="7369"/>
    <cellStyle name="Separador de milhares 3 2 2 4 7 2 2" xfId="10513"/>
    <cellStyle name="Separador de milhares 3 2 2 4 7 2 2 2" xfId="28727"/>
    <cellStyle name="Separador de milhares 3 2 2 4 7 2 2 3" xfId="22813"/>
    <cellStyle name="Separador de milhares 3 2 2 4 7 2 2 4" xfId="16899"/>
    <cellStyle name="Separador de milhares 3 2 2 4 7 2 3" xfId="25770"/>
    <cellStyle name="Separador de milhares 3 2 2 4 7 2 4" xfId="19856"/>
    <cellStyle name="Separador de milhares 3 2 2 4 7 2 5" xfId="13758"/>
    <cellStyle name="Separador de milhares 3 2 2 4 7 3" xfId="9045"/>
    <cellStyle name="Separador de milhares 3 2 2 4 7 3 2" xfId="27259"/>
    <cellStyle name="Separador de milhares 3 2 2 4 7 3 3" xfId="21345"/>
    <cellStyle name="Separador de milhares 3 2 2 4 7 3 4" xfId="15431"/>
    <cellStyle name="Separador de milhares 3 2 2 4 7 4" xfId="5670"/>
    <cellStyle name="Separador de milhares 3 2 2 4 7 4 2" xfId="24302"/>
    <cellStyle name="Separador de milhares 3 2 2 4 7 5" xfId="18388"/>
    <cellStyle name="Separador de milhares 3 2 2 4 7 6" xfId="12057"/>
    <cellStyle name="Separador de milhares 3 2 2 4 8" xfId="3892"/>
    <cellStyle name="Separador de milhares 3 2 2 4 8 2" xfId="7516"/>
    <cellStyle name="Separador de milhares 3 2 2 4 8 2 2" xfId="10660"/>
    <cellStyle name="Separador de milhares 3 2 2 4 8 2 2 2" xfId="28874"/>
    <cellStyle name="Separador de milhares 3 2 2 4 8 2 2 3" xfId="22960"/>
    <cellStyle name="Separador de milhares 3 2 2 4 8 2 2 4" xfId="17046"/>
    <cellStyle name="Separador de milhares 3 2 2 4 8 2 3" xfId="25917"/>
    <cellStyle name="Separador de milhares 3 2 2 4 8 2 4" xfId="20003"/>
    <cellStyle name="Separador de milhares 3 2 2 4 8 2 5" xfId="13905"/>
    <cellStyle name="Separador de milhares 3 2 2 4 8 3" xfId="9192"/>
    <cellStyle name="Separador de milhares 3 2 2 4 8 3 2" xfId="27406"/>
    <cellStyle name="Separador de milhares 3 2 2 4 8 3 3" xfId="21492"/>
    <cellStyle name="Separador de milhares 3 2 2 4 8 3 4" xfId="15578"/>
    <cellStyle name="Separador de milhares 3 2 2 4 8 4" xfId="5817"/>
    <cellStyle name="Separador de milhares 3 2 2 4 8 4 2" xfId="24449"/>
    <cellStyle name="Separador de milhares 3 2 2 4 8 5" xfId="18535"/>
    <cellStyle name="Separador de milhares 3 2 2 4 8 6" xfId="12204"/>
    <cellStyle name="Separador de milhares 3 2 2 4 9" xfId="675"/>
    <cellStyle name="Separador de milhares 3 2 2 4 9 2" xfId="6610"/>
    <cellStyle name="Separador de milhares 3 2 2 4 9 2 2" xfId="9757"/>
    <cellStyle name="Separador de milhares 3 2 2 4 9 2 2 2" xfId="27971"/>
    <cellStyle name="Separador de milhares 3 2 2 4 9 2 2 3" xfId="22057"/>
    <cellStyle name="Separador de milhares 3 2 2 4 9 2 2 4" xfId="16143"/>
    <cellStyle name="Separador de milhares 3 2 2 4 9 2 3" xfId="25014"/>
    <cellStyle name="Separador de milhares 3 2 2 4 9 2 4" xfId="19100"/>
    <cellStyle name="Separador de milhares 3 2 2 4 9 2 5" xfId="12999"/>
    <cellStyle name="Separador de milhares 3 2 2 4 9 3" xfId="8289"/>
    <cellStyle name="Separador de milhares 3 2 2 4 9 3 2" xfId="26503"/>
    <cellStyle name="Separador de milhares 3 2 2 4 9 3 3" xfId="20589"/>
    <cellStyle name="Separador de milhares 3 2 2 4 9 3 4" xfId="14675"/>
    <cellStyle name="Separador de milhares 3 2 2 4 9 4" xfId="4911"/>
    <cellStyle name="Separador de milhares 3 2 2 4 9 4 2" xfId="23546"/>
    <cellStyle name="Separador de milhares 3 2 2 4 9 5" xfId="17632"/>
    <cellStyle name="Separador de milhares 3 2 2 4 9 6" xfId="11298"/>
    <cellStyle name="Separador de milhares 3 2 2 5" xfId="607"/>
    <cellStyle name="Separador de milhares 3 2 2 5 10" xfId="4875"/>
    <cellStyle name="Separador de milhares 3 2 2 5 10 2" xfId="23509"/>
    <cellStyle name="Separador de milhares 3 2 2 5 11" xfId="17595"/>
    <cellStyle name="Separador de milhares 3 2 2 5 12" xfId="11264"/>
    <cellStyle name="Separador de milhares 3 2 2 5 2" xfId="1430"/>
    <cellStyle name="Separador de milhares 3 2 2 5 2 2" xfId="6827"/>
    <cellStyle name="Separador de milhares 3 2 2 5 2 2 2" xfId="9974"/>
    <cellStyle name="Separador de milhares 3 2 2 5 2 2 2 2" xfId="28188"/>
    <cellStyle name="Separador de milhares 3 2 2 5 2 2 2 3" xfId="22274"/>
    <cellStyle name="Separador de milhares 3 2 2 5 2 2 2 4" xfId="16360"/>
    <cellStyle name="Separador de milhares 3 2 2 5 2 2 3" xfId="25231"/>
    <cellStyle name="Separador de milhares 3 2 2 5 2 2 4" xfId="19317"/>
    <cellStyle name="Separador de milhares 3 2 2 5 2 2 5" xfId="13216"/>
    <cellStyle name="Separador de milhares 3 2 2 5 2 3" xfId="8506"/>
    <cellStyle name="Separador de milhares 3 2 2 5 2 3 2" xfId="26720"/>
    <cellStyle name="Separador de milhares 3 2 2 5 2 3 3" xfId="20806"/>
    <cellStyle name="Separador de milhares 3 2 2 5 2 3 4" xfId="14892"/>
    <cellStyle name="Separador de milhares 3 2 2 5 2 4" xfId="5128"/>
    <cellStyle name="Separador de milhares 3 2 2 5 2 4 2" xfId="23763"/>
    <cellStyle name="Separador de milhares 3 2 2 5 2 5" xfId="17849"/>
    <cellStyle name="Separador de milhares 3 2 2 5 2 6" xfId="11515"/>
    <cellStyle name="Separador de milhares 3 2 2 5 3" xfId="1865"/>
    <cellStyle name="Separador de milhares 3 2 2 5 3 2" xfId="6946"/>
    <cellStyle name="Separador de milhares 3 2 2 5 3 2 2" xfId="10093"/>
    <cellStyle name="Separador de milhares 3 2 2 5 3 2 2 2" xfId="28307"/>
    <cellStyle name="Separador de milhares 3 2 2 5 3 2 2 3" xfId="22393"/>
    <cellStyle name="Separador de milhares 3 2 2 5 3 2 2 4" xfId="16479"/>
    <cellStyle name="Separador de milhares 3 2 2 5 3 2 3" xfId="25350"/>
    <cellStyle name="Separador de milhares 3 2 2 5 3 2 4" xfId="19436"/>
    <cellStyle name="Separador de milhares 3 2 2 5 3 2 5" xfId="13335"/>
    <cellStyle name="Separador de milhares 3 2 2 5 3 3" xfId="8625"/>
    <cellStyle name="Separador de milhares 3 2 2 5 3 3 2" xfId="26839"/>
    <cellStyle name="Separador de milhares 3 2 2 5 3 3 3" xfId="20925"/>
    <cellStyle name="Separador de milhares 3 2 2 5 3 3 4" xfId="15011"/>
    <cellStyle name="Separador de milhares 3 2 2 5 3 4" xfId="5247"/>
    <cellStyle name="Separador de milhares 3 2 2 5 3 4 2" xfId="23882"/>
    <cellStyle name="Separador de milhares 3 2 2 5 3 5" xfId="17968"/>
    <cellStyle name="Separador de milhares 3 2 2 5 3 6" xfId="11634"/>
    <cellStyle name="Separador de milhares 3 2 2 5 4" xfId="2395"/>
    <cellStyle name="Separador de milhares 3 2 2 5 4 2" xfId="7096"/>
    <cellStyle name="Separador de milhares 3 2 2 5 4 2 2" xfId="10240"/>
    <cellStyle name="Separador de milhares 3 2 2 5 4 2 2 2" xfId="28454"/>
    <cellStyle name="Separador de milhares 3 2 2 5 4 2 2 3" xfId="22540"/>
    <cellStyle name="Separador de milhares 3 2 2 5 4 2 2 4" xfId="16626"/>
    <cellStyle name="Separador de milhares 3 2 2 5 4 2 3" xfId="25497"/>
    <cellStyle name="Separador de milhares 3 2 2 5 4 2 4" xfId="19583"/>
    <cellStyle name="Separador de milhares 3 2 2 5 4 2 5" xfId="13485"/>
    <cellStyle name="Separador de milhares 3 2 2 5 4 3" xfId="8772"/>
    <cellStyle name="Separador de milhares 3 2 2 5 4 3 2" xfId="26986"/>
    <cellStyle name="Separador de milhares 3 2 2 5 4 3 3" xfId="21072"/>
    <cellStyle name="Separador de milhares 3 2 2 5 4 3 4" xfId="15158"/>
    <cellStyle name="Separador de milhares 3 2 2 5 4 4" xfId="5397"/>
    <cellStyle name="Separador de milhares 3 2 2 5 4 4 2" xfId="24029"/>
    <cellStyle name="Separador de milhares 3 2 2 5 4 5" xfId="18115"/>
    <cellStyle name="Separador de milhares 3 2 2 5 4 6" xfId="11784"/>
    <cellStyle name="Separador de milhares 3 2 2 5 5" xfId="2922"/>
    <cellStyle name="Separador de milhares 3 2 2 5 5 2" xfId="7243"/>
    <cellStyle name="Separador de milhares 3 2 2 5 5 2 2" xfId="10387"/>
    <cellStyle name="Separador de milhares 3 2 2 5 5 2 2 2" xfId="28601"/>
    <cellStyle name="Separador de milhares 3 2 2 5 5 2 2 3" xfId="22687"/>
    <cellStyle name="Separador de milhares 3 2 2 5 5 2 2 4" xfId="16773"/>
    <cellStyle name="Separador de milhares 3 2 2 5 5 2 3" xfId="25644"/>
    <cellStyle name="Separador de milhares 3 2 2 5 5 2 4" xfId="19730"/>
    <cellStyle name="Separador de milhares 3 2 2 5 5 2 5" xfId="13632"/>
    <cellStyle name="Separador de milhares 3 2 2 5 5 3" xfId="8919"/>
    <cellStyle name="Separador de milhares 3 2 2 5 5 3 2" xfId="27133"/>
    <cellStyle name="Separador de milhares 3 2 2 5 5 3 3" xfId="21219"/>
    <cellStyle name="Separador de milhares 3 2 2 5 5 3 4" xfId="15305"/>
    <cellStyle name="Separador de milhares 3 2 2 5 5 4" xfId="5544"/>
    <cellStyle name="Separador de milhares 3 2 2 5 5 4 2" xfId="24176"/>
    <cellStyle name="Separador de milhares 3 2 2 5 5 5" xfId="18262"/>
    <cellStyle name="Separador de milhares 3 2 2 5 5 6" xfId="11931"/>
    <cellStyle name="Separador de milhares 3 2 2 5 6" xfId="3449"/>
    <cellStyle name="Separador de milhares 3 2 2 5 6 2" xfId="7390"/>
    <cellStyle name="Separador de milhares 3 2 2 5 6 2 2" xfId="10534"/>
    <cellStyle name="Separador de milhares 3 2 2 5 6 2 2 2" xfId="28748"/>
    <cellStyle name="Separador de milhares 3 2 2 5 6 2 2 3" xfId="22834"/>
    <cellStyle name="Separador de milhares 3 2 2 5 6 2 2 4" xfId="16920"/>
    <cellStyle name="Separador de milhares 3 2 2 5 6 2 3" xfId="25791"/>
    <cellStyle name="Separador de milhares 3 2 2 5 6 2 4" xfId="19877"/>
    <cellStyle name="Separador de milhares 3 2 2 5 6 2 5" xfId="13779"/>
    <cellStyle name="Separador de milhares 3 2 2 5 6 3" xfId="9066"/>
    <cellStyle name="Separador de milhares 3 2 2 5 6 3 2" xfId="27280"/>
    <cellStyle name="Separador de milhares 3 2 2 5 6 3 3" xfId="21366"/>
    <cellStyle name="Separador de milhares 3 2 2 5 6 3 4" xfId="15452"/>
    <cellStyle name="Separador de milhares 3 2 2 5 6 4" xfId="5691"/>
    <cellStyle name="Separador de milhares 3 2 2 5 6 4 2" xfId="24323"/>
    <cellStyle name="Separador de milhares 3 2 2 5 6 5" xfId="18409"/>
    <cellStyle name="Separador de milhares 3 2 2 5 6 6" xfId="12078"/>
    <cellStyle name="Separador de milhares 3 2 2 5 7" xfId="3976"/>
    <cellStyle name="Separador de milhares 3 2 2 5 7 2" xfId="7537"/>
    <cellStyle name="Separador de milhares 3 2 2 5 7 2 2" xfId="10681"/>
    <cellStyle name="Separador de milhares 3 2 2 5 7 2 2 2" xfId="28895"/>
    <cellStyle name="Separador de milhares 3 2 2 5 7 2 2 3" xfId="22981"/>
    <cellStyle name="Separador de milhares 3 2 2 5 7 2 2 4" xfId="17067"/>
    <cellStyle name="Separador de milhares 3 2 2 5 7 2 3" xfId="25938"/>
    <cellStyle name="Separador de milhares 3 2 2 5 7 2 4" xfId="20024"/>
    <cellStyle name="Separador de milhares 3 2 2 5 7 2 5" xfId="13926"/>
    <cellStyle name="Separador de milhares 3 2 2 5 7 3" xfId="9213"/>
    <cellStyle name="Separador de milhares 3 2 2 5 7 3 2" xfId="27427"/>
    <cellStyle name="Separador de milhares 3 2 2 5 7 3 3" xfId="21513"/>
    <cellStyle name="Separador de milhares 3 2 2 5 7 3 4" xfId="15599"/>
    <cellStyle name="Separador de milhares 3 2 2 5 7 4" xfId="5838"/>
    <cellStyle name="Separador de milhares 3 2 2 5 7 4 2" xfId="24470"/>
    <cellStyle name="Separador de milhares 3 2 2 5 7 5" xfId="18556"/>
    <cellStyle name="Separador de milhares 3 2 2 5 7 6" xfId="12225"/>
    <cellStyle name="Separador de milhares 3 2 2 5 8" xfId="6576"/>
    <cellStyle name="Separador de milhares 3 2 2 5 8 2" xfId="9723"/>
    <cellStyle name="Separador de milhares 3 2 2 5 8 2 2" xfId="27937"/>
    <cellStyle name="Separador de milhares 3 2 2 5 8 2 3" xfId="22023"/>
    <cellStyle name="Separador de milhares 3 2 2 5 8 2 4" xfId="16109"/>
    <cellStyle name="Separador de milhares 3 2 2 5 8 3" xfId="24980"/>
    <cellStyle name="Separador de milhares 3 2 2 5 8 4" xfId="19066"/>
    <cellStyle name="Separador de milhares 3 2 2 5 8 5" xfId="12965"/>
    <cellStyle name="Separador de milhares 3 2 2 5 9" xfId="8252"/>
    <cellStyle name="Separador de milhares 3 2 2 5 9 2" xfId="26466"/>
    <cellStyle name="Separador de milhares 3 2 2 5 9 3" xfId="20552"/>
    <cellStyle name="Separador de milhares 3 2 2 5 9 4" xfId="14641"/>
    <cellStyle name="Separador de milhares 3 2 2 6" xfId="728"/>
    <cellStyle name="Separador de milhares 3 2 2 6 2" xfId="4152"/>
    <cellStyle name="Separador de milhares 3 2 2 6 2 2" xfId="7586"/>
    <cellStyle name="Separador de milhares 3 2 2 6 2 2 2" xfId="10730"/>
    <cellStyle name="Separador de milhares 3 2 2 6 2 2 2 2" xfId="28944"/>
    <cellStyle name="Separador de milhares 3 2 2 6 2 2 2 3" xfId="23030"/>
    <cellStyle name="Separador de milhares 3 2 2 6 2 2 2 4" xfId="17116"/>
    <cellStyle name="Separador de milhares 3 2 2 6 2 2 3" xfId="25987"/>
    <cellStyle name="Separador de milhares 3 2 2 6 2 2 4" xfId="20073"/>
    <cellStyle name="Separador de milhares 3 2 2 6 2 2 5" xfId="13975"/>
    <cellStyle name="Separador de milhares 3 2 2 6 2 3" xfId="9262"/>
    <cellStyle name="Separador de milhares 3 2 2 6 2 3 2" xfId="27476"/>
    <cellStyle name="Separador de milhares 3 2 2 6 2 3 3" xfId="21562"/>
    <cellStyle name="Separador de milhares 3 2 2 6 2 3 4" xfId="15648"/>
    <cellStyle name="Separador de milhares 3 2 2 6 2 4" xfId="5887"/>
    <cellStyle name="Separador de milhares 3 2 2 6 2 4 2" xfId="24519"/>
    <cellStyle name="Separador de milhares 3 2 2 6 2 5" xfId="18605"/>
    <cellStyle name="Separador de milhares 3 2 2 6 2 6" xfId="12274"/>
    <cellStyle name="Separador de milhares 3 2 2 6 3" xfId="6631"/>
    <cellStyle name="Separador de milhares 3 2 2 6 3 2" xfId="9778"/>
    <cellStyle name="Separador de milhares 3 2 2 6 3 2 2" xfId="27992"/>
    <cellStyle name="Separador de milhares 3 2 2 6 3 2 3" xfId="22078"/>
    <cellStyle name="Separador de milhares 3 2 2 6 3 2 4" xfId="16164"/>
    <cellStyle name="Separador de milhares 3 2 2 6 3 3" xfId="25035"/>
    <cellStyle name="Separador de milhares 3 2 2 6 3 4" xfId="19121"/>
    <cellStyle name="Separador de milhares 3 2 2 6 3 5" xfId="13020"/>
    <cellStyle name="Separador de milhares 3 2 2 6 4" xfId="8310"/>
    <cellStyle name="Separador de milhares 3 2 2 6 4 2" xfId="26524"/>
    <cellStyle name="Separador de milhares 3 2 2 6 4 3" xfId="20610"/>
    <cellStyle name="Separador de milhares 3 2 2 6 4 4" xfId="14696"/>
    <cellStyle name="Separador de milhares 3 2 2 6 5" xfId="4932"/>
    <cellStyle name="Separador de milhares 3 2 2 6 5 2" xfId="23567"/>
    <cellStyle name="Separador de milhares 3 2 2 6 6" xfId="17653"/>
    <cellStyle name="Separador de milhares 3 2 2 6 7" xfId="11319"/>
    <cellStyle name="Separador de milhares 3 2 2 7" xfId="1079"/>
    <cellStyle name="Separador de milhares 3 2 2 7 2" xfId="6729"/>
    <cellStyle name="Separador de milhares 3 2 2 7 2 2" xfId="9876"/>
    <cellStyle name="Separador de milhares 3 2 2 7 2 2 2" xfId="28090"/>
    <cellStyle name="Separador de milhares 3 2 2 7 2 2 3" xfId="22176"/>
    <cellStyle name="Separador de milhares 3 2 2 7 2 2 4" xfId="16262"/>
    <cellStyle name="Separador de milhares 3 2 2 7 2 3" xfId="25133"/>
    <cellStyle name="Separador de milhares 3 2 2 7 2 4" xfId="19219"/>
    <cellStyle name="Separador de milhares 3 2 2 7 2 5" xfId="13118"/>
    <cellStyle name="Separador de milhares 3 2 2 7 3" xfId="8408"/>
    <cellStyle name="Separador de milhares 3 2 2 7 3 2" xfId="26622"/>
    <cellStyle name="Separador de milhares 3 2 2 7 3 3" xfId="20708"/>
    <cellStyle name="Separador de milhares 3 2 2 7 3 4" xfId="14794"/>
    <cellStyle name="Separador de milhares 3 2 2 7 4" xfId="5030"/>
    <cellStyle name="Separador de milhares 3 2 2 7 4 2" xfId="23665"/>
    <cellStyle name="Separador de milhares 3 2 2 7 5" xfId="17751"/>
    <cellStyle name="Separador de milhares 3 2 2 7 6" xfId="11417"/>
    <cellStyle name="Separador de milhares 3 2 2 8" xfId="1514"/>
    <cellStyle name="Separador de milhares 3 2 2 8 2" xfId="6848"/>
    <cellStyle name="Separador de milhares 3 2 2 8 2 2" xfId="9995"/>
    <cellStyle name="Separador de milhares 3 2 2 8 2 2 2" xfId="28209"/>
    <cellStyle name="Separador de milhares 3 2 2 8 2 2 3" xfId="22295"/>
    <cellStyle name="Separador de milhares 3 2 2 8 2 2 4" xfId="16381"/>
    <cellStyle name="Separador de milhares 3 2 2 8 2 3" xfId="25252"/>
    <cellStyle name="Separador de milhares 3 2 2 8 2 4" xfId="19338"/>
    <cellStyle name="Separador de milhares 3 2 2 8 2 5" xfId="13237"/>
    <cellStyle name="Separador de milhares 3 2 2 8 3" xfId="8527"/>
    <cellStyle name="Separador de milhares 3 2 2 8 3 2" xfId="26741"/>
    <cellStyle name="Separador de milhares 3 2 2 8 3 3" xfId="20827"/>
    <cellStyle name="Separador de milhares 3 2 2 8 3 4" xfId="14913"/>
    <cellStyle name="Separador de milhares 3 2 2 8 4" xfId="5149"/>
    <cellStyle name="Separador de milhares 3 2 2 8 4 2" xfId="23784"/>
    <cellStyle name="Separador de milhares 3 2 2 8 5" xfId="17870"/>
    <cellStyle name="Separador de milhares 3 2 2 8 6" xfId="11536"/>
    <cellStyle name="Separador de milhares 3 2 2 9" xfId="2044"/>
    <cellStyle name="Separador de milhares 3 2 2 9 2" xfId="6998"/>
    <cellStyle name="Separador de milhares 3 2 2 9 2 2" xfId="10142"/>
    <cellStyle name="Separador de milhares 3 2 2 9 2 2 2" xfId="28356"/>
    <cellStyle name="Separador de milhares 3 2 2 9 2 2 3" xfId="22442"/>
    <cellStyle name="Separador de milhares 3 2 2 9 2 2 4" xfId="16528"/>
    <cellStyle name="Separador de milhares 3 2 2 9 2 3" xfId="25399"/>
    <cellStyle name="Separador de milhares 3 2 2 9 2 4" xfId="19485"/>
    <cellStyle name="Separador de milhares 3 2 2 9 2 5" xfId="13387"/>
    <cellStyle name="Separador de milhares 3 2 2 9 3" xfId="8674"/>
    <cellStyle name="Separador de milhares 3 2 2 9 3 2" xfId="26888"/>
    <cellStyle name="Separador de milhares 3 2 2 9 3 3" xfId="20974"/>
    <cellStyle name="Separador de milhares 3 2 2 9 3 4" xfId="15060"/>
    <cellStyle name="Separador de milhares 3 2 2 9 4" xfId="5299"/>
    <cellStyle name="Separador de milhares 3 2 2 9 4 2" xfId="23931"/>
    <cellStyle name="Separador de milhares 3 2 2 9 5" xfId="18017"/>
    <cellStyle name="Separador de milhares 3 2 2 9 6" xfId="11686"/>
    <cellStyle name="Separador de milhares 3 2 20" xfId="8099"/>
    <cellStyle name="Separador de milhares 3 2 20 2" xfId="26313"/>
    <cellStyle name="Separador de milhares 3 2 20 3" xfId="20399"/>
    <cellStyle name="Separador de milhares 3 2 20 4" xfId="14488"/>
    <cellStyle name="Separador de milhares 3 2 21" xfId="4712"/>
    <cellStyle name="Separador de milhares 3 2 21 2" xfId="23356"/>
    <cellStyle name="Separador de milhares 3 2 22" xfId="17442"/>
    <cellStyle name="Separador de milhares 3 2 23" xfId="11102"/>
    <cellStyle name="Separador de milhares 3 2 3" xfId="76"/>
    <cellStyle name="Separador de milhares 3 2 3 10" xfId="2579"/>
    <cellStyle name="Separador de milhares 3 2 3 10 2" xfId="7147"/>
    <cellStyle name="Separador de milhares 3 2 3 10 2 2" xfId="10291"/>
    <cellStyle name="Separador de milhares 3 2 3 10 2 2 2" xfId="28505"/>
    <cellStyle name="Separador de milhares 3 2 3 10 2 2 3" xfId="22591"/>
    <cellStyle name="Separador de milhares 3 2 3 10 2 2 4" xfId="16677"/>
    <cellStyle name="Separador de milhares 3 2 3 10 2 3" xfId="25548"/>
    <cellStyle name="Separador de milhares 3 2 3 10 2 4" xfId="19634"/>
    <cellStyle name="Separador de milhares 3 2 3 10 2 5" xfId="13536"/>
    <cellStyle name="Separador de milhares 3 2 3 10 3" xfId="8823"/>
    <cellStyle name="Separador de milhares 3 2 3 10 3 2" xfId="27037"/>
    <cellStyle name="Separador de milhares 3 2 3 10 3 3" xfId="21123"/>
    <cellStyle name="Separador de milhares 3 2 3 10 3 4" xfId="15209"/>
    <cellStyle name="Separador de milhares 3 2 3 10 4" xfId="5448"/>
    <cellStyle name="Separador de milhares 3 2 3 10 4 2" xfId="24080"/>
    <cellStyle name="Separador de milhares 3 2 3 10 5" xfId="18166"/>
    <cellStyle name="Separador de milhares 3 2 3 10 6" xfId="11835"/>
    <cellStyle name="Separador de milhares 3 2 3 11" xfId="3106"/>
    <cellStyle name="Separador de milhares 3 2 3 11 2" xfId="7294"/>
    <cellStyle name="Separador de milhares 3 2 3 11 2 2" xfId="10438"/>
    <cellStyle name="Separador de milhares 3 2 3 11 2 2 2" xfId="28652"/>
    <cellStyle name="Separador de milhares 3 2 3 11 2 2 3" xfId="22738"/>
    <cellStyle name="Separador de milhares 3 2 3 11 2 2 4" xfId="16824"/>
    <cellStyle name="Separador de milhares 3 2 3 11 2 3" xfId="25695"/>
    <cellStyle name="Separador de milhares 3 2 3 11 2 4" xfId="19781"/>
    <cellStyle name="Separador de milhares 3 2 3 11 2 5" xfId="13683"/>
    <cellStyle name="Separador de milhares 3 2 3 11 3" xfId="8970"/>
    <cellStyle name="Separador de milhares 3 2 3 11 3 2" xfId="27184"/>
    <cellStyle name="Separador de milhares 3 2 3 11 3 3" xfId="21270"/>
    <cellStyle name="Separador de milhares 3 2 3 11 3 4" xfId="15356"/>
    <cellStyle name="Separador de milhares 3 2 3 11 4" xfId="5595"/>
    <cellStyle name="Separador de milhares 3 2 3 11 4 2" xfId="24227"/>
    <cellStyle name="Separador de milhares 3 2 3 11 5" xfId="18313"/>
    <cellStyle name="Separador de milhares 3 2 3 11 6" xfId="11982"/>
    <cellStyle name="Separador de milhares 3 2 3 12" xfId="3633"/>
    <cellStyle name="Separador de milhares 3 2 3 12 2" xfId="7441"/>
    <cellStyle name="Separador de milhares 3 2 3 12 2 2" xfId="10585"/>
    <cellStyle name="Separador de milhares 3 2 3 12 2 2 2" xfId="28799"/>
    <cellStyle name="Separador de milhares 3 2 3 12 2 2 3" xfId="22885"/>
    <cellStyle name="Separador de milhares 3 2 3 12 2 2 4" xfId="16971"/>
    <cellStyle name="Separador de milhares 3 2 3 12 2 3" xfId="25842"/>
    <cellStyle name="Separador de milhares 3 2 3 12 2 4" xfId="19928"/>
    <cellStyle name="Separador de milhares 3 2 3 12 2 5" xfId="13830"/>
    <cellStyle name="Separador de milhares 3 2 3 12 3" xfId="9117"/>
    <cellStyle name="Separador de milhares 3 2 3 12 3 2" xfId="27331"/>
    <cellStyle name="Separador de milhares 3 2 3 12 3 3" xfId="21417"/>
    <cellStyle name="Separador de milhares 3 2 3 12 3 4" xfId="15503"/>
    <cellStyle name="Separador de milhares 3 2 3 12 4" xfId="5742"/>
    <cellStyle name="Separador de milhares 3 2 3 12 4 2" xfId="24374"/>
    <cellStyle name="Separador de milhares 3 2 3 12 5" xfId="18460"/>
    <cellStyle name="Separador de milhares 3 2 3 12 6" xfId="12129"/>
    <cellStyle name="Separador de milhares 3 2 3 13" xfId="6425"/>
    <cellStyle name="Separador de milhares 3 2 3 13 2" xfId="9581"/>
    <cellStyle name="Separador de milhares 3 2 3 13 2 2" xfId="27795"/>
    <cellStyle name="Separador de milhares 3 2 3 13 2 3" xfId="21881"/>
    <cellStyle name="Separador de milhares 3 2 3 13 2 4" xfId="15967"/>
    <cellStyle name="Separador de milhares 3 2 3 13 3" xfId="24838"/>
    <cellStyle name="Separador de milhares 3 2 3 13 4" xfId="18924"/>
    <cellStyle name="Separador de milhares 3 2 3 13 5" xfId="12814"/>
    <cellStyle name="Separador de milhares 3 2 3 14" xfId="8110"/>
    <cellStyle name="Separador de milhares 3 2 3 14 2" xfId="26324"/>
    <cellStyle name="Separador de milhares 3 2 3 14 3" xfId="20410"/>
    <cellStyle name="Separador de milhares 3 2 3 14 4" xfId="14499"/>
    <cellStyle name="Separador de milhares 3 2 3 15" xfId="4723"/>
    <cellStyle name="Separador de milhares 3 2 3 15 2" xfId="23367"/>
    <cellStyle name="Separador de milhares 3 2 3 16" xfId="17453"/>
    <cellStyle name="Separador de milhares 3 2 3 17" xfId="11113"/>
    <cellStyle name="Separador de milhares 3 2 3 2" xfId="170"/>
    <cellStyle name="Separador de milhares 3 2 3 2 10" xfId="6454"/>
    <cellStyle name="Separador de milhares 3 2 3 2 10 2" xfId="9608"/>
    <cellStyle name="Separador de milhares 3 2 3 2 10 2 2" xfId="27822"/>
    <cellStyle name="Separador de milhares 3 2 3 2 10 2 3" xfId="21908"/>
    <cellStyle name="Separador de milhares 3 2 3 2 10 2 4" xfId="15994"/>
    <cellStyle name="Separador de milhares 3 2 3 2 10 3" xfId="24865"/>
    <cellStyle name="Separador de milhares 3 2 3 2 10 4" xfId="18951"/>
    <cellStyle name="Separador de milhares 3 2 3 2 10 5" xfId="12843"/>
    <cellStyle name="Separador de milhares 3 2 3 2 11" xfId="8137"/>
    <cellStyle name="Separador de milhares 3 2 3 2 11 2" xfId="26351"/>
    <cellStyle name="Separador de milhares 3 2 3 2 11 3" xfId="20437"/>
    <cellStyle name="Separador de milhares 3 2 3 2 11 4" xfId="14526"/>
    <cellStyle name="Separador de milhares 3 2 3 2 12" xfId="4753"/>
    <cellStyle name="Separador de milhares 3 2 3 2 12 2" xfId="23394"/>
    <cellStyle name="Separador de milhares 3 2 3 2 13" xfId="17480"/>
    <cellStyle name="Separador de milhares 3 2 3 2 14" xfId="11142"/>
    <cellStyle name="Separador de milhares 3 2 3 2 2" xfId="443"/>
    <cellStyle name="Separador de milhares 3 2 3 2 2 10" xfId="17554"/>
    <cellStyle name="Separador de milhares 3 2 3 2 2 11" xfId="11223"/>
    <cellStyle name="Separador de milhares 3 2 3 2 2 2" xfId="1962"/>
    <cellStyle name="Separador de milhares 3 2 3 2 2 2 2" xfId="6973"/>
    <cellStyle name="Separador de milhares 3 2 3 2 2 2 2 2" xfId="10120"/>
    <cellStyle name="Separador de milhares 3 2 3 2 2 2 2 2 2" xfId="28334"/>
    <cellStyle name="Separador de milhares 3 2 3 2 2 2 2 2 3" xfId="22420"/>
    <cellStyle name="Separador de milhares 3 2 3 2 2 2 2 2 4" xfId="16506"/>
    <cellStyle name="Separador de milhares 3 2 3 2 2 2 2 3" xfId="25377"/>
    <cellStyle name="Separador de milhares 3 2 3 2 2 2 2 4" xfId="19463"/>
    <cellStyle name="Separador de milhares 3 2 3 2 2 2 2 5" xfId="13362"/>
    <cellStyle name="Separador de milhares 3 2 3 2 2 2 3" xfId="8652"/>
    <cellStyle name="Separador de milhares 3 2 3 2 2 2 3 2" xfId="26866"/>
    <cellStyle name="Separador de milhares 3 2 3 2 2 2 3 3" xfId="20952"/>
    <cellStyle name="Separador de milhares 3 2 3 2 2 2 3 4" xfId="15038"/>
    <cellStyle name="Separador de milhares 3 2 3 2 2 2 4" xfId="5274"/>
    <cellStyle name="Separador de milhares 3 2 3 2 2 2 4 2" xfId="23909"/>
    <cellStyle name="Separador de milhares 3 2 3 2 2 2 5" xfId="17995"/>
    <cellStyle name="Separador de milhares 3 2 3 2 2 2 6" xfId="11661"/>
    <cellStyle name="Separador de milhares 3 2 3 2 2 3" xfId="2492"/>
    <cellStyle name="Separador de milhares 3 2 3 2 2 3 2" xfId="7123"/>
    <cellStyle name="Separador de milhares 3 2 3 2 2 3 2 2" xfId="10267"/>
    <cellStyle name="Separador de milhares 3 2 3 2 2 3 2 2 2" xfId="28481"/>
    <cellStyle name="Separador de milhares 3 2 3 2 2 3 2 2 3" xfId="22567"/>
    <cellStyle name="Separador de milhares 3 2 3 2 2 3 2 2 4" xfId="16653"/>
    <cellStyle name="Separador de milhares 3 2 3 2 2 3 2 3" xfId="25524"/>
    <cellStyle name="Separador de milhares 3 2 3 2 2 3 2 4" xfId="19610"/>
    <cellStyle name="Separador de milhares 3 2 3 2 2 3 2 5" xfId="13512"/>
    <cellStyle name="Separador de milhares 3 2 3 2 2 3 3" xfId="8799"/>
    <cellStyle name="Separador de milhares 3 2 3 2 2 3 3 2" xfId="27013"/>
    <cellStyle name="Separador de milhares 3 2 3 2 2 3 3 3" xfId="21099"/>
    <cellStyle name="Separador de milhares 3 2 3 2 2 3 3 4" xfId="15185"/>
    <cellStyle name="Separador de milhares 3 2 3 2 2 3 4" xfId="5424"/>
    <cellStyle name="Separador de milhares 3 2 3 2 2 3 4 2" xfId="24056"/>
    <cellStyle name="Separador de milhares 3 2 3 2 2 3 5" xfId="18142"/>
    <cellStyle name="Separador de milhares 3 2 3 2 2 3 6" xfId="11811"/>
    <cellStyle name="Separador de milhares 3 2 3 2 2 4" xfId="3019"/>
    <cellStyle name="Separador de milhares 3 2 3 2 2 4 2" xfId="7270"/>
    <cellStyle name="Separador de milhares 3 2 3 2 2 4 2 2" xfId="10414"/>
    <cellStyle name="Separador de milhares 3 2 3 2 2 4 2 2 2" xfId="28628"/>
    <cellStyle name="Separador de milhares 3 2 3 2 2 4 2 2 3" xfId="22714"/>
    <cellStyle name="Separador de milhares 3 2 3 2 2 4 2 2 4" xfId="16800"/>
    <cellStyle name="Separador de milhares 3 2 3 2 2 4 2 3" xfId="25671"/>
    <cellStyle name="Separador de milhares 3 2 3 2 2 4 2 4" xfId="19757"/>
    <cellStyle name="Separador de milhares 3 2 3 2 2 4 2 5" xfId="13659"/>
    <cellStyle name="Separador de milhares 3 2 3 2 2 4 3" xfId="8946"/>
    <cellStyle name="Separador de milhares 3 2 3 2 2 4 3 2" xfId="27160"/>
    <cellStyle name="Separador de milhares 3 2 3 2 2 4 3 3" xfId="21246"/>
    <cellStyle name="Separador de milhares 3 2 3 2 2 4 3 4" xfId="15332"/>
    <cellStyle name="Separador de milhares 3 2 3 2 2 4 4" xfId="5571"/>
    <cellStyle name="Separador de milhares 3 2 3 2 2 4 4 2" xfId="24203"/>
    <cellStyle name="Separador de milhares 3 2 3 2 2 4 5" xfId="18289"/>
    <cellStyle name="Separador de milhares 3 2 3 2 2 4 6" xfId="11958"/>
    <cellStyle name="Separador de milhares 3 2 3 2 2 5" xfId="3546"/>
    <cellStyle name="Separador de milhares 3 2 3 2 2 5 2" xfId="7417"/>
    <cellStyle name="Separador de milhares 3 2 3 2 2 5 2 2" xfId="10561"/>
    <cellStyle name="Separador de milhares 3 2 3 2 2 5 2 2 2" xfId="28775"/>
    <cellStyle name="Separador de milhares 3 2 3 2 2 5 2 2 3" xfId="22861"/>
    <cellStyle name="Separador de milhares 3 2 3 2 2 5 2 2 4" xfId="16947"/>
    <cellStyle name="Separador de milhares 3 2 3 2 2 5 2 3" xfId="25818"/>
    <cellStyle name="Separador de milhares 3 2 3 2 2 5 2 4" xfId="19904"/>
    <cellStyle name="Separador de milhares 3 2 3 2 2 5 2 5" xfId="13806"/>
    <cellStyle name="Separador de milhares 3 2 3 2 2 5 3" xfId="9093"/>
    <cellStyle name="Separador de milhares 3 2 3 2 2 5 3 2" xfId="27307"/>
    <cellStyle name="Separador de milhares 3 2 3 2 2 5 3 3" xfId="21393"/>
    <cellStyle name="Separador de milhares 3 2 3 2 2 5 3 4" xfId="15479"/>
    <cellStyle name="Separador de milhares 3 2 3 2 2 5 4" xfId="5718"/>
    <cellStyle name="Separador de milhares 3 2 3 2 2 5 4 2" xfId="24350"/>
    <cellStyle name="Separador de milhares 3 2 3 2 2 5 5" xfId="18436"/>
    <cellStyle name="Separador de milhares 3 2 3 2 2 5 6" xfId="12105"/>
    <cellStyle name="Separador de milhares 3 2 3 2 2 6" xfId="4073"/>
    <cellStyle name="Separador de milhares 3 2 3 2 2 6 2" xfId="7564"/>
    <cellStyle name="Separador de milhares 3 2 3 2 2 6 2 2" xfId="10708"/>
    <cellStyle name="Separador de milhares 3 2 3 2 2 6 2 2 2" xfId="28922"/>
    <cellStyle name="Separador de milhares 3 2 3 2 2 6 2 2 3" xfId="23008"/>
    <cellStyle name="Separador de milhares 3 2 3 2 2 6 2 2 4" xfId="17094"/>
    <cellStyle name="Separador de milhares 3 2 3 2 2 6 2 3" xfId="25965"/>
    <cellStyle name="Separador de milhares 3 2 3 2 2 6 2 4" xfId="20051"/>
    <cellStyle name="Separador de milhares 3 2 3 2 2 6 2 5" xfId="13953"/>
    <cellStyle name="Separador de milhares 3 2 3 2 2 6 3" xfId="9240"/>
    <cellStyle name="Separador de milhares 3 2 3 2 2 6 3 2" xfId="27454"/>
    <cellStyle name="Separador de milhares 3 2 3 2 2 6 3 3" xfId="21540"/>
    <cellStyle name="Separador de milhares 3 2 3 2 2 6 3 4" xfId="15626"/>
    <cellStyle name="Separador de milhares 3 2 3 2 2 6 4" xfId="5865"/>
    <cellStyle name="Separador de milhares 3 2 3 2 2 6 4 2" xfId="24497"/>
    <cellStyle name="Separador de milhares 3 2 3 2 2 6 5" xfId="18583"/>
    <cellStyle name="Separador de milhares 3 2 3 2 2 6 6" xfId="12252"/>
    <cellStyle name="Separador de milhares 3 2 3 2 2 7" xfId="6535"/>
    <cellStyle name="Separador de milhares 3 2 3 2 2 7 2" xfId="9682"/>
    <cellStyle name="Separador de milhares 3 2 3 2 2 7 2 2" xfId="27896"/>
    <cellStyle name="Separador de milhares 3 2 3 2 2 7 2 3" xfId="21982"/>
    <cellStyle name="Separador de milhares 3 2 3 2 2 7 2 4" xfId="16068"/>
    <cellStyle name="Separador de milhares 3 2 3 2 2 7 3" xfId="24939"/>
    <cellStyle name="Separador de milhares 3 2 3 2 2 7 4" xfId="19025"/>
    <cellStyle name="Separador de milhares 3 2 3 2 2 7 5" xfId="12924"/>
    <cellStyle name="Separador de milhares 3 2 3 2 2 8" xfId="8211"/>
    <cellStyle name="Separador de milhares 3 2 3 2 2 8 2" xfId="26425"/>
    <cellStyle name="Separador de milhares 3 2 3 2 2 8 3" xfId="20511"/>
    <cellStyle name="Separador de milhares 3 2 3 2 2 8 4" xfId="14600"/>
    <cellStyle name="Separador de milhares 3 2 3 2 2 9" xfId="4834"/>
    <cellStyle name="Separador de milhares 3 2 3 2 2 9 2" xfId="23468"/>
    <cellStyle name="Separador de milhares 3 2 3 2 3" xfId="916"/>
    <cellStyle name="Separador de milhares 3 2 3 2 3 2" xfId="6686"/>
    <cellStyle name="Separador de milhares 3 2 3 2 3 2 2" xfId="9833"/>
    <cellStyle name="Separador de milhares 3 2 3 2 3 2 2 2" xfId="28047"/>
    <cellStyle name="Separador de milhares 3 2 3 2 3 2 2 3" xfId="22133"/>
    <cellStyle name="Separador de milhares 3 2 3 2 3 2 2 4" xfId="16219"/>
    <cellStyle name="Separador de milhares 3 2 3 2 3 2 3" xfId="25090"/>
    <cellStyle name="Separador de milhares 3 2 3 2 3 2 4" xfId="19176"/>
    <cellStyle name="Separador de milhares 3 2 3 2 3 2 5" xfId="13075"/>
    <cellStyle name="Separador de milhares 3 2 3 2 3 3" xfId="8365"/>
    <cellStyle name="Separador de milhares 3 2 3 2 3 3 2" xfId="26579"/>
    <cellStyle name="Separador de milhares 3 2 3 2 3 3 3" xfId="20665"/>
    <cellStyle name="Separador de milhares 3 2 3 2 3 3 4" xfId="14751"/>
    <cellStyle name="Separador de milhares 3 2 3 2 3 4" xfId="4987"/>
    <cellStyle name="Separador de milhares 3 2 3 2 3 4 2" xfId="23622"/>
    <cellStyle name="Separador de milhares 3 2 3 2 3 5" xfId="17708"/>
    <cellStyle name="Separador de milhares 3 2 3 2 3 6" xfId="11374"/>
    <cellStyle name="Separador de milhares 3 2 3 2 4" xfId="1267"/>
    <cellStyle name="Separador de milhares 3 2 3 2 4 2" xfId="6784"/>
    <cellStyle name="Separador de milhares 3 2 3 2 4 2 2" xfId="9931"/>
    <cellStyle name="Separador de milhares 3 2 3 2 4 2 2 2" xfId="28145"/>
    <cellStyle name="Separador de milhares 3 2 3 2 4 2 2 3" xfId="22231"/>
    <cellStyle name="Separador de milhares 3 2 3 2 4 2 2 4" xfId="16317"/>
    <cellStyle name="Separador de milhares 3 2 3 2 4 2 3" xfId="25188"/>
    <cellStyle name="Separador de milhares 3 2 3 2 4 2 4" xfId="19274"/>
    <cellStyle name="Separador de milhares 3 2 3 2 4 2 5" xfId="13173"/>
    <cellStyle name="Separador de milhares 3 2 3 2 4 3" xfId="8463"/>
    <cellStyle name="Separador de milhares 3 2 3 2 4 3 2" xfId="26677"/>
    <cellStyle name="Separador de milhares 3 2 3 2 4 3 3" xfId="20763"/>
    <cellStyle name="Separador de milhares 3 2 3 2 4 3 4" xfId="14849"/>
    <cellStyle name="Separador de milhares 3 2 3 2 4 4" xfId="5085"/>
    <cellStyle name="Separador de milhares 3 2 3 2 4 4 2" xfId="23720"/>
    <cellStyle name="Separador de milhares 3 2 3 2 4 5" xfId="17806"/>
    <cellStyle name="Separador de milhares 3 2 3 2 4 6" xfId="11472"/>
    <cellStyle name="Separador de milhares 3 2 3 2 5" xfId="1702"/>
    <cellStyle name="Separador de milhares 3 2 3 2 5 2" xfId="6903"/>
    <cellStyle name="Separador de milhares 3 2 3 2 5 2 2" xfId="10050"/>
    <cellStyle name="Separador de milhares 3 2 3 2 5 2 2 2" xfId="28264"/>
    <cellStyle name="Separador de milhares 3 2 3 2 5 2 2 3" xfId="22350"/>
    <cellStyle name="Separador de milhares 3 2 3 2 5 2 2 4" xfId="16436"/>
    <cellStyle name="Separador de milhares 3 2 3 2 5 2 3" xfId="25307"/>
    <cellStyle name="Separador de milhares 3 2 3 2 5 2 4" xfId="19393"/>
    <cellStyle name="Separador de milhares 3 2 3 2 5 2 5" xfId="13292"/>
    <cellStyle name="Separador de milhares 3 2 3 2 5 3" xfId="8582"/>
    <cellStyle name="Separador de milhares 3 2 3 2 5 3 2" xfId="26796"/>
    <cellStyle name="Separador de milhares 3 2 3 2 5 3 3" xfId="20882"/>
    <cellStyle name="Separador de milhares 3 2 3 2 5 3 4" xfId="14968"/>
    <cellStyle name="Separador de milhares 3 2 3 2 5 4" xfId="5204"/>
    <cellStyle name="Separador de milhares 3 2 3 2 5 4 2" xfId="23839"/>
    <cellStyle name="Separador de milhares 3 2 3 2 5 5" xfId="17925"/>
    <cellStyle name="Separador de milhares 3 2 3 2 5 6" xfId="11591"/>
    <cellStyle name="Separador de milhares 3 2 3 2 6" xfId="2232"/>
    <cellStyle name="Separador de milhares 3 2 3 2 6 2" xfId="7053"/>
    <cellStyle name="Separador de milhares 3 2 3 2 6 2 2" xfId="10197"/>
    <cellStyle name="Separador de milhares 3 2 3 2 6 2 2 2" xfId="28411"/>
    <cellStyle name="Separador de milhares 3 2 3 2 6 2 2 3" xfId="22497"/>
    <cellStyle name="Separador de milhares 3 2 3 2 6 2 2 4" xfId="16583"/>
    <cellStyle name="Separador de milhares 3 2 3 2 6 2 3" xfId="25454"/>
    <cellStyle name="Separador de milhares 3 2 3 2 6 2 4" xfId="19540"/>
    <cellStyle name="Separador de milhares 3 2 3 2 6 2 5" xfId="13442"/>
    <cellStyle name="Separador de milhares 3 2 3 2 6 3" xfId="8729"/>
    <cellStyle name="Separador de milhares 3 2 3 2 6 3 2" xfId="26943"/>
    <cellStyle name="Separador de milhares 3 2 3 2 6 3 3" xfId="21029"/>
    <cellStyle name="Separador de milhares 3 2 3 2 6 3 4" xfId="15115"/>
    <cellStyle name="Separador de milhares 3 2 3 2 6 4" xfId="5354"/>
    <cellStyle name="Separador de milhares 3 2 3 2 6 4 2" xfId="23986"/>
    <cellStyle name="Separador de milhares 3 2 3 2 6 5" xfId="18072"/>
    <cellStyle name="Separador de milhares 3 2 3 2 6 6" xfId="11741"/>
    <cellStyle name="Separador de milhares 3 2 3 2 7" xfId="2759"/>
    <cellStyle name="Separador de milhares 3 2 3 2 7 2" xfId="7200"/>
    <cellStyle name="Separador de milhares 3 2 3 2 7 2 2" xfId="10344"/>
    <cellStyle name="Separador de milhares 3 2 3 2 7 2 2 2" xfId="28558"/>
    <cellStyle name="Separador de milhares 3 2 3 2 7 2 2 3" xfId="22644"/>
    <cellStyle name="Separador de milhares 3 2 3 2 7 2 2 4" xfId="16730"/>
    <cellStyle name="Separador de milhares 3 2 3 2 7 2 3" xfId="25601"/>
    <cellStyle name="Separador de milhares 3 2 3 2 7 2 4" xfId="19687"/>
    <cellStyle name="Separador de milhares 3 2 3 2 7 2 5" xfId="13589"/>
    <cellStyle name="Separador de milhares 3 2 3 2 7 3" xfId="8876"/>
    <cellStyle name="Separador de milhares 3 2 3 2 7 3 2" xfId="27090"/>
    <cellStyle name="Separador de milhares 3 2 3 2 7 3 3" xfId="21176"/>
    <cellStyle name="Separador de milhares 3 2 3 2 7 3 4" xfId="15262"/>
    <cellStyle name="Separador de milhares 3 2 3 2 7 4" xfId="5501"/>
    <cellStyle name="Separador de milhares 3 2 3 2 7 4 2" xfId="24133"/>
    <cellStyle name="Separador de milhares 3 2 3 2 7 5" xfId="18219"/>
    <cellStyle name="Separador de milhares 3 2 3 2 7 6" xfId="11888"/>
    <cellStyle name="Separador de milhares 3 2 3 2 8" xfId="3286"/>
    <cellStyle name="Separador de milhares 3 2 3 2 8 2" xfId="7347"/>
    <cellStyle name="Separador de milhares 3 2 3 2 8 2 2" xfId="10491"/>
    <cellStyle name="Separador de milhares 3 2 3 2 8 2 2 2" xfId="28705"/>
    <cellStyle name="Separador de milhares 3 2 3 2 8 2 2 3" xfId="22791"/>
    <cellStyle name="Separador de milhares 3 2 3 2 8 2 2 4" xfId="16877"/>
    <cellStyle name="Separador de milhares 3 2 3 2 8 2 3" xfId="25748"/>
    <cellStyle name="Separador de milhares 3 2 3 2 8 2 4" xfId="19834"/>
    <cellStyle name="Separador de milhares 3 2 3 2 8 2 5" xfId="13736"/>
    <cellStyle name="Separador de milhares 3 2 3 2 8 3" xfId="9023"/>
    <cellStyle name="Separador de milhares 3 2 3 2 8 3 2" xfId="27237"/>
    <cellStyle name="Separador de milhares 3 2 3 2 8 3 3" xfId="21323"/>
    <cellStyle name="Separador de milhares 3 2 3 2 8 3 4" xfId="15409"/>
    <cellStyle name="Separador de milhares 3 2 3 2 8 4" xfId="5648"/>
    <cellStyle name="Separador de milhares 3 2 3 2 8 4 2" xfId="24280"/>
    <cellStyle name="Separador de milhares 3 2 3 2 8 5" xfId="18366"/>
    <cellStyle name="Separador de milhares 3 2 3 2 8 6" xfId="12035"/>
    <cellStyle name="Separador de milhares 3 2 3 2 9" xfId="3813"/>
    <cellStyle name="Separador de milhares 3 2 3 2 9 2" xfId="7494"/>
    <cellStyle name="Separador de milhares 3 2 3 2 9 2 2" xfId="10638"/>
    <cellStyle name="Separador de milhares 3 2 3 2 9 2 2 2" xfId="28852"/>
    <cellStyle name="Separador de milhares 3 2 3 2 9 2 2 3" xfId="22938"/>
    <cellStyle name="Separador de milhares 3 2 3 2 9 2 2 4" xfId="17024"/>
    <cellStyle name="Separador de milhares 3 2 3 2 9 2 3" xfId="25895"/>
    <cellStyle name="Separador de milhares 3 2 3 2 9 2 4" xfId="19981"/>
    <cellStyle name="Separador de milhares 3 2 3 2 9 2 5" xfId="13883"/>
    <cellStyle name="Separador de milhares 3 2 3 2 9 3" xfId="9170"/>
    <cellStyle name="Separador de milhares 3 2 3 2 9 3 2" xfId="27384"/>
    <cellStyle name="Separador de milhares 3 2 3 2 9 3 3" xfId="21470"/>
    <cellStyle name="Separador de milhares 3 2 3 2 9 3 4" xfId="15556"/>
    <cellStyle name="Separador de milhares 3 2 3 2 9 4" xfId="5795"/>
    <cellStyle name="Separador de milhares 3 2 3 2 9 4 2" xfId="24427"/>
    <cellStyle name="Separador de milhares 3 2 3 2 9 5" xfId="18513"/>
    <cellStyle name="Separador de milhares 3 2 3 2 9 6" xfId="12182"/>
    <cellStyle name="Separador de milhares 3 2 3 3" xfId="265"/>
    <cellStyle name="Separador de milhares 3 2 3 3 10" xfId="6485"/>
    <cellStyle name="Separador de milhares 3 2 3 3 10 2" xfId="9636"/>
    <cellStyle name="Separador de milhares 3 2 3 3 10 2 2" xfId="27850"/>
    <cellStyle name="Separador de milhares 3 2 3 3 10 2 3" xfId="21936"/>
    <cellStyle name="Separador de milhares 3 2 3 3 10 2 4" xfId="16022"/>
    <cellStyle name="Separador de milhares 3 2 3 3 10 3" xfId="24893"/>
    <cellStyle name="Separador de milhares 3 2 3 3 10 4" xfId="18979"/>
    <cellStyle name="Separador de milhares 3 2 3 3 10 5" xfId="12874"/>
    <cellStyle name="Separador de milhares 3 2 3 3 11" xfId="8165"/>
    <cellStyle name="Separador de milhares 3 2 3 3 11 2" xfId="26379"/>
    <cellStyle name="Separador de milhares 3 2 3 3 11 3" xfId="20465"/>
    <cellStyle name="Separador de milhares 3 2 3 3 11 4" xfId="14554"/>
    <cellStyle name="Separador de milhares 3 2 3 3 12" xfId="4784"/>
    <cellStyle name="Separador de milhares 3 2 3 3 12 2" xfId="23422"/>
    <cellStyle name="Separador de milhares 3 2 3 3 13" xfId="17508"/>
    <cellStyle name="Separador de milhares 3 2 3 3 14" xfId="11173"/>
    <cellStyle name="Separador de milhares 3 2 3 3 2" xfId="528"/>
    <cellStyle name="Separador de milhares 3 2 3 3 2 2" xfId="6556"/>
    <cellStyle name="Separador de milhares 3 2 3 3 2 2 2" xfId="9703"/>
    <cellStyle name="Separador de milhares 3 2 3 3 2 2 2 2" xfId="27917"/>
    <cellStyle name="Separador de milhares 3 2 3 3 2 2 2 3" xfId="22003"/>
    <cellStyle name="Separador de milhares 3 2 3 3 2 2 2 4" xfId="16089"/>
    <cellStyle name="Separador de milhares 3 2 3 3 2 2 3" xfId="24960"/>
    <cellStyle name="Separador de milhares 3 2 3 3 2 2 4" xfId="19046"/>
    <cellStyle name="Separador de milhares 3 2 3 3 2 2 5" xfId="12945"/>
    <cellStyle name="Separador de milhares 3 2 3 3 2 3" xfId="8232"/>
    <cellStyle name="Separador de milhares 3 2 3 3 2 3 2" xfId="26446"/>
    <cellStyle name="Separador de milhares 3 2 3 3 2 3 3" xfId="20532"/>
    <cellStyle name="Separador de milhares 3 2 3 3 2 3 4" xfId="14621"/>
    <cellStyle name="Separador de milhares 3 2 3 3 2 4" xfId="4855"/>
    <cellStyle name="Separador de milhares 3 2 3 3 2 4 2" xfId="23489"/>
    <cellStyle name="Separador de milhares 3 2 3 3 2 5" xfId="17575"/>
    <cellStyle name="Separador de milhares 3 2 3 3 2 6" xfId="11244"/>
    <cellStyle name="Separador de milhares 3 2 3 3 3" xfId="825"/>
    <cellStyle name="Separador de milhares 3 2 3 3 3 2" xfId="6658"/>
    <cellStyle name="Separador de milhares 3 2 3 3 3 2 2" xfId="9805"/>
    <cellStyle name="Separador de milhares 3 2 3 3 3 2 2 2" xfId="28019"/>
    <cellStyle name="Separador de milhares 3 2 3 3 3 2 2 3" xfId="22105"/>
    <cellStyle name="Separador de milhares 3 2 3 3 3 2 2 4" xfId="16191"/>
    <cellStyle name="Separador de milhares 3 2 3 3 3 2 3" xfId="25062"/>
    <cellStyle name="Separador de milhares 3 2 3 3 3 2 4" xfId="19148"/>
    <cellStyle name="Separador de milhares 3 2 3 3 3 2 5" xfId="13047"/>
    <cellStyle name="Separador de milhares 3 2 3 3 3 3" xfId="8337"/>
    <cellStyle name="Separador de milhares 3 2 3 3 3 3 2" xfId="26551"/>
    <cellStyle name="Separador de milhares 3 2 3 3 3 3 3" xfId="20637"/>
    <cellStyle name="Separador de milhares 3 2 3 3 3 3 4" xfId="14723"/>
    <cellStyle name="Separador de milhares 3 2 3 3 3 4" xfId="4959"/>
    <cellStyle name="Separador de milhares 3 2 3 3 3 4 2" xfId="23594"/>
    <cellStyle name="Separador de milhares 3 2 3 3 3 5" xfId="17680"/>
    <cellStyle name="Separador de milhares 3 2 3 3 3 6" xfId="11346"/>
    <cellStyle name="Separador de milhares 3 2 3 3 4" xfId="1176"/>
    <cellStyle name="Separador de milhares 3 2 3 3 4 2" xfId="6756"/>
    <cellStyle name="Separador de milhares 3 2 3 3 4 2 2" xfId="9903"/>
    <cellStyle name="Separador de milhares 3 2 3 3 4 2 2 2" xfId="28117"/>
    <cellStyle name="Separador de milhares 3 2 3 3 4 2 2 3" xfId="22203"/>
    <cellStyle name="Separador de milhares 3 2 3 3 4 2 2 4" xfId="16289"/>
    <cellStyle name="Separador de milhares 3 2 3 3 4 2 3" xfId="25160"/>
    <cellStyle name="Separador de milhares 3 2 3 3 4 2 4" xfId="19246"/>
    <cellStyle name="Separador de milhares 3 2 3 3 4 2 5" xfId="13145"/>
    <cellStyle name="Separador de milhares 3 2 3 3 4 3" xfId="8435"/>
    <cellStyle name="Separador de milhares 3 2 3 3 4 3 2" xfId="26649"/>
    <cellStyle name="Separador de milhares 3 2 3 3 4 3 3" xfId="20735"/>
    <cellStyle name="Separador de milhares 3 2 3 3 4 3 4" xfId="14821"/>
    <cellStyle name="Separador de milhares 3 2 3 3 4 4" xfId="5057"/>
    <cellStyle name="Separador de milhares 3 2 3 3 4 4 2" xfId="23692"/>
    <cellStyle name="Separador de milhares 3 2 3 3 4 5" xfId="17778"/>
    <cellStyle name="Separador de milhares 3 2 3 3 4 6" xfId="11444"/>
    <cellStyle name="Separador de milhares 3 2 3 3 5" xfId="1611"/>
    <cellStyle name="Separador de milhares 3 2 3 3 5 2" xfId="6875"/>
    <cellStyle name="Separador de milhares 3 2 3 3 5 2 2" xfId="10022"/>
    <cellStyle name="Separador de milhares 3 2 3 3 5 2 2 2" xfId="28236"/>
    <cellStyle name="Separador de milhares 3 2 3 3 5 2 2 3" xfId="22322"/>
    <cellStyle name="Separador de milhares 3 2 3 3 5 2 2 4" xfId="16408"/>
    <cellStyle name="Separador de milhares 3 2 3 3 5 2 3" xfId="25279"/>
    <cellStyle name="Separador de milhares 3 2 3 3 5 2 4" xfId="19365"/>
    <cellStyle name="Separador de milhares 3 2 3 3 5 2 5" xfId="13264"/>
    <cellStyle name="Separador de milhares 3 2 3 3 5 3" xfId="8554"/>
    <cellStyle name="Separador de milhares 3 2 3 3 5 3 2" xfId="26768"/>
    <cellStyle name="Separador de milhares 3 2 3 3 5 3 3" xfId="20854"/>
    <cellStyle name="Separador de milhares 3 2 3 3 5 3 4" xfId="14940"/>
    <cellStyle name="Separador de milhares 3 2 3 3 5 4" xfId="5176"/>
    <cellStyle name="Separador de milhares 3 2 3 3 5 4 2" xfId="23811"/>
    <cellStyle name="Separador de milhares 3 2 3 3 5 5" xfId="17897"/>
    <cellStyle name="Separador de milhares 3 2 3 3 5 6" xfId="11563"/>
    <cellStyle name="Separador de milhares 3 2 3 3 6" xfId="2141"/>
    <cellStyle name="Separador de milhares 3 2 3 3 6 2" xfId="7025"/>
    <cellStyle name="Separador de milhares 3 2 3 3 6 2 2" xfId="10169"/>
    <cellStyle name="Separador de milhares 3 2 3 3 6 2 2 2" xfId="28383"/>
    <cellStyle name="Separador de milhares 3 2 3 3 6 2 2 3" xfId="22469"/>
    <cellStyle name="Separador de milhares 3 2 3 3 6 2 2 4" xfId="16555"/>
    <cellStyle name="Separador de milhares 3 2 3 3 6 2 3" xfId="25426"/>
    <cellStyle name="Separador de milhares 3 2 3 3 6 2 4" xfId="19512"/>
    <cellStyle name="Separador de milhares 3 2 3 3 6 2 5" xfId="13414"/>
    <cellStyle name="Separador de milhares 3 2 3 3 6 3" xfId="8701"/>
    <cellStyle name="Separador de milhares 3 2 3 3 6 3 2" xfId="26915"/>
    <cellStyle name="Separador de milhares 3 2 3 3 6 3 3" xfId="21001"/>
    <cellStyle name="Separador de milhares 3 2 3 3 6 3 4" xfId="15087"/>
    <cellStyle name="Separador de milhares 3 2 3 3 6 4" xfId="5326"/>
    <cellStyle name="Separador de milhares 3 2 3 3 6 4 2" xfId="23958"/>
    <cellStyle name="Separador de milhares 3 2 3 3 6 5" xfId="18044"/>
    <cellStyle name="Separador de milhares 3 2 3 3 6 6" xfId="11713"/>
    <cellStyle name="Separador de milhares 3 2 3 3 7" xfId="2668"/>
    <cellStyle name="Separador de milhares 3 2 3 3 7 2" xfId="7172"/>
    <cellStyle name="Separador de milhares 3 2 3 3 7 2 2" xfId="10316"/>
    <cellStyle name="Separador de milhares 3 2 3 3 7 2 2 2" xfId="28530"/>
    <cellStyle name="Separador de milhares 3 2 3 3 7 2 2 3" xfId="22616"/>
    <cellStyle name="Separador de milhares 3 2 3 3 7 2 2 4" xfId="16702"/>
    <cellStyle name="Separador de milhares 3 2 3 3 7 2 3" xfId="25573"/>
    <cellStyle name="Separador de milhares 3 2 3 3 7 2 4" xfId="19659"/>
    <cellStyle name="Separador de milhares 3 2 3 3 7 2 5" xfId="13561"/>
    <cellStyle name="Separador de milhares 3 2 3 3 7 3" xfId="8848"/>
    <cellStyle name="Separador de milhares 3 2 3 3 7 3 2" xfId="27062"/>
    <cellStyle name="Separador de milhares 3 2 3 3 7 3 3" xfId="21148"/>
    <cellStyle name="Separador de milhares 3 2 3 3 7 3 4" xfId="15234"/>
    <cellStyle name="Separador de milhares 3 2 3 3 7 4" xfId="5473"/>
    <cellStyle name="Separador de milhares 3 2 3 3 7 4 2" xfId="24105"/>
    <cellStyle name="Separador de milhares 3 2 3 3 7 5" xfId="18191"/>
    <cellStyle name="Separador de milhares 3 2 3 3 7 6" xfId="11860"/>
    <cellStyle name="Separador de milhares 3 2 3 3 8" xfId="3195"/>
    <cellStyle name="Separador de milhares 3 2 3 3 8 2" xfId="7319"/>
    <cellStyle name="Separador de milhares 3 2 3 3 8 2 2" xfId="10463"/>
    <cellStyle name="Separador de milhares 3 2 3 3 8 2 2 2" xfId="28677"/>
    <cellStyle name="Separador de milhares 3 2 3 3 8 2 2 3" xfId="22763"/>
    <cellStyle name="Separador de milhares 3 2 3 3 8 2 2 4" xfId="16849"/>
    <cellStyle name="Separador de milhares 3 2 3 3 8 2 3" xfId="25720"/>
    <cellStyle name="Separador de milhares 3 2 3 3 8 2 4" xfId="19806"/>
    <cellStyle name="Separador de milhares 3 2 3 3 8 2 5" xfId="13708"/>
    <cellStyle name="Separador de milhares 3 2 3 3 8 3" xfId="8995"/>
    <cellStyle name="Separador de milhares 3 2 3 3 8 3 2" xfId="27209"/>
    <cellStyle name="Separador de milhares 3 2 3 3 8 3 3" xfId="21295"/>
    <cellStyle name="Separador de milhares 3 2 3 3 8 3 4" xfId="15381"/>
    <cellStyle name="Separador de milhares 3 2 3 3 8 4" xfId="5620"/>
    <cellStyle name="Separador de milhares 3 2 3 3 8 4 2" xfId="24252"/>
    <cellStyle name="Separador de milhares 3 2 3 3 8 5" xfId="18338"/>
    <cellStyle name="Separador de milhares 3 2 3 3 8 6" xfId="12007"/>
    <cellStyle name="Separador de milhares 3 2 3 3 9" xfId="3722"/>
    <cellStyle name="Separador de milhares 3 2 3 3 9 2" xfId="7466"/>
    <cellStyle name="Separador de milhares 3 2 3 3 9 2 2" xfId="10610"/>
    <cellStyle name="Separador de milhares 3 2 3 3 9 2 2 2" xfId="28824"/>
    <cellStyle name="Separador de milhares 3 2 3 3 9 2 2 3" xfId="22910"/>
    <cellStyle name="Separador de milhares 3 2 3 3 9 2 2 4" xfId="16996"/>
    <cellStyle name="Separador de milhares 3 2 3 3 9 2 3" xfId="25867"/>
    <cellStyle name="Separador de milhares 3 2 3 3 9 2 4" xfId="19953"/>
    <cellStyle name="Separador de milhares 3 2 3 3 9 2 5" xfId="13855"/>
    <cellStyle name="Separador de milhares 3 2 3 3 9 3" xfId="9142"/>
    <cellStyle name="Separador de milhares 3 2 3 3 9 3 2" xfId="27356"/>
    <cellStyle name="Separador de milhares 3 2 3 3 9 3 3" xfId="21442"/>
    <cellStyle name="Separador de milhares 3 2 3 3 9 3 4" xfId="15528"/>
    <cellStyle name="Separador de milhares 3 2 3 3 9 4" xfId="5767"/>
    <cellStyle name="Separador de milhares 3 2 3 3 9 4 2" xfId="24399"/>
    <cellStyle name="Separador de milhares 3 2 3 3 9 5" xfId="18485"/>
    <cellStyle name="Separador de milhares 3 2 3 3 9 6" xfId="12154"/>
    <cellStyle name="Separador de milhares 3 2 3 4" xfId="358"/>
    <cellStyle name="Separador de milhares 3 2 3 4 10" xfId="6513"/>
    <cellStyle name="Separador de milhares 3 2 3 4 10 2" xfId="9661"/>
    <cellStyle name="Separador de milhares 3 2 3 4 10 2 2" xfId="27875"/>
    <cellStyle name="Separador de milhares 3 2 3 4 10 2 3" xfId="21961"/>
    <cellStyle name="Separador de milhares 3 2 3 4 10 2 4" xfId="16047"/>
    <cellStyle name="Separador de milhares 3 2 3 4 10 3" xfId="24918"/>
    <cellStyle name="Separador de milhares 3 2 3 4 10 4" xfId="19004"/>
    <cellStyle name="Separador de milhares 3 2 3 4 10 5" xfId="12902"/>
    <cellStyle name="Separador de milhares 3 2 3 4 11" xfId="8190"/>
    <cellStyle name="Separador de milhares 3 2 3 4 11 2" xfId="26404"/>
    <cellStyle name="Separador de milhares 3 2 3 4 11 3" xfId="20490"/>
    <cellStyle name="Separador de milhares 3 2 3 4 11 4" xfId="14579"/>
    <cellStyle name="Separador de milhares 3 2 3 4 12" xfId="4812"/>
    <cellStyle name="Separador de milhares 3 2 3 4 12 2" xfId="23447"/>
    <cellStyle name="Separador de milhares 3 2 3 4 13" xfId="17533"/>
    <cellStyle name="Separador de milhares 3 2 3 4 14" xfId="11201"/>
    <cellStyle name="Separador de milhares 3 2 3 4 2" xfId="1003"/>
    <cellStyle name="Separador de milhares 3 2 3 4 2 2" xfId="6710"/>
    <cellStyle name="Separador de milhares 3 2 3 4 2 2 2" xfId="9857"/>
    <cellStyle name="Separador de milhares 3 2 3 4 2 2 2 2" xfId="28071"/>
    <cellStyle name="Separador de milhares 3 2 3 4 2 2 2 3" xfId="22157"/>
    <cellStyle name="Separador de milhares 3 2 3 4 2 2 2 4" xfId="16243"/>
    <cellStyle name="Separador de milhares 3 2 3 4 2 2 3" xfId="25114"/>
    <cellStyle name="Separador de milhares 3 2 3 4 2 2 4" xfId="19200"/>
    <cellStyle name="Separador de milhares 3 2 3 4 2 2 5" xfId="13099"/>
    <cellStyle name="Separador de milhares 3 2 3 4 2 3" xfId="8389"/>
    <cellStyle name="Separador de milhares 3 2 3 4 2 3 2" xfId="26603"/>
    <cellStyle name="Separador de milhares 3 2 3 4 2 3 3" xfId="20689"/>
    <cellStyle name="Separador de milhares 3 2 3 4 2 3 4" xfId="14775"/>
    <cellStyle name="Separador de milhares 3 2 3 4 2 4" xfId="5011"/>
    <cellStyle name="Separador de milhares 3 2 3 4 2 4 2" xfId="23646"/>
    <cellStyle name="Separador de milhares 3 2 3 4 2 5" xfId="17732"/>
    <cellStyle name="Separador de milhares 3 2 3 4 2 6" xfId="11398"/>
    <cellStyle name="Separador de milhares 3 2 3 4 3" xfId="1354"/>
    <cellStyle name="Separador de milhares 3 2 3 4 3 2" xfId="6808"/>
    <cellStyle name="Separador de milhares 3 2 3 4 3 2 2" xfId="9955"/>
    <cellStyle name="Separador de milhares 3 2 3 4 3 2 2 2" xfId="28169"/>
    <cellStyle name="Separador de milhares 3 2 3 4 3 2 2 3" xfId="22255"/>
    <cellStyle name="Separador de milhares 3 2 3 4 3 2 2 4" xfId="16341"/>
    <cellStyle name="Separador de milhares 3 2 3 4 3 2 3" xfId="25212"/>
    <cellStyle name="Separador de milhares 3 2 3 4 3 2 4" xfId="19298"/>
    <cellStyle name="Separador de milhares 3 2 3 4 3 2 5" xfId="13197"/>
    <cellStyle name="Separador de milhares 3 2 3 4 3 3" xfId="8487"/>
    <cellStyle name="Separador de milhares 3 2 3 4 3 3 2" xfId="26701"/>
    <cellStyle name="Separador de milhares 3 2 3 4 3 3 3" xfId="20787"/>
    <cellStyle name="Separador de milhares 3 2 3 4 3 3 4" xfId="14873"/>
    <cellStyle name="Separador de milhares 3 2 3 4 3 4" xfId="5109"/>
    <cellStyle name="Separador de milhares 3 2 3 4 3 4 2" xfId="23744"/>
    <cellStyle name="Separador de milhares 3 2 3 4 3 5" xfId="17830"/>
    <cellStyle name="Separador de milhares 3 2 3 4 3 6" xfId="11496"/>
    <cellStyle name="Separador de milhares 3 2 3 4 4" xfId="1789"/>
    <cellStyle name="Separador de milhares 3 2 3 4 4 2" xfId="6927"/>
    <cellStyle name="Separador de milhares 3 2 3 4 4 2 2" xfId="10074"/>
    <cellStyle name="Separador de milhares 3 2 3 4 4 2 2 2" xfId="28288"/>
    <cellStyle name="Separador de milhares 3 2 3 4 4 2 2 3" xfId="22374"/>
    <cellStyle name="Separador de milhares 3 2 3 4 4 2 2 4" xfId="16460"/>
    <cellStyle name="Separador de milhares 3 2 3 4 4 2 3" xfId="25331"/>
    <cellStyle name="Separador de milhares 3 2 3 4 4 2 4" xfId="19417"/>
    <cellStyle name="Separador de milhares 3 2 3 4 4 2 5" xfId="13316"/>
    <cellStyle name="Separador de milhares 3 2 3 4 4 3" xfId="8606"/>
    <cellStyle name="Separador de milhares 3 2 3 4 4 3 2" xfId="26820"/>
    <cellStyle name="Separador de milhares 3 2 3 4 4 3 3" xfId="20906"/>
    <cellStyle name="Separador de milhares 3 2 3 4 4 3 4" xfId="14992"/>
    <cellStyle name="Separador de milhares 3 2 3 4 4 4" xfId="5228"/>
    <cellStyle name="Separador de milhares 3 2 3 4 4 4 2" xfId="23863"/>
    <cellStyle name="Separador de milhares 3 2 3 4 4 5" xfId="17949"/>
    <cellStyle name="Separador de milhares 3 2 3 4 4 6" xfId="11615"/>
    <cellStyle name="Separador de milhares 3 2 3 4 5" xfId="2319"/>
    <cellStyle name="Separador de milhares 3 2 3 4 5 2" xfId="7077"/>
    <cellStyle name="Separador de milhares 3 2 3 4 5 2 2" xfId="10221"/>
    <cellStyle name="Separador de milhares 3 2 3 4 5 2 2 2" xfId="28435"/>
    <cellStyle name="Separador de milhares 3 2 3 4 5 2 2 3" xfId="22521"/>
    <cellStyle name="Separador de milhares 3 2 3 4 5 2 2 4" xfId="16607"/>
    <cellStyle name="Separador de milhares 3 2 3 4 5 2 3" xfId="25478"/>
    <cellStyle name="Separador de milhares 3 2 3 4 5 2 4" xfId="19564"/>
    <cellStyle name="Separador de milhares 3 2 3 4 5 2 5" xfId="13466"/>
    <cellStyle name="Separador de milhares 3 2 3 4 5 3" xfId="8753"/>
    <cellStyle name="Separador de milhares 3 2 3 4 5 3 2" xfId="26967"/>
    <cellStyle name="Separador de milhares 3 2 3 4 5 3 3" xfId="21053"/>
    <cellStyle name="Separador de milhares 3 2 3 4 5 3 4" xfId="15139"/>
    <cellStyle name="Separador de milhares 3 2 3 4 5 4" xfId="5378"/>
    <cellStyle name="Separador de milhares 3 2 3 4 5 4 2" xfId="24010"/>
    <cellStyle name="Separador de milhares 3 2 3 4 5 5" xfId="18096"/>
    <cellStyle name="Separador de milhares 3 2 3 4 5 6" xfId="11765"/>
    <cellStyle name="Separador de milhares 3 2 3 4 6" xfId="2846"/>
    <cellStyle name="Separador de milhares 3 2 3 4 6 2" xfId="7224"/>
    <cellStyle name="Separador de milhares 3 2 3 4 6 2 2" xfId="10368"/>
    <cellStyle name="Separador de milhares 3 2 3 4 6 2 2 2" xfId="28582"/>
    <cellStyle name="Separador de milhares 3 2 3 4 6 2 2 3" xfId="22668"/>
    <cellStyle name="Separador de milhares 3 2 3 4 6 2 2 4" xfId="16754"/>
    <cellStyle name="Separador de milhares 3 2 3 4 6 2 3" xfId="25625"/>
    <cellStyle name="Separador de milhares 3 2 3 4 6 2 4" xfId="19711"/>
    <cellStyle name="Separador de milhares 3 2 3 4 6 2 5" xfId="13613"/>
    <cellStyle name="Separador de milhares 3 2 3 4 6 3" xfId="8900"/>
    <cellStyle name="Separador de milhares 3 2 3 4 6 3 2" xfId="27114"/>
    <cellStyle name="Separador de milhares 3 2 3 4 6 3 3" xfId="21200"/>
    <cellStyle name="Separador de milhares 3 2 3 4 6 3 4" xfId="15286"/>
    <cellStyle name="Separador de milhares 3 2 3 4 6 4" xfId="5525"/>
    <cellStyle name="Separador de milhares 3 2 3 4 6 4 2" xfId="24157"/>
    <cellStyle name="Separador de milhares 3 2 3 4 6 5" xfId="18243"/>
    <cellStyle name="Separador de milhares 3 2 3 4 6 6" xfId="11912"/>
    <cellStyle name="Separador de milhares 3 2 3 4 7" xfId="3373"/>
    <cellStyle name="Separador de milhares 3 2 3 4 7 2" xfId="7371"/>
    <cellStyle name="Separador de milhares 3 2 3 4 7 2 2" xfId="10515"/>
    <cellStyle name="Separador de milhares 3 2 3 4 7 2 2 2" xfId="28729"/>
    <cellStyle name="Separador de milhares 3 2 3 4 7 2 2 3" xfId="22815"/>
    <cellStyle name="Separador de milhares 3 2 3 4 7 2 2 4" xfId="16901"/>
    <cellStyle name="Separador de milhares 3 2 3 4 7 2 3" xfId="25772"/>
    <cellStyle name="Separador de milhares 3 2 3 4 7 2 4" xfId="19858"/>
    <cellStyle name="Separador de milhares 3 2 3 4 7 2 5" xfId="13760"/>
    <cellStyle name="Separador de milhares 3 2 3 4 7 3" xfId="9047"/>
    <cellStyle name="Separador de milhares 3 2 3 4 7 3 2" xfId="27261"/>
    <cellStyle name="Separador de milhares 3 2 3 4 7 3 3" xfId="21347"/>
    <cellStyle name="Separador de milhares 3 2 3 4 7 3 4" xfId="15433"/>
    <cellStyle name="Separador de milhares 3 2 3 4 7 4" xfId="5672"/>
    <cellStyle name="Separador de milhares 3 2 3 4 7 4 2" xfId="24304"/>
    <cellStyle name="Separador de milhares 3 2 3 4 7 5" xfId="18390"/>
    <cellStyle name="Separador de milhares 3 2 3 4 7 6" xfId="12059"/>
    <cellStyle name="Separador de milhares 3 2 3 4 8" xfId="3900"/>
    <cellStyle name="Separador de milhares 3 2 3 4 8 2" xfId="7518"/>
    <cellStyle name="Separador de milhares 3 2 3 4 8 2 2" xfId="10662"/>
    <cellStyle name="Separador de milhares 3 2 3 4 8 2 2 2" xfId="28876"/>
    <cellStyle name="Separador de milhares 3 2 3 4 8 2 2 3" xfId="22962"/>
    <cellStyle name="Separador de milhares 3 2 3 4 8 2 2 4" xfId="17048"/>
    <cellStyle name="Separador de milhares 3 2 3 4 8 2 3" xfId="25919"/>
    <cellStyle name="Separador de milhares 3 2 3 4 8 2 4" xfId="20005"/>
    <cellStyle name="Separador de milhares 3 2 3 4 8 2 5" xfId="13907"/>
    <cellStyle name="Separador de milhares 3 2 3 4 8 3" xfId="9194"/>
    <cellStyle name="Separador de milhares 3 2 3 4 8 3 2" xfId="27408"/>
    <cellStyle name="Separador de milhares 3 2 3 4 8 3 3" xfId="21494"/>
    <cellStyle name="Separador de milhares 3 2 3 4 8 3 4" xfId="15580"/>
    <cellStyle name="Separador de milhares 3 2 3 4 8 4" xfId="5819"/>
    <cellStyle name="Separador de milhares 3 2 3 4 8 4 2" xfId="24451"/>
    <cellStyle name="Separador de milhares 3 2 3 4 8 5" xfId="18537"/>
    <cellStyle name="Separador de milhares 3 2 3 4 8 6" xfId="12206"/>
    <cellStyle name="Separador de milhares 3 2 3 4 9" xfId="677"/>
    <cellStyle name="Separador de milhares 3 2 3 4 9 2" xfId="6612"/>
    <cellStyle name="Separador de milhares 3 2 3 4 9 2 2" xfId="9759"/>
    <cellStyle name="Separador de milhares 3 2 3 4 9 2 2 2" xfId="27973"/>
    <cellStyle name="Separador de milhares 3 2 3 4 9 2 2 3" xfId="22059"/>
    <cellStyle name="Separador de milhares 3 2 3 4 9 2 2 4" xfId="16145"/>
    <cellStyle name="Separador de milhares 3 2 3 4 9 2 3" xfId="25016"/>
    <cellStyle name="Separador de milhares 3 2 3 4 9 2 4" xfId="19102"/>
    <cellStyle name="Separador de milhares 3 2 3 4 9 2 5" xfId="13001"/>
    <cellStyle name="Separador de milhares 3 2 3 4 9 3" xfId="8291"/>
    <cellStyle name="Separador de milhares 3 2 3 4 9 3 2" xfId="26505"/>
    <cellStyle name="Separador de milhares 3 2 3 4 9 3 3" xfId="20591"/>
    <cellStyle name="Separador de milhares 3 2 3 4 9 3 4" xfId="14677"/>
    <cellStyle name="Separador de milhares 3 2 3 4 9 4" xfId="4913"/>
    <cellStyle name="Separador de milhares 3 2 3 4 9 4 2" xfId="23548"/>
    <cellStyle name="Separador de milhares 3 2 3 4 9 5" xfId="17634"/>
    <cellStyle name="Separador de milhares 3 2 3 4 9 6" xfId="11300"/>
    <cellStyle name="Separador de milhares 3 2 3 5" xfId="615"/>
    <cellStyle name="Separador de milhares 3 2 3 5 10" xfId="4877"/>
    <cellStyle name="Separador de milhares 3 2 3 5 10 2" xfId="23511"/>
    <cellStyle name="Separador de milhares 3 2 3 5 11" xfId="17597"/>
    <cellStyle name="Separador de milhares 3 2 3 5 12" xfId="11266"/>
    <cellStyle name="Separador de milhares 3 2 3 5 2" xfId="1438"/>
    <cellStyle name="Separador de milhares 3 2 3 5 2 2" xfId="6829"/>
    <cellStyle name="Separador de milhares 3 2 3 5 2 2 2" xfId="9976"/>
    <cellStyle name="Separador de milhares 3 2 3 5 2 2 2 2" xfId="28190"/>
    <cellStyle name="Separador de milhares 3 2 3 5 2 2 2 3" xfId="22276"/>
    <cellStyle name="Separador de milhares 3 2 3 5 2 2 2 4" xfId="16362"/>
    <cellStyle name="Separador de milhares 3 2 3 5 2 2 3" xfId="25233"/>
    <cellStyle name="Separador de milhares 3 2 3 5 2 2 4" xfId="19319"/>
    <cellStyle name="Separador de milhares 3 2 3 5 2 2 5" xfId="13218"/>
    <cellStyle name="Separador de milhares 3 2 3 5 2 3" xfId="8508"/>
    <cellStyle name="Separador de milhares 3 2 3 5 2 3 2" xfId="26722"/>
    <cellStyle name="Separador de milhares 3 2 3 5 2 3 3" xfId="20808"/>
    <cellStyle name="Separador de milhares 3 2 3 5 2 3 4" xfId="14894"/>
    <cellStyle name="Separador de milhares 3 2 3 5 2 4" xfId="5130"/>
    <cellStyle name="Separador de milhares 3 2 3 5 2 4 2" xfId="23765"/>
    <cellStyle name="Separador de milhares 3 2 3 5 2 5" xfId="17851"/>
    <cellStyle name="Separador de milhares 3 2 3 5 2 6" xfId="11517"/>
    <cellStyle name="Separador de milhares 3 2 3 5 3" xfId="1873"/>
    <cellStyle name="Separador de milhares 3 2 3 5 3 2" xfId="6948"/>
    <cellStyle name="Separador de milhares 3 2 3 5 3 2 2" xfId="10095"/>
    <cellStyle name="Separador de milhares 3 2 3 5 3 2 2 2" xfId="28309"/>
    <cellStyle name="Separador de milhares 3 2 3 5 3 2 2 3" xfId="22395"/>
    <cellStyle name="Separador de milhares 3 2 3 5 3 2 2 4" xfId="16481"/>
    <cellStyle name="Separador de milhares 3 2 3 5 3 2 3" xfId="25352"/>
    <cellStyle name="Separador de milhares 3 2 3 5 3 2 4" xfId="19438"/>
    <cellStyle name="Separador de milhares 3 2 3 5 3 2 5" xfId="13337"/>
    <cellStyle name="Separador de milhares 3 2 3 5 3 3" xfId="8627"/>
    <cellStyle name="Separador de milhares 3 2 3 5 3 3 2" xfId="26841"/>
    <cellStyle name="Separador de milhares 3 2 3 5 3 3 3" xfId="20927"/>
    <cellStyle name="Separador de milhares 3 2 3 5 3 3 4" xfId="15013"/>
    <cellStyle name="Separador de milhares 3 2 3 5 3 4" xfId="5249"/>
    <cellStyle name="Separador de milhares 3 2 3 5 3 4 2" xfId="23884"/>
    <cellStyle name="Separador de milhares 3 2 3 5 3 5" xfId="17970"/>
    <cellStyle name="Separador de milhares 3 2 3 5 3 6" xfId="11636"/>
    <cellStyle name="Separador de milhares 3 2 3 5 4" xfId="2403"/>
    <cellStyle name="Separador de milhares 3 2 3 5 4 2" xfId="7098"/>
    <cellStyle name="Separador de milhares 3 2 3 5 4 2 2" xfId="10242"/>
    <cellStyle name="Separador de milhares 3 2 3 5 4 2 2 2" xfId="28456"/>
    <cellStyle name="Separador de milhares 3 2 3 5 4 2 2 3" xfId="22542"/>
    <cellStyle name="Separador de milhares 3 2 3 5 4 2 2 4" xfId="16628"/>
    <cellStyle name="Separador de milhares 3 2 3 5 4 2 3" xfId="25499"/>
    <cellStyle name="Separador de milhares 3 2 3 5 4 2 4" xfId="19585"/>
    <cellStyle name="Separador de milhares 3 2 3 5 4 2 5" xfId="13487"/>
    <cellStyle name="Separador de milhares 3 2 3 5 4 3" xfId="8774"/>
    <cellStyle name="Separador de milhares 3 2 3 5 4 3 2" xfId="26988"/>
    <cellStyle name="Separador de milhares 3 2 3 5 4 3 3" xfId="21074"/>
    <cellStyle name="Separador de milhares 3 2 3 5 4 3 4" xfId="15160"/>
    <cellStyle name="Separador de milhares 3 2 3 5 4 4" xfId="5399"/>
    <cellStyle name="Separador de milhares 3 2 3 5 4 4 2" xfId="24031"/>
    <cellStyle name="Separador de milhares 3 2 3 5 4 5" xfId="18117"/>
    <cellStyle name="Separador de milhares 3 2 3 5 4 6" xfId="11786"/>
    <cellStyle name="Separador de milhares 3 2 3 5 5" xfId="2930"/>
    <cellStyle name="Separador de milhares 3 2 3 5 5 2" xfId="7245"/>
    <cellStyle name="Separador de milhares 3 2 3 5 5 2 2" xfId="10389"/>
    <cellStyle name="Separador de milhares 3 2 3 5 5 2 2 2" xfId="28603"/>
    <cellStyle name="Separador de milhares 3 2 3 5 5 2 2 3" xfId="22689"/>
    <cellStyle name="Separador de milhares 3 2 3 5 5 2 2 4" xfId="16775"/>
    <cellStyle name="Separador de milhares 3 2 3 5 5 2 3" xfId="25646"/>
    <cellStyle name="Separador de milhares 3 2 3 5 5 2 4" xfId="19732"/>
    <cellStyle name="Separador de milhares 3 2 3 5 5 2 5" xfId="13634"/>
    <cellStyle name="Separador de milhares 3 2 3 5 5 3" xfId="8921"/>
    <cellStyle name="Separador de milhares 3 2 3 5 5 3 2" xfId="27135"/>
    <cellStyle name="Separador de milhares 3 2 3 5 5 3 3" xfId="21221"/>
    <cellStyle name="Separador de milhares 3 2 3 5 5 3 4" xfId="15307"/>
    <cellStyle name="Separador de milhares 3 2 3 5 5 4" xfId="5546"/>
    <cellStyle name="Separador de milhares 3 2 3 5 5 4 2" xfId="24178"/>
    <cellStyle name="Separador de milhares 3 2 3 5 5 5" xfId="18264"/>
    <cellStyle name="Separador de milhares 3 2 3 5 5 6" xfId="11933"/>
    <cellStyle name="Separador de milhares 3 2 3 5 6" xfId="3457"/>
    <cellStyle name="Separador de milhares 3 2 3 5 6 2" xfId="7392"/>
    <cellStyle name="Separador de milhares 3 2 3 5 6 2 2" xfId="10536"/>
    <cellStyle name="Separador de milhares 3 2 3 5 6 2 2 2" xfId="28750"/>
    <cellStyle name="Separador de milhares 3 2 3 5 6 2 2 3" xfId="22836"/>
    <cellStyle name="Separador de milhares 3 2 3 5 6 2 2 4" xfId="16922"/>
    <cellStyle name="Separador de milhares 3 2 3 5 6 2 3" xfId="25793"/>
    <cellStyle name="Separador de milhares 3 2 3 5 6 2 4" xfId="19879"/>
    <cellStyle name="Separador de milhares 3 2 3 5 6 2 5" xfId="13781"/>
    <cellStyle name="Separador de milhares 3 2 3 5 6 3" xfId="9068"/>
    <cellStyle name="Separador de milhares 3 2 3 5 6 3 2" xfId="27282"/>
    <cellStyle name="Separador de milhares 3 2 3 5 6 3 3" xfId="21368"/>
    <cellStyle name="Separador de milhares 3 2 3 5 6 3 4" xfId="15454"/>
    <cellStyle name="Separador de milhares 3 2 3 5 6 4" xfId="5693"/>
    <cellStyle name="Separador de milhares 3 2 3 5 6 4 2" xfId="24325"/>
    <cellStyle name="Separador de milhares 3 2 3 5 6 5" xfId="18411"/>
    <cellStyle name="Separador de milhares 3 2 3 5 6 6" xfId="12080"/>
    <cellStyle name="Separador de milhares 3 2 3 5 7" xfId="3984"/>
    <cellStyle name="Separador de milhares 3 2 3 5 7 2" xfId="7539"/>
    <cellStyle name="Separador de milhares 3 2 3 5 7 2 2" xfId="10683"/>
    <cellStyle name="Separador de milhares 3 2 3 5 7 2 2 2" xfId="28897"/>
    <cellStyle name="Separador de milhares 3 2 3 5 7 2 2 3" xfId="22983"/>
    <cellStyle name="Separador de milhares 3 2 3 5 7 2 2 4" xfId="17069"/>
    <cellStyle name="Separador de milhares 3 2 3 5 7 2 3" xfId="25940"/>
    <cellStyle name="Separador de milhares 3 2 3 5 7 2 4" xfId="20026"/>
    <cellStyle name="Separador de milhares 3 2 3 5 7 2 5" xfId="13928"/>
    <cellStyle name="Separador de milhares 3 2 3 5 7 3" xfId="9215"/>
    <cellStyle name="Separador de milhares 3 2 3 5 7 3 2" xfId="27429"/>
    <cellStyle name="Separador de milhares 3 2 3 5 7 3 3" xfId="21515"/>
    <cellStyle name="Separador de milhares 3 2 3 5 7 3 4" xfId="15601"/>
    <cellStyle name="Separador de milhares 3 2 3 5 7 4" xfId="5840"/>
    <cellStyle name="Separador de milhares 3 2 3 5 7 4 2" xfId="24472"/>
    <cellStyle name="Separador de milhares 3 2 3 5 7 5" xfId="18558"/>
    <cellStyle name="Separador de milhares 3 2 3 5 7 6" xfId="12227"/>
    <cellStyle name="Separador de milhares 3 2 3 5 8" xfId="6578"/>
    <cellStyle name="Separador de milhares 3 2 3 5 8 2" xfId="9725"/>
    <cellStyle name="Separador de milhares 3 2 3 5 8 2 2" xfId="27939"/>
    <cellStyle name="Separador de milhares 3 2 3 5 8 2 3" xfId="22025"/>
    <cellStyle name="Separador de milhares 3 2 3 5 8 2 4" xfId="16111"/>
    <cellStyle name="Separador de milhares 3 2 3 5 8 3" xfId="24982"/>
    <cellStyle name="Separador de milhares 3 2 3 5 8 4" xfId="19068"/>
    <cellStyle name="Separador de milhares 3 2 3 5 8 5" xfId="12967"/>
    <cellStyle name="Separador de milhares 3 2 3 5 9" xfId="8254"/>
    <cellStyle name="Separador de milhares 3 2 3 5 9 2" xfId="26468"/>
    <cellStyle name="Separador de milhares 3 2 3 5 9 3" xfId="20554"/>
    <cellStyle name="Separador de milhares 3 2 3 5 9 4" xfId="14643"/>
    <cellStyle name="Separador de milhares 3 2 3 6" xfId="736"/>
    <cellStyle name="Separador de milhares 3 2 3 6 2" xfId="4160"/>
    <cellStyle name="Separador de milhares 3 2 3 6 2 2" xfId="7588"/>
    <cellStyle name="Separador de milhares 3 2 3 6 2 2 2" xfId="10732"/>
    <cellStyle name="Separador de milhares 3 2 3 6 2 2 2 2" xfId="28946"/>
    <cellStyle name="Separador de milhares 3 2 3 6 2 2 2 3" xfId="23032"/>
    <cellStyle name="Separador de milhares 3 2 3 6 2 2 2 4" xfId="17118"/>
    <cellStyle name="Separador de milhares 3 2 3 6 2 2 3" xfId="25989"/>
    <cellStyle name="Separador de milhares 3 2 3 6 2 2 4" xfId="20075"/>
    <cellStyle name="Separador de milhares 3 2 3 6 2 2 5" xfId="13977"/>
    <cellStyle name="Separador de milhares 3 2 3 6 2 3" xfId="9264"/>
    <cellStyle name="Separador de milhares 3 2 3 6 2 3 2" xfId="27478"/>
    <cellStyle name="Separador de milhares 3 2 3 6 2 3 3" xfId="21564"/>
    <cellStyle name="Separador de milhares 3 2 3 6 2 3 4" xfId="15650"/>
    <cellStyle name="Separador de milhares 3 2 3 6 2 4" xfId="5889"/>
    <cellStyle name="Separador de milhares 3 2 3 6 2 4 2" xfId="24521"/>
    <cellStyle name="Separador de milhares 3 2 3 6 2 5" xfId="18607"/>
    <cellStyle name="Separador de milhares 3 2 3 6 2 6" xfId="12276"/>
    <cellStyle name="Separador de milhares 3 2 3 6 3" xfId="6633"/>
    <cellStyle name="Separador de milhares 3 2 3 6 3 2" xfId="9780"/>
    <cellStyle name="Separador de milhares 3 2 3 6 3 2 2" xfId="27994"/>
    <cellStyle name="Separador de milhares 3 2 3 6 3 2 3" xfId="22080"/>
    <cellStyle name="Separador de milhares 3 2 3 6 3 2 4" xfId="16166"/>
    <cellStyle name="Separador de milhares 3 2 3 6 3 3" xfId="25037"/>
    <cellStyle name="Separador de milhares 3 2 3 6 3 4" xfId="19123"/>
    <cellStyle name="Separador de milhares 3 2 3 6 3 5" xfId="13022"/>
    <cellStyle name="Separador de milhares 3 2 3 6 4" xfId="8312"/>
    <cellStyle name="Separador de milhares 3 2 3 6 4 2" xfId="26526"/>
    <cellStyle name="Separador de milhares 3 2 3 6 4 3" xfId="20612"/>
    <cellStyle name="Separador de milhares 3 2 3 6 4 4" xfId="14698"/>
    <cellStyle name="Separador de milhares 3 2 3 6 5" xfId="4934"/>
    <cellStyle name="Separador de milhares 3 2 3 6 5 2" xfId="23569"/>
    <cellStyle name="Separador de milhares 3 2 3 6 6" xfId="17655"/>
    <cellStyle name="Separador de milhares 3 2 3 6 7" xfId="11321"/>
    <cellStyle name="Separador de milhares 3 2 3 7" xfId="1087"/>
    <cellStyle name="Separador de milhares 3 2 3 7 2" xfId="6731"/>
    <cellStyle name="Separador de milhares 3 2 3 7 2 2" xfId="9878"/>
    <cellStyle name="Separador de milhares 3 2 3 7 2 2 2" xfId="28092"/>
    <cellStyle name="Separador de milhares 3 2 3 7 2 2 3" xfId="22178"/>
    <cellStyle name="Separador de milhares 3 2 3 7 2 2 4" xfId="16264"/>
    <cellStyle name="Separador de milhares 3 2 3 7 2 3" xfId="25135"/>
    <cellStyle name="Separador de milhares 3 2 3 7 2 4" xfId="19221"/>
    <cellStyle name="Separador de milhares 3 2 3 7 2 5" xfId="13120"/>
    <cellStyle name="Separador de milhares 3 2 3 7 3" xfId="8410"/>
    <cellStyle name="Separador de milhares 3 2 3 7 3 2" xfId="26624"/>
    <cellStyle name="Separador de milhares 3 2 3 7 3 3" xfId="20710"/>
    <cellStyle name="Separador de milhares 3 2 3 7 3 4" xfId="14796"/>
    <cellStyle name="Separador de milhares 3 2 3 7 4" xfId="5032"/>
    <cellStyle name="Separador de milhares 3 2 3 7 4 2" xfId="23667"/>
    <cellStyle name="Separador de milhares 3 2 3 7 5" xfId="17753"/>
    <cellStyle name="Separador de milhares 3 2 3 7 6" xfId="11419"/>
    <cellStyle name="Separador de milhares 3 2 3 8" xfId="1522"/>
    <cellStyle name="Separador de milhares 3 2 3 8 2" xfId="6850"/>
    <cellStyle name="Separador de milhares 3 2 3 8 2 2" xfId="9997"/>
    <cellStyle name="Separador de milhares 3 2 3 8 2 2 2" xfId="28211"/>
    <cellStyle name="Separador de milhares 3 2 3 8 2 2 3" xfId="22297"/>
    <cellStyle name="Separador de milhares 3 2 3 8 2 2 4" xfId="16383"/>
    <cellStyle name="Separador de milhares 3 2 3 8 2 3" xfId="25254"/>
    <cellStyle name="Separador de milhares 3 2 3 8 2 4" xfId="19340"/>
    <cellStyle name="Separador de milhares 3 2 3 8 2 5" xfId="13239"/>
    <cellStyle name="Separador de milhares 3 2 3 8 3" xfId="8529"/>
    <cellStyle name="Separador de milhares 3 2 3 8 3 2" xfId="26743"/>
    <cellStyle name="Separador de milhares 3 2 3 8 3 3" xfId="20829"/>
    <cellStyle name="Separador de milhares 3 2 3 8 3 4" xfId="14915"/>
    <cellStyle name="Separador de milhares 3 2 3 8 4" xfId="5151"/>
    <cellStyle name="Separador de milhares 3 2 3 8 4 2" xfId="23786"/>
    <cellStyle name="Separador de milhares 3 2 3 8 5" xfId="17872"/>
    <cellStyle name="Separador de milhares 3 2 3 8 6" xfId="11538"/>
    <cellStyle name="Separador de milhares 3 2 3 9" xfId="2052"/>
    <cellStyle name="Separador de milhares 3 2 3 9 2" xfId="7000"/>
    <cellStyle name="Separador de milhares 3 2 3 9 2 2" xfId="10144"/>
    <cellStyle name="Separador de milhares 3 2 3 9 2 2 2" xfId="28358"/>
    <cellStyle name="Separador de milhares 3 2 3 9 2 2 3" xfId="22444"/>
    <cellStyle name="Separador de milhares 3 2 3 9 2 2 4" xfId="16530"/>
    <cellStyle name="Separador de milhares 3 2 3 9 2 3" xfId="25401"/>
    <cellStyle name="Separador de milhares 3 2 3 9 2 4" xfId="19487"/>
    <cellStyle name="Separador de milhares 3 2 3 9 2 5" xfId="13389"/>
    <cellStyle name="Separador de milhares 3 2 3 9 3" xfId="8676"/>
    <cellStyle name="Separador de milhares 3 2 3 9 3 2" xfId="26890"/>
    <cellStyle name="Separador de milhares 3 2 3 9 3 3" xfId="20976"/>
    <cellStyle name="Separador de milhares 3 2 3 9 3 4" xfId="15062"/>
    <cellStyle name="Separador de milhares 3 2 3 9 4" xfId="5301"/>
    <cellStyle name="Separador de milhares 3 2 3 9 4 2" xfId="23933"/>
    <cellStyle name="Separador de milhares 3 2 3 9 5" xfId="18019"/>
    <cellStyle name="Separador de milhares 3 2 3 9 6" xfId="11688"/>
    <cellStyle name="Separador de milhares 3 2 4" xfId="84"/>
    <cellStyle name="Separador de milhares 3 2 4 10" xfId="2587"/>
    <cellStyle name="Separador de milhares 3 2 4 10 2" xfId="7149"/>
    <cellStyle name="Separador de milhares 3 2 4 10 2 2" xfId="10293"/>
    <cellStyle name="Separador de milhares 3 2 4 10 2 2 2" xfId="28507"/>
    <cellStyle name="Separador de milhares 3 2 4 10 2 2 3" xfId="22593"/>
    <cellStyle name="Separador de milhares 3 2 4 10 2 2 4" xfId="16679"/>
    <cellStyle name="Separador de milhares 3 2 4 10 2 3" xfId="25550"/>
    <cellStyle name="Separador de milhares 3 2 4 10 2 4" xfId="19636"/>
    <cellStyle name="Separador de milhares 3 2 4 10 2 5" xfId="13538"/>
    <cellStyle name="Separador de milhares 3 2 4 10 3" xfId="8825"/>
    <cellStyle name="Separador de milhares 3 2 4 10 3 2" xfId="27039"/>
    <cellStyle name="Separador de milhares 3 2 4 10 3 3" xfId="21125"/>
    <cellStyle name="Separador de milhares 3 2 4 10 3 4" xfId="15211"/>
    <cellStyle name="Separador de milhares 3 2 4 10 4" xfId="5450"/>
    <cellStyle name="Separador de milhares 3 2 4 10 4 2" xfId="24082"/>
    <cellStyle name="Separador de milhares 3 2 4 10 5" xfId="18168"/>
    <cellStyle name="Separador de milhares 3 2 4 10 6" xfId="11837"/>
    <cellStyle name="Separador de milhares 3 2 4 11" xfId="3114"/>
    <cellStyle name="Separador de milhares 3 2 4 11 2" xfId="7296"/>
    <cellStyle name="Separador de milhares 3 2 4 11 2 2" xfId="10440"/>
    <cellStyle name="Separador de milhares 3 2 4 11 2 2 2" xfId="28654"/>
    <cellStyle name="Separador de milhares 3 2 4 11 2 2 3" xfId="22740"/>
    <cellStyle name="Separador de milhares 3 2 4 11 2 2 4" xfId="16826"/>
    <cellStyle name="Separador de milhares 3 2 4 11 2 3" xfId="25697"/>
    <cellStyle name="Separador de milhares 3 2 4 11 2 4" xfId="19783"/>
    <cellStyle name="Separador de milhares 3 2 4 11 2 5" xfId="13685"/>
    <cellStyle name="Separador de milhares 3 2 4 11 3" xfId="8972"/>
    <cellStyle name="Separador de milhares 3 2 4 11 3 2" xfId="27186"/>
    <cellStyle name="Separador de milhares 3 2 4 11 3 3" xfId="21272"/>
    <cellStyle name="Separador de milhares 3 2 4 11 3 4" xfId="15358"/>
    <cellStyle name="Separador de milhares 3 2 4 11 4" xfId="5597"/>
    <cellStyle name="Separador de milhares 3 2 4 11 4 2" xfId="24229"/>
    <cellStyle name="Separador de milhares 3 2 4 11 5" xfId="18315"/>
    <cellStyle name="Separador de milhares 3 2 4 11 6" xfId="11984"/>
    <cellStyle name="Separador de milhares 3 2 4 12" xfId="3641"/>
    <cellStyle name="Separador de milhares 3 2 4 12 2" xfId="7443"/>
    <cellStyle name="Separador de milhares 3 2 4 12 2 2" xfId="10587"/>
    <cellStyle name="Separador de milhares 3 2 4 12 2 2 2" xfId="28801"/>
    <cellStyle name="Separador de milhares 3 2 4 12 2 2 3" xfId="22887"/>
    <cellStyle name="Separador de milhares 3 2 4 12 2 2 4" xfId="16973"/>
    <cellStyle name="Separador de milhares 3 2 4 12 2 3" xfId="25844"/>
    <cellStyle name="Separador de milhares 3 2 4 12 2 4" xfId="19930"/>
    <cellStyle name="Separador de milhares 3 2 4 12 2 5" xfId="13832"/>
    <cellStyle name="Separador de milhares 3 2 4 12 3" xfId="9119"/>
    <cellStyle name="Separador de milhares 3 2 4 12 3 2" xfId="27333"/>
    <cellStyle name="Separador de milhares 3 2 4 12 3 3" xfId="21419"/>
    <cellStyle name="Separador de milhares 3 2 4 12 3 4" xfId="15505"/>
    <cellStyle name="Separador de milhares 3 2 4 12 4" xfId="5744"/>
    <cellStyle name="Separador de milhares 3 2 4 12 4 2" xfId="24376"/>
    <cellStyle name="Separador de milhares 3 2 4 12 5" xfId="18462"/>
    <cellStyle name="Separador de milhares 3 2 4 12 6" xfId="12131"/>
    <cellStyle name="Separador de milhares 3 2 4 13" xfId="6427"/>
    <cellStyle name="Separador de milhares 3 2 4 13 2" xfId="9583"/>
    <cellStyle name="Separador de milhares 3 2 4 13 2 2" xfId="27797"/>
    <cellStyle name="Separador de milhares 3 2 4 13 2 3" xfId="21883"/>
    <cellStyle name="Separador de milhares 3 2 4 13 2 4" xfId="15969"/>
    <cellStyle name="Separador de milhares 3 2 4 13 3" xfId="24840"/>
    <cellStyle name="Separador de milhares 3 2 4 13 4" xfId="18926"/>
    <cellStyle name="Separador de milhares 3 2 4 13 5" xfId="12816"/>
    <cellStyle name="Separador de milhares 3 2 4 14" xfId="8112"/>
    <cellStyle name="Separador de milhares 3 2 4 14 2" xfId="26326"/>
    <cellStyle name="Separador de milhares 3 2 4 14 3" xfId="20412"/>
    <cellStyle name="Separador de milhares 3 2 4 14 4" xfId="14501"/>
    <cellStyle name="Separador de milhares 3 2 4 15" xfId="4725"/>
    <cellStyle name="Separador de milhares 3 2 4 15 2" xfId="23369"/>
    <cellStyle name="Separador de milhares 3 2 4 16" xfId="17455"/>
    <cellStyle name="Separador de milhares 3 2 4 17" xfId="11115"/>
    <cellStyle name="Separador de milhares 3 2 4 2" xfId="178"/>
    <cellStyle name="Separador de milhares 3 2 4 2 10" xfId="6456"/>
    <cellStyle name="Separador de milhares 3 2 4 2 10 2" xfId="9610"/>
    <cellStyle name="Separador de milhares 3 2 4 2 10 2 2" xfId="27824"/>
    <cellStyle name="Separador de milhares 3 2 4 2 10 2 3" xfId="21910"/>
    <cellStyle name="Separador de milhares 3 2 4 2 10 2 4" xfId="15996"/>
    <cellStyle name="Separador de milhares 3 2 4 2 10 3" xfId="24867"/>
    <cellStyle name="Separador de milhares 3 2 4 2 10 4" xfId="18953"/>
    <cellStyle name="Separador de milhares 3 2 4 2 10 5" xfId="12845"/>
    <cellStyle name="Separador de milhares 3 2 4 2 11" xfId="8139"/>
    <cellStyle name="Separador de milhares 3 2 4 2 11 2" xfId="26353"/>
    <cellStyle name="Separador de milhares 3 2 4 2 11 3" xfId="20439"/>
    <cellStyle name="Separador de milhares 3 2 4 2 11 4" xfId="14528"/>
    <cellStyle name="Separador de milhares 3 2 4 2 12" xfId="4755"/>
    <cellStyle name="Separador de milhares 3 2 4 2 12 2" xfId="23396"/>
    <cellStyle name="Separador de milhares 3 2 4 2 13" xfId="17482"/>
    <cellStyle name="Separador de milhares 3 2 4 2 14" xfId="11144"/>
    <cellStyle name="Separador de milhares 3 2 4 2 2" xfId="451"/>
    <cellStyle name="Separador de milhares 3 2 4 2 2 10" xfId="17556"/>
    <cellStyle name="Separador de milhares 3 2 4 2 2 11" xfId="11225"/>
    <cellStyle name="Separador de milhares 3 2 4 2 2 2" xfId="1970"/>
    <cellStyle name="Separador de milhares 3 2 4 2 2 2 2" xfId="6975"/>
    <cellStyle name="Separador de milhares 3 2 4 2 2 2 2 2" xfId="10122"/>
    <cellStyle name="Separador de milhares 3 2 4 2 2 2 2 2 2" xfId="28336"/>
    <cellStyle name="Separador de milhares 3 2 4 2 2 2 2 2 3" xfId="22422"/>
    <cellStyle name="Separador de milhares 3 2 4 2 2 2 2 2 4" xfId="16508"/>
    <cellStyle name="Separador de milhares 3 2 4 2 2 2 2 3" xfId="25379"/>
    <cellStyle name="Separador de milhares 3 2 4 2 2 2 2 4" xfId="19465"/>
    <cellStyle name="Separador de milhares 3 2 4 2 2 2 2 5" xfId="13364"/>
    <cellStyle name="Separador de milhares 3 2 4 2 2 2 3" xfId="8654"/>
    <cellStyle name="Separador de milhares 3 2 4 2 2 2 3 2" xfId="26868"/>
    <cellStyle name="Separador de milhares 3 2 4 2 2 2 3 3" xfId="20954"/>
    <cellStyle name="Separador de milhares 3 2 4 2 2 2 3 4" xfId="15040"/>
    <cellStyle name="Separador de milhares 3 2 4 2 2 2 4" xfId="5276"/>
    <cellStyle name="Separador de milhares 3 2 4 2 2 2 4 2" xfId="23911"/>
    <cellStyle name="Separador de milhares 3 2 4 2 2 2 5" xfId="17997"/>
    <cellStyle name="Separador de milhares 3 2 4 2 2 2 6" xfId="11663"/>
    <cellStyle name="Separador de milhares 3 2 4 2 2 3" xfId="2500"/>
    <cellStyle name="Separador de milhares 3 2 4 2 2 3 2" xfId="7125"/>
    <cellStyle name="Separador de milhares 3 2 4 2 2 3 2 2" xfId="10269"/>
    <cellStyle name="Separador de milhares 3 2 4 2 2 3 2 2 2" xfId="28483"/>
    <cellStyle name="Separador de milhares 3 2 4 2 2 3 2 2 3" xfId="22569"/>
    <cellStyle name="Separador de milhares 3 2 4 2 2 3 2 2 4" xfId="16655"/>
    <cellStyle name="Separador de milhares 3 2 4 2 2 3 2 3" xfId="25526"/>
    <cellStyle name="Separador de milhares 3 2 4 2 2 3 2 4" xfId="19612"/>
    <cellStyle name="Separador de milhares 3 2 4 2 2 3 2 5" xfId="13514"/>
    <cellStyle name="Separador de milhares 3 2 4 2 2 3 3" xfId="8801"/>
    <cellStyle name="Separador de milhares 3 2 4 2 2 3 3 2" xfId="27015"/>
    <cellStyle name="Separador de milhares 3 2 4 2 2 3 3 3" xfId="21101"/>
    <cellStyle name="Separador de milhares 3 2 4 2 2 3 3 4" xfId="15187"/>
    <cellStyle name="Separador de milhares 3 2 4 2 2 3 4" xfId="5426"/>
    <cellStyle name="Separador de milhares 3 2 4 2 2 3 4 2" xfId="24058"/>
    <cellStyle name="Separador de milhares 3 2 4 2 2 3 5" xfId="18144"/>
    <cellStyle name="Separador de milhares 3 2 4 2 2 3 6" xfId="11813"/>
    <cellStyle name="Separador de milhares 3 2 4 2 2 4" xfId="3027"/>
    <cellStyle name="Separador de milhares 3 2 4 2 2 4 2" xfId="7272"/>
    <cellStyle name="Separador de milhares 3 2 4 2 2 4 2 2" xfId="10416"/>
    <cellStyle name="Separador de milhares 3 2 4 2 2 4 2 2 2" xfId="28630"/>
    <cellStyle name="Separador de milhares 3 2 4 2 2 4 2 2 3" xfId="22716"/>
    <cellStyle name="Separador de milhares 3 2 4 2 2 4 2 2 4" xfId="16802"/>
    <cellStyle name="Separador de milhares 3 2 4 2 2 4 2 3" xfId="25673"/>
    <cellStyle name="Separador de milhares 3 2 4 2 2 4 2 4" xfId="19759"/>
    <cellStyle name="Separador de milhares 3 2 4 2 2 4 2 5" xfId="13661"/>
    <cellStyle name="Separador de milhares 3 2 4 2 2 4 3" xfId="8948"/>
    <cellStyle name="Separador de milhares 3 2 4 2 2 4 3 2" xfId="27162"/>
    <cellStyle name="Separador de milhares 3 2 4 2 2 4 3 3" xfId="21248"/>
    <cellStyle name="Separador de milhares 3 2 4 2 2 4 3 4" xfId="15334"/>
    <cellStyle name="Separador de milhares 3 2 4 2 2 4 4" xfId="5573"/>
    <cellStyle name="Separador de milhares 3 2 4 2 2 4 4 2" xfId="24205"/>
    <cellStyle name="Separador de milhares 3 2 4 2 2 4 5" xfId="18291"/>
    <cellStyle name="Separador de milhares 3 2 4 2 2 4 6" xfId="11960"/>
    <cellStyle name="Separador de milhares 3 2 4 2 2 5" xfId="3554"/>
    <cellStyle name="Separador de milhares 3 2 4 2 2 5 2" xfId="7419"/>
    <cellStyle name="Separador de milhares 3 2 4 2 2 5 2 2" xfId="10563"/>
    <cellStyle name="Separador de milhares 3 2 4 2 2 5 2 2 2" xfId="28777"/>
    <cellStyle name="Separador de milhares 3 2 4 2 2 5 2 2 3" xfId="22863"/>
    <cellStyle name="Separador de milhares 3 2 4 2 2 5 2 2 4" xfId="16949"/>
    <cellStyle name="Separador de milhares 3 2 4 2 2 5 2 3" xfId="25820"/>
    <cellStyle name="Separador de milhares 3 2 4 2 2 5 2 4" xfId="19906"/>
    <cellStyle name="Separador de milhares 3 2 4 2 2 5 2 5" xfId="13808"/>
    <cellStyle name="Separador de milhares 3 2 4 2 2 5 3" xfId="9095"/>
    <cellStyle name="Separador de milhares 3 2 4 2 2 5 3 2" xfId="27309"/>
    <cellStyle name="Separador de milhares 3 2 4 2 2 5 3 3" xfId="21395"/>
    <cellStyle name="Separador de milhares 3 2 4 2 2 5 3 4" xfId="15481"/>
    <cellStyle name="Separador de milhares 3 2 4 2 2 5 4" xfId="5720"/>
    <cellStyle name="Separador de milhares 3 2 4 2 2 5 4 2" xfId="24352"/>
    <cellStyle name="Separador de milhares 3 2 4 2 2 5 5" xfId="18438"/>
    <cellStyle name="Separador de milhares 3 2 4 2 2 5 6" xfId="12107"/>
    <cellStyle name="Separador de milhares 3 2 4 2 2 6" xfId="4081"/>
    <cellStyle name="Separador de milhares 3 2 4 2 2 6 2" xfId="7566"/>
    <cellStyle name="Separador de milhares 3 2 4 2 2 6 2 2" xfId="10710"/>
    <cellStyle name="Separador de milhares 3 2 4 2 2 6 2 2 2" xfId="28924"/>
    <cellStyle name="Separador de milhares 3 2 4 2 2 6 2 2 3" xfId="23010"/>
    <cellStyle name="Separador de milhares 3 2 4 2 2 6 2 2 4" xfId="17096"/>
    <cellStyle name="Separador de milhares 3 2 4 2 2 6 2 3" xfId="25967"/>
    <cellStyle name="Separador de milhares 3 2 4 2 2 6 2 4" xfId="20053"/>
    <cellStyle name="Separador de milhares 3 2 4 2 2 6 2 5" xfId="13955"/>
    <cellStyle name="Separador de milhares 3 2 4 2 2 6 3" xfId="9242"/>
    <cellStyle name="Separador de milhares 3 2 4 2 2 6 3 2" xfId="27456"/>
    <cellStyle name="Separador de milhares 3 2 4 2 2 6 3 3" xfId="21542"/>
    <cellStyle name="Separador de milhares 3 2 4 2 2 6 3 4" xfId="15628"/>
    <cellStyle name="Separador de milhares 3 2 4 2 2 6 4" xfId="5867"/>
    <cellStyle name="Separador de milhares 3 2 4 2 2 6 4 2" xfId="24499"/>
    <cellStyle name="Separador de milhares 3 2 4 2 2 6 5" xfId="18585"/>
    <cellStyle name="Separador de milhares 3 2 4 2 2 6 6" xfId="12254"/>
    <cellStyle name="Separador de milhares 3 2 4 2 2 7" xfId="6537"/>
    <cellStyle name="Separador de milhares 3 2 4 2 2 7 2" xfId="9684"/>
    <cellStyle name="Separador de milhares 3 2 4 2 2 7 2 2" xfId="27898"/>
    <cellStyle name="Separador de milhares 3 2 4 2 2 7 2 3" xfId="21984"/>
    <cellStyle name="Separador de milhares 3 2 4 2 2 7 2 4" xfId="16070"/>
    <cellStyle name="Separador de milhares 3 2 4 2 2 7 3" xfId="24941"/>
    <cellStyle name="Separador de milhares 3 2 4 2 2 7 4" xfId="19027"/>
    <cellStyle name="Separador de milhares 3 2 4 2 2 7 5" xfId="12926"/>
    <cellStyle name="Separador de milhares 3 2 4 2 2 8" xfId="8213"/>
    <cellStyle name="Separador de milhares 3 2 4 2 2 8 2" xfId="26427"/>
    <cellStyle name="Separador de milhares 3 2 4 2 2 8 3" xfId="20513"/>
    <cellStyle name="Separador de milhares 3 2 4 2 2 8 4" xfId="14602"/>
    <cellStyle name="Separador de milhares 3 2 4 2 2 9" xfId="4836"/>
    <cellStyle name="Separador de milhares 3 2 4 2 2 9 2" xfId="23470"/>
    <cellStyle name="Separador de milhares 3 2 4 2 3" xfId="924"/>
    <cellStyle name="Separador de milhares 3 2 4 2 3 2" xfId="6688"/>
    <cellStyle name="Separador de milhares 3 2 4 2 3 2 2" xfId="9835"/>
    <cellStyle name="Separador de milhares 3 2 4 2 3 2 2 2" xfId="28049"/>
    <cellStyle name="Separador de milhares 3 2 4 2 3 2 2 3" xfId="22135"/>
    <cellStyle name="Separador de milhares 3 2 4 2 3 2 2 4" xfId="16221"/>
    <cellStyle name="Separador de milhares 3 2 4 2 3 2 3" xfId="25092"/>
    <cellStyle name="Separador de milhares 3 2 4 2 3 2 4" xfId="19178"/>
    <cellStyle name="Separador de milhares 3 2 4 2 3 2 5" xfId="13077"/>
    <cellStyle name="Separador de milhares 3 2 4 2 3 3" xfId="8367"/>
    <cellStyle name="Separador de milhares 3 2 4 2 3 3 2" xfId="26581"/>
    <cellStyle name="Separador de milhares 3 2 4 2 3 3 3" xfId="20667"/>
    <cellStyle name="Separador de milhares 3 2 4 2 3 3 4" xfId="14753"/>
    <cellStyle name="Separador de milhares 3 2 4 2 3 4" xfId="4989"/>
    <cellStyle name="Separador de milhares 3 2 4 2 3 4 2" xfId="23624"/>
    <cellStyle name="Separador de milhares 3 2 4 2 3 5" xfId="17710"/>
    <cellStyle name="Separador de milhares 3 2 4 2 3 6" xfId="11376"/>
    <cellStyle name="Separador de milhares 3 2 4 2 4" xfId="1275"/>
    <cellStyle name="Separador de milhares 3 2 4 2 4 2" xfId="6786"/>
    <cellStyle name="Separador de milhares 3 2 4 2 4 2 2" xfId="9933"/>
    <cellStyle name="Separador de milhares 3 2 4 2 4 2 2 2" xfId="28147"/>
    <cellStyle name="Separador de milhares 3 2 4 2 4 2 2 3" xfId="22233"/>
    <cellStyle name="Separador de milhares 3 2 4 2 4 2 2 4" xfId="16319"/>
    <cellStyle name="Separador de milhares 3 2 4 2 4 2 3" xfId="25190"/>
    <cellStyle name="Separador de milhares 3 2 4 2 4 2 4" xfId="19276"/>
    <cellStyle name="Separador de milhares 3 2 4 2 4 2 5" xfId="13175"/>
    <cellStyle name="Separador de milhares 3 2 4 2 4 3" xfId="8465"/>
    <cellStyle name="Separador de milhares 3 2 4 2 4 3 2" xfId="26679"/>
    <cellStyle name="Separador de milhares 3 2 4 2 4 3 3" xfId="20765"/>
    <cellStyle name="Separador de milhares 3 2 4 2 4 3 4" xfId="14851"/>
    <cellStyle name="Separador de milhares 3 2 4 2 4 4" xfId="5087"/>
    <cellStyle name="Separador de milhares 3 2 4 2 4 4 2" xfId="23722"/>
    <cellStyle name="Separador de milhares 3 2 4 2 4 5" xfId="17808"/>
    <cellStyle name="Separador de milhares 3 2 4 2 4 6" xfId="11474"/>
    <cellStyle name="Separador de milhares 3 2 4 2 5" xfId="1710"/>
    <cellStyle name="Separador de milhares 3 2 4 2 5 2" xfId="6905"/>
    <cellStyle name="Separador de milhares 3 2 4 2 5 2 2" xfId="10052"/>
    <cellStyle name="Separador de milhares 3 2 4 2 5 2 2 2" xfId="28266"/>
    <cellStyle name="Separador de milhares 3 2 4 2 5 2 2 3" xfId="22352"/>
    <cellStyle name="Separador de milhares 3 2 4 2 5 2 2 4" xfId="16438"/>
    <cellStyle name="Separador de milhares 3 2 4 2 5 2 3" xfId="25309"/>
    <cellStyle name="Separador de milhares 3 2 4 2 5 2 4" xfId="19395"/>
    <cellStyle name="Separador de milhares 3 2 4 2 5 2 5" xfId="13294"/>
    <cellStyle name="Separador de milhares 3 2 4 2 5 3" xfId="8584"/>
    <cellStyle name="Separador de milhares 3 2 4 2 5 3 2" xfId="26798"/>
    <cellStyle name="Separador de milhares 3 2 4 2 5 3 3" xfId="20884"/>
    <cellStyle name="Separador de milhares 3 2 4 2 5 3 4" xfId="14970"/>
    <cellStyle name="Separador de milhares 3 2 4 2 5 4" xfId="5206"/>
    <cellStyle name="Separador de milhares 3 2 4 2 5 4 2" xfId="23841"/>
    <cellStyle name="Separador de milhares 3 2 4 2 5 5" xfId="17927"/>
    <cellStyle name="Separador de milhares 3 2 4 2 5 6" xfId="11593"/>
    <cellStyle name="Separador de milhares 3 2 4 2 6" xfId="2240"/>
    <cellStyle name="Separador de milhares 3 2 4 2 6 2" xfId="7055"/>
    <cellStyle name="Separador de milhares 3 2 4 2 6 2 2" xfId="10199"/>
    <cellStyle name="Separador de milhares 3 2 4 2 6 2 2 2" xfId="28413"/>
    <cellStyle name="Separador de milhares 3 2 4 2 6 2 2 3" xfId="22499"/>
    <cellStyle name="Separador de milhares 3 2 4 2 6 2 2 4" xfId="16585"/>
    <cellStyle name="Separador de milhares 3 2 4 2 6 2 3" xfId="25456"/>
    <cellStyle name="Separador de milhares 3 2 4 2 6 2 4" xfId="19542"/>
    <cellStyle name="Separador de milhares 3 2 4 2 6 2 5" xfId="13444"/>
    <cellStyle name="Separador de milhares 3 2 4 2 6 3" xfId="8731"/>
    <cellStyle name="Separador de milhares 3 2 4 2 6 3 2" xfId="26945"/>
    <cellStyle name="Separador de milhares 3 2 4 2 6 3 3" xfId="21031"/>
    <cellStyle name="Separador de milhares 3 2 4 2 6 3 4" xfId="15117"/>
    <cellStyle name="Separador de milhares 3 2 4 2 6 4" xfId="5356"/>
    <cellStyle name="Separador de milhares 3 2 4 2 6 4 2" xfId="23988"/>
    <cellStyle name="Separador de milhares 3 2 4 2 6 5" xfId="18074"/>
    <cellStyle name="Separador de milhares 3 2 4 2 6 6" xfId="11743"/>
    <cellStyle name="Separador de milhares 3 2 4 2 7" xfId="2767"/>
    <cellStyle name="Separador de milhares 3 2 4 2 7 2" xfId="7202"/>
    <cellStyle name="Separador de milhares 3 2 4 2 7 2 2" xfId="10346"/>
    <cellStyle name="Separador de milhares 3 2 4 2 7 2 2 2" xfId="28560"/>
    <cellStyle name="Separador de milhares 3 2 4 2 7 2 2 3" xfId="22646"/>
    <cellStyle name="Separador de milhares 3 2 4 2 7 2 2 4" xfId="16732"/>
    <cellStyle name="Separador de milhares 3 2 4 2 7 2 3" xfId="25603"/>
    <cellStyle name="Separador de milhares 3 2 4 2 7 2 4" xfId="19689"/>
    <cellStyle name="Separador de milhares 3 2 4 2 7 2 5" xfId="13591"/>
    <cellStyle name="Separador de milhares 3 2 4 2 7 3" xfId="8878"/>
    <cellStyle name="Separador de milhares 3 2 4 2 7 3 2" xfId="27092"/>
    <cellStyle name="Separador de milhares 3 2 4 2 7 3 3" xfId="21178"/>
    <cellStyle name="Separador de milhares 3 2 4 2 7 3 4" xfId="15264"/>
    <cellStyle name="Separador de milhares 3 2 4 2 7 4" xfId="5503"/>
    <cellStyle name="Separador de milhares 3 2 4 2 7 4 2" xfId="24135"/>
    <cellStyle name="Separador de milhares 3 2 4 2 7 5" xfId="18221"/>
    <cellStyle name="Separador de milhares 3 2 4 2 7 6" xfId="11890"/>
    <cellStyle name="Separador de milhares 3 2 4 2 8" xfId="3294"/>
    <cellStyle name="Separador de milhares 3 2 4 2 8 2" xfId="7349"/>
    <cellStyle name="Separador de milhares 3 2 4 2 8 2 2" xfId="10493"/>
    <cellStyle name="Separador de milhares 3 2 4 2 8 2 2 2" xfId="28707"/>
    <cellStyle name="Separador de milhares 3 2 4 2 8 2 2 3" xfId="22793"/>
    <cellStyle name="Separador de milhares 3 2 4 2 8 2 2 4" xfId="16879"/>
    <cellStyle name="Separador de milhares 3 2 4 2 8 2 3" xfId="25750"/>
    <cellStyle name="Separador de milhares 3 2 4 2 8 2 4" xfId="19836"/>
    <cellStyle name="Separador de milhares 3 2 4 2 8 2 5" xfId="13738"/>
    <cellStyle name="Separador de milhares 3 2 4 2 8 3" xfId="9025"/>
    <cellStyle name="Separador de milhares 3 2 4 2 8 3 2" xfId="27239"/>
    <cellStyle name="Separador de milhares 3 2 4 2 8 3 3" xfId="21325"/>
    <cellStyle name="Separador de milhares 3 2 4 2 8 3 4" xfId="15411"/>
    <cellStyle name="Separador de milhares 3 2 4 2 8 4" xfId="5650"/>
    <cellStyle name="Separador de milhares 3 2 4 2 8 4 2" xfId="24282"/>
    <cellStyle name="Separador de milhares 3 2 4 2 8 5" xfId="18368"/>
    <cellStyle name="Separador de milhares 3 2 4 2 8 6" xfId="12037"/>
    <cellStyle name="Separador de milhares 3 2 4 2 9" xfId="3821"/>
    <cellStyle name="Separador de milhares 3 2 4 2 9 2" xfId="7496"/>
    <cellStyle name="Separador de milhares 3 2 4 2 9 2 2" xfId="10640"/>
    <cellStyle name="Separador de milhares 3 2 4 2 9 2 2 2" xfId="28854"/>
    <cellStyle name="Separador de milhares 3 2 4 2 9 2 2 3" xfId="22940"/>
    <cellStyle name="Separador de milhares 3 2 4 2 9 2 2 4" xfId="17026"/>
    <cellStyle name="Separador de milhares 3 2 4 2 9 2 3" xfId="25897"/>
    <cellStyle name="Separador de milhares 3 2 4 2 9 2 4" xfId="19983"/>
    <cellStyle name="Separador de milhares 3 2 4 2 9 2 5" xfId="13885"/>
    <cellStyle name="Separador de milhares 3 2 4 2 9 3" xfId="9172"/>
    <cellStyle name="Separador de milhares 3 2 4 2 9 3 2" xfId="27386"/>
    <cellStyle name="Separador de milhares 3 2 4 2 9 3 3" xfId="21472"/>
    <cellStyle name="Separador de milhares 3 2 4 2 9 3 4" xfId="15558"/>
    <cellStyle name="Separador de milhares 3 2 4 2 9 4" xfId="5797"/>
    <cellStyle name="Separador de milhares 3 2 4 2 9 4 2" xfId="24429"/>
    <cellStyle name="Separador de milhares 3 2 4 2 9 5" xfId="18515"/>
    <cellStyle name="Separador de milhares 3 2 4 2 9 6" xfId="12184"/>
    <cellStyle name="Separador de milhares 3 2 4 3" xfId="273"/>
    <cellStyle name="Separador de milhares 3 2 4 3 10" xfId="6487"/>
    <cellStyle name="Separador de milhares 3 2 4 3 10 2" xfId="9638"/>
    <cellStyle name="Separador de milhares 3 2 4 3 10 2 2" xfId="27852"/>
    <cellStyle name="Separador de milhares 3 2 4 3 10 2 3" xfId="21938"/>
    <cellStyle name="Separador de milhares 3 2 4 3 10 2 4" xfId="16024"/>
    <cellStyle name="Separador de milhares 3 2 4 3 10 3" xfId="24895"/>
    <cellStyle name="Separador de milhares 3 2 4 3 10 4" xfId="18981"/>
    <cellStyle name="Separador de milhares 3 2 4 3 10 5" xfId="12876"/>
    <cellStyle name="Separador de milhares 3 2 4 3 11" xfId="8167"/>
    <cellStyle name="Separador de milhares 3 2 4 3 11 2" xfId="26381"/>
    <cellStyle name="Separador de milhares 3 2 4 3 11 3" xfId="20467"/>
    <cellStyle name="Separador de milhares 3 2 4 3 11 4" xfId="14556"/>
    <cellStyle name="Separador de milhares 3 2 4 3 12" xfId="4786"/>
    <cellStyle name="Separador de milhares 3 2 4 3 12 2" xfId="23424"/>
    <cellStyle name="Separador de milhares 3 2 4 3 13" xfId="17510"/>
    <cellStyle name="Separador de milhares 3 2 4 3 14" xfId="11175"/>
    <cellStyle name="Separador de milhares 3 2 4 3 2" xfId="536"/>
    <cellStyle name="Separador de milhares 3 2 4 3 2 2" xfId="6558"/>
    <cellStyle name="Separador de milhares 3 2 4 3 2 2 2" xfId="9705"/>
    <cellStyle name="Separador de milhares 3 2 4 3 2 2 2 2" xfId="27919"/>
    <cellStyle name="Separador de milhares 3 2 4 3 2 2 2 3" xfId="22005"/>
    <cellStyle name="Separador de milhares 3 2 4 3 2 2 2 4" xfId="16091"/>
    <cellStyle name="Separador de milhares 3 2 4 3 2 2 3" xfId="24962"/>
    <cellStyle name="Separador de milhares 3 2 4 3 2 2 4" xfId="19048"/>
    <cellStyle name="Separador de milhares 3 2 4 3 2 2 5" xfId="12947"/>
    <cellStyle name="Separador de milhares 3 2 4 3 2 3" xfId="8234"/>
    <cellStyle name="Separador de milhares 3 2 4 3 2 3 2" xfId="26448"/>
    <cellStyle name="Separador de milhares 3 2 4 3 2 3 3" xfId="20534"/>
    <cellStyle name="Separador de milhares 3 2 4 3 2 3 4" xfId="14623"/>
    <cellStyle name="Separador de milhares 3 2 4 3 2 4" xfId="4857"/>
    <cellStyle name="Separador de milhares 3 2 4 3 2 4 2" xfId="23491"/>
    <cellStyle name="Separador de milhares 3 2 4 3 2 5" xfId="17577"/>
    <cellStyle name="Separador de milhares 3 2 4 3 2 6" xfId="11246"/>
    <cellStyle name="Separador de milhares 3 2 4 3 3" xfId="833"/>
    <cellStyle name="Separador de milhares 3 2 4 3 3 2" xfId="6660"/>
    <cellStyle name="Separador de milhares 3 2 4 3 3 2 2" xfId="9807"/>
    <cellStyle name="Separador de milhares 3 2 4 3 3 2 2 2" xfId="28021"/>
    <cellStyle name="Separador de milhares 3 2 4 3 3 2 2 3" xfId="22107"/>
    <cellStyle name="Separador de milhares 3 2 4 3 3 2 2 4" xfId="16193"/>
    <cellStyle name="Separador de milhares 3 2 4 3 3 2 3" xfId="25064"/>
    <cellStyle name="Separador de milhares 3 2 4 3 3 2 4" xfId="19150"/>
    <cellStyle name="Separador de milhares 3 2 4 3 3 2 5" xfId="13049"/>
    <cellStyle name="Separador de milhares 3 2 4 3 3 3" xfId="8339"/>
    <cellStyle name="Separador de milhares 3 2 4 3 3 3 2" xfId="26553"/>
    <cellStyle name="Separador de milhares 3 2 4 3 3 3 3" xfId="20639"/>
    <cellStyle name="Separador de milhares 3 2 4 3 3 3 4" xfId="14725"/>
    <cellStyle name="Separador de milhares 3 2 4 3 3 4" xfId="4961"/>
    <cellStyle name="Separador de milhares 3 2 4 3 3 4 2" xfId="23596"/>
    <cellStyle name="Separador de milhares 3 2 4 3 3 5" xfId="17682"/>
    <cellStyle name="Separador de milhares 3 2 4 3 3 6" xfId="11348"/>
    <cellStyle name="Separador de milhares 3 2 4 3 4" xfId="1184"/>
    <cellStyle name="Separador de milhares 3 2 4 3 4 2" xfId="6758"/>
    <cellStyle name="Separador de milhares 3 2 4 3 4 2 2" xfId="9905"/>
    <cellStyle name="Separador de milhares 3 2 4 3 4 2 2 2" xfId="28119"/>
    <cellStyle name="Separador de milhares 3 2 4 3 4 2 2 3" xfId="22205"/>
    <cellStyle name="Separador de milhares 3 2 4 3 4 2 2 4" xfId="16291"/>
    <cellStyle name="Separador de milhares 3 2 4 3 4 2 3" xfId="25162"/>
    <cellStyle name="Separador de milhares 3 2 4 3 4 2 4" xfId="19248"/>
    <cellStyle name="Separador de milhares 3 2 4 3 4 2 5" xfId="13147"/>
    <cellStyle name="Separador de milhares 3 2 4 3 4 3" xfId="8437"/>
    <cellStyle name="Separador de milhares 3 2 4 3 4 3 2" xfId="26651"/>
    <cellStyle name="Separador de milhares 3 2 4 3 4 3 3" xfId="20737"/>
    <cellStyle name="Separador de milhares 3 2 4 3 4 3 4" xfId="14823"/>
    <cellStyle name="Separador de milhares 3 2 4 3 4 4" xfId="5059"/>
    <cellStyle name="Separador de milhares 3 2 4 3 4 4 2" xfId="23694"/>
    <cellStyle name="Separador de milhares 3 2 4 3 4 5" xfId="17780"/>
    <cellStyle name="Separador de milhares 3 2 4 3 4 6" xfId="11446"/>
    <cellStyle name="Separador de milhares 3 2 4 3 5" xfId="1619"/>
    <cellStyle name="Separador de milhares 3 2 4 3 5 2" xfId="6877"/>
    <cellStyle name="Separador de milhares 3 2 4 3 5 2 2" xfId="10024"/>
    <cellStyle name="Separador de milhares 3 2 4 3 5 2 2 2" xfId="28238"/>
    <cellStyle name="Separador de milhares 3 2 4 3 5 2 2 3" xfId="22324"/>
    <cellStyle name="Separador de milhares 3 2 4 3 5 2 2 4" xfId="16410"/>
    <cellStyle name="Separador de milhares 3 2 4 3 5 2 3" xfId="25281"/>
    <cellStyle name="Separador de milhares 3 2 4 3 5 2 4" xfId="19367"/>
    <cellStyle name="Separador de milhares 3 2 4 3 5 2 5" xfId="13266"/>
    <cellStyle name="Separador de milhares 3 2 4 3 5 3" xfId="8556"/>
    <cellStyle name="Separador de milhares 3 2 4 3 5 3 2" xfId="26770"/>
    <cellStyle name="Separador de milhares 3 2 4 3 5 3 3" xfId="20856"/>
    <cellStyle name="Separador de milhares 3 2 4 3 5 3 4" xfId="14942"/>
    <cellStyle name="Separador de milhares 3 2 4 3 5 4" xfId="5178"/>
    <cellStyle name="Separador de milhares 3 2 4 3 5 4 2" xfId="23813"/>
    <cellStyle name="Separador de milhares 3 2 4 3 5 5" xfId="17899"/>
    <cellStyle name="Separador de milhares 3 2 4 3 5 6" xfId="11565"/>
    <cellStyle name="Separador de milhares 3 2 4 3 6" xfId="2149"/>
    <cellStyle name="Separador de milhares 3 2 4 3 6 2" xfId="7027"/>
    <cellStyle name="Separador de milhares 3 2 4 3 6 2 2" xfId="10171"/>
    <cellStyle name="Separador de milhares 3 2 4 3 6 2 2 2" xfId="28385"/>
    <cellStyle name="Separador de milhares 3 2 4 3 6 2 2 3" xfId="22471"/>
    <cellStyle name="Separador de milhares 3 2 4 3 6 2 2 4" xfId="16557"/>
    <cellStyle name="Separador de milhares 3 2 4 3 6 2 3" xfId="25428"/>
    <cellStyle name="Separador de milhares 3 2 4 3 6 2 4" xfId="19514"/>
    <cellStyle name="Separador de milhares 3 2 4 3 6 2 5" xfId="13416"/>
    <cellStyle name="Separador de milhares 3 2 4 3 6 3" xfId="8703"/>
    <cellStyle name="Separador de milhares 3 2 4 3 6 3 2" xfId="26917"/>
    <cellStyle name="Separador de milhares 3 2 4 3 6 3 3" xfId="21003"/>
    <cellStyle name="Separador de milhares 3 2 4 3 6 3 4" xfId="15089"/>
    <cellStyle name="Separador de milhares 3 2 4 3 6 4" xfId="5328"/>
    <cellStyle name="Separador de milhares 3 2 4 3 6 4 2" xfId="23960"/>
    <cellStyle name="Separador de milhares 3 2 4 3 6 5" xfId="18046"/>
    <cellStyle name="Separador de milhares 3 2 4 3 6 6" xfId="11715"/>
    <cellStyle name="Separador de milhares 3 2 4 3 7" xfId="2676"/>
    <cellStyle name="Separador de milhares 3 2 4 3 7 2" xfId="7174"/>
    <cellStyle name="Separador de milhares 3 2 4 3 7 2 2" xfId="10318"/>
    <cellStyle name="Separador de milhares 3 2 4 3 7 2 2 2" xfId="28532"/>
    <cellStyle name="Separador de milhares 3 2 4 3 7 2 2 3" xfId="22618"/>
    <cellStyle name="Separador de milhares 3 2 4 3 7 2 2 4" xfId="16704"/>
    <cellStyle name="Separador de milhares 3 2 4 3 7 2 3" xfId="25575"/>
    <cellStyle name="Separador de milhares 3 2 4 3 7 2 4" xfId="19661"/>
    <cellStyle name="Separador de milhares 3 2 4 3 7 2 5" xfId="13563"/>
    <cellStyle name="Separador de milhares 3 2 4 3 7 3" xfId="8850"/>
    <cellStyle name="Separador de milhares 3 2 4 3 7 3 2" xfId="27064"/>
    <cellStyle name="Separador de milhares 3 2 4 3 7 3 3" xfId="21150"/>
    <cellStyle name="Separador de milhares 3 2 4 3 7 3 4" xfId="15236"/>
    <cellStyle name="Separador de milhares 3 2 4 3 7 4" xfId="5475"/>
    <cellStyle name="Separador de milhares 3 2 4 3 7 4 2" xfId="24107"/>
    <cellStyle name="Separador de milhares 3 2 4 3 7 5" xfId="18193"/>
    <cellStyle name="Separador de milhares 3 2 4 3 7 6" xfId="11862"/>
    <cellStyle name="Separador de milhares 3 2 4 3 8" xfId="3203"/>
    <cellStyle name="Separador de milhares 3 2 4 3 8 2" xfId="7321"/>
    <cellStyle name="Separador de milhares 3 2 4 3 8 2 2" xfId="10465"/>
    <cellStyle name="Separador de milhares 3 2 4 3 8 2 2 2" xfId="28679"/>
    <cellStyle name="Separador de milhares 3 2 4 3 8 2 2 3" xfId="22765"/>
    <cellStyle name="Separador de milhares 3 2 4 3 8 2 2 4" xfId="16851"/>
    <cellStyle name="Separador de milhares 3 2 4 3 8 2 3" xfId="25722"/>
    <cellStyle name="Separador de milhares 3 2 4 3 8 2 4" xfId="19808"/>
    <cellStyle name="Separador de milhares 3 2 4 3 8 2 5" xfId="13710"/>
    <cellStyle name="Separador de milhares 3 2 4 3 8 3" xfId="8997"/>
    <cellStyle name="Separador de milhares 3 2 4 3 8 3 2" xfId="27211"/>
    <cellStyle name="Separador de milhares 3 2 4 3 8 3 3" xfId="21297"/>
    <cellStyle name="Separador de milhares 3 2 4 3 8 3 4" xfId="15383"/>
    <cellStyle name="Separador de milhares 3 2 4 3 8 4" xfId="5622"/>
    <cellStyle name="Separador de milhares 3 2 4 3 8 4 2" xfId="24254"/>
    <cellStyle name="Separador de milhares 3 2 4 3 8 5" xfId="18340"/>
    <cellStyle name="Separador de milhares 3 2 4 3 8 6" xfId="12009"/>
    <cellStyle name="Separador de milhares 3 2 4 3 9" xfId="3730"/>
    <cellStyle name="Separador de milhares 3 2 4 3 9 2" xfId="7468"/>
    <cellStyle name="Separador de milhares 3 2 4 3 9 2 2" xfId="10612"/>
    <cellStyle name="Separador de milhares 3 2 4 3 9 2 2 2" xfId="28826"/>
    <cellStyle name="Separador de milhares 3 2 4 3 9 2 2 3" xfId="22912"/>
    <cellStyle name="Separador de milhares 3 2 4 3 9 2 2 4" xfId="16998"/>
    <cellStyle name="Separador de milhares 3 2 4 3 9 2 3" xfId="25869"/>
    <cellStyle name="Separador de milhares 3 2 4 3 9 2 4" xfId="19955"/>
    <cellStyle name="Separador de milhares 3 2 4 3 9 2 5" xfId="13857"/>
    <cellStyle name="Separador de milhares 3 2 4 3 9 3" xfId="9144"/>
    <cellStyle name="Separador de milhares 3 2 4 3 9 3 2" xfId="27358"/>
    <cellStyle name="Separador de milhares 3 2 4 3 9 3 3" xfId="21444"/>
    <cellStyle name="Separador de milhares 3 2 4 3 9 3 4" xfId="15530"/>
    <cellStyle name="Separador de milhares 3 2 4 3 9 4" xfId="5769"/>
    <cellStyle name="Separador de milhares 3 2 4 3 9 4 2" xfId="24401"/>
    <cellStyle name="Separador de milhares 3 2 4 3 9 5" xfId="18487"/>
    <cellStyle name="Separador de milhares 3 2 4 3 9 6" xfId="12156"/>
    <cellStyle name="Separador de milhares 3 2 4 4" xfId="366"/>
    <cellStyle name="Separador de milhares 3 2 4 4 10" xfId="6515"/>
    <cellStyle name="Separador de milhares 3 2 4 4 10 2" xfId="9663"/>
    <cellStyle name="Separador de milhares 3 2 4 4 10 2 2" xfId="27877"/>
    <cellStyle name="Separador de milhares 3 2 4 4 10 2 3" xfId="21963"/>
    <cellStyle name="Separador de milhares 3 2 4 4 10 2 4" xfId="16049"/>
    <cellStyle name="Separador de milhares 3 2 4 4 10 3" xfId="24920"/>
    <cellStyle name="Separador de milhares 3 2 4 4 10 4" xfId="19006"/>
    <cellStyle name="Separador de milhares 3 2 4 4 10 5" xfId="12904"/>
    <cellStyle name="Separador de milhares 3 2 4 4 11" xfId="8192"/>
    <cellStyle name="Separador de milhares 3 2 4 4 11 2" xfId="26406"/>
    <cellStyle name="Separador de milhares 3 2 4 4 11 3" xfId="20492"/>
    <cellStyle name="Separador de milhares 3 2 4 4 11 4" xfId="14581"/>
    <cellStyle name="Separador de milhares 3 2 4 4 12" xfId="4814"/>
    <cellStyle name="Separador de milhares 3 2 4 4 12 2" xfId="23449"/>
    <cellStyle name="Separador de milhares 3 2 4 4 13" xfId="17535"/>
    <cellStyle name="Separador de milhares 3 2 4 4 14" xfId="11203"/>
    <cellStyle name="Separador de milhares 3 2 4 4 2" xfId="1011"/>
    <cellStyle name="Separador de milhares 3 2 4 4 2 2" xfId="6712"/>
    <cellStyle name="Separador de milhares 3 2 4 4 2 2 2" xfId="9859"/>
    <cellStyle name="Separador de milhares 3 2 4 4 2 2 2 2" xfId="28073"/>
    <cellStyle name="Separador de milhares 3 2 4 4 2 2 2 3" xfId="22159"/>
    <cellStyle name="Separador de milhares 3 2 4 4 2 2 2 4" xfId="16245"/>
    <cellStyle name="Separador de milhares 3 2 4 4 2 2 3" xfId="25116"/>
    <cellStyle name="Separador de milhares 3 2 4 4 2 2 4" xfId="19202"/>
    <cellStyle name="Separador de milhares 3 2 4 4 2 2 5" xfId="13101"/>
    <cellStyle name="Separador de milhares 3 2 4 4 2 3" xfId="8391"/>
    <cellStyle name="Separador de milhares 3 2 4 4 2 3 2" xfId="26605"/>
    <cellStyle name="Separador de milhares 3 2 4 4 2 3 3" xfId="20691"/>
    <cellStyle name="Separador de milhares 3 2 4 4 2 3 4" xfId="14777"/>
    <cellStyle name="Separador de milhares 3 2 4 4 2 4" xfId="5013"/>
    <cellStyle name="Separador de milhares 3 2 4 4 2 4 2" xfId="23648"/>
    <cellStyle name="Separador de milhares 3 2 4 4 2 5" xfId="17734"/>
    <cellStyle name="Separador de milhares 3 2 4 4 2 6" xfId="11400"/>
    <cellStyle name="Separador de milhares 3 2 4 4 3" xfId="1362"/>
    <cellStyle name="Separador de milhares 3 2 4 4 3 2" xfId="6810"/>
    <cellStyle name="Separador de milhares 3 2 4 4 3 2 2" xfId="9957"/>
    <cellStyle name="Separador de milhares 3 2 4 4 3 2 2 2" xfId="28171"/>
    <cellStyle name="Separador de milhares 3 2 4 4 3 2 2 3" xfId="22257"/>
    <cellStyle name="Separador de milhares 3 2 4 4 3 2 2 4" xfId="16343"/>
    <cellStyle name="Separador de milhares 3 2 4 4 3 2 3" xfId="25214"/>
    <cellStyle name="Separador de milhares 3 2 4 4 3 2 4" xfId="19300"/>
    <cellStyle name="Separador de milhares 3 2 4 4 3 2 5" xfId="13199"/>
    <cellStyle name="Separador de milhares 3 2 4 4 3 3" xfId="8489"/>
    <cellStyle name="Separador de milhares 3 2 4 4 3 3 2" xfId="26703"/>
    <cellStyle name="Separador de milhares 3 2 4 4 3 3 3" xfId="20789"/>
    <cellStyle name="Separador de milhares 3 2 4 4 3 3 4" xfId="14875"/>
    <cellStyle name="Separador de milhares 3 2 4 4 3 4" xfId="5111"/>
    <cellStyle name="Separador de milhares 3 2 4 4 3 4 2" xfId="23746"/>
    <cellStyle name="Separador de milhares 3 2 4 4 3 5" xfId="17832"/>
    <cellStyle name="Separador de milhares 3 2 4 4 3 6" xfId="11498"/>
    <cellStyle name="Separador de milhares 3 2 4 4 4" xfId="1797"/>
    <cellStyle name="Separador de milhares 3 2 4 4 4 2" xfId="6929"/>
    <cellStyle name="Separador de milhares 3 2 4 4 4 2 2" xfId="10076"/>
    <cellStyle name="Separador de milhares 3 2 4 4 4 2 2 2" xfId="28290"/>
    <cellStyle name="Separador de milhares 3 2 4 4 4 2 2 3" xfId="22376"/>
    <cellStyle name="Separador de milhares 3 2 4 4 4 2 2 4" xfId="16462"/>
    <cellStyle name="Separador de milhares 3 2 4 4 4 2 3" xfId="25333"/>
    <cellStyle name="Separador de milhares 3 2 4 4 4 2 4" xfId="19419"/>
    <cellStyle name="Separador de milhares 3 2 4 4 4 2 5" xfId="13318"/>
    <cellStyle name="Separador de milhares 3 2 4 4 4 3" xfId="8608"/>
    <cellStyle name="Separador de milhares 3 2 4 4 4 3 2" xfId="26822"/>
    <cellStyle name="Separador de milhares 3 2 4 4 4 3 3" xfId="20908"/>
    <cellStyle name="Separador de milhares 3 2 4 4 4 3 4" xfId="14994"/>
    <cellStyle name="Separador de milhares 3 2 4 4 4 4" xfId="5230"/>
    <cellStyle name="Separador de milhares 3 2 4 4 4 4 2" xfId="23865"/>
    <cellStyle name="Separador de milhares 3 2 4 4 4 5" xfId="17951"/>
    <cellStyle name="Separador de milhares 3 2 4 4 4 6" xfId="11617"/>
    <cellStyle name="Separador de milhares 3 2 4 4 5" xfId="2327"/>
    <cellStyle name="Separador de milhares 3 2 4 4 5 2" xfId="7079"/>
    <cellStyle name="Separador de milhares 3 2 4 4 5 2 2" xfId="10223"/>
    <cellStyle name="Separador de milhares 3 2 4 4 5 2 2 2" xfId="28437"/>
    <cellStyle name="Separador de milhares 3 2 4 4 5 2 2 3" xfId="22523"/>
    <cellStyle name="Separador de milhares 3 2 4 4 5 2 2 4" xfId="16609"/>
    <cellStyle name="Separador de milhares 3 2 4 4 5 2 3" xfId="25480"/>
    <cellStyle name="Separador de milhares 3 2 4 4 5 2 4" xfId="19566"/>
    <cellStyle name="Separador de milhares 3 2 4 4 5 2 5" xfId="13468"/>
    <cellStyle name="Separador de milhares 3 2 4 4 5 3" xfId="8755"/>
    <cellStyle name="Separador de milhares 3 2 4 4 5 3 2" xfId="26969"/>
    <cellStyle name="Separador de milhares 3 2 4 4 5 3 3" xfId="21055"/>
    <cellStyle name="Separador de milhares 3 2 4 4 5 3 4" xfId="15141"/>
    <cellStyle name="Separador de milhares 3 2 4 4 5 4" xfId="5380"/>
    <cellStyle name="Separador de milhares 3 2 4 4 5 4 2" xfId="24012"/>
    <cellStyle name="Separador de milhares 3 2 4 4 5 5" xfId="18098"/>
    <cellStyle name="Separador de milhares 3 2 4 4 5 6" xfId="11767"/>
    <cellStyle name="Separador de milhares 3 2 4 4 6" xfId="2854"/>
    <cellStyle name="Separador de milhares 3 2 4 4 6 2" xfId="7226"/>
    <cellStyle name="Separador de milhares 3 2 4 4 6 2 2" xfId="10370"/>
    <cellStyle name="Separador de milhares 3 2 4 4 6 2 2 2" xfId="28584"/>
    <cellStyle name="Separador de milhares 3 2 4 4 6 2 2 3" xfId="22670"/>
    <cellStyle name="Separador de milhares 3 2 4 4 6 2 2 4" xfId="16756"/>
    <cellStyle name="Separador de milhares 3 2 4 4 6 2 3" xfId="25627"/>
    <cellStyle name="Separador de milhares 3 2 4 4 6 2 4" xfId="19713"/>
    <cellStyle name="Separador de milhares 3 2 4 4 6 2 5" xfId="13615"/>
    <cellStyle name="Separador de milhares 3 2 4 4 6 3" xfId="8902"/>
    <cellStyle name="Separador de milhares 3 2 4 4 6 3 2" xfId="27116"/>
    <cellStyle name="Separador de milhares 3 2 4 4 6 3 3" xfId="21202"/>
    <cellStyle name="Separador de milhares 3 2 4 4 6 3 4" xfId="15288"/>
    <cellStyle name="Separador de milhares 3 2 4 4 6 4" xfId="5527"/>
    <cellStyle name="Separador de milhares 3 2 4 4 6 4 2" xfId="24159"/>
    <cellStyle name="Separador de milhares 3 2 4 4 6 5" xfId="18245"/>
    <cellStyle name="Separador de milhares 3 2 4 4 6 6" xfId="11914"/>
    <cellStyle name="Separador de milhares 3 2 4 4 7" xfId="3381"/>
    <cellStyle name="Separador de milhares 3 2 4 4 7 2" xfId="7373"/>
    <cellStyle name="Separador de milhares 3 2 4 4 7 2 2" xfId="10517"/>
    <cellStyle name="Separador de milhares 3 2 4 4 7 2 2 2" xfId="28731"/>
    <cellStyle name="Separador de milhares 3 2 4 4 7 2 2 3" xfId="22817"/>
    <cellStyle name="Separador de milhares 3 2 4 4 7 2 2 4" xfId="16903"/>
    <cellStyle name="Separador de milhares 3 2 4 4 7 2 3" xfId="25774"/>
    <cellStyle name="Separador de milhares 3 2 4 4 7 2 4" xfId="19860"/>
    <cellStyle name="Separador de milhares 3 2 4 4 7 2 5" xfId="13762"/>
    <cellStyle name="Separador de milhares 3 2 4 4 7 3" xfId="9049"/>
    <cellStyle name="Separador de milhares 3 2 4 4 7 3 2" xfId="27263"/>
    <cellStyle name="Separador de milhares 3 2 4 4 7 3 3" xfId="21349"/>
    <cellStyle name="Separador de milhares 3 2 4 4 7 3 4" xfId="15435"/>
    <cellStyle name="Separador de milhares 3 2 4 4 7 4" xfId="5674"/>
    <cellStyle name="Separador de milhares 3 2 4 4 7 4 2" xfId="24306"/>
    <cellStyle name="Separador de milhares 3 2 4 4 7 5" xfId="18392"/>
    <cellStyle name="Separador de milhares 3 2 4 4 7 6" xfId="12061"/>
    <cellStyle name="Separador de milhares 3 2 4 4 8" xfId="3908"/>
    <cellStyle name="Separador de milhares 3 2 4 4 8 2" xfId="7520"/>
    <cellStyle name="Separador de milhares 3 2 4 4 8 2 2" xfId="10664"/>
    <cellStyle name="Separador de milhares 3 2 4 4 8 2 2 2" xfId="28878"/>
    <cellStyle name="Separador de milhares 3 2 4 4 8 2 2 3" xfId="22964"/>
    <cellStyle name="Separador de milhares 3 2 4 4 8 2 2 4" xfId="17050"/>
    <cellStyle name="Separador de milhares 3 2 4 4 8 2 3" xfId="25921"/>
    <cellStyle name="Separador de milhares 3 2 4 4 8 2 4" xfId="20007"/>
    <cellStyle name="Separador de milhares 3 2 4 4 8 2 5" xfId="13909"/>
    <cellStyle name="Separador de milhares 3 2 4 4 8 3" xfId="9196"/>
    <cellStyle name="Separador de milhares 3 2 4 4 8 3 2" xfId="27410"/>
    <cellStyle name="Separador de milhares 3 2 4 4 8 3 3" xfId="21496"/>
    <cellStyle name="Separador de milhares 3 2 4 4 8 3 4" xfId="15582"/>
    <cellStyle name="Separador de milhares 3 2 4 4 8 4" xfId="5821"/>
    <cellStyle name="Separador de milhares 3 2 4 4 8 4 2" xfId="24453"/>
    <cellStyle name="Separador de milhares 3 2 4 4 8 5" xfId="18539"/>
    <cellStyle name="Separador de milhares 3 2 4 4 8 6" xfId="12208"/>
    <cellStyle name="Separador de milhares 3 2 4 4 9" xfId="679"/>
    <cellStyle name="Separador de milhares 3 2 4 4 9 2" xfId="6614"/>
    <cellStyle name="Separador de milhares 3 2 4 4 9 2 2" xfId="9761"/>
    <cellStyle name="Separador de milhares 3 2 4 4 9 2 2 2" xfId="27975"/>
    <cellStyle name="Separador de milhares 3 2 4 4 9 2 2 3" xfId="22061"/>
    <cellStyle name="Separador de milhares 3 2 4 4 9 2 2 4" xfId="16147"/>
    <cellStyle name="Separador de milhares 3 2 4 4 9 2 3" xfId="25018"/>
    <cellStyle name="Separador de milhares 3 2 4 4 9 2 4" xfId="19104"/>
    <cellStyle name="Separador de milhares 3 2 4 4 9 2 5" xfId="13003"/>
    <cellStyle name="Separador de milhares 3 2 4 4 9 3" xfId="8293"/>
    <cellStyle name="Separador de milhares 3 2 4 4 9 3 2" xfId="26507"/>
    <cellStyle name="Separador de milhares 3 2 4 4 9 3 3" xfId="20593"/>
    <cellStyle name="Separador de milhares 3 2 4 4 9 3 4" xfId="14679"/>
    <cellStyle name="Separador de milhares 3 2 4 4 9 4" xfId="4915"/>
    <cellStyle name="Separador de milhares 3 2 4 4 9 4 2" xfId="23550"/>
    <cellStyle name="Separador de milhares 3 2 4 4 9 5" xfId="17636"/>
    <cellStyle name="Separador de milhares 3 2 4 4 9 6" xfId="11302"/>
    <cellStyle name="Separador de milhares 3 2 4 5" xfId="623"/>
    <cellStyle name="Separador de milhares 3 2 4 5 10" xfId="4879"/>
    <cellStyle name="Separador de milhares 3 2 4 5 10 2" xfId="23513"/>
    <cellStyle name="Separador de milhares 3 2 4 5 11" xfId="17599"/>
    <cellStyle name="Separador de milhares 3 2 4 5 12" xfId="11268"/>
    <cellStyle name="Separador de milhares 3 2 4 5 2" xfId="1446"/>
    <cellStyle name="Separador de milhares 3 2 4 5 2 2" xfId="6831"/>
    <cellStyle name="Separador de milhares 3 2 4 5 2 2 2" xfId="9978"/>
    <cellStyle name="Separador de milhares 3 2 4 5 2 2 2 2" xfId="28192"/>
    <cellStyle name="Separador de milhares 3 2 4 5 2 2 2 3" xfId="22278"/>
    <cellStyle name="Separador de milhares 3 2 4 5 2 2 2 4" xfId="16364"/>
    <cellStyle name="Separador de milhares 3 2 4 5 2 2 3" xfId="25235"/>
    <cellStyle name="Separador de milhares 3 2 4 5 2 2 4" xfId="19321"/>
    <cellStyle name="Separador de milhares 3 2 4 5 2 2 5" xfId="13220"/>
    <cellStyle name="Separador de milhares 3 2 4 5 2 3" xfId="8510"/>
    <cellStyle name="Separador de milhares 3 2 4 5 2 3 2" xfId="26724"/>
    <cellStyle name="Separador de milhares 3 2 4 5 2 3 3" xfId="20810"/>
    <cellStyle name="Separador de milhares 3 2 4 5 2 3 4" xfId="14896"/>
    <cellStyle name="Separador de milhares 3 2 4 5 2 4" xfId="5132"/>
    <cellStyle name="Separador de milhares 3 2 4 5 2 4 2" xfId="23767"/>
    <cellStyle name="Separador de milhares 3 2 4 5 2 5" xfId="17853"/>
    <cellStyle name="Separador de milhares 3 2 4 5 2 6" xfId="11519"/>
    <cellStyle name="Separador de milhares 3 2 4 5 3" xfId="1881"/>
    <cellStyle name="Separador de milhares 3 2 4 5 3 2" xfId="6950"/>
    <cellStyle name="Separador de milhares 3 2 4 5 3 2 2" xfId="10097"/>
    <cellStyle name="Separador de milhares 3 2 4 5 3 2 2 2" xfId="28311"/>
    <cellStyle name="Separador de milhares 3 2 4 5 3 2 2 3" xfId="22397"/>
    <cellStyle name="Separador de milhares 3 2 4 5 3 2 2 4" xfId="16483"/>
    <cellStyle name="Separador de milhares 3 2 4 5 3 2 3" xfId="25354"/>
    <cellStyle name="Separador de milhares 3 2 4 5 3 2 4" xfId="19440"/>
    <cellStyle name="Separador de milhares 3 2 4 5 3 2 5" xfId="13339"/>
    <cellStyle name="Separador de milhares 3 2 4 5 3 3" xfId="8629"/>
    <cellStyle name="Separador de milhares 3 2 4 5 3 3 2" xfId="26843"/>
    <cellStyle name="Separador de milhares 3 2 4 5 3 3 3" xfId="20929"/>
    <cellStyle name="Separador de milhares 3 2 4 5 3 3 4" xfId="15015"/>
    <cellStyle name="Separador de milhares 3 2 4 5 3 4" xfId="5251"/>
    <cellStyle name="Separador de milhares 3 2 4 5 3 4 2" xfId="23886"/>
    <cellStyle name="Separador de milhares 3 2 4 5 3 5" xfId="17972"/>
    <cellStyle name="Separador de milhares 3 2 4 5 3 6" xfId="11638"/>
    <cellStyle name="Separador de milhares 3 2 4 5 4" xfId="2411"/>
    <cellStyle name="Separador de milhares 3 2 4 5 4 2" xfId="7100"/>
    <cellStyle name="Separador de milhares 3 2 4 5 4 2 2" xfId="10244"/>
    <cellStyle name="Separador de milhares 3 2 4 5 4 2 2 2" xfId="28458"/>
    <cellStyle name="Separador de milhares 3 2 4 5 4 2 2 3" xfId="22544"/>
    <cellStyle name="Separador de milhares 3 2 4 5 4 2 2 4" xfId="16630"/>
    <cellStyle name="Separador de milhares 3 2 4 5 4 2 3" xfId="25501"/>
    <cellStyle name="Separador de milhares 3 2 4 5 4 2 4" xfId="19587"/>
    <cellStyle name="Separador de milhares 3 2 4 5 4 2 5" xfId="13489"/>
    <cellStyle name="Separador de milhares 3 2 4 5 4 3" xfId="8776"/>
    <cellStyle name="Separador de milhares 3 2 4 5 4 3 2" xfId="26990"/>
    <cellStyle name="Separador de milhares 3 2 4 5 4 3 3" xfId="21076"/>
    <cellStyle name="Separador de milhares 3 2 4 5 4 3 4" xfId="15162"/>
    <cellStyle name="Separador de milhares 3 2 4 5 4 4" xfId="5401"/>
    <cellStyle name="Separador de milhares 3 2 4 5 4 4 2" xfId="24033"/>
    <cellStyle name="Separador de milhares 3 2 4 5 4 5" xfId="18119"/>
    <cellStyle name="Separador de milhares 3 2 4 5 4 6" xfId="11788"/>
    <cellStyle name="Separador de milhares 3 2 4 5 5" xfId="2938"/>
    <cellStyle name="Separador de milhares 3 2 4 5 5 2" xfId="7247"/>
    <cellStyle name="Separador de milhares 3 2 4 5 5 2 2" xfId="10391"/>
    <cellStyle name="Separador de milhares 3 2 4 5 5 2 2 2" xfId="28605"/>
    <cellStyle name="Separador de milhares 3 2 4 5 5 2 2 3" xfId="22691"/>
    <cellStyle name="Separador de milhares 3 2 4 5 5 2 2 4" xfId="16777"/>
    <cellStyle name="Separador de milhares 3 2 4 5 5 2 3" xfId="25648"/>
    <cellStyle name="Separador de milhares 3 2 4 5 5 2 4" xfId="19734"/>
    <cellStyle name="Separador de milhares 3 2 4 5 5 2 5" xfId="13636"/>
    <cellStyle name="Separador de milhares 3 2 4 5 5 3" xfId="8923"/>
    <cellStyle name="Separador de milhares 3 2 4 5 5 3 2" xfId="27137"/>
    <cellStyle name="Separador de milhares 3 2 4 5 5 3 3" xfId="21223"/>
    <cellStyle name="Separador de milhares 3 2 4 5 5 3 4" xfId="15309"/>
    <cellStyle name="Separador de milhares 3 2 4 5 5 4" xfId="5548"/>
    <cellStyle name="Separador de milhares 3 2 4 5 5 4 2" xfId="24180"/>
    <cellStyle name="Separador de milhares 3 2 4 5 5 5" xfId="18266"/>
    <cellStyle name="Separador de milhares 3 2 4 5 5 6" xfId="11935"/>
    <cellStyle name="Separador de milhares 3 2 4 5 6" xfId="3465"/>
    <cellStyle name="Separador de milhares 3 2 4 5 6 2" xfId="7394"/>
    <cellStyle name="Separador de milhares 3 2 4 5 6 2 2" xfId="10538"/>
    <cellStyle name="Separador de milhares 3 2 4 5 6 2 2 2" xfId="28752"/>
    <cellStyle name="Separador de milhares 3 2 4 5 6 2 2 3" xfId="22838"/>
    <cellStyle name="Separador de milhares 3 2 4 5 6 2 2 4" xfId="16924"/>
    <cellStyle name="Separador de milhares 3 2 4 5 6 2 3" xfId="25795"/>
    <cellStyle name="Separador de milhares 3 2 4 5 6 2 4" xfId="19881"/>
    <cellStyle name="Separador de milhares 3 2 4 5 6 2 5" xfId="13783"/>
    <cellStyle name="Separador de milhares 3 2 4 5 6 3" xfId="9070"/>
    <cellStyle name="Separador de milhares 3 2 4 5 6 3 2" xfId="27284"/>
    <cellStyle name="Separador de milhares 3 2 4 5 6 3 3" xfId="21370"/>
    <cellStyle name="Separador de milhares 3 2 4 5 6 3 4" xfId="15456"/>
    <cellStyle name="Separador de milhares 3 2 4 5 6 4" xfId="5695"/>
    <cellStyle name="Separador de milhares 3 2 4 5 6 4 2" xfId="24327"/>
    <cellStyle name="Separador de milhares 3 2 4 5 6 5" xfId="18413"/>
    <cellStyle name="Separador de milhares 3 2 4 5 6 6" xfId="12082"/>
    <cellStyle name="Separador de milhares 3 2 4 5 7" xfId="3992"/>
    <cellStyle name="Separador de milhares 3 2 4 5 7 2" xfId="7541"/>
    <cellStyle name="Separador de milhares 3 2 4 5 7 2 2" xfId="10685"/>
    <cellStyle name="Separador de milhares 3 2 4 5 7 2 2 2" xfId="28899"/>
    <cellStyle name="Separador de milhares 3 2 4 5 7 2 2 3" xfId="22985"/>
    <cellStyle name="Separador de milhares 3 2 4 5 7 2 2 4" xfId="17071"/>
    <cellStyle name="Separador de milhares 3 2 4 5 7 2 3" xfId="25942"/>
    <cellStyle name="Separador de milhares 3 2 4 5 7 2 4" xfId="20028"/>
    <cellStyle name="Separador de milhares 3 2 4 5 7 2 5" xfId="13930"/>
    <cellStyle name="Separador de milhares 3 2 4 5 7 3" xfId="9217"/>
    <cellStyle name="Separador de milhares 3 2 4 5 7 3 2" xfId="27431"/>
    <cellStyle name="Separador de milhares 3 2 4 5 7 3 3" xfId="21517"/>
    <cellStyle name="Separador de milhares 3 2 4 5 7 3 4" xfId="15603"/>
    <cellStyle name="Separador de milhares 3 2 4 5 7 4" xfId="5842"/>
    <cellStyle name="Separador de milhares 3 2 4 5 7 4 2" xfId="24474"/>
    <cellStyle name="Separador de milhares 3 2 4 5 7 5" xfId="18560"/>
    <cellStyle name="Separador de milhares 3 2 4 5 7 6" xfId="12229"/>
    <cellStyle name="Separador de milhares 3 2 4 5 8" xfId="6580"/>
    <cellStyle name="Separador de milhares 3 2 4 5 8 2" xfId="9727"/>
    <cellStyle name="Separador de milhares 3 2 4 5 8 2 2" xfId="27941"/>
    <cellStyle name="Separador de milhares 3 2 4 5 8 2 3" xfId="22027"/>
    <cellStyle name="Separador de milhares 3 2 4 5 8 2 4" xfId="16113"/>
    <cellStyle name="Separador de milhares 3 2 4 5 8 3" xfId="24984"/>
    <cellStyle name="Separador de milhares 3 2 4 5 8 4" xfId="19070"/>
    <cellStyle name="Separador de milhares 3 2 4 5 8 5" xfId="12969"/>
    <cellStyle name="Separador de milhares 3 2 4 5 9" xfId="8256"/>
    <cellStyle name="Separador de milhares 3 2 4 5 9 2" xfId="26470"/>
    <cellStyle name="Separador de milhares 3 2 4 5 9 3" xfId="20556"/>
    <cellStyle name="Separador de milhares 3 2 4 5 9 4" xfId="14645"/>
    <cellStyle name="Separador de milhares 3 2 4 6" xfId="744"/>
    <cellStyle name="Separador de milhares 3 2 4 6 2" xfId="4168"/>
    <cellStyle name="Separador de milhares 3 2 4 6 2 2" xfId="7590"/>
    <cellStyle name="Separador de milhares 3 2 4 6 2 2 2" xfId="10734"/>
    <cellStyle name="Separador de milhares 3 2 4 6 2 2 2 2" xfId="28948"/>
    <cellStyle name="Separador de milhares 3 2 4 6 2 2 2 3" xfId="23034"/>
    <cellStyle name="Separador de milhares 3 2 4 6 2 2 2 4" xfId="17120"/>
    <cellStyle name="Separador de milhares 3 2 4 6 2 2 3" xfId="25991"/>
    <cellStyle name="Separador de milhares 3 2 4 6 2 2 4" xfId="20077"/>
    <cellStyle name="Separador de milhares 3 2 4 6 2 2 5" xfId="13979"/>
    <cellStyle name="Separador de milhares 3 2 4 6 2 3" xfId="9266"/>
    <cellStyle name="Separador de milhares 3 2 4 6 2 3 2" xfId="27480"/>
    <cellStyle name="Separador de milhares 3 2 4 6 2 3 3" xfId="21566"/>
    <cellStyle name="Separador de milhares 3 2 4 6 2 3 4" xfId="15652"/>
    <cellStyle name="Separador de milhares 3 2 4 6 2 4" xfId="5891"/>
    <cellStyle name="Separador de milhares 3 2 4 6 2 4 2" xfId="24523"/>
    <cellStyle name="Separador de milhares 3 2 4 6 2 5" xfId="18609"/>
    <cellStyle name="Separador de milhares 3 2 4 6 2 6" xfId="12278"/>
    <cellStyle name="Separador de milhares 3 2 4 6 3" xfId="6635"/>
    <cellStyle name="Separador de milhares 3 2 4 6 3 2" xfId="9782"/>
    <cellStyle name="Separador de milhares 3 2 4 6 3 2 2" xfId="27996"/>
    <cellStyle name="Separador de milhares 3 2 4 6 3 2 3" xfId="22082"/>
    <cellStyle name="Separador de milhares 3 2 4 6 3 2 4" xfId="16168"/>
    <cellStyle name="Separador de milhares 3 2 4 6 3 3" xfId="25039"/>
    <cellStyle name="Separador de milhares 3 2 4 6 3 4" xfId="19125"/>
    <cellStyle name="Separador de milhares 3 2 4 6 3 5" xfId="13024"/>
    <cellStyle name="Separador de milhares 3 2 4 6 4" xfId="8314"/>
    <cellStyle name="Separador de milhares 3 2 4 6 4 2" xfId="26528"/>
    <cellStyle name="Separador de milhares 3 2 4 6 4 3" xfId="20614"/>
    <cellStyle name="Separador de milhares 3 2 4 6 4 4" xfId="14700"/>
    <cellStyle name="Separador de milhares 3 2 4 6 5" xfId="4936"/>
    <cellStyle name="Separador de milhares 3 2 4 6 5 2" xfId="23571"/>
    <cellStyle name="Separador de milhares 3 2 4 6 6" xfId="17657"/>
    <cellStyle name="Separador de milhares 3 2 4 6 7" xfId="11323"/>
    <cellStyle name="Separador de milhares 3 2 4 7" xfId="1095"/>
    <cellStyle name="Separador de milhares 3 2 4 7 2" xfId="6733"/>
    <cellStyle name="Separador de milhares 3 2 4 7 2 2" xfId="9880"/>
    <cellStyle name="Separador de milhares 3 2 4 7 2 2 2" xfId="28094"/>
    <cellStyle name="Separador de milhares 3 2 4 7 2 2 3" xfId="22180"/>
    <cellStyle name="Separador de milhares 3 2 4 7 2 2 4" xfId="16266"/>
    <cellStyle name="Separador de milhares 3 2 4 7 2 3" xfId="25137"/>
    <cellStyle name="Separador de milhares 3 2 4 7 2 4" xfId="19223"/>
    <cellStyle name="Separador de milhares 3 2 4 7 2 5" xfId="13122"/>
    <cellStyle name="Separador de milhares 3 2 4 7 3" xfId="8412"/>
    <cellStyle name="Separador de milhares 3 2 4 7 3 2" xfId="26626"/>
    <cellStyle name="Separador de milhares 3 2 4 7 3 3" xfId="20712"/>
    <cellStyle name="Separador de milhares 3 2 4 7 3 4" xfId="14798"/>
    <cellStyle name="Separador de milhares 3 2 4 7 4" xfId="5034"/>
    <cellStyle name="Separador de milhares 3 2 4 7 4 2" xfId="23669"/>
    <cellStyle name="Separador de milhares 3 2 4 7 5" xfId="17755"/>
    <cellStyle name="Separador de milhares 3 2 4 7 6" xfId="11421"/>
    <cellStyle name="Separador de milhares 3 2 4 8" xfId="1530"/>
    <cellStyle name="Separador de milhares 3 2 4 8 2" xfId="6852"/>
    <cellStyle name="Separador de milhares 3 2 4 8 2 2" xfId="9999"/>
    <cellStyle name="Separador de milhares 3 2 4 8 2 2 2" xfId="28213"/>
    <cellStyle name="Separador de milhares 3 2 4 8 2 2 3" xfId="22299"/>
    <cellStyle name="Separador de milhares 3 2 4 8 2 2 4" xfId="16385"/>
    <cellStyle name="Separador de milhares 3 2 4 8 2 3" xfId="25256"/>
    <cellStyle name="Separador de milhares 3 2 4 8 2 4" xfId="19342"/>
    <cellStyle name="Separador de milhares 3 2 4 8 2 5" xfId="13241"/>
    <cellStyle name="Separador de milhares 3 2 4 8 3" xfId="8531"/>
    <cellStyle name="Separador de milhares 3 2 4 8 3 2" xfId="26745"/>
    <cellStyle name="Separador de milhares 3 2 4 8 3 3" xfId="20831"/>
    <cellStyle name="Separador de milhares 3 2 4 8 3 4" xfId="14917"/>
    <cellStyle name="Separador de milhares 3 2 4 8 4" xfId="5153"/>
    <cellStyle name="Separador de milhares 3 2 4 8 4 2" xfId="23788"/>
    <cellStyle name="Separador de milhares 3 2 4 8 5" xfId="17874"/>
    <cellStyle name="Separador de milhares 3 2 4 8 6" xfId="11540"/>
    <cellStyle name="Separador de milhares 3 2 4 9" xfId="2060"/>
    <cellStyle name="Separador de milhares 3 2 4 9 2" xfId="7002"/>
    <cellStyle name="Separador de milhares 3 2 4 9 2 2" xfId="10146"/>
    <cellStyle name="Separador de milhares 3 2 4 9 2 2 2" xfId="28360"/>
    <cellStyle name="Separador de milhares 3 2 4 9 2 2 3" xfId="22446"/>
    <cellStyle name="Separador de milhares 3 2 4 9 2 2 4" xfId="16532"/>
    <cellStyle name="Separador de milhares 3 2 4 9 2 3" xfId="25403"/>
    <cellStyle name="Separador de milhares 3 2 4 9 2 4" xfId="19489"/>
    <cellStyle name="Separador de milhares 3 2 4 9 2 5" xfId="13391"/>
    <cellStyle name="Separador de milhares 3 2 4 9 3" xfId="8678"/>
    <cellStyle name="Separador de milhares 3 2 4 9 3 2" xfId="26892"/>
    <cellStyle name="Separador de milhares 3 2 4 9 3 3" xfId="20978"/>
    <cellStyle name="Separador de milhares 3 2 4 9 3 4" xfId="15064"/>
    <cellStyle name="Separador de milhares 3 2 4 9 4" xfId="5303"/>
    <cellStyle name="Separador de milhares 3 2 4 9 4 2" xfId="23935"/>
    <cellStyle name="Separador de milhares 3 2 4 9 5" xfId="18021"/>
    <cellStyle name="Separador de milhares 3 2 4 9 6" xfId="11690"/>
    <cellStyle name="Separador de milhares 3 2 5" xfId="92"/>
    <cellStyle name="Separador de milhares 3 2 5 10" xfId="2595"/>
    <cellStyle name="Separador de milhares 3 2 5 10 2" xfId="7151"/>
    <cellStyle name="Separador de milhares 3 2 5 10 2 2" xfId="10295"/>
    <cellStyle name="Separador de milhares 3 2 5 10 2 2 2" xfId="28509"/>
    <cellStyle name="Separador de milhares 3 2 5 10 2 2 3" xfId="22595"/>
    <cellStyle name="Separador de milhares 3 2 5 10 2 2 4" xfId="16681"/>
    <cellStyle name="Separador de milhares 3 2 5 10 2 3" xfId="25552"/>
    <cellStyle name="Separador de milhares 3 2 5 10 2 4" xfId="19638"/>
    <cellStyle name="Separador de milhares 3 2 5 10 2 5" xfId="13540"/>
    <cellStyle name="Separador de milhares 3 2 5 10 3" xfId="8827"/>
    <cellStyle name="Separador de milhares 3 2 5 10 3 2" xfId="27041"/>
    <cellStyle name="Separador de milhares 3 2 5 10 3 3" xfId="21127"/>
    <cellStyle name="Separador de milhares 3 2 5 10 3 4" xfId="15213"/>
    <cellStyle name="Separador de milhares 3 2 5 10 4" xfId="5452"/>
    <cellStyle name="Separador de milhares 3 2 5 10 4 2" xfId="24084"/>
    <cellStyle name="Separador de milhares 3 2 5 10 5" xfId="18170"/>
    <cellStyle name="Separador de milhares 3 2 5 10 6" xfId="11839"/>
    <cellStyle name="Separador de milhares 3 2 5 11" xfId="3122"/>
    <cellStyle name="Separador de milhares 3 2 5 11 2" xfId="7298"/>
    <cellStyle name="Separador de milhares 3 2 5 11 2 2" xfId="10442"/>
    <cellStyle name="Separador de milhares 3 2 5 11 2 2 2" xfId="28656"/>
    <cellStyle name="Separador de milhares 3 2 5 11 2 2 3" xfId="22742"/>
    <cellStyle name="Separador de milhares 3 2 5 11 2 2 4" xfId="16828"/>
    <cellStyle name="Separador de milhares 3 2 5 11 2 3" xfId="25699"/>
    <cellStyle name="Separador de milhares 3 2 5 11 2 4" xfId="19785"/>
    <cellStyle name="Separador de milhares 3 2 5 11 2 5" xfId="13687"/>
    <cellStyle name="Separador de milhares 3 2 5 11 3" xfId="8974"/>
    <cellStyle name="Separador de milhares 3 2 5 11 3 2" xfId="27188"/>
    <cellStyle name="Separador de milhares 3 2 5 11 3 3" xfId="21274"/>
    <cellStyle name="Separador de milhares 3 2 5 11 3 4" xfId="15360"/>
    <cellStyle name="Separador de milhares 3 2 5 11 4" xfId="5599"/>
    <cellStyle name="Separador de milhares 3 2 5 11 4 2" xfId="24231"/>
    <cellStyle name="Separador de milhares 3 2 5 11 5" xfId="18317"/>
    <cellStyle name="Separador de milhares 3 2 5 11 6" xfId="11986"/>
    <cellStyle name="Separador de milhares 3 2 5 12" xfId="3649"/>
    <cellStyle name="Separador de milhares 3 2 5 12 2" xfId="7445"/>
    <cellStyle name="Separador de milhares 3 2 5 12 2 2" xfId="10589"/>
    <cellStyle name="Separador de milhares 3 2 5 12 2 2 2" xfId="28803"/>
    <cellStyle name="Separador de milhares 3 2 5 12 2 2 3" xfId="22889"/>
    <cellStyle name="Separador de milhares 3 2 5 12 2 2 4" xfId="16975"/>
    <cellStyle name="Separador de milhares 3 2 5 12 2 3" xfId="25846"/>
    <cellStyle name="Separador de milhares 3 2 5 12 2 4" xfId="19932"/>
    <cellStyle name="Separador de milhares 3 2 5 12 2 5" xfId="13834"/>
    <cellStyle name="Separador de milhares 3 2 5 12 3" xfId="9121"/>
    <cellStyle name="Separador de milhares 3 2 5 12 3 2" xfId="27335"/>
    <cellStyle name="Separador de milhares 3 2 5 12 3 3" xfId="21421"/>
    <cellStyle name="Separador de milhares 3 2 5 12 3 4" xfId="15507"/>
    <cellStyle name="Separador de milhares 3 2 5 12 4" xfId="5746"/>
    <cellStyle name="Separador de milhares 3 2 5 12 4 2" xfId="24378"/>
    <cellStyle name="Separador de milhares 3 2 5 12 5" xfId="18464"/>
    <cellStyle name="Separador de milhares 3 2 5 12 6" xfId="12133"/>
    <cellStyle name="Separador de milhares 3 2 5 13" xfId="6429"/>
    <cellStyle name="Separador de milhares 3 2 5 13 2" xfId="9585"/>
    <cellStyle name="Separador de milhares 3 2 5 13 2 2" xfId="27799"/>
    <cellStyle name="Separador de milhares 3 2 5 13 2 3" xfId="21885"/>
    <cellStyle name="Separador de milhares 3 2 5 13 2 4" xfId="15971"/>
    <cellStyle name="Separador de milhares 3 2 5 13 3" xfId="24842"/>
    <cellStyle name="Separador de milhares 3 2 5 13 4" xfId="18928"/>
    <cellStyle name="Separador de milhares 3 2 5 13 5" xfId="12818"/>
    <cellStyle name="Separador de milhares 3 2 5 14" xfId="8114"/>
    <cellStyle name="Separador de milhares 3 2 5 14 2" xfId="26328"/>
    <cellStyle name="Separador de milhares 3 2 5 14 3" xfId="20414"/>
    <cellStyle name="Separador de milhares 3 2 5 14 4" xfId="14503"/>
    <cellStyle name="Separador de milhares 3 2 5 15" xfId="4727"/>
    <cellStyle name="Separador de milhares 3 2 5 15 2" xfId="23371"/>
    <cellStyle name="Separador de milhares 3 2 5 16" xfId="17457"/>
    <cellStyle name="Separador de milhares 3 2 5 17" xfId="11117"/>
    <cellStyle name="Separador de milhares 3 2 5 2" xfId="186"/>
    <cellStyle name="Separador de milhares 3 2 5 2 10" xfId="6458"/>
    <cellStyle name="Separador de milhares 3 2 5 2 10 2" xfId="9612"/>
    <cellStyle name="Separador de milhares 3 2 5 2 10 2 2" xfId="27826"/>
    <cellStyle name="Separador de milhares 3 2 5 2 10 2 3" xfId="21912"/>
    <cellStyle name="Separador de milhares 3 2 5 2 10 2 4" xfId="15998"/>
    <cellStyle name="Separador de milhares 3 2 5 2 10 3" xfId="24869"/>
    <cellStyle name="Separador de milhares 3 2 5 2 10 4" xfId="18955"/>
    <cellStyle name="Separador de milhares 3 2 5 2 10 5" xfId="12847"/>
    <cellStyle name="Separador de milhares 3 2 5 2 11" xfId="8141"/>
    <cellStyle name="Separador de milhares 3 2 5 2 11 2" xfId="26355"/>
    <cellStyle name="Separador de milhares 3 2 5 2 11 3" xfId="20441"/>
    <cellStyle name="Separador de milhares 3 2 5 2 11 4" xfId="14530"/>
    <cellStyle name="Separador de milhares 3 2 5 2 12" xfId="4757"/>
    <cellStyle name="Separador de milhares 3 2 5 2 12 2" xfId="23398"/>
    <cellStyle name="Separador de milhares 3 2 5 2 13" xfId="17484"/>
    <cellStyle name="Separador de milhares 3 2 5 2 14" xfId="11146"/>
    <cellStyle name="Separador de milhares 3 2 5 2 2" xfId="459"/>
    <cellStyle name="Separador de milhares 3 2 5 2 2 10" xfId="17558"/>
    <cellStyle name="Separador de milhares 3 2 5 2 2 11" xfId="11227"/>
    <cellStyle name="Separador de milhares 3 2 5 2 2 2" xfId="1978"/>
    <cellStyle name="Separador de milhares 3 2 5 2 2 2 2" xfId="6977"/>
    <cellStyle name="Separador de milhares 3 2 5 2 2 2 2 2" xfId="10124"/>
    <cellStyle name="Separador de milhares 3 2 5 2 2 2 2 2 2" xfId="28338"/>
    <cellStyle name="Separador de milhares 3 2 5 2 2 2 2 2 3" xfId="22424"/>
    <cellStyle name="Separador de milhares 3 2 5 2 2 2 2 2 4" xfId="16510"/>
    <cellStyle name="Separador de milhares 3 2 5 2 2 2 2 3" xfId="25381"/>
    <cellStyle name="Separador de milhares 3 2 5 2 2 2 2 4" xfId="19467"/>
    <cellStyle name="Separador de milhares 3 2 5 2 2 2 2 5" xfId="13366"/>
    <cellStyle name="Separador de milhares 3 2 5 2 2 2 3" xfId="8656"/>
    <cellStyle name="Separador de milhares 3 2 5 2 2 2 3 2" xfId="26870"/>
    <cellStyle name="Separador de milhares 3 2 5 2 2 2 3 3" xfId="20956"/>
    <cellStyle name="Separador de milhares 3 2 5 2 2 2 3 4" xfId="15042"/>
    <cellStyle name="Separador de milhares 3 2 5 2 2 2 4" xfId="5278"/>
    <cellStyle name="Separador de milhares 3 2 5 2 2 2 4 2" xfId="23913"/>
    <cellStyle name="Separador de milhares 3 2 5 2 2 2 5" xfId="17999"/>
    <cellStyle name="Separador de milhares 3 2 5 2 2 2 6" xfId="11665"/>
    <cellStyle name="Separador de milhares 3 2 5 2 2 3" xfId="2508"/>
    <cellStyle name="Separador de milhares 3 2 5 2 2 3 2" xfId="7127"/>
    <cellStyle name="Separador de milhares 3 2 5 2 2 3 2 2" xfId="10271"/>
    <cellStyle name="Separador de milhares 3 2 5 2 2 3 2 2 2" xfId="28485"/>
    <cellStyle name="Separador de milhares 3 2 5 2 2 3 2 2 3" xfId="22571"/>
    <cellStyle name="Separador de milhares 3 2 5 2 2 3 2 2 4" xfId="16657"/>
    <cellStyle name="Separador de milhares 3 2 5 2 2 3 2 3" xfId="25528"/>
    <cellStyle name="Separador de milhares 3 2 5 2 2 3 2 4" xfId="19614"/>
    <cellStyle name="Separador de milhares 3 2 5 2 2 3 2 5" xfId="13516"/>
    <cellStyle name="Separador de milhares 3 2 5 2 2 3 3" xfId="8803"/>
    <cellStyle name="Separador de milhares 3 2 5 2 2 3 3 2" xfId="27017"/>
    <cellStyle name="Separador de milhares 3 2 5 2 2 3 3 3" xfId="21103"/>
    <cellStyle name="Separador de milhares 3 2 5 2 2 3 3 4" xfId="15189"/>
    <cellStyle name="Separador de milhares 3 2 5 2 2 3 4" xfId="5428"/>
    <cellStyle name="Separador de milhares 3 2 5 2 2 3 4 2" xfId="24060"/>
    <cellStyle name="Separador de milhares 3 2 5 2 2 3 5" xfId="18146"/>
    <cellStyle name="Separador de milhares 3 2 5 2 2 3 6" xfId="11815"/>
    <cellStyle name="Separador de milhares 3 2 5 2 2 4" xfId="3035"/>
    <cellStyle name="Separador de milhares 3 2 5 2 2 4 2" xfId="7274"/>
    <cellStyle name="Separador de milhares 3 2 5 2 2 4 2 2" xfId="10418"/>
    <cellStyle name="Separador de milhares 3 2 5 2 2 4 2 2 2" xfId="28632"/>
    <cellStyle name="Separador de milhares 3 2 5 2 2 4 2 2 3" xfId="22718"/>
    <cellStyle name="Separador de milhares 3 2 5 2 2 4 2 2 4" xfId="16804"/>
    <cellStyle name="Separador de milhares 3 2 5 2 2 4 2 3" xfId="25675"/>
    <cellStyle name="Separador de milhares 3 2 5 2 2 4 2 4" xfId="19761"/>
    <cellStyle name="Separador de milhares 3 2 5 2 2 4 2 5" xfId="13663"/>
    <cellStyle name="Separador de milhares 3 2 5 2 2 4 3" xfId="8950"/>
    <cellStyle name="Separador de milhares 3 2 5 2 2 4 3 2" xfId="27164"/>
    <cellStyle name="Separador de milhares 3 2 5 2 2 4 3 3" xfId="21250"/>
    <cellStyle name="Separador de milhares 3 2 5 2 2 4 3 4" xfId="15336"/>
    <cellStyle name="Separador de milhares 3 2 5 2 2 4 4" xfId="5575"/>
    <cellStyle name="Separador de milhares 3 2 5 2 2 4 4 2" xfId="24207"/>
    <cellStyle name="Separador de milhares 3 2 5 2 2 4 5" xfId="18293"/>
    <cellStyle name="Separador de milhares 3 2 5 2 2 4 6" xfId="11962"/>
    <cellStyle name="Separador de milhares 3 2 5 2 2 5" xfId="3562"/>
    <cellStyle name="Separador de milhares 3 2 5 2 2 5 2" xfId="7421"/>
    <cellStyle name="Separador de milhares 3 2 5 2 2 5 2 2" xfId="10565"/>
    <cellStyle name="Separador de milhares 3 2 5 2 2 5 2 2 2" xfId="28779"/>
    <cellStyle name="Separador de milhares 3 2 5 2 2 5 2 2 3" xfId="22865"/>
    <cellStyle name="Separador de milhares 3 2 5 2 2 5 2 2 4" xfId="16951"/>
    <cellStyle name="Separador de milhares 3 2 5 2 2 5 2 3" xfId="25822"/>
    <cellStyle name="Separador de milhares 3 2 5 2 2 5 2 4" xfId="19908"/>
    <cellStyle name="Separador de milhares 3 2 5 2 2 5 2 5" xfId="13810"/>
    <cellStyle name="Separador de milhares 3 2 5 2 2 5 3" xfId="9097"/>
    <cellStyle name="Separador de milhares 3 2 5 2 2 5 3 2" xfId="27311"/>
    <cellStyle name="Separador de milhares 3 2 5 2 2 5 3 3" xfId="21397"/>
    <cellStyle name="Separador de milhares 3 2 5 2 2 5 3 4" xfId="15483"/>
    <cellStyle name="Separador de milhares 3 2 5 2 2 5 4" xfId="5722"/>
    <cellStyle name="Separador de milhares 3 2 5 2 2 5 4 2" xfId="24354"/>
    <cellStyle name="Separador de milhares 3 2 5 2 2 5 5" xfId="18440"/>
    <cellStyle name="Separador de milhares 3 2 5 2 2 5 6" xfId="12109"/>
    <cellStyle name="Separador de milhares 3 2 5 2 2 6" xfId="4089"/>
    <cellStyle name="Separador de milhares 3 2 5 2 2 6 2" xfId="7568"/>
    <cellStyle name="Separador de milhares 3 2 5 2 2 6 2 2" xfId="10712"/>
    <cellStyle name="Separador de milhares 3 2 5 2 2 6 2 2 2" xfId="28926"/>
    <cellStyle name="Separador de milhares 3 2 5 2 2 6 2 2 3" xfId="23012"/>
    <cellStyle name="Separador de milhares 3 2 5 2 2 6 2 2 4" xfId="17098"/>
    <cellStyle name="Separador de milhares 3 2 5 2 2 6 2 3" xfId="25969"/>
    <cellStyle name="Separador de milhares 3 2 5 2 2 6 2 4" xfId="20055"/>
    <cellStyle name="Separador de milhares 3 2 5 2 2 6 2 5" xfId="13957"/>
    <cellStyle name="Separador de milhares 3 2 5 2 2 6 3" xfId="9244"/>
    <cellStyle name="Separador de milhares 3 2 5 2 2 6 3 2" xfId="27458"/>
    <cellStyle name="Separador de milhares 3 2 5 2 2 6 3 3" xfId="21544"/>
    <cellStyle name="Separador de milhares 3 2 5 2 2 6 3 4" xfId="15630"/>
    <cellStyle name="Separador de milhares 3 2 5 2 2 6 4" xfId="5869"/>
    <cellStyle name="Separador de milhares 3 2 5 2 2 6 4 2" xfId="24501"/>
    <cellStyle name="Separador de milhares 3 2 5 2 2 6 5" xfId="18587"/>
    <cellStyle name="Separador de milhares 3 2 5 2 2 6 6" xfId="12256"/>
    <cellStyle name="Separador de milhares 3 2 5 2 2 7" xfId="6539"/>
    <cellStyle name="Separador de milhares 3 2 5 2 2 7 2" xfId="9686"/>
    <cellStyle name="Separador de milhares 3 2 5 2 2 7 2 2" xfId="27900"/>
    <cellStyle name="Separador de milhares 3 2 5 2 2 7 2 3" xfId="21986"/>
    <cellStyle name="Separador de milhares 3 2 5 2 2 7 2 4" xfId="16072"/>
    <cellStyle name="Separador de milhares 3 2 5 2 2 7 3" xfId="24943"/>
    <cellStyle name="Separador de milhares 3 2 5 2 2 7 4" xfId="19029"/>
    <cellStyle name="Separador de milhares 3 2 5 2 2 7 5" xfId="12928"/>
    <cellStyle name="Separador de milhares 3 2 5 2 2 8" xfId="8215"/>
    <cellStyle name="Separador de milhares 3 2 5 2 2 8 2" xfId="26429"/>
    <cellStyle name="Separador de milhares 3 2 5 2 2 8 3" xfId="20515"/>
    <cellStyle name="Separador de milhares 3 2 5 2 2 8 4" xfId="14604"/>
    <cellStyle name="Separador de milhares 3 2 5 2 2 9" xfId="4838"/>
    <cellStyle name="Separador de milhares 3 2 5 2 2 9 2" xfId="23472"/>
    <cellStyle name="Separador de milhares 3 2 5 2 3" xfId="932"/>
    <cellStyle name="Separador de milhares 3 2 5 2 3 2" xfId="6690"/>
    <cellStyle name="Separador de milhares 3 2 5 2 3 2 2" xfId="9837"/>
    <cellStyle name="Separador de milhares 3 2 5 2 3 2 2 2" xfId="28051"/>
    <cellStyle name="Separador de milhares 3 2 5 2 3 2 2 3" xfId="22137"/>
    <cellStyle name="Separador de milhares 3 2 5 2 3 2 2 4" xfId="16223"/>
    <cellStyle name="Separador de milhares 3 2 5 2 3 2 3" xfId="25094"/>
    <cellStyle name="Separador de milhares 3 2 5 2 3 2 4" xfId="19180"/>
    <cellStyle name="Separador de milhares 3 2 5 2 3 2 5" xfId="13079"/>
    <cellStyle name="Separador de milhares 3 2 5 2 3 3" xfId="8369"/>
    <cellStyle name="Separador de milhares 3 2 5 2 3 3 2" xfId="26583"/>
    <cellStyle name="Separador de milhares 3 2 5 2 3 3 3" xfId="20669"/>
    <cellStyle name="Separador de milhares 3 2 5 2 3 3 4" xfId="14755"/>
    <cellStyle name="Separador de milhares 3 2 5 2 3 4" xfId="4991"/>
    <cellStyle name="Separador de milhares 3 2 5 2 3 4 2" xfId="23626"/>
    <cellStyle name="Separador de milhares 3 2 5 2 3 5" xfId="17712"/>
    <cellStyle name="Separador de milhares 3 2 5 2 3 6" xfId="11378"/>
    <cellStyle name="Separador de milhares 3 2 5 2 4" xfId="1283"/>
    <cellStyle name="Separador de milhares 3 2 5 2 4 2" xfId="6788"/>
    <cellStyle name="Separador de milhares 3 2 5 2 4 2 2" xfId="9935"/>
    <cellStyle name="Separador de milhares 3 2 5 2 4 2 2 2" xfId="28149"/>
    <cellStyle name="Separador de milhares 3 2 5 2 4 2 2 3" xfId="22235"/>
    <cellStyle name="Separador de milhares 3 2 5 2 4 2 2 4" xfId="16321"/>
    <cellStyle name="Separador de milhares 3 2 5 2 4 2 3" xfId="25192"/>
    <cellStyle name="Separador de milhares 3 2 5 2 4 2 4" xfId="19278"/>
    <cellStyle name="Separador de milhares 3 2 5 2 4 2 5" xfId="13177"/>
    <cellStyle name="Separador de milhares 3 2 5 2 4 3" xfId="8467"/>
    <cellStyle name="Separador de milhares 3 2 5 2 4 3 2" xfId="26681"/>
    <cellStyle name="Separador de milhares 3 2 5 2 4 3 3" xfId="20767"/>
    <cellStyle name="Separador de milhares 3 2 5 2 4 3 4" xfId="14853"/>
    <cellStyle name="Separador de milhares 3 2 5 2 4 4" xfId="5089"/>
    <cellStyle name="Separador de milhares 3 2 5 2 4 4 2" xfId="23724"/>
    <cellStyle name="Separador de milhares 3 2 5 2 4 5" xfId="17810"/>
    <cellStyle name="Separador de milhares 3 2 5 2 4 6" xfId="11476"/>
    <cellStyle name="Separador de milhares 3 2 5 2 5" xfId="1718"/>
    <cellStyle name="Separador de milhares 3 2 5 2 5 2" xfId="6907"/>
    <cellStyle name="Separador de milhares 3 2 5 2 5 2 2" xfId="10054"/>
    <cellStyle name="Separador de milhares 3 2 5 2 5 2 2 2" xfId="28268"/>
    <cellStyle name="Separador de milhares 3 2 5 2 5 2 2 3" xfId="22354"/>
    <cellStyle name="Separador de milhares 3 2 5 2 5 2 2 4" xfId="16440"/>
    <cellStyle name="Separador de milhares 3 2 5 2 5 2 3" xfId="25311"/>
    <cellStyle name="Separador de milhares 3 2 5 2 5 2 4" xfId="19397"/>
    <cellStyle name="Separador de milhares 3 2 5 2 5 2 5" xfId="13296"/>
    <cellStyle name="Separador de milhares 3 2 5 2 5 3" xfId="8586"/>
    <cellStyle name="Separador de milhares 3 2 5 2 5 3 2" xfId="26800"/>
    <cellStyle name="Separador de milhares 3 2 5 2 5 3 3" xfId="20886"/>
    <cellStyle name="Separador de milhares 3 2 5 2 5 3 4" xfId="14972"/>
    <cellStyle name="Separador de milhares 3 2 5 2 5 4" xfId="5208"/>
    <cellStyle name="Separador de milhares 3 2 5 2 5 4 2" xfId="23843"/>
    <cellStyle name="Separador de milhares 3 2 5 2 5 5" xfId="17929"/>
    <cellStyle name="Separador de milhares 3 2 5 2 5 6" xfId="11595"/>
    <cellStyle name="Separador de milhares 3 2 5 2 6" xfId="2248"/>
    <cellStyle name="Separador de milhares 3 2 5 2 6 2" xfId="7057"/>
    <cellStyle name="Separador de milhares 3 2 5 2 6 2 2" xfId="10201"/>
    <cellStyle name="Separador de milhares 3 2 5 2 6 2 2 2" xfId="28415"/>
    <cellStyle name="Separador de milhares 3 2 5 2 6 2 2 3" xfId="22501"/>
    <cellStyle name="Separador de milhares 3 2 5 2 6 2 2 4" xfId="16587"/>
    <cellStyle name="Separador de milhares 3 2 5 2 6 2 3" xfId="25458"/>
    <cellStyle name="Separador de milhares 3 2 5 2 6 2 4" xfId="19544"/>
    <cellStyle name="Separador de milhares 3 2 5 2 6 2 5" xfId="13446"/>
    <cellStyle name="Separador de milhares 3 2 5 2 6 3" xfId="8733"/>
    <cellStyle name="Separador de milhares 3 2 5 2 6 3 2" xfId="26947"/>
    <cellStyle name="Separador de milhares 3 2 5 2 6 3 3" xfId="21033"/>
    <cellStyle name="Separador de milhares 3 2 5 2 6 3 4" xfId="15119"/>
    <cellStyle name="Separador de milhares 3 2 5 2 6 4" xfId="5358"/>
    <cellStyle name="Separador de milhares 3 2 5 2 6 4 2" xfId="23990"/>
    <cellStyle name="Separador de milhares 3 2 5 2 6 5" xfId="18076"/>
    <cellStyle name="Separador de milhares 3 2 5 2 6 6" xfId="11745"/>
    <cellStyle name="Separador de milhares 3 2 5 2 7" xfId="2775"/>
    <cellStyle name="Separador de milhares 3 2 5 2 7 2" xfId="7204"/>
    <cellStyle name="Separador de milhares 3 2 5 2 7 2 2" xfId="10348"/>
    <cellStyle name="Separador de milhares 3 2 5 2 7 2 2 2" xfId="28562"/>
    <cellStyle name="Separador de milhares 3 2 5 2 7 2 2 3" xfId="22648"/>
    <cellStyle name="Separador de milhares 3 2 5 2 7 2 2 4" xfId="16734"/>
    <cellStyle name="Separador de milhares 3 2 5 2 7 2 3" xfId="25605"/>
    <cellStyle name="Separador de milhares 3 2 5 2 7 2 4" xfId="19691"/>
    <cellStyle name="Separador de milhares 3 2 5 2 7 2 5" xfId="13593"/>
    <cellStyle name="Separador de milhares 3 2 5 2 7 3" xfId="8880"/>
    <cellStyle name="Separador de milhares 3 2 5 2 7 3 2" xfId="27094"/>
    <cellStyle name="Separador de milhares 3 2 5 2 7 3 3" xfId="21180"/>
    <cellStyle name="Separador de milhares 3 2 5 2 7 3 4" xfId="15266"/>
    <cellStyle name="Separador de milhares 3 2 5 2 7 4" xfId="5505"/>
    <cellStyle name="Separador de milhares 3 2 5 2 7 4 2" xfId="24137"/>
    <cellStyle name="Separador de milhares 3 2 5 2 7 5" xfId="18223"/>
    <cellStyle name="Separador de milhares 3 2 5 2 7 6" xfId="11892"/>
    <cellStyle name="Separador de milhares 3 2 5 2 8" xfId="3302"/>
    <cellStyle name="Separador de milhares 3 2 5 2 8 2" xfId="7351"/>
    <cellStyle name="Separador de milhares 3 2 5 2 8 2 2" xfId="10495"/>
    <cellStyle name="Separador de milhares 3 2 5 2 8 2 2 2" xfId="28709"/>
    <cellStyle name="Separador de milhares 3 2 5 2 8 2 2 3" xfId="22795"/>
    <cellStyle name="Separador de milhares 3 2 5 2 8 2 2 4" xfId="16881"/>
    <cellStyle name="Separador de milhares 3 2 5 2 8 2 3" xfId="25752"/>
    <cellStyle name="Separador de milhares 3 2 5 2 8 2 4" xfId="19838"/>
    <cellStyle name="Separador de milhares 3 2 5 2 8 2 5" xfId="13740"/>
    <cellStyle name="Separador de milhares 3 2 5 2 8 3" xfId="9027"/>
    <cellStyle name="Separador de milhares 3 2 5 2 8 3 2" xfId="27241"/>
    <cellStyle name="Separador de milhares 3 2 5 2 8 3 3" xfId="21327"/>
    <cellStyle name="Separador de milhares 3 2 5 2 8 3 4" xfId="15413"/>
    <cellStyle name="Separador de milhares 3 2 5 2 8 4" xfId="5652"/>
    <cellStyle name="Separador de milhares 3 2 5 2 8 4 2" xfId="24284"/>
    <cellStyle name="Separador de milhares 3 2 5 2 8 5" xfId="18370"/>
    <cellStyle name="Separador de milhares 3 2 5 2 8 6" xfId="12039"/>
    <cellStyle name="Separador de milhares 3 2 5 2 9" xfId="3829"/>
    <cellStyle name="Separador de milhares 3 2 5 2 9 2" xfId="7498"/>
    <cellStyle name="Separador de milhares 3 2 5 2 9 2 2" xfId="10642"/>
    <cellStyle name="Separador de milhares 3 2 5 2 9 2 2 2" xfId="28856"/>
    <cellStyle name="Separador de milhares 3 2 5 2 9 2 2 3" xfId="22942"/>
    <cellStyle name="Separador de milhares 3 2 5 2 9 2 2 4" xfId="17028"/>
    <cellStyle name="Separador de milhares 3 2 5 2 9 2 3" xfId="25899"/>
    <cellStyle name="Separador de milhares 3 2 5 2 9 2 4" xfId="19985"/>
    <cellStyle name="Separador de milhares 3 2 5 2 9 2 5" xfId="13887"/>
    <cellStyle name="Separador de milhares 3 2 5 2 9 3" xfId="9174"/>
    <cellStyle name="Separador de milhares 3 2 5 2 9 3 2" xfId="27388"/>
    <cellStyle name="Separador de milhares 3 2 5 2 9 3 3" xfId="21474"/>
    <cellStyle name="Separador de milhares 3 2 5 2 9 3 4" xfId="15560"/>
    <cellStyle name="Separador de milhares 3 2 5 2 9 4" xfId="5799"/>
    <cellStyle name="Separador de milhares 3 2 5 2 9 4 2" xfId="24431"/>
    <cellStyle name="Separador de milhares 3 2 5 2 9 5" xfId="18517"/>
    <cellStyle name="Separador de milhares 3 2 5 2 9 6" xfId="12186"/>
    <cellStyle name="Separador de milhares 3 2 5 3" xfId="281"/>
    <cellStyle name="Separador de milhares 3 2 5 3 10" xfId="6489"/>
    <cellStyle name="Separador de milhares 3 2 5 3 10 2" xfId="9640"/>
    <cellStyle name="Separador de milhares 3 2 5 3 10 2 2" xfId="27854"/>
    <cellStyle name="Separador de milhares 3 2 5 3 10 2 3" xfId="21940"/>
    <cellStyle name="Separador de milhares 3 2 5 3 10 2 4" xfId="16026"/>
    <cellStyle name="Separador de milhares 3 2 5 3 10 3" xfId="24897"/>
    <cellStyle name="Separador de milhares 3 2 5 3 10 4" xfId="18983"/>
    <cellStyle name="Separador de milhares 3 2 5 3 10 5" xfId="12878"/>
    <cellStyle name="Separador de milhares 3 2 5 3 11" xfId="8169"/>
    <cellStyle name="Separador de milhares 3 2 5 3 11 2" xfId="26383"/>
    <cellStyle name="Separador de milhares 3 2 5 3 11 3" xfId="20469"/>
    <cellStyle name="Separador de milhares 3 2 5 3 11 4" xfId="14558"/>
    <cellStyle name="Separador de milhares 3 2 5 3 12" xfId="4788"/>
    <cellStyle name="Separador de milhares 3 2 5 3 12 2" xfId="23426"/>
    <cellStyle name="Separador de milhares 3 2 5 3 13" xfId="17512"/>
    <cellStyle name="Separador de milhares 3 2 5 3 14" xfId="11177"/>
    <cellStyle name="Separador de milhares 3 2 5 3 2" xfId="544"/>
    <cellStyle name="Separador de milhares 3 2 5 3 2 2" xfId="6560"/>
    <cellStyle name="Separador de milhares 3 2 5 3 2 2 2" xfId="9707"/>
    <cellStyle name="Separador de milhares 3 2 5 3 2 2 2 2" xfId="27921"/>
    <cellStyle name="Separador de milhares 3 2 5 3 2 2 2 3" xfId="22007"/>
    <cellStyle name="Separador de milhares 3 2 5 3 2 2 2 4" xfId="16093"/>
    <cellStyle name="Separador de milhares 3 2 5 3 2 2 3" xfId="24964"/>
    <cellStyle name="Separador de milhares 3 2 5 3 2 2 4" xfId="19050"/>
    <cellStyle name="Separador de milhares 3 2 5 3 2 2 5" xfId="12949"/>
    <cellStyle name="Separador de milhares 3 2 5 3 2 3" xfId="8236"/>
    <cellStyle name="Separador de milhares 3 2 5 3 2 3 2" xfId="26450"/>
    <cellStyle name="Separador de milhares 3 2 5 3 2 3 3" xfId="20536"/>
    <cellStyle name="Separador de milhares 3 2 5 3 2 3 4" xfId="14625"/>
    <cellStyle name="Separador de milhares 3 2 5 3 2 4" xfId="4859"/>
    <cellStyle name="Separador de milhares 3 2 5 3 2 4 2" xfId="23493"/>
    <cellStyle name="Separador de milhares 3 2 5 3 2 5" xfId="17579"/>
    <cellStyle name="Separador de milhares 3 2 5 3 2 6" xfId="11248"/>
    <cellStyle name="Separador de milhares 3 2 5 3 3" xfId="841"/>
    <cellStyle name="Separador de milhares 3 2 5 3 3 2" xfId="6662"/>
    <cellStyle name="Separador de milhares 3 2 5 3 3 2 2" xfId="9809"/>
    <cellStyle name="Separador de milhares 3 2 5 3 3 2 2 2" xfId="28023"/>
    <cellStyle name="Separador de milhares 3 2 5 3 3 2 2 3" xfId="22109"/>
    <cellStyle name="Separador de milhares 3 2 5 3 3 2 2 4" xfId="16195"/>
    <cellStyle name="Separador de milhares 3 2 5 3 3 2 3" xfId="25066"/>
    <cellStyle name="Separador de milhares 3 2 5 3 3 2 4" xfId="19152"/>
    <cellStyle name="Separador de milhares 3 2 5 3 3 2 5" xfId="13051"/>
    <cellStyle name="Separador de milhares 3 2 5 3 3 3" xfId="8341"/>
    <cellStyle name="Separador de milhares 3 2 5 3 3 3 2" xfId="26555"/>
    <cellStyle name="Separador de milhares 3 2 5 3 3 3 3" xfId="20641"/>
    <cellStyle name="Separador de milhares 3 2 5 3 3 3 4" xfId="14727"/>
    <cellStyle name="Separador de milhares 3 2 5 3 3 4" xfId="4963"/>
    <cellStyle name="Separador de milhares 3 2 5 3 3 4 2" xfId="23598"/>
    <cellStyle name="Separador de milhares 3 2 5 3 3 5" xfId="17684"/>
    <cellStyle name="Separador de milhares 3 2 5 3 3 6" xfId="11350"/>
    <cellStyle name="Separador de milhares 3 2 5 3 4" xfId="1192"/>
    <cellStyle name="Separador de milhares 3 2 5 3 4 2" xfId="6760"/>
    <cellStyle name="Separador de milhares 3 2 5 3 4 2 2" xfId="9907"/>
    <cellStyle name="Separador de milhares 3 2 5 3 4 2 2 2" xfId="28121"/>
    <cellStyle name="Separador de milhares 3 2 5 3 4 2 2 3" xfId="22207"/>
    <cellStyle name="Separador de milhares 3 2 5 3 4 2 2 4" xfId="16293"/>
    <cellStyle name="Separador de milhares 3 2 5 3 4 2 3" xfId="25164"/>
    <cellStyle name="Separador de milhares 3 2 5 3 4 2 4" xfId="19250"/>
    <cellStyle name="Separador de milhares 3 2 5 3 4 2 5" xfId="13149"/>
    <cellStyle name="Separador de milhares 3 2 5 3 4 3" xfId="8439"/>
    <cellStyle name="Separador de milhares 3 2 5 3 4 3 2" xfId="26653"/>
    <cellStyle name="Separador de milhares 3 2 5 3 4 3 3" xfId="20739"/>
    <cellStyle name="Separador de milhares 3 2 5 3 4 3 4" xfId="14825"/>
    <cellStyle name="Separador de milhares 3 2 5 3 4 4" xfId="5061"/>
    <cellStyle name="Separador de milhares 3 2 5 3 4 4 2" xfId="23696"/>
    <cellStyle name="Separador de milhares 3 2 5 3 4 5" xfId="17782"/>
    <cellStyle name="Separador de milhares 3 2 5 3 4 6" xfId="11448"/>
    <cellStyle name="Separador de milhares 3 2 5 3 5" xfId="1627"/>
    <cellStyle name="Separador de milhares 3 2 5 3 5 2" xfId="6879"/>
    <cellStyle name="Separador de milhares 3 2 5 3 5 2 2" xfId="10026"/>
    <cellStyle name="Separador de milhares 3 2 5 3 5 2 2 2" xfId="28240"/>
    <cellStyle name="Separador de milhares 3 2 5 3 5 2 2 3" xfId="22326"/>
    <cellStyle name="Separador de milhares 3 2 5 3 5 2 2 4" xfId="16412"/>
    <cellStyle name="Separador de milhares 3 2 5 3 5 2 3" xfId="25283"/>
    <cellStyle name="Separador de milhares 3 2 5 3 5 2 4" xfId="19369"/>
    <cellStyle name="Separador de milhares 3 2 5 3 5 2 5" xfId="13268"/>
    <cellStyle name="Separador de milhares 3 2 5 3 5 3" xfId="8558"/>
    <cellStyle name="Separador de milhares 3 2 5 3 5 3 2" xfId="26772"/>
    <cellStyle name="Separador de milhares 3 2 5 3 5 3 3" xfId="20858"/>
    <cellStyle name="Separador de milhares 3 2 5 3 5 3 4" xfId="14944"/>
    <cellStyle name="Separador de milhares 3 2 5 3 5 4" xfId="5180"/>
    <cellStyle name="Separador de milhares 3 2 5 3 5 4 2" xfId="23815"/>
    <cellStyle name="Separador de milhares 3 2 5 3 5 5" xfId="17901"/>
    <cellStyle name="Separador de milhares 3 2 5 3 5 6" xfId="11567"/>
    <cellStyle name="Separador de milhares 3 2 5 3 6" xfId="2157"/>
    <cellStyle name="Separador de milhares 3 2 5 3 6 2" xfId="7029"/>
    <cellStyle name="Separador de milhares 3 2 5 3 6 2 2" xfId="10173"/>
    <cellStyle name="Separador de milhares 3 2 5 3 6 2 2 2" xfId="28387"/>
    <cellStyle name="Separador de milhares 3 2 5 3 6 2 2 3" xfId="22473"/>
    <cellStyle name="Separador de milhares 3 2 5 3 6 2 2 4" xfId="16559"/>
    <cellStyle name="Separador de milhares 3 2 5 3 6 2 3" xfId="25430"/>
    <cellStyle name="Separador de milhares 3 2 5 3 6 2 4" xfId="19516"/>
    <cellStyle name="Separador de milhares 3 2 5 3 6 2 5" xfId="13418"/>
    <cellStyle name="Separador de milhares 3 2 5 3 6 3" xfId="8705"/>
    <cellStyle name="Separador de milhares 3 2 5 3 6 3 2" xfId="26919"/>
    <cellStyle name="Separador de milhares 3 2 5 3 6 3 3" xfId="21005"/>
    <cellStyle name="Separador de milhares 3 2 5 3 6 3 4" xfId="15091"/>
    <cellStyle name="Separador de milhares 3 2 5 3 6 4" xfId="5330"/>
    <cellStyle name="Separador de milhares 3 2 5 3 6 4 2" xfId="23962"/>
    <cellStyle name="Separador de milhares 3 2 5 3 6 5" xfId="18048"/>
    <cellStyle name="Separador de milhares 3 2 5 3 6 6" xfId="11717"/>
    <cellStyle name="Separador de milhares 3 2 5 3 7" xfId="2684"/>
    <cellStyle name="Separador de milhares 3 2 5 3 7 2" xfId="7176"/>
    <cellStyle name="Separador de milhares 3 2 5 3 7 2 2" xfId="10320"/>
    <cellStyle name="Separador de milhares 3 2 5 3 7 2 2 2" xfId="28534"/>
    <cellStyle name="Separador de milhares 3 2 5 3 7 2 2 3" xfId="22620"/>
    <cellStyle name="Separador de milhares 3 2 5 3 7 2 2 4" xfId="16706"/>
    <cellStyle name="Separador de milhares 3 2 5 3 7 2 3" xfId="25577"/>
    <cellStyle name="Separador de milhares 3 2 5 3 7 2 4" xfId="19663"/>
    <cellStyle name="Separador de milhares 3 2 5 3 7 2 5" xfId="13565"/>
    <cellStyle name="Separador de milhares 3 2 5 3 7 3" xfId="8852"/>
    <cellStyle name="Separador de milhares 3 2 5 3 7 3 2" xfId="27066"/>
    <cellStyle name="Separador de milhares 3 2 5 3 7 3 3" xfId="21152"/>
    <cellStyle name="Separador de milhares 3 2 5 3 7 3 4" xfId="15238"/>
    <cellStyle name="Separador de milhares 3 2 5 3 7 4" xfId="5477"/>
    <cellStyle name="Separador de milhares 3 2 5 3 7 4 2" xfId="24109"/>
    <cellStyle name="Separador de milhares 3 2 5 3 7 5" xfId="18195"/>
    <cellStyle name="Separador de milhares 3 2 5 3 7 6" xfId="11864"/>
    <cellStyle name="Separador de milhares 3 2 5 3 8" xfId="3211"/>
    <cellStyle name="Separador de milhares 3 2 5 3 8 2" xfId="7323"/>
    <cellStyle name="Separador de milhares 3 2 5 3 8 2 2" xfId="10467"/>
    <cellStyle name="Separador de milhares 3 2 5 3 8 2 2 2" xfId="28681"/>
    <cellStyle name="Separador de milhares 3 2 5 3 8 2 2 3" xfId="22767"/>
    <cellStyle name="Separador de milhares 3 2 5 3 8 2 2 4" xfId="16853"/>
    <cellStyle name="Separador de milhares 3 2 5 3 8 2 3" xfId="25724"/>
    <cellStyle name="Separador de milhares 3 2 5 3 8 2 4" xfId="19810"/>
    <cellStyle name="Separador de milhares 3 2 5 3 8 2 5" xfId="13712"/>
    <cellStyle name="Separador de milhares 3 2 5 3 8 3" xfId="8999"/>
    <cellStyle name="Separador de milhares 3 2 5 3 8 3 2" xfId="27213"/>
    <cellStyle name="Separador de milhares 3 2 5 3 8 3 3" xfId="21299"/>
    <cellStyle name="Separador de milhares 3 2 5 3 8 3 4" xfId="15385"/>
    <cellStyle name="Separador de milhares 3 2 5 3 8 4" xfId="5624"/>
    <cellStyle name="Separador de milhares 3 2 5 3 8 4 2" xfId="24256"/>
    <cellStyle name="Separador de milhares 3 2 5 3 8 5" xfId="18342"/>
    <cellStyle name="Separador de milhares 3 2 5 3 8 6" xfId="12011"/>
    <cellStyle name="Separador de milhares 3 2 5 3 9" xfId="3738"/>
    <cellStyle name="Separador de milhares 3 2 5 3 9 2" xfId="7470"/>
    <cellStyle name="Separador de milhares 3 2 5 3 9 2 2" xfId="10614"/>
    <cellStyle name="Separador de milhares 3 2 5 3 9 2 2 2" xfId="28828"/>
    <cellStyle name="Separador de milhares 3 2 5 3 9 2 2 3" xfId="22914"/>
    <cellStyle name="Separador de milhares 3 2 5 3 9 2 2 4" xfId="17000"/>
    <cellStyle name="Separador de milhares 3 2 5 3 9 2 3" xfId="25871"/>
    <cellStyle name="Separador de milhares 3 2 5 3 9 2 4" xfId="19957"/>
    <cellStyle name="Separador de milhares 3 2 5 3 9 2 5" xfId="13859"/>
    <cellStyle name="Separador de milhares 3 2 5 3 9 3" xfId="9146"/>
    <cellStyle name="Separador de milhares 3 2 5 3 9 3 2" xfId="27360"/>
    <cellStyle name="Separador de milhares 3 2 5 3 9 3 3" xfId="21446"/>
    <cellStyle name="Separador de milhares 3 2 5 3 9 3 4" xfId="15532"/>
    <cellStyle name="Separador de milhares 3 2 5 3 9 4" xfId="5771"/>
    <cellStyle name="Separador de milhares 3 2 5 3 9 4 2" xfId="24403"/>
    <cellStyle name="Separador de milhares 3 2 5 3 9 5" xfId="18489"/>
    <cellStyle name="Separador de milhares 3 2 5 3 9 6" xfId="12158"/>
    <cellStyle name="Separador de milhares 3 2 5 4" xfId="374"/>
    <cellStyle name="Separador de milhares 3 2 5 4 10" xfId="6517"/>
    <cellStyle name="Separador de milhares 3 2 5 4 10 2" xfId="9665"/>
    <cellStyle name="Separador de milhares 3 2 5 4 10 2 2" xfId="27879"/>
    <cellStyle name="Separador de milhares 3 2 5 4 10 2 3" xfId="21965"/>
    <cellStyle name="Separador de milhares 3 2 5 4 10 2 4" xfId="16051"/>
    <cellStyle name="Separador de milhares 3 2 5 4 10 3" xfId="24922"/>
    <cellStyle name="Separador de milhares 3 2 5 4 10 4" xfId="19008"/>
    <cellStyle name="Separador de milhares 3 2 5 4 10 5" xfId="12906"/>
    <cellStyle name="Separador de milhares 3 2 5 4 11" xfId="8194"/>
    <cellStyle name="Separador de milhares 3 2 5 4 11 2" xfId="26408"/>
    <cellStyle name="Separador de milhares 3 2 5 4 11 3" xfId="20494"/>
    <cellStyle name="Separador de milhares 3 2 5 4 11 4" xfId="14583"/>
    <cellStyle name="Separador de milhares 3 2 5 4 12" xfId="4816"/>
    <cellStyle name="Separador de milhares 3 2 5 4 12 2" xfId="23451"/>
    <cellStyle name="Separador de milhares 3 2 5 4 13" xfId="17537"/>
    <cellStyle name="Separador de milhares 3 2 5 4 14" xfId="11205"/>
    <cellStyle name="Separador de milhares 3 2 5 4 2" xfId="1019"/>
    <cellStyle name="Separador de milhares 3 2 5 4 2 2" xfId="6714"/>
    <cellStyle name="Separador de milhares 3 2 5 4 2 2 2" xfId="9861"/>
    <cellStyle name="Separador de milhares 3 2 5 4 2 2 2 2" xfId="28075"/>
    <cellStyle name="Separador de milhares 3 2 5 4 2 2 2 3" xfId="22161"/>
    <cellStyle name="Separador de milhares 3 2 5 4 2 2 2 4" xfId="16247"/>
    <cellStyle name="Separador de milhares 3 2 5 4 2 2 3" xfId="25118"/>
    <cellStyle name="Separador de milhares 3 2 5 4 2 2 4" xfId="19204"/>
    <cellStyle name="Separador de milhares 3 2 5 4 2 2 5" xfId="13103"/>
    <cellStyle name="Separador de milhares 3 2 5 4 2 3" xfId="8393"/>
    <cellStyle name="Separador de milhares 3 2 5 4 2 3 2" xfId="26607"/>
    <cellStyle name="Separador de milhares 3 2 5 4 2 3 3" xfId="20693"/>
    <cellStyle name="Separador de milhares 3 2 5 4 2 3 4" xfId="14779"/>
    <cellStyle name="Separador de milhares 3 2 5 4 2 4" xfId="5015"/>
    <cellStyle name="Separador de milhares 3 2 5 4 2 4 2" xfId="23650"/>
    <cellStyle name="Separador de milhares 3 2 5 4 2 5" xfId="17736"/>
    <cellStyle name="Separador de milhares 3 2 5 4 2 6" xfId="11402"/>
    <cellStyle name="Separador de milhares 3 2 5 4 3" xfId="1370"/>
    <cellStyle name="Separador de milhares 3 2 5 4 3 2" xfId="6812"/>
    <cellStyle name="Separador de milhares 3 2 5 4 3 2 2" xfId="9959"/>
    <cellStyle name="Separador de milhares 3 2 5 4 3 2 2 2" xfId="28173"/>
    <cellStyle name="Separador de milhares 3 2 5 4 3 2 2 3" xfId="22259"/>
    <cellStyle name="Separador de milhares 3 2 5 4 3 2 2 4" xfId="16345"/>
    <cellStyle name="Separador de milhares 3 2 5 4 3 2 3" xfId="25216"/>
    <cellStyle name="Separador de milhares 3 2 5 4 3 2 4" xfId="19302"/>
    <cellStyle name="Separador de milhares 3 2 5 4 3 2 5" xfId="13201"/>
    <cellStyle name="Separador de milhares 3 2 5 4 3 3" xfId="8491"/>
    <cellStyle name="Separador de milhares 3 2 5 4 3 3 2" xfId="26705"/>
    <cellStyle name="Separador de milhares 3 2 5 4 3 3 3" xfId="20791"/>
    <cellStyle name="Separador de milhares 3 2 5 4 3 3 4" xfId="14877"/>
    <cellStyle name="Separador de milhares 3 2 5 4 3 4" xfId="5113"/>
    <cellStyle name="Separador de milhares 3 2 5 4 3 4 2" xfId="23748"/>
    <cellStyle name="Separador de milhares 3 2 5 4 3 5" xfId="17834"/>
    <cellStyle name="Separador de milhares 3 2 5 4 3 6" xfId="11500"/>
    <cellStyle name="Separador de milhares 3 2 5 4 4" xfId="1805"/>
    <cellStyle name="Separador de milhares 3 2 5 4 4 2" xfId="6931"/>
    <cellStyle name="Separador de milhares 3 2 5 4 4 2 2" xfId="10078"/>
    <cellStyle name="Separador de milhares 3 2 5 4 4 2 2 2" xfId="28292"/>
    <cellStyle name="Separador de milhares 3 2 5 4 4 2 2 3" xfId="22378"/>
    <cellStyle name="Separador de milhares 3 2 5 4 4 2 2 4" xfId="16464"/>
    <cellStyle name="Separador de milhares 3 2 5 4 4 2 3" xfId="25335"/>
    <cellStyle name="Separador de milhares 3 2 5 4 4 2 4" xfId="19421"/>
    <cellStyle name="Separador de milhares 3 2 5 4 4 2 5" xfId="13320"/>
    <cellStyle name="Separador de milhares 3 2 5 4 4 3" xfId="8610"/>
    <cellStyle name="Separador de milhares 3 2 5 4 4 3 2" xfId="26824"/>
    <cellStyle name="Separador de milhares 3 2 5 4 4 3 3" xfId="20910"/>
    <cellStyle name="Separador de milhares 3 2 5 4 4 3 4" xfId="14996"/>
    <cellStyle name="Separador de milhares 3 2 5 4 4 4" xfId="5232"/>
    <cellStyle name="Separador de milhares 3 2 5 4 4 4 2" xfId="23867"/>
    <cellStyle name="Separador de milhares 3 2 5 4 4 5" xfId="17953"/>
    <cellStyle name="Separador de milhares 3 2 5 4 4 6" xfId="11619"/>
    <cellStyle name="Separador de milhares 3 2 5 4 5" xfId="2335"/>
    <cellStyle name="Separador de milhares 3 2 5 4 5 2" xfId="7081"/>
    <cellStyle name="Separador de milhares 3 2 5 4 5 2 2" xfId="10225"/>
    <cellStyle name="Separador de milhares 3 2 5 4 5 2 2 2" xfId="28439"/>
    <cellStyle name="Separador de milhares 3 2 5 4 5 2 2 3" xfId="22525"/>
    <cellStyle name="Separador de milhares 3 2 5 4 5 2 2 4" xfId="16611"/>
    <cellStyle name="Separador de milhares 3 2 5 4 5 2 3" xfId="25482"/>
    <cellStyle name="Separador de milhares 3 2 5 4 5 2 4" xfId="19568"/>
    <cellStyle name="Separador de milhares 3 2 5 4 5 2 5" xfId="13470"/>
    <cellStyle name="Separador de milhares 3 2 5 4 5 3" xfId="8757"/>
    <cellStyle name="Separador de milhares 3 2 5 4 5 3 2" xfId="26971"/>
    <cellStyle name="Separador de milhares 3 2 5 4 5 3 3" xfId="21057"/>
    <cellStyle name="Separador de milhares 3 2 5 4 5 3 4" xfId="15143"/>
    <cellStyle name="Separador de milhares 3 2 5 4 5 4" xfId="5382"/>
    <cellStyle name="Separador de milhares 3 2 5 4 5 4 2" xfId="24014"/>
    <cellStyle name="Separador de milhares 3 2 5 4 5 5" xfId="18100"/>
    <cellStyle name="Separador de milhares 3 2 5 4 5 6" xfId="11769"/>
    <cellStyle name="Separador de milhares 3 2 5 4 6" xfId="2862"/>
    <cellStyle name="Separador de milhares 3 2 5 4 6 2" xfId="7228"/>
    <cellStyle name="Separador de milhares 3 2 5 4 6 2 2" xfId="10372"/>
    <cellStyle name="Separador de milhares 3 2 5 4 6 2 2 2" xfId="28586"/>
    <cellStyle name="Separador de milhares 3 2 5 4 6 2 2 3" xfId="22672"/>
    <cellStyle name="Separador de milhares 3 2 5 4 6 2 2 4" xfId="16758"/>
    <cellStyle name="Separador de milhares 3 2 5 4 6 2 3" xfId="25629"/>
    <cellStyle name="Separador de milhares 3 2 5 4 6 2 4" xfId="19715"/>
    <cellStyle name="Separador de milhares 3 2 5 4 6 2 5" xfId="13617"/>
    <cellStyle name="Separador de milhares 3 2 5 4 6 3" xfId="8904"/>
    <cellStyle name="Separador de milhares 3 2 5 4 6 3 2" xfId="27118"/>
    <cellStyle name="Separador de milhares 3 2 5 4 6 3 3" xfId="21204"/>
    <cellStyle name="Separador de milhares 3 2 5 4 6 3 4" xfId="15290"/>
    <cellStyle name="Separador de milhares 3 2 5 4 6 4" xfId="5529"/>
    <cellStyle name="Separador de milhares 3 2 5 4 6 4 2" xfId="24161"/>
    <cellStyle name="Separador de milhares 3 2 5 4 6 5" xfId="18247"/>
    <cellStyle name="Separador de milhares 3 2 5 4 6 6" xfId="11916"/>
    <cellStyle name="Separador de milhares 3 2 5 4 7" xfId="3389"/>
    <cellStyle name="Separador de milhares 3 2 5 4 7 2" xfId="7375"/>
    <cellStyle name="Separador de milhares 3 2 5 4 7 2 2" xfId="10519"/>
    <cellStyle name="Separador de milhares 3 2 5 4 7 2 2 2" xfId="28733"/>
    <cellStyle name="Separador de milhares 3 2 5 4 7 2 2 3" xfId="22819"/>
    <cellStyle name="Separador de milhares 3 2 5 4 7 2 2 4" xfId="16905"/>
    <cellStyle name="Separador de milhares 3 2 5 4 7 2 3" xfId="25776"/>
    <cellStyle name="Separador de milhares 3 2 5 4 7 2 4" xfId="19862"/>
    <cellStyle name="Separador de milhares 3 2 5 4 7 2 5" xfId="13764"/>
    <cellStyle name="Separador de milhares 3 2 5 4 7 3" xfId="9051"/>
    <cellStyle name="Separador de milhares 3 2 5 4 7 3 2" xfId="27265"/>
    <cellStyle name="Separador de milhares 3 2 5 4 7 3 3" xfId="21351"/>
    <cellStyle name="Separador de milhares 3 2 5 4 7 3 4" xfId="15437"/>
    <cellStyle name="Separador de milhares 3 2 5 4 7 4" xfId="5676"/>
    <cellStyle name="Separador de milhares 3 2 5 4 7 4 2" xfId="24308"/>
    <cellStyle name="Separador de milhares 3 2 5 4 7 5" xfId="18394"/>
    <cellStyle name="Separador de milhares 3 2 5 4 7 6" xfId="12063"/>
    <cellStyle name="Separador de milhares 3 2 5 4 8" xfId="3916"/>
    <cellStyle name="Separador de milhares 3 2 5 4 8 2" xfId="7522"/>
    <cellStyle name="Separador de milhares 3 2 5 4 8 2 2" xfId="10666"/>
    <cellStyle name="Separador de milhares 3 2 5 4 8 2 2 2" xfId="28880"/>
    <cellStyle name="Separador de milhares 3 2 5 4 8 2 2 3" xfId="22966"/>
    <cellStyle name="Separador de milhares 3 2 5 4 8 2 2 4" xfId="17052"/>
    <cellStyle name="Separador de milhares 3 2 5 4 8 2 3" xfId="25923"/>
    <cellStyle name="Separador de milhares 3 2 5 4 8 2 4" xfId="20009"/>
    <cellStyle name="Separador de milhares 3 2 5 4 8 2 5" xfId="13911"/>
    <cellStyle name="Separador de milhares 3 2 5 4 8 3" xfId="9198"/>
    <cellStyle name="Separador de milhares 3 2 5 4 8 3 2" xfId="27412"/>
    <cellStyle name="Separador de milhares 3 2 5 4 8 3 3" xfId="21498"/>
    <cellStyle name="Separador de milhares 3 2 5 4 8 3 4" xfId="15584"/>
    <cellStyle name="Separador de milhares 3 2 5 4 8 4" xfId="5823"/>
    <cellStyle name="Separador de milhares 3 2 5 4 8 4 2" xfId="24455"/>
    <cellStyle name="Separador de milhares 3 2 5 4 8 5" xfId="18541"/>
    <cellStyle name="Separador de milhares 3 2 5 4 8 6" xfId="12210"/>
    <cellStyle name="Separador de milhares 3 2 5 4 9" xfId="681"/>
    <cellStyle name="Separador de milhares 3 2 5 4 9 2" xfId="6616"/>
    <cellStyle name="Separador de milhares 3 2 5 4 9 2 2" xfId="9763"/>
    <cellStyle name="Separador de milhares 3 2 5 4 9 2 2 2" xfId="27977"/>
    <cellStyle name="Separador de milhares 3 2 5 4 9 2 2 3" xfId="22063"/>
    <cellStyle name="Separador de milhares 3 2 5 4 9 2 2 4" xfId="16149"/>
    <cellStyle name="Separador de milhares 3 2 5 4 9 2 3" xfId="25020"/>
    <cellStyle name="Separador de milhares 3 2 5 4 9 2 4" xfId="19106"/>
    <cellStyle name="Separador de milhares 3 2 5 4 9 2 5" xfId="13005"/>
    <cellStyle name="Separador de milhares 3 2 5 4 9 3" xfId="8295"/>
    <cellStyle name="Separador de milhares 3 2 5 4 9 3 2" xfId="26509"/>
    <cellStyle name="Separador de milhares 3 2 5 4 9 3 3" xfId="20595"/>
    <cellStyle name="Separador de milhares 3 2 5 4 9 3 4" xfId="14681"/>
    <cellStyle name="Separador de milhares 3 2 5 4 9 4" xfId="4917"/>
    <cellStyle name="Separador de milhares 3 2 5 4 9 4 2" xfId="23552"/>
    <cellStyle name="Separador de milhares 3 2 5 4 9 5" xfId="17638"/>
    <cellStyle name="Separador de milhares 3 2 5 4 9 6" xfId="11304"/>
    <cellStyle name="Separador de milhares 3 2 5 5" xfId="631"/>
    <cellStyle name="Separador de milhares 3 2 5 5 10" xfId="4881"/>
    <cellStyle name="Separador de milhares 3 2 5 5 10 2" xfId="23515"/>
    <cellStyle name="Separador de milhares 3 2 5 5 11" xfId="17601"/>
    <cellStyle name="Separador de milhares 3 2 5 5 12" xfId="11270"/>
    <cellStyle name="Separador de milhares 3 2 5 5 2" xfId="1454"/>
    <cellStyle name="Separador de milhares 3 2 5 5 2 2" xfId="6833"/>
    <cellStyle name="Separador de milhares 3 2 5 5 2 2 2" xfId="9980"/>
    <cellStyle name="Separador de milhares 3 2 5 5 2 2 2 2" xfId="28194"/>
    <cellStyle name="Separador de milhares 3 2 5 5 2 2 2 3" xfId="22280"/>
    <cellStyle name="Separador de milhares 3 2 5 5 2 2 2 4" xfId="16366"/>
    <cellStyle name="Separador de milhares 3 2 5 5 2 2 3" xfId="25237"/>
    <cellStyle name="Separador de milhares 3 2 5 5 2 2 4" xfId="19323"/>
    <cellStyle name="Separador de milhares 3 2 5 5 2 2 5" xfId="13222"/>
    <cellStyle name="Separador de milhares 3 2 5 5 2 3" xfId="8512"/>
    <cellStyle name="Separador de milhares 3 2 5 5 2 3 2" xfId="26726"/>
    <cellStyle name="Separador de milhares 3 2 5 5 2 3 3" xfId="20812"/>
    <cellStyle name="Separador de milhares 3 2 5 5 2 3 4" xfId="14898"/>
    <cellStyle name="Separador de milhares 3 2 5 5 2 4" xfId="5134"/>
    <cellStyle name="Separador de milhares 3 2 5 5 2 4 2" xfId="23769"/>
    <cellStyle name="Separador de milhares 3 2 5 5 2 5" xfId="17855"/>
    <cellStyle name="Separador de milhares 3 2 5 5 2 6" xfId="11521"/>
    <cellStyle name="Separador de milhares 3 2 5 5 3" xfId="1889"/>
    <cellStyle name="Separador de milhares 3 2 5 5 3 2" xfId="6952"/>
    <cellStyle name="Separador de milhares 3 2 5 5 3 2 2" xfId="10099"/>
    <cellStyle name="Separador de milhares 3 2 5 5 3 2 2 2" xfId="28313"/>
    <cellStyle name="Separador de milhares 3 2 5 5 3 2 2 3" xfId="22399"/>
    <cellStyle name="Separador de milhares 3 2 5 5 3 2 2 4" xfId="16485"/>
    <cellStyle name="Separador de milhares 3 2 5 5 3 2 3" xfId="25356"/>
    <cellStyle name="Separador de milhares 3 2 5 5 3 2 4" xfId="19442"/>
    <cellStyle name="Separador de milhares 3 2 5 5 3 2 5" xfId="13341"/>
    <cellStyle name="Separador de milhares 3 2 5 5 3 3" xfId="8631"/>
    <cellStyle name="Separador de milhares 3 2 5 5 3 3 2" xfId="26845"/>
    <cellStyle name="Separador de milhares 3 2 5 5 3 3 3" xfId="20931"/>
    <cellStyle name="Separador de milhares 3 2 5 5 3 3 4" xfId="15017"/>
    <cellStyle name="Separador de milhares 3 2 5 5 3 4" xfId="5253"/>
    <cellStyle name="Separador de milhares 3 2 5 5 3 4 2" xfId="23888"/>
    <cellStyle name="Separador de milhares 3 2 5 5 3 5" xfId="17974"/>
    <cellStyle name="Separador de milhares 3 2 5 5 3 6" xfId="11640"/>
    <cellStyle name="Separador de milhares 3 2 5 5 4" xfId="2419"/>
    <cellStyle name="Separador de milhares 3 2 5 5 4 2" xfId="7102"/>
    <cellStyle name="Separador de milhares 3 2 5 5 4 2 2" xfId="10246"/>
    <cellStyle name="Separador de milhares 3 2 5 5 4 2 2 2" xfId="28460"/>
    <cellStyle name="Separador de milhares 3 2 5 5 4 2 2 3" xfId="22546"/>
    <cellStyle name="Separador de milhares 3 2 5 5 4 2 2 4" xfId="16632"/>
    <cellStyle name="Separador de milhares 3 2 5 5 4 2 3" xfId="25503"/>
    <cellStyle name="Separador de milhares 3 2 5 5 4 2 4" xfId="19589"/>
    <cellStyle name="Separador de milhares 3 2 5 5 4 2 5" xfId="13491"/>
    <cellStyle name="Separador de milhares 3 2 5 5 4 3" xfId="8778"/>
    <cellStyle name="Separador de milhares 3 2 5 5 4 3 2" xfId="26992"/>
    <cellStyle name="Separador de milhares 3 2 5 5 4 3 3" xfId="21078"/>
    <cellStyle name="Separador de milhares 3 2 5 5 4 3 4" xfId="15164"/>
    <cellStyle name="Separador de milhares 3 2 5 5 4 4" xfId="5403"/>
    <cellStyle name="Separador de milhares 3 2 5 5 4 4 2" xfId="24035"/>
    <cellStyle name="Separador de milhares 3 2 5 5 4 5" xfId="18121"/>
    <cellStyle name="Separador de milhares 3 2 5 5 4 6" xfId="11790"/>
    <cellStyle name="Separador de milhares 3 2 5 5 5" xfId="2946"/>
    <cellStyle name="Separador de milhares 3 2 5 5 5 2" xfId="7249"/>
    <cellStyle name="Separador de milhares 3 2 5 5 5 2 2" xfId="10393"/>
    <cellStyle name="Separador de milhares 3 2 5 5 5 2 2 2" xfId="28607"/>
    <cellStyle name="Separador de milhares 3 2 5 5 5 2 2 3" xfId="22693"/>
    <cellStyle name="Separador de milhares 3 2 5 5 5 2 2 4" xfId="16779"/>
    <cellStyle name="Separador de milhares 3 2 5 5 5 2 3" xfId="25650"/>
    <cellStyle name="Separador de milhares 3 2 5 5 5 2 4" xfId="19736"/>
    <cellStyle name="Separador de milhares 3 2 5 5 5 2 5" xfId="13638"/>
    <cellStyle name="Separador de milhares 3 2 5 5 5 3" xfId="8925"/>
    <cellStyle name="Separador de milhares 3 2 5 5 5 3 2" xfId="27139"/>
    <cellStyle name="Separador de milhares 3 2 5 5 5 3 3" xfId="21225"/>
    <cellStyle name="Separador de milhares 3 2 5 5 5 3 4" xfId="15311"/>
    <cellStyle name="Separador de milhares 3 2 5 5 5 4" xfId="5550"/>
    <cellStyle name="Separador de milhares 3 2 5 5 5 4 2" xfId="24182"/>
    <cellStyle name="Separador de milhares 3 2 5 5 5 5" xfId="18268"/>
    <cellStyle name="Separador de milhares 3 2 5 5 5 6" xfId="11937"/>
    <cellStyle name="Separador de milhares 3 2 5 5 6" xfId="3473"/>
    <cellStyle name="Separador de milhares 3 2 5 5 6 2" xfId="7396"/>
    <cellStyle name="Separador de milhares 3 2 5 5 6 2 2" xfId="10540"/>
    <cellStyle name="Separador de milhares 3 2 5 5 6 2 2 2" xfId="28754"/>
    <cellStyle name="Separador de milhares 3 2 5 5 6 2 2 3" xfId="22840"/>
    <cellStyle name="Separador de milhares 3 2 5 5 6 2 2 4" xfId="16926"/>
    <cellStyle name="Separador de milhares 3 2 5 5 6 2 3" xfId="25797"/>
    <cellStyle name="Separador de milhares 3 2 5 5 6 2 4" xfId="19883"/>
    <cellStyle name="Separador de milhares 3 2 5 5 6 2 5" xfId="13785"/>
    <cellStyle name="Separador de milhares 3 2 5 5 6 3" xfId="9072"/>
    <cellStyle name="Separador de milhares 3 2 5 5 6 3 2" xfId="27286"/>
    <cellStyle name="Separador de milhares 3 2 5 5 6 3 3" xfId="21372"/>
    <cellStyle name="Separador de milhares 3 2 5 5 6 3 4" xfId="15458"/>
    <cellStyle name="Separador de milhares 3 2 5 5 6 4" xfId="5697"/>
    <cellStyle name="Separador de milhares 3 2 5 5 6 4 2" xfId="24329"/>
    <cellStyle name="Separador de milhares 3 2 5 5 6 5" xfId="18415"/>
    <cellStyle name="Separador de milhares 3 2 5 5 6 6" xfId="12084"/>
    <cellStyle name="Separador de milhares 3 2 5 5 7" xfId="4000"/>
    <cellStyle name="Separador de milhares 3 2 5 5 7 2" xfId="7543"/>
    <cellStyle name="Separador de milhares 3 2 5 5 7 2 2" xfId="10687"/>
    <cellStyle name="Separador de milhares 3 2 5 5 7 2 2 2" xfId="28901"/>
    <cellStyle name="Separador de milhares 3 2 5 5 7 2 2 3" xfId="22987"/>
    <cellStyle name="Separador de milhares 3 2 5 5 7 2 2 4" xfId="17073"/>
    <cellStyle name="Separador de milhares 3 2 5 5 7 2 3" xfId="25944"/>
    <cellStyle name="Separador de milhares 3 2 5 5 7 2 4" xfId="20030"/>
    <cellStyle name="Separador de milhares 3 2 5 5 7 2 5" xfId="13932"/>
    <cellStyle name="Separador de milhares 3 2 5 5 7 3" xfId="9219"/>
    <cellStyle name="Separador de milhares 3 2 5 5 7 3 2" xfId="27433"/>
    <cellStyle name="Separador de milhares 3 2 5 5 7 3 3" xfId="21519"/>
    <cellStyle name="Separador de milhares 3 2 5 5 7 3 4" xfId="15605"/>
    <cellStyle name="Separador de milhares 3 2 5 5 7 4" xfId="5844"/>
    <cellStyle name="Separador de milhares 3 2 5 5 7 4 2" xfId="24476"/>
    <cellStyle name="Separador de milhares 3 2 5 5 7 5" xfId="18562"/>
    <cellStyle name="Separador de milhares 3 2 5 5 7 6" xfId="12231"/>
    <cellStyle name="Separador de milhares 3 2 5 5 8" xfId="6582"/>
    <cellStyle name="Separador de milhares 3 2 5 5 8 2" xfId="9729"/>
    <cellStyle name="Separador de milhares 3 2 5 5 8 2 2" xfId="27943"/>
    <cellStyle name="Separador de milhares 3 2 5 5 8 2 3" xfId="22029"/>
    <cellStyle name="Separador de milhares 3 2 5 5 8 2 4" xfId="16115"/>
    <cellStyle name="Separador de milhares 3 2 5 5 8 3" xfId="24986"/>
    <cellStyle name="Separador de milhares 3 2 5 5 8 4" xfId="19072"/>
    <cellStyle name="Separador de milhares 3 2 5 5 8 5" xfId="12971"/>
    <cellStyle name="Separador de milhares 3 2 5 5 9" xfId="8258"/>
    <cellStyle name="Separador de milhares 3 2 5 5 9 2" xfId="26472"/>
    <cellStyle name="Separador de milhares 3 2 5 5 9 3" xfId="20558"/>
    <cellStyle name="Separador de milhares 3 2 5 5 9 4" xfId="14647"/>
    <cellStyle name="Separador de milhares 3 2 5 6" xfId="752"/>
    <cellStyle name="Separador de milhares 3 2 5 6 2" xfId="4176"/>
    <cellStyle name="Separador de milhares 3 2 5 6 2 2" xfId="7592"/>
    <cellStyle name="Separador de milhares 3 2 5 6 2 2 2" xfId="10736"/>
    <cellStyle name="Separador de milhares 3 2 5 6 2 2 2 2" xfId="28950"/>
    <cellStyle name="Separador de milhares 3 2 5 6 2 2 2 3" xfId="23036"/>
    <cellStyle name="Separador de milhares 3 2 5 6 2 2 2 4" xfId="17122"/>
    <cellStyle name="Separador de milhares 3 2 5 6 2 2 3" xfId="25993"/>
    <cellStyle name="Separador de milhares 3 2 5 6 2 2 4" xfId="20079"/>
    <cellStyle name="Separador de milhares 3 2 5 6 2 2 5" xfId="13981"/>
    <cellStyle name="Separador de milhares 3 2 5 6 2 3" xfId="9268"/>
    <cellStyle name="Separador de milhares 3 2 5 6 2 3 2" xfId="27482"/>
    <cellStyle name="Separador de milhares 3 2 5 6 2 3 3" xfId="21568"/>
    <cellStyle name="Separador de milhares 3 2 5 6 2 3 4" xfId="15654"/>
    <cellStyle name="Separador de milhares 3 2 5 6 2 4" xfId="5893"/>
    <cellStyle name="Separador de milhares 3 2 5 6 2 4 2" xfId="24525"/>
    <cellStyle name="Separador de milhares 3 2 5 6 2 5" xfId="18611"/>
    <cellStyle name="Separador de milhares 3 2 5 6 2 6" xfId="12280"/>
    <cellStyle name="Separador de milhares 3 2 5 6 3" xfId="6637"/>
    <cellStyle name="Separador de milhares 3 2 5 6 3 2" xfId="9784"/>
    <cellStyle name="Separador de milhares 3 2 5 6 3 2 2" xfId="27998"/>
    <cellStyle name="Separador de milhares 3 2 5 6 3 2 3" xfId="22084"/>
    <cellStyle name="Separador de milhares 3 2 5 6 3 2 4" xfId="16170"/>
    <cellStyle name="Separador de milhares 3 2 5 6 3 3" xfId="25041"/>
    <cellStyle name="Separador de milhares 3 2 5 6 3 4" xfId="19127"/>
    <cellStyle name="Separador de milhares 3 2 5 6 3 5" xfId="13026"/>
    <cellStyle name="Separador de milhares 3 2 5 6 4" xfId="8316"/>
    <cellStyle name="Separador de milhares 3 2 5 6 4 2" xfId="26530"/>
    <cellStyle name="Separador de milhares 3 2 5 6 4 3" xfId="20616"/>
    <cellStyle name="Separador de milhares 3 2 5 6 4 4" xfId="14702"/>
    <cellStyle name="Separador de milhares 3 2 5 6 5" xfId="4938"/>
    <cellStyle name="Separador de milhares 3 2 5 6 5 2" xfId="23573"/>
    <cellStyle name="Separador de milhares 3 2 5 6 6" xfId="17659"/>
    <cellStyle name="Separador de milhares 3 2 5 6 7" xfId="11325"/>
    <cellStyle name="Separador de milhares 3 2 5 7" xfId="1103"/>
    <cellStyle name="Separador de milhares 3 2 5 7 2" xfId="6735"/>
    <cellStyle name="Separador de milhares 3 2 5 7 2 2" xfId="9882"/>
    <cellStyle name="Separador de milhares 3 2 5 7 2 2 2" xfId="28096"/>
    <cellStyle name="Separador de milhares 3 2 5 7 2 2 3" xfId="22182"/>
    <cellStyle name="Separador de milhares 3 2 5 7 2 2 4" xfId="16268"/>
    <cellStyle name="Separador de milhares 3 2 5 7 2 3" xfId="25139"/>
    <cellStyle name="Separador de milhares 3 2 5 7 2 4" xfId="19225"/>
    <cellStyle name="Separador de milhares 3 2 5 7 2 5" xfId="13124"/>
    <cellStyle name="Separador de milhares 3 2 5 7 3" xfId="8414"/>
    <cellStyle name="Separador de milhares 3 2 5 7 3 2" xfId="26628"/>
    <cellStyle name="Separador de milhares 3 2 5 7 3 3" xfId="20714"/>
    <cellStyle name="Separador de milhares 3 2 5 7 3 4" xfId="14800"/>
    <cellStyle name="Separador de milhares 3 2 5 7 4" xfId="5036"/>
    <cellStyle name="Separador de milhares 3 2 5 7 4 2" xfId="23671"/>
    <cellStyle name="Separador de milhares 3 2 5 7 5" xfId="17757"/>
    <cellStyle name="Separador de milhares 3 2 5 7 6" xfId="11423"/>
    <cellStyle name="Separador de milhares 3 2 5 8" xfId="1538"/>
    <cellStyle name="Separador de milhares 3 2 5 8 2" xfId="6854"/>
    <cellStyle name="Separador de milhares 3 2 5 8 2 2" xfId="10001"/>
    <cellStyle name="Separador de milhares 3 2 5 8 2 2 2" xfId="28215"/>
    <cellStyle name="Separador de milhares 3 2 5 8 2 2 3" xfId="22301"/>
    <cellStyle name="Separador de milhares 3 2 5 8 2 2 4" xfId="16387"/>
    <cellStyle name="Separador de milhares 3 2 5 8 2 3" xfId="25258"/>
    <cellStyle name="Separador de milhares 3 2 5 8 2 4" xfId="19344"/>
    <cellStyle name="Separador de milhares 3 2 5 8 2 5" xfId="13243"/>
    <cellStyle name="Separador de milhares 3 2 5 8 3" xfId="8533"/>
    <cellStyle name="Separador de milhares 3 2 5 8 3 2" xfId="26747"/>
    <cellStyle name="Separador de milhares 3 2 5 8 3 3" xfId="20833"/>
    <cellStyle name="Separador de milhares 3 2 5 8 3 4" xfId="14919"/>
    <cellStyle name="Separador de milhares 3 2 5 8 4" xfId="5155"/>
    <cellStyle name="Separador de milhares 3 2 5 8 4 2" xfId="23790"/>
    <cellStyle name="Separador de milhares 3 2 5 8 5" xfId="17876"/>
    <cellStyle name="Separador de milhares 3 2 5 8 6" xfId="11542"/>
    <cellStyle name="Separador de milhares 3 2 5 9" xfId="2068"/>
    <cellStyle name="Separador de milhares 3 2 5 9 2" xfId="7004"/>
    <cellStyle name="Separador de milhares 3 2 5 9 2 2" xfId="10148"/>
    <cellStyle name="Separador de milhares 3 2 5 9 2 2 2" xfId="28362"/>
    <cellStyle name="Separador de milhares 3 2 5 9 2 2 3" xfId="22448"/>
    <cellStyle name="Separador de milhares 3 2 5 9 2 2 4" xfId="16534"/>
    <cellStyle name="Separador de milhares 3 2 5 9 2 3" xfId="25405"/>
    <cellStyle name="Separador de milhares 3 2 5 9 2 4" xfId="19491"/>
    <cellStyle name="Separador de milhares 3 2 5 9 2 5" xfId="13393"/>
    <cellStyle name="Separador de milhares 3 2 5 9 3" xfId="8680"/>
    <cellStyle name="Separador de milhares 3 2 5 9 3 2" xfId="26894"/>
    <cellStyle name="Separador de milhares 3 2 5 9 3 3" xfId="20980"/>
    <cellStyle name="Separador de milhares 3 2 5 9 3 4" xfId="15066"/>
    <cellStyle name="Separador de milhares 3 2 5 9 4" xfId="5305"/>
    <cellStyle name="Separador de milhares 3 2 5 9 4 2" xfId="23937"/>
    <cellStyle name="Separador de milhares 3 2 5 9 5" xfId="18023"/>
    <cellStyle name="Separador de milhares 3 2 5 9 6" xfId="11692"/>
    <cellStyle name="Separador de milhares 3 2 6" xfId="100"/>
    <cellStyle name="Separador de milhares 3 2 6 10" xfId="2603"/>
    <cellStyle name="Separador de milhares 3 2 6 10 2" xfId="7153"/>
    <cellStyle name="Separador de milhares 3 2 6 10 2 2" xfId="10297"/>
    <cellStyle name="Separador de milhares 3 2 6 10 2 2 2" xfId="28511"/>
    <cellStyle name="Separador de milhares 3 2 6 10 2 2 3" xfId="22597"/>
    <cellStyle name="Separador de milhares 3 2 6 10 2 2 4" xfId="16683"/>
    <cellStyle name="Separador de milhares 3 2 6 10 2 3" xfId="25554"/>
    <cellStyle name="Separador de milhares 3 2 6 10 2 4" xfId="19640"/>
    <cellStyle name="Separador de milhares 3 2 6 10 2 5" xfId="13542"/>
    <cellStyle name="Separador de milhares 3 2 6 10 3" xfId="8829"/>
    <cellStyle name="Separador de milhares 3 2 6 10 3 2" xfId="27043"/>
    <cellStyle name="Separador de milhares 3 2 6 10 3 3" xfId="21129"/>
    <cellStyle name="Separador de milhares 3 2 6 10 3 4" xfId="15215"/>
    <cellStyle name="Separador de milhares 3 2 6 10 4" xfId="5454"/>
    <cellStyle name="Separador de milhares 3 2 6 10 4 2" xfId="24086"/>
    <cellStyle name="Separador de milhares 3 2 6 10 5" xfId="18172"/>
    <cellStyle name="Separador de milhares 3 2 6 10 6" xfId="11841"/>
    <cellStyle name="Separador de milhares 3 2 6 11" xfId="3130"/>
    <cellStyle name="Separador de milhares 3 2 6 11 2" xfId="7300"/>
    <cellStyle name="Separador de milhares 3 2 6 11 2 2" xfId="10444"/>
    <cellStyle name="Separador de milhares 3 2 6 11 2 2 2" xfId="28658"/>
    <cellStyle name="Separador de milhares 3 2 6 11 2 2 3" xfId="22744"/>
    <cellStyle name="Separador de milhares 3 2 6 11 2 2 4" xfId="16830"/>
    <cellStyle name="Separador de milhares 3 2 6 11 2 3" xfId="25701"/>
    <cellStyle name="Separador de milhares 3 2 6 11 2 4" xfId="19787"/>
    <cellStyle name="Separador de milhares 3 2 6 11 2 5" xfId="13689"/>
    <cellStyle name="Separador de milhares 3 2 6 11 3" xfId="8976"/>
    <cellStyle name="Separador de milhares 3 2 6 11 3 2" xfId="27190"/>
    <cellStyle name="Separador de milhares 3 2 6 11 3 3" xfId="21276"/>
    <cellStyle name="Separador de milhares 3 2 6 11 3 4" xfId="15362"/>
    <cellStyle name="Separador de milhares 3 2 6 11 4" xfId="5601"/>
    <cellStyle name="Separador de milhares 3 2 6 11 4 2" xfId="24233"/>
    <cellStyle name="Separador de milhares 3 2 6 11 5" xfId="18319"/>
    <cellStyle name="Separador de milhares 3 2 6 11 6" xfId="11988"/>
    <cellStyle name="Separador de milhares 3 2 6 12" xfId="3657"/>
    <cellStyle name="Separador de milhares 3 2 6 12 2" xfId="7447"/>
    <cellStyle name="Separador de milhares 3 2 6 12 2 2" xfId="10591"/>
    <cellStyle name="Separador de milhares 3 2 6 12 2 2 2" xfId="28805"/>
    <cellStyle name="Separador de milhares 3 2 6 12 2 2 3" xfId="22891"/>
    <cellStyle name="Separador de milhares 3 2 6 12 2 2 4" xfId="16977"/>
    <cellStyle name="Separador de milhares 3 2 6 12 2 3" xfId="25848"/>
    <cellStyle name="Separador de milhares 3 2 6 12 2 4" xfId="19934"/>
    <cellStyle name="Separador de milhares 3 2 6 12 2 5" xfId="13836"/>
    <cellStyle name="Separador de milhares 3 2 6 12 3" xfId="9123"/>
    <cellStyle name="Separador de milhares 3 2 6 12 3 2" xfId="27337"/>
    <cellStyle name="Separador de milhares 3 2 6 12 3 3" xfId="21423"/>
    <cellStyle name="Separador de milhares 3 2 6 12 3 4" xfId="15509"/>
    <cellStyle name="Separador de milhares 3 2 6 12 4" xfId="5748"/>
    <cellStyle name="Separador de milhares 3 2 6 12 4 2" xfId="24380"/>
    <cellStyle name="Separador de milhares 3 2 6 12 5" xfId="18466"/>
    <cellStyle name="Separador de milhares 3 2 6 12 6" xfId="12135"/>
    <cellStyle name="Separador de milhares 3 2 6 13" xfId="6431"/>
    <cellStyle name="Separador de milhares 3 2 6 13 2" xfId="9587"/>
    <cellStyle name="Separador de milhares 3 2 6 13 2 2" xfId="27801"/>
    <cellStyle name="Separador de milhares 3 2 6 13 2 3" xfId="21887"/>
    <cellStyle name="Separador de milhares 3 2 6 13 2 4" xfId="15973"/>
    <cellStyle name="Separador de milhares 3 2 6 13 3" xfId="24844"/>
    <cellStyle name="Separador de milhares 3 2 6 13 4" xfId="18930"/>
    <cellStyle name="Separador de milhares 3 2 6 13 5" xfId="12820"/>
    <cellStyle name="Separador de milhares 3 2 6 14" xfId="8116"/>
    <cellStyle name="Separador de milhares 3 2 6 14 2" xfId="26330"/>
    <cellStyle name="Separador de milhares 3 2 6 14 3" xfId="20416"/>
    <cellStyle name="Separador de milhares 3 2 6 14 4" xfId="14505"/>
    <cellStyle name="Separador de milhares 3 2 6 15" xfId="4729"/>
    <cellStyle name="Separador de milhares 3 2 6 15 2" xfId="23373"/>
    <cellStyle name="Separador de milhares 3 2 6 16" xfId="17459"/>
    <cellStyle name="Separador de milhares 3 2 6 17" xfId="11119"/>
    <cellStyle name="Separador de milhares 3 2 6 2" xfId="194"/>
    <cellStyle name="Separador de milhares 3 2 6 2 10" xfId="6460"/>
    <cellStyle name="Separador de milhares 3 2 6 2 10 2" xfId="9614"/>
    <cellStyle name="Separador de milhares 3 2 6 2 10 2 2" xfId="27828"/>
    <cellStyle name="Separador de milhares 3 2 6 2 10 2 3" xfId="21914"/>
    <cellStyle name="Separador de milhares 3 2 6 2 10 2 4" xfId="16000"/>
    <cellStyle name="Separador de milhares 3 2 6 2 10 3" xfId="24871"/>
    <cellStyle name="Separador de milhares 3 2 6 2 10 4" xfId="18957"/>
    <cellStyle name="Separador de milhares 3 2 6 2 10 5" xfId="12849"/>
    <cellStyle name="Separador de milhares 3 2 6 2 11" xfId="8143"/>
    <cellStyle name="Separador de milhares 3 2 6 2 11 2" xfId="26357"/>
    <cellStyle name="Separador de milhares 3 2 6 2 11 3" xfId="20443"/>
    <cellStyle name="Separador de milhares 3 2 6 2 11 4" xfId="14532"/>
    <cellStyle name="Separador de milhares 3 2 6 2 12" xfId="4759"/>
    <cellStyle name="Separador de milhares 3 2 6 2 12 2" xfId="23400"/>
    <cellStyle name="Separador de milhares 3 2 6 2 13" xfId="17486"/>
    <cellStyle name="Separador de milhares 3 2 6 2 14" xfId="11148"/>
    <cellStyle name="Separador de milhares 3 2 6 2 2" xfId="467"/>
    <cellStyle name="Separador de milhares 3 2 6 2 2 10" xfId="17560"/>
    <cellStyle name="Separador de milhares 3 2 6 2 2 11" xfId="11229"/>
    <cellStyle name="Separador de milhares 3 2 6 2 2 2" xfId="1986"/>
    <cellStyle name="Separador de milhares 3 2 6 2 2 2 2" xfId="6979"/>
    <cellStyle name="Separador de milhares 3 2 6 2 2 2 2 2" xfId="10126"/>
    <cellStyle name="Separador de milhares 3 2 6 2 2 2 2 2 2" xfId="28340"/>
    <cellStyle name="Separador de milhares 3 2 6 2 2 2 2 2 3" xfId="22426"/>
    <cellStyle name="Separador de milhares 3 2 6 2 2 2 2 2 4" xfId="16512"/>
    <cellStyle name="Separador de milhares 3 2 6 2 2 2 2 3" xfId="25383"/>
    <cellStyle name="Separador de milhares 3 2 6 2 2 2 2 4" xfId="19469"/>
    <cellStyle name="Separador de milhares 3 2 6 2 2 2 2 5" xfId="13368"/>
    <cellStyle name="Separador de milhares 3 2 6 2 2 2 3" xfId="8658"/>
    <cellStyle name="Separador de milhares 3 2 6 2 2 2 3 2" xfId="26872"/>
    <cellStyle name="Separador de milhares 3 2 6 2 2 2 3 3" xfId="20958"/>
    <cellStyle name="Separador de milhares 3 2 6 2 2 2 3 4" xfId="15044"/>
    <cellStyle name="Separador de milhares 3 2 6 2 2 2 4" xfId="5280"/>
    <cellStyle name="Separador de milhares 3 2 6 2 2 2 4 2" xfId="23915"/>
    <cellStyle name="Separador de milhares 3 2 6 2 2 2 5" xfId="18001"/>
    <cellStyle name="Separador de milhares 3 2 6 2 2 2 6" xfId="11667"/>
    <cellStyle name="Separador de milhares 3 2 6 2 2 3" xfId="2516"/>
    <cellStyle name="Separador de milhares 3 2 6 2 2 3 2" xfId="7129"/>
    <cellStyle name="Separador de milhares 3 2 6 2 2 3 2 2" xfId="10273"/>
    <cellStyle name="Separador de milhares 3 2 6 2 2 3 2 2 2" xfId="28487"/>
    <cellStyle name="Separador de milhares 3 2 6 2 2 3 2 2 3" xfId="22573"/>
    <cellStyle name="Separador de milhares 3 2 6 2 2 3 2 2 4" xfId="16659"/>
    <cellStyle name="Separador de milhares 3 2 6 2 2 3 2 3" xfId="25530"/>
    <cellStyle name="Separador de milhares 3 2 6 2 2 3 2 4" xfId="19616"/>
    <cellStyle name="Separador de milhares 3 2 6 2 2 3 2 5" xfId="13518"/>
    <cellStyle name="Separador de milhares 3 2 6 2 2 3 3" xfId="8805"/>
    <cellStyle name="Separador de milhares 3 2 6 2 2 3 3 2" xfId="27019"/>
    <cellStyle name="Separador de milhares 3 2 6 2 2 3 3 3" xfId="21105"/>
    <cellStyle name="Separador de milhares 3 2 6 2 2 3 3 4" xfId="15191"/>
    <cellStyle name="Separador de milhares 3 2 6 2 2 3 4" xfId="5430"/>
    <cellStyle name="Separador de milhares 3 2 6 2 2 3 4 2" xfId="24062"/>
    <cellStyle name="Separador de milhares 3 2 6 2 2 3 5" xfId="18148"/>
    <cellStyle name="Separador de milhares 3 2 6 2 2 3 6" xfId="11817"/>
    <cellStyle name="Separador de milhares 3 2 6 2 2 4" xfId="3043"/>
    <cellStyle name="Separador de milhares 3 2 6 2 2 4 2" xfId="7276"/>
    <cellStyle name="Separador de milhares 3 2 6 2 2 4 2 2" xfId="10420"/>
    <cellStyle name="Separador de milhares 3 2 6 2 2 4 2 2 2" xfId="28634"/>
    <cellStyle name="Separador de milhares 3 2 6 2 2 4 2 2 3" xfId="22720"/>
    <cellStyle name="Separador de milhares 3 2 6 2 2 4 2 2 4" xfId="16806"/>
    <cellStyle name="Separador de milhares 3 2 6 2 2 4 2 3" xfId="25677"/>
    <cellStyle name="Separador de milhares 3 2 6 2 2 4 2 4" xfId="19763"/>
    <cellStyle name="Separador de milhares 3 2 6 2 2 4 2 5" xfId="13665"/>
    <cellStyle name="Separador de milhares 3 2 6 2 2 4 3" xfId="8952"/>
    <cellStyle name="Separador de milhares 3 2 6 2 2 4 3 2" xfId="27166"/>
    <cellStyle name="Separador de milhares 3 2 6 2 2 4 3 3" xfId="21252"/>
    <cellStyle name="Separador de milhares 3 2 6 2 2 4 3 4" xfId="15338"/>
    <cellStyle name="Separador de milhares 3 2 6 2 2 4 4" xfId="5577"/>
    <cellStyle name="Separador de milhares 3 2 6 2 2 4 4 2" xfId="24209"/>
    <cellStyle name="Separador de milhares 3 2 6 2 2 4 5" xfId="18295"/>
    <cellStyle name="Separador de milhares 3 2 6 2 2 4 6" xfId="11964"/>
    <cellStyle name="Separador de milhares 3 2 6 2 2 5" xfId="3570"/>
    <cellStyle name="Separador de milhares 3 2 6 2 2 5 2" xfId="7423"/>
    <cellStyle name="Separador de milhares 3 2 6 2 2 5 2 2" xfId="10567"/>
    <cellStyle name="Separador de milhares 3 2 6 2 2 5 2 2 2" xfId="28781"/>
    <cellStyle name="Separador de milhares 3 2 6 2 2 5 2 2 3" xfId="22867"/>
    <cellStyle name="Separador de milhares 3 2 6 2 2 5 2 2 4" xfId="16953"/>
    <cellStyle name="Separador de milhares 3 2 6 2 2 5 2 3" xfId="25824"/>
    <cellStyle name="Separador de milhares 3 2 6 2 2 5 2 4" xfId="19910"/>
    <cellStyle name="Separador de milhares 3 2 6 2 2 5 2 5" xfId="13812"/>
    <cellStyle name="Separador de milhares 3 2 6 2 2 5 3" xfId="9099"/>
    <cellStyle name="Separador de milhares 3 2 6 2 2 5 3 2" xfId="27313"/>
    <cellStyle name="Separador de milhares 3 2 6 2 2 5 3 3" xfId="21399"/>
    <cellStyle name="Separador de milhares 3 2 6 2 2 5 3 4" xfId="15485"/>
    <cellStyle name="Separador de milhares 3 2 6 2 2 5 4" xfId="5724"/>
    <cellStyle name="Separador de milhares 3 2 6 2 2 5 4 2" xfId="24356"/>
    <cellStyle name="Separador de milhares 3 2 6 2 2 5 5" xfId="18442"/>
    <cellStyle name="Separador de milhares 3 2 6 2 2 5 6" xfId="12111"/>
    <cellStyle name="Separador de milhares 3 2 6 2 2 6" xfId="4097"/>
    <cellStyle name="Separador de milhares 3 2 6 2 2 6 2" xfId="7570"/>
    <cellStyle name="Separador de milhares 3 2 6 2 2 6 2 2" xfId="10714"/>
    <cellStyle name="Separador de milhares 3 2 6 2 2 6 2 2 2" xfId="28928"/>
    <cellStyle name="Separador de milhares 3 2 6 2 2 6 2 2 3" xfId="23014"/>
    <cellStyle name="Separador de milhares 3 2 6 2 2 6 2 2 4" xfId="17100"/>
    <cellStyle name="Separador de milhares 3 2 6 2 2 6 2 3" xfId="25971"/>
    <cellStyle name="Separador de milhares 3 2 6 2 2 6 2 4" xfId="20057"/>
    <cellStyle name="Separador de milhares 3 2 6 2 2 6 2 5" xfId="13959"/>
    <cellStyle name="Separador de milhares 3 2 6 2 2 6 3" xfId="9246"/>
    <cellStyle name="Separador de milhares 3 2 6 2 2 6 3 2" xfId="27460"/>
    <cellStyle name="Separador de milhares 3 2 6 2 2 6 3 3" xfId="21546"/>
    <cellStyle name="Separador de milhares 3 2 6 2 2 6 3 4" xfId="15632"/>
    <cellStyle name="Separador de milhares 3 2 6 2 2 6 4" xfId="5871"/>
    <cellStyle name="Separador de milhares 3 2 6 2 2 6 4 2" xfId="24503"/>
    <cellStyle name="Separador de milhares 3 2 6 2 2 6 5" xfId="18589"/>
    <cellStyle name="Separador de milhares 3 2 6 2 2 6 6" xfId="12258"/>
    <cellStyle name="Separador de milhares 3 2 6 2 2 7" xfId="6541"/>
    <cellStyle name="Separador de milhares 3 2 6 2 2 7 2" xfId="9688"/>
    <cellStyle name="Separador de milhares 3 2 6 2 2 7 2 2" xfId="27902"/>
    <cellStyle name="Separador de milhares 3 2 6 2 2 7 2 3" xfId="21988"/>
    <cellStyle name="Separador de milhares 3 2 6 2 2 7 2 4" xfId="16074"/>
    <cellStyle name="Separador de milhares 3 2 6 2 2 7 3" xfId="24945"/>
    <cellStyle name="Separador de milhares 3 2 6 2 2 7 4" xfId="19031"/>
    <cellStyle name="Separador de milhares 3 2 6 2 2 7 5" xfId="12930"/>
    <cellStyle name="Separador de milhares 3 2 6 2 2 8" xfId="8217"/>
    <cellStyle name="Separador de milhares 3 2 6 2 2 8 2" xfId="26431"/>
    <cellStyle name="Separador de milhares 3 2 6 2 2 8 3" xfId="20517"/>
    <cellStyle name="Separador de milhares 3 2 6 2 2 8 4" xfId="14606"/>
    <cellStyle name="Separador de milhares 3 2 6 2 2 9" xfId="4840"/>
    <cellStyle name="Separador de milhares 3 2 6 2 2 9 2" xfId="23474"/>
    <cellStyle name="Separador de milhares 3 2 6 2 3" xfId="940"/>
    <cellStyle name="Separador de milhares 3 2 6 2 3 2" xfId="6692"/>
    <cellStyle name="Separador de milhares 3 2 6 2 3 2 2" xfId="9839"/>
    <cellStyle name="Separador de milhares 3 2 6 2 3 2 2 2" xfId="28053"/>
    <cellStyle name="Separador de milhares 3 2 6 2 3 2 2 3" xfId="22139"/>
    <cellStyle name="Separador de milhares 3 2 6 2 3 2 2 4" xfId="16225"/>
    <cellStyle name="Separador de milhares 3 2 6 2 3 2 3" xfId="25096"/>
    <cellStyle name="Separador de milhares 3 2 6 2 3 2 4" xfId="19182"/>
    <cellStyle name="Separador de milhares 3 2 6 2 3 2 5" xfId="13081"/>
    <cellStyle name="Separador de milhares 3 2 6 2 3 3" xfId="8371"/>
    <cellStyle name="Separador de milhares 3 2 6 2 3 3 2" xfId="26585"/>
    <cellStyle name="Separador de milhares 3 2 6 2 3 3 3" xfId="20671"/>
    <cellStyle name="Separador de milhares 3 2 6 2 3 3 4" xfId="14757"/>
    <cellStyle name="Separador de milhares 3 2 6 2 3 4" xfId="4993"/>
    <cellStyle name="Separador de milhares 3 2 6 2 3 4 2" xfId="23628"/>
    <cellStyle name="Separador de milhares 3 2 6 2 3 5" xfId="17714"/>
    <cellStyle name="Separador de milhares 3 2 6 2 3 6" xfId="11380"/>
    <cellStyle name="Separador de milhares 3 2 6 2 4" xfId="1291"/>
    <cellStyle name="Separador de milhares 3 2 6 2 4 2" xfId="6790"/>
    <cellStyle name="Separador de milhares 3 2 6 2 4 2 2" xfId="9937"/>
    <cellStyle name="Separador de milhares 3 2 6 2 4 2 2 2" xfId="28151"/>
    <cellStyle name="Separador de milhares 3 2 6 2 4 2 2 3" xfId="22237"/>
    <cellStyle name="Separador de milhares 3 2 6 2 4 2 2 4" xfId="16323"/>
    <cellStyle name="Separador de milhares 3 2 6 2 4 2 3" xfId="25194"/>
    <cellStyle name="Separador de milhares 3 2 6 2 4 2 4" xfId="19280"/>
    <cellStyle name="Separador de milhares 3 2 6 2 4 2 5" xfId="13179"/>
    <cellStyle name="Separador de milhares 3 2 6 2 4 3" xfId="8469"/>
    <cellStyle name="Separador de milhares 3 2 6 2 4 3 2" xfId="26683"/>
    <cellStyle name="Separador de milhares 3 2 6 2 4 3 3" xfId="20769"/>
    <cellStyle name="Separador de milhares 3 2 6 2 4 3 4" xfId="14855"/>
    <cellStyle name="Separador de milhares 3 2 6 2 4 4" xfId="5091"/>
    <cellStyle name="Separador de milhares 3 2 6 2 4 4 2" xfId="23726"/>
    <cellStyle name="Separador de milhares 3 2 6 2 4 5" xfId="17812"/>
    <cellStyle name="Separador de milhares 3 2 6 2 4 6" xfId="11478"/>
    <cellStyle name="Separador de milhares 3 2 6 2 5" xfId="1726"/>
    <cellStyle name="Separador de milhares 3 2 6 2 5 2" xfId="6909"/>
    <cellStyle name="Separador de milhares 3 2 6 2 5 2 2" xfId="10056"/>
    <cellStyle name="Separador de milhares 3 2 6 2 5 2 2 2" xfId="28270"/>
    <cellStyle name="Separador de milhares 3 2 6 2 5 2 2 3" xfId="22356"/>
    <cellStyle name="Separador de milhares 3 2 6 2 5 2 2 4" xfId="16442"/>
    <cellStyle name="Separador de milhares 3 2 6 2 5 2 3" xfId="25313"/>
    <cellStyle name="Separador de milhares 3 2 6 2 5 2 4" xfId="19399"/>
    <cellStyle name="Separador de milhares 3 2 6 2 5 2 5" xfId="13298"/>
    <cellStyle name="Separador de milhares 3 2 6 2 5 3" xfId="8588"/>
    <cellStyle name="Separador de milhares 3 2 6 2 5 3 2" xfId="26802"/>
    <cellStyle name="Separador de milhares 3 2 6 2 5 3 3" xfId="20888"/>
    <cellStyle name="Separador de milhares 3 2 6 2 5 3 4" xfId="14974"/>
    <cellStyle name="Separador de milhares 3 2 6 2 5 4" xfId="5210"/>
    <cellStyle name="Separador de milhares 3 2 6 2 5 4 2" xfId="23845"/>
    <cellStyle name="Separador de milhares 3 2 6 2 5 5" xfId="17931"/>
    <cellStyle name="Separador de milhares 3 2 6 2 5 6" xfId="11597"/>
    <cellStyle name="Separador de milhares 3 2 6 2 6" xfId="2256"/>
    <cellStyle name="Separador de milhares 3 2 6 2 6 2" xfId="7059"/>
    <cellStyle name="Separador de milhares 3 2 6 2 6 2 2" xfId="10203"/>
    <cellStyle name="Separador de milhares 3 2 6 2 6 2 2 2" xfId="28417"/>
    <cellStyle name="Separador de milhares 3 2 6 2 6 2 2 3" xfId="22503"/>
    <cellStyle name="Separador de milhares 3 2 6 2 6 2 2 4" xfId="16589"/>
    <cellStyle name="Separador de milhares 3 2 6 2 6 2 3" xfId="25460"/>
    <cellStyle name="Separador de milhares 3 2 6 2 6 2 4" xfId="19546"/>
    <cellStyle name="Separador de milhares 3 2 6 2 6 2 5" xfId="13448"/>
    <cellStyle name="Separador de milhares 3 2 6 2 6 3" xfId="8735"/>
    <cellStyle name="Separador de milhares 3 2 6 2 6 3 2" xfId="26949"/>
    <cellStyle name="Separador de milhares 3 2 6 2 6 3 3" xfId="21035"/>
    <cellStyle name="Separador de milhares 3 2 6 2 6 3 4" xfId="15121"/>
    <cellStyle name="Separador de milhares 3 2 6 2 6 4" xfId="5360"/>
    <cellStyle name="Separador de milhares 3 2 6 2 6 4 2" xfId="23992"/>
    <cellStyle name="Separador de milhares 3 2 6 2 6 5" xfId="18078"/>
    <cellStyle name="Separador de milhares 3 2 6 2 6 6" xfId="11747"/>
    <cellStyle name="Separador de milhares 3 2 6 2 7" xfId="2783"/>
    <cellStyle name="Separador de milhares 3 2 6 2 7 2" xfId="7206"/>
    <cellStyle name="Separador de milhares 3 2 6 2 7 2 2" xfId="10350"/>
    <cellStyle name="Separador de milhares 3 2 6 2 7 2 2 2" xfId="28564"/>
    <cellStyle name="Separador de milhares 3 2 6 2 7 2 2 3" xfId="22650"/>
    <cellStyle name="Separador de milhares 3 2 6 2 7 2 2 4" xfId="16736"/>
    <cellStyle name="Separador de milhares 3 2 6 2 7 2 3" xfId="25607"/>
    <cellStyle name="Separador de milhares 3 2 6 2 7 2 4" xfId="19693"/>
    <cellStyle name="Separador de milhares 3 2 6 2 7 2 5" xfId="13595"/>
    <cellStyle name="Separador de milhares 3 2 6 2 7 3" xfId="8882"/>
    <cellStyle name="Separador de milhares 3 2 6 2 7 3 2" xfId="27096"/>
    <cellStyle name="Separador de milhares 3 2 6 2 7 3 3" xfId="21182"/>
    <cellStyle name="Separador de milhares 3 2 6 2 7 3 4" xfId="15268"/>
    <cellStyle name="Separador de milhares 3 2 6 2 7 4" xfId="5507"/>
    <cellStyle name="Separador de milhares 3 2 6 2 7 4 2" xfId="24139"/>
    <cellStyle name="Separador de milhares 3 2 6 2 7 5" xfId="18225"/>
    <cellStyle name="Separador de milhares 3 2 6 2 7 6" xfId="11894"/>
    <cellStyle name="Separador de milhares 3 2 6 2 8" xfId="3310"/>
    <cellStyle name="Separador de milhares 3 2 6 2 8 2" xfId="7353"/>
    <cellStyle name="Separador de milhares 3 2 6 2 8 2 2" xfId="10497"/>
    <cellStyle name="Separador de milhares 3 2 6 2 8 2 2 2" xfId="28711"/>
    <cellStyle name="Separador de milhares 3 2 6 2 8 2 2 3" xfId="22797"/>
    <cellStyle name="Separador de milhares 3 2 6 2 8 2 2 4" xfId="16883"/>
    <cellStyle name="Separador de milhares 3 2 6 2 8 2 3" xfId="25754"/>
    <cellStyle name="Separador de milhares 3 2 6 2 8 2 4" xfId="19840"/>
    <cellStyle name="Separador de milhares 3 2 6 2 8 2 5" xfId="13742"/>
    <cellStyle name="Separador de milhares 3 2 6 2 8 3" xfId="9029"/>
    <cellStyle name="Separador de milhares 3 2 6 2 8 3 2" xfId="27243"/>
    <cellStyle name="Separador de milhares 3 2 6 2 8 3 3" xfId="21329"/>
    <cellStyle name="Separador de milhares 3 2 6 2 8 3 4" xfId="15415"/>
    <cellStyle name="Separador de milhares 3 2 6 2 8 4" xfId="5654"/>
    <cellStyle name="Separador de milhares 3 2 6 2 8 4 2" xfId="24286"/>
    <cellStyle name="Separador de milhares 3 2 6 2 8 5" xfId="18372"/>
    <cellStyle name="Separador de milhares 3 2 6 2 8 6" xfId="12041"/>
    <cellStyle name="Separador de milhares 3 2 6 2 9" xfId="3837"/>
    <cellStyle name="Separador de milhares 3 2 6 2 9 2" xfId="7500"/>
    <cellStyle name="Separador de milhares 3 2 6 2 9 2 2" xfId="10644"/>
    <cellStyle name="Separador de milhares 3 2 6 2 9 2 2 2" xfId="28858"/>
    <cellStyle name="Separador de milhares 3 2 6 2 9 2 2 3" xfId="22944"/>
    <cellStyle name="Separador de milhares 3 2 6 2 9 2 2 4" xfId="17030"/>
    <cellStyle name="Separador de milhares 3 2 6 2 9 2 3" xfId="25901"/>
    <cellStyle name="Separador de milhares 3 2 6 2 9 2 4" xfId="19987"/>
    <cellStyle name="Separador de milhares 3 2 6 2 9 2 5" xfId="13889"/>
    <cellStyle name="Separador de milhares 3 2 6 2 9 3" xfId="9176"/>
    <cellStyle name="Separador de milhares 3 2 6 2 9 3 2" xfId="27390"/>
    <cellStyle name="Separador de milhares 3 2 6 2 9 3 3" xfId="21476"/>
    <cellStyle name="Separador de milhares 3 2 6 2 9 3 4" xfId="15562"/>
    <cellStyle name="Separador de milhares 3 2 6 2 9 4" xfId="5801"/>
    <cellStyle name="Separador de milhares 3 2 6 2 9 4 2" xfId="24433"/>
    <cellStyle name="Separador de milhares 3 2 6 2 9 5" xfId="18519"/>
    <cellStyle name="Separador de milhares 3 2 6 2 9 6" xfId="12188"/>
    <cellStyle name="Separador de milhares 3 2 6 3" xfId="289"/>
    <cellStyle name="Separador de milhares 3 2 6 3 10" xfId="6491"/>
    <cellStyle name="Separador de milhares 3 2 6 3 10 2" xfId="9642"/>
    <cellStyle name="Separador de milhares 3 2 6 3 10 2 2" xfId="27856"/>
    <cellStyle name="Separador de milhares 3 2 6 3 10 2 3" xfId="21942"/>
    <cellStyle name="Separador de milhares 3 2 6 3 10 2 4" xfId="16028"/>
    <cellStyle name="Separador de milhares 3 2 6 3 10 3" xfId="24899"/>
    <cellStyle name="Separador de milhares 3 2 6 3 10 4" xfId="18985"/>
    <cellStyle name="Separador de milhares 3 2 6 3 10 5" xfId="12880"/>
    <cellStyle name="Separador de milhares 3 2 6 3 11" xfId="8171"/>
    <cellStyle name="Separador de milhares 3 2 6 3 11 2" xfId="26385"/>
    <cellStyle name="Separador de milhares 3 2 6 3 11 3" xfId="20471"/>
    <cellStyle name="Separador de milhares 3 2 6 3 11 4" xfId="14560"/>
    <cellStyle name="Separador de milhares 3 2 6 3 12" xfId="4790"/>
    <cellStyle name="Separador de milhares 3 2 6 3 12 2" xfId="23428"/>
    <cellStyle name="Separador de milhares 3 2 6 3 13" xfId="17514"/>
    <cellStyle name="Separador de milhares 3 2 6 3 14" xfId="11179"/>
    <cellStyle name="Separador de milhares 3 2 6 3 2" xfId="552"/>
    <cellStyle name="Separador de milhares 3 2 6 3 2 2" xfId="6562"/>
    <cellStyle name="Separador de milhares 3 2 6 3 2 2 2" xfId="9709"/>
    <cellStyle name="Separador de milhares 3 2 6 3 2 2 2 2" xfId="27923"/>
    <cellStyle name="Separador de milhares 3 2 6 3 2 2 2 3" xfId="22009"/>
    <cellStyle name="Separador de milhares 3 2 6 3 2 2 2 4" xfId="16095"/>
    <cellStyle name="Separador de milhares 3 2 6 3 2 2 3" xfId="24966"/>
    <cellStyle name="Separador de milhares 3 2 6 3 2 2 4" xfId="19052"/>
    <cellStyle name="Separador de milhares 3 2 6 3 2 2 5" xfId="12951"/>
    <cellStyle name="Separador de milhares 3 2 6 3 2 3" xfId="8238"/>
    <cellStyle name="Separador de milhares 3 2 6 3 2 3 2" xfId="26452"/>
    <cellStyle name="Separador de milhares 3 2 6 3 2 3 3" xfId="20538"/>
    <cellStyle name="Separador de milhares 3 2 6 3 2 3 4" xfId="14627"/>
    <cellStyle name="Separador de milhares 3 2 6 3 2 4" xfId="4861"/>
    <cellStyle name="Separador de milhares 3 2 6 3 2 4 2" xfId="23495"/>
    <cellStyle name="Separador de milhares 3 2 6 3 2 5" xfId="17581"/>
    <cellStyle name="Separador de milhares 3 2 6 3 2 6" xfId="11250"/>
    <cellStyle name="Separador de milhares 3 2 6 3 3" xfId="849"/>
    <cellStyle name="Separador de milhares 3 2 6 3 3 2" xfId="6664"/>
    <cellStyle name="Separador de milhares 3 2 6 3 3 2 2" xfId="9811"/>
    <cellStyle name="Separador de milhares 3 2 6 3 3 2 2 2" xfId="28025"/>
    <cellStyle name="Separador de milhares 3 2 6 3 3 2 2 3" xfId="22111"/>
    <cellStyle name="Separador de milhares 3 2 6 3 3 2 2 4" xfId="16197"/>
    <cellStyle name="Separador de milhares 3 2 6 3 3 2 3" xfId="25068"/>
    <cellStyle name="Separador de milhares 3 2 6 3 3 2 4" xfId="19154"/>
    <cellStyle name="Separador de milhares 3 2 6 3 3 2 5" xfId="13053"/>
    <cellStyle name="Separador de milhares 3 2 6 3 3 3" xfId="8343"/>
    <cellStyle name="Separador de milhares 3 2 6 3 3 3 2" xfId="26557"/>
    <cellStyle name="Separador de milhares 3 2 6 3 3 3 3" xfId="20643"/>
    <cellStyle name="Separador de milhares 3 2 6 3 3 3 4" xfId="14729"/>
    <cellStyle name="Separador de milhares 3 2 6 3 3 4" xfId="4965"/>
    <cellStyle name="Separador de milhares 3 2 6 3 3 4 2" xfId="23600"/>
    <cellStyle name="Separador de milhares 3 2 6 3 3 5" xfId="17686"/>
    <cellStyle name="Separador de milhares 3 2 6 3 3 6" xfId="11352"/>
    <cellStyle name="Separador de milhares 3 2 6 3 4" xfId="1200"/>
    <cellStyle name="Separador de milhares 3 2 6 3 4 2" xfId="6762"/>
    <cellStyle name="Separador de milhares 3 2 6 3 4 2 2" xfId="9909"/>
    <cellStyle name="Separador de milhares 3 2 6 3 4 2 2 2" xfId="28123"/>
    <cellStyle name="Separador de milhares 3 2 6 3 4 2 2 3" xfId="22209"/>
    <cellStyle name="Separador de milhares 3 2 6 3 4 2 2 4" xfId="16295"/>
    <cellStyle name="Separador de milhares 3 2 6 3 4 2 3" xfId="25166"/>
    <cellStyle name="Separador de milhares 3 2 6 3 4 2 4" xfId="19252"/>
    <cellStyle name="Separador de milhares 3 2 6 3 4 2 5" xfId="13151"/>
    <cellStyle name="Separador de milhares 3 2 6 3 4 3" xfId="8441"/>
    <cellStyle name="Separador de milhares 3 2 6 3 4 3 2" xfId="26655"/>
    <cellStyle name="Separador de milhares 3 2 6 3 4 3 3" xfId="20741"/>
    <cellStyle name="Separador de milhares 3 2 6 3 4 3 4" xfId="14827"/>
    <cellStyle name="Separador de milhares 3 2 6 3 4 4" xfId="5063"/>
    <cellStyle name="Separador de milhares 3 2 6 3 4 4 2" xfId="23698"/>
    <cellStyle name="Separador de milhares 3 2 6 3 4 5" xfId="17784"/>
    <cellStyle name="Separador de milhares 3 2 6 3 4 6" xfId="11450"/>
    <cellStyle name="Separador de milhares 3 2 6 3 5" xfId="1635"/>
    <cellStyle name="Separador de milhares 3 2 6 3 5 2" xfId="6881"/>
    <cellStyle name="Separador de milhares 3 2 6 3 5 2 2" xfId="10028"/>
    <cellStyle name="Separador de milhares 3 2 6 3 5 2 2 2" xfId="28242"/>
    <cellStyle name="Separador de milhares 3 2 6 3 5 2 2 3" xfId="22328"/>
    <cellStyle name="Separador de milhares 3 2 6 3 5 2 2 4" xfId="16414"/>
    <cellStyle name="Separador de milhares 3 2 6 3 5 2 3" xfId="25285"/>
    <cellStyle name="Separador de milhares 3 2 6 3 5 2 4" xfId="19371"/>
    <cellStyle name="Separador de milhares 3 2 6 3 5 2 5" xfId="13270"/>
    <cellStyle name="Separador de milhares 3 2 6 3 5 3" xfId="8560"/>
    <cellStyle name="Separador de milhares 3 2 6 3 5 3 2" xfId="26774"/>
    <cellStyle name="Separador de milhares 3 2 6 3 5 3 3" xfId="20860"/>
    <cellStyle name="Separador de milhares 3 2 6 3 5 3 4" xfId="14946"/>
    <cellStyle name="Separador de milhares 3 2 6 3 5 4" xfId="5182"/>
    <cellStyle name="Separador de milhares 3 2 6 3 5 4 2" xfId="23817"/>
    <cellStyle name="Separador de milhares 3 2 6 3 5 5" xfId="17903"/>
    <cellStyle name="Separador de milhares 3 2 6 3 5 6" xfId="11569"/>
    <cellStyle name="Separador de milhares 3 2 6 3 6" xfId="2165"/>
    <cellStyle name="Separador de milhares 3 2 6 3 6 2" xfId="7031"/>
    <cellStyle name="Separador de milhares 3 2 6 3 6 2 2" xfId="10175"/>
    <cellStyle name="Separador de milhares 3 2 6 3 6 2 2 2" xfId="28389"/>
    <cellStyle name="Separador de milhares 3 2 6 3 6 2 2 3" xfId="22475"/>
    <cellStyle name="Separador de milhares 3 2 6 3 6 2 2 4" xfId="16561"/>
    <cellStyle name="Separador de milhares 3 2 6 3 6 2 3" xfId="25432"/>
    <cellStyle name="Separador de milhares 3 2 6 3 6 2 4" xfId="19518"/>
    <cellStyle name="Separador de milhares 3 2 6 3 6 2 5" xfId="13420"/>
    <cellStyle name="Separador de milhares 3 2 6 3 6 3" xfId="8707"/>
    <cellStyle name="Separador de milhares 3 2 6 3 6 3 2" xfId="26921"/>
    <cellStyle name="Separador de milhares 3 2 6 3 6 3 3" xfId="21007"/>
    <cellStyle name="Separador de milhares 3 2 6 3 6 3 4" xfId="15093"/>
    <cellStyle name="Separador de milhares 3 2 6 3 6 4" xfId="5332"/>
    <cellStyle name="Separador de milhares 3 2 6 3 6 4 2" xfId="23964"/>
    <cellStyle name="Separador de milhares 3 2 6 3 6 5" xfId="18050"/>
    <cellStyle name="Separador de milhares 3 2 6 3 6 6" xfId="11719"/>
    <cellStyle name="Separador de milhares 3 2 6 3 7" xfId="2692"/>
    <cellStyle name="Separador de milhares 3 2 6 3 7 2" xfId="7178"/>
    <cellStyle name="Separador de milhares 3 2 6 3 7 2 2" xfId="10322"/>
    <cellStyle name="Separador de milhares 3 2 6 3 7 2 2 2" xfId="28536"/>
    <cellStyle name="Separador de milhares 3 2 6 3 7 2 2 3" xfId="22622"/>
    <cellStyle name="Separador de milhares 3 2 6 3 7 2 2 4" xfId="16708"/>
    <cellStyle name="Separador de milhares 3 2 6 3 7 2 3" xfId="25579"/>
    <cellStyle name="Separador de milhares 3 2 6 3 7 2 4" xfId="19665"/>
    <cellStyle name="Separador de milhares 3 2 6 3 7 2 5" xfId="13567"/>
    <cellStyle name="Separador de milhares 3 2 6 3 7 3" xfId="8854"/>
    <cellStyle name="Separador de milhares 3 2 6 3 7 3 2" xfId="27068"/>
    <cellStyle name="Separador de milhares 3 2 6 3 7 3 3" xfId="21154"/>
    <cellStyle name="Separador de milhares 3 2 6 3 7 3 4" xfId="15240"/>
    <cellStyle name="Separador de milhares 3 2 6 3 7 4" xfId="5479"/>
    <cellStyle name="Separador de milhares 3 2 6 3 7 4 2" xfId="24111"/>
    <cellStyle name="Separador de milhares 3 2 6 3 7 5" xfId="18197"/>
    <cellStyle name="Separador de milhares 3 2 6 3 7 6" xfId="11866"/>
    <cellStyle name="Separador de milhares 3 2 6 3 8" xfId="3219"/>
    <cellStyle name="Separador de milhares 3 2 6 3 8 2" xfId="7325"/>
    <cellStyle name="Separador de milhares 3 2 6 3 8 2 2" xfId="10469"/>
    <cellStyle name="Separador de milhares 3 2 6 3 8 2 2 2" xfId="28683"/>
    <cellStyle name="Separador de milhares 3 2 6 3 8 2 2 3" xfId="22769"/>
    <cellStyle name="Separador de milhares 3 2 6 3 8 2 2 4" xfId="16855"/>
    <cellStyle name="Separador de milhares 3 2 6 3 8 2 3" xfId="25726"/>
    <cellStyle name="Separador de milhares 3 2 6 3 8 2 4" xfId="19812"/>
    <cellStyle name="Separador de milhares 3 2 6 3 8 2 5" xfId="13714"/>
    <cellStyle name="Separador de milhares 3 2 6 3 8 3" xfId="9001"/>
    <cellStyle name="Separador de milhares 3 2 6 3 8 3 2" xfId="27215"/>
    <cellStyle name="Separador de milhares 3 2 6 3 8 3 3" xfId="21301"/>
    <cellStyle name="Separador de milhares 3 2 6 3 8 3 4" xfId="15387"/>
    <cellStyle name="Separador de milhares 3 2 6 3 8 4" xfId="5626"/>
    <cellStyle name="Separador de milhares 3 2 6 3 8 4 2" xfId="24258"/>
    <cellStyle name="Separador de milhares 3 2 6 3 8 5" xfId="18344"/>
    <cellStyle name="Separador de milhares 3 2 6 3 8 6" xfId="12013"/>
    <cellStyle name="Separador de milhares 3 2 6 3 9" xfId="3746"/>
    <cellStyle name="Separador de milhares 3 2 6 3 9 2" xfId="7472"/>
    <cellStyle name="Separador de milhares 3 2 6 3 9 2 2" xfId="10616"/>
    <cellStyle name="Separador de milhares 3 2 6 3 9 2 2 2" xfId="28830"/>
    <cellStyle name="Separador de milhares 3 2 6 3 9 2 2 3" xfId="22916"/>
    <cellStyle name="Separador de milhares 3 2 6 3 9 2 2 4" xfId="17002"/>
    <cellStyle name="Separador de milhares 3 2 6 3 9 2 3" xfId="25873"/>
    <cellStyle name="Separador de milhares 3 2 6 3 9 2 4" xfId="19959"/>
    <cellStyle name="Separador de milhares 3 2 6 3 9 2 5" xfId="13861"/>
    <cellStyle name="Separador de milhares 3 2 6 3 9 3" xfId="9148"/>
    <cellStyle name="Separador de milhares 3 2 6 3 9 3 2" xfId="27362"/>
    <cellStyle name="Separador de milhares 3 2 6 3 9 3 3" xfId="21448"/>
    <cellStyle name="Separador de milhares 3 2 6 3 9 3 4" xfId="15534"/>
    <cellStyle name="Separador de milhares 3 2 6 3 9 4" xfId="5773"/>
    <cellStyle name="Separador de milhares 3 2 6 3 9 4 2" xfId="24405"/>
    <cellStyle name="Separador de milhares 3 2 6 3 9 5" xfId="18491"/>
    <cellStyle name="Separador de milhares 3 2 6 3 9 6" xfId="12160"/>
    <cellStyle name="Separador de milhares 3 2 6 4" xfId="382"/>
    <cellStyle name="Separador de milhares 3 2 6 4 10" xfId="6519"/>
    <cellStyle name="Separador de milhares 3 2 6 4 10 2" xfId="9667"/>
    <cellStyle name="Separador de milhares 3 2 6 4 10 2 2" xfId="27881"/>
    <cellStyle name="Separador de milhares 3 2 6 4 10 2 3" xfId="21967"/>
    <cellStyle name="Separador de milhares 3 2 6 4 10 2 4" xfId="16053"/>
    <cellStyle name="Separador de milhares 3 2 6 4 10 3" xfId="24924"/>
    <cellStyle name="Separador de milhares 3 2 6 4 10 4" xfId="19010"/>
    <cellStyle name="Separador de milhares 3 2 6 4 10 5" xfId="12908"/>
    <cellStyle name="Separador de milhares 3 2 6 4 11" xfId="8196"/>
    <cellStyle name="Separador de milhares 3 2 6 4 11 2" xfId="26410"/>
    <cellStyle name="Separador de milhares 3 2 6 4 11 3" xfId="20496"/>
    <cellStyle name="Separador de milhares 3 2 6 4 11 4" xfId="14585"/>
    <cellStyle name="Separador de milhares 3 2 6 4 12" xfId="4818"/>
    <cellStyle name="Separador de milhares 3 2 6 4 12 2" xfId="23453"/>
    <cellStyle name="Separador de milhares 3 2 6 4 13" xfId="17539"/>
    <cellStyle name="Separador de milhares 3 2 6 4 14" xfId="11207"/>
    <cellStyle name="Separador de milhares 3 2 6 4 2" xfId="1027"/>
    <cellStyle name="Separador de milhares 3 2 6 4 2 2" xfId="6716"/>
    <cellStyle name="Separador de milhares 3 2 6 4 2 2 2" xfId="9863"/>
    <cellStyle name="Separador de milhares 3 2 6 4 2 2 2 2" xfId="28077"/>
    <cellStyle name="Separador de milhares 3 2 6 4 2 2 2 3" xfId="22163"/>
    <cellStyle name="Separador de milhares 3 2 6 4 2 2 2 4" xfId="16249"/>
    <cellStyle name="Separador de milhares 3 2 6 4 2 2 3" xfId="25120"/>
    <cellStyle name="Separador de milhares 3 2 6 4 2 2 4" xfId="19206"/>
    <cellStyle name="Separador de milhares 3 2 6 4 2 2 5" xfId="13105"/>
    <cellStyle name="Separador de milhares 3 2 6 4 2 3" xfId="8395"/>
    <cellStyle name="Separador de milhares 3 2 6 4 2 3 2" xfId="26609"/>
    <cellStyle name="Separador de milhares 3 2 6 4 2 3 3" xfId="20695"/>
    <cellStyle name="Separador de milhares 3 2 6 4 2 3 4" xfId="14781"/>
    <cellStyle name="Separador de milhares 3 2 6 4 2 4" xfId="5017"/>
    <cellStyle name="Separador de milhares 3 2 6 4 2 4 2" xfId="23652"/>
    <cellStyle name="Separador de milhares 3 2 6 4 2 5" xfId="17738"/>
    <cellStyle name="Separador de milhares 3 2 6 4 2 6" xfId="11404"/>
    <cellStyle name="Separador de milhares 3 2 6 4 3" xfId="1378"/>
    <cellStyle name="Separador de milhares 3 2 6 4 3 2" xfId="6814"/>
    <cellStyle name="Separador de milhares 3 2 6 4 3 2 2" xfId="9961"/>
    <cellStyle name="Separador de milhares 3 2 6 4 3 2 2 2" xfId="28175"/>
    <cellStyle name="Separador de milhares 3 2 6 4 3 2 2 3" xfId="22261"/>
    <cellStyle name="Separador de milhares 3 2 6 4 3 2 2 4" xfId="16347"/>
    <cellStyle name="Separador de milhares 3 2 6 4 3 2 3" xfId="25218"/>
    <cellStyle name="Separador de milhares 3 2 6 4 3 2 4" xfId="19304"/>
    <cellStyle name="Separador de milhares 3 2 6 4 3 2 5" xfId="13203"/>
    <cellStyle name="Separador de milhares 3 2 6 4 3 3" xfId="8493"/>
    <cellStyle name="Separador de milhares 3 2 6 4 3 3 2" xfId="26707"/>
    <cellStyle name="Separador de milhares 3 2 6 4 3 3 3" xfId="20793"/>
    <cellStyle name="Separador de milhares 3 2 6 4 3 3 4" xfId="14879"/>
    <cellStyle name="Separador de milhares 3 2 6 4 3 4" xfId="5115"/>
    <cellStyle name="Separador de milhares 3 2 6 4 3 4 2" xfId="23750"/>
    <cellStyle name="Separador de milhares 3 2 6 4 3 5" xfId="17836"/>
    <cellStyle name="Separador de milhares 3 2 6 4 3 6" xfId="11502"/>
    <cellStyle name="Separador de milhares 3 2 6 4 4" xfId="1813"/>
    <cellStyle name="Separador de milhares 3 2 6 4 4 2" xfId="6933"/>
    <cellStyle name="Separador de milhares 3 2 6 4 4 2 2" xfId="10080"/>
    <cellStyle name="Separador de milhares 3 2 6 4 4 2 2 2" xfId="28294"/>
    <cellStyle name="Separador de milhares 3 2 6 4 4 2 2 3" xfId="22380"/>
    <cellStyle name="Separador de milhares 3 2 6 4 4 2 2 4" xfId="16466"/>
    <cellStyle name="Separador de milhares 3 2 6 4 4 2 3" xfId="25337"/>
    <cellStyle name="Separador de milhares 3 2 6 4 4 2 4" xfId="19423"/>
    <cellStyle name="Separador de milhares 3 2 6 4 4 2 5" xfId="13322"/>
    <cellStyle name="Separador de milhares 3 2 6 4 4 3" xfId="8612"/>
    <cellStyle name="Separador de milhares 3 2 6 4 4 3 2" xfId="26826"/>
    <cellStyle name="Separador de milhares 3 2 6 4 4 3 3" xfId="20912"/>
    <cellStyle name="Separador de milhares 3 2 6 4 4 3 4" xfId="14998"/>
    <cellStyle name="Separador de milhares 3 2 6 4 4 4" xfId="5234"/>
    <cellStyle name="Separador de milhares 3 2 6 4 4 4 2" xfId="23869"/>
    <cellStyle name="Separador de milhares 3 2 6 4 4 5" xfId="17955"/>
    <cellStyle name="Separador de milhares 3 2 6 4 4 6" xfId="11621"/>
    <cellStyle name="Separador de milhares 3 2 6 4 5" xfId="2343"/>
    <cellStyle name="Separador de milhares 3 2 6 4 5 2" xfId="7083"/>
    <cellStyle name="Separador de milhares 3 2 6 4 5 2 2" xfId="10227"/>
    <cellStyle name="Separador de milhares 3 2 6 4 5 2 2 2" xfId="28441"/>
    <cellStyle name="Separador de milhares 3 2 6 4 5 2 2 3" xfId="22527"/>
    <cellStyle name="Separador de milhares 3 2 6 4 5 2 2 4" xfId="16613"/>
    <cellStyle name="Separador de milhares 3 2 6 4 5 2 3" xfId="25484"/>
    <cellStyle name="Separador de milhares 3 2 6 4 5 2 4" xfId="19570"/>
    <cellStyle name="Separador de milhares 3 2 6 4 5 2 5" xfId="13472"/>
    <cellStyle name="Separador de milhares 3 2 6 4 5 3" xfId="8759"/>
    <cellStyle name="Separador de milhares 3 2 6 4 5 3 2" xfId="26973"/>
    <cellStyle name="Separador de milhares 3 2 6 4 5 3 3" xfId="21059"/>
    <cellStyle name="Separador de milhares 3 2 6 4 5 3 4" xfId="15145"/>
    <cellStyle name="Separador de milhares 3 2 6 4 5 4" xfId="5384"/>
    <cellStyle name="Separador de milhares 3 2 6 4 5 4 2" xfId="24016"/>
    <cellStyle name="Separador de milhares 3 2 6 4 5 5" xfId="18102"/>
    <cellStyle name="Separador de milhares 3 2 6 4 5 6" xfId="11771"/>
    <cellStyle name="Separador de milhares 3 2 6 4 6" xfId="2870"/>
    <cellStyle name="Separador de milhares 3 2 6 4 6 2" xfId="7230"/>
    <cellStyle name="Separador de milhares 3 2 6 4 6 2 2" xfId="10374"/>
    <cellStyle name="Separador de milhares 3 2 6 4 6 2 2 2" xfId="28588"/>
    <cellStyle name="Separador de milhares 3 2 6 4 6 2 2 3" xfId="22674"/>
    <cellStyle name="Separador de milhares 3 2 6 4 6 2 2 4" xfId="16760"/>
    <cellStyle name="Separador de milhares 3 2 6 4 6 2 3" xfId="25631"/>
    <cellStyle name="Separador de milhares 3 2 6 4 6 2 4" xfId="19717"/>
    <cellStyle name="Separador de milhares 3 2 6 4 6 2 5" xfId="13619"/>
    <cellStyle name="Separador de milhares 3 2 6 4 6 3" xfId="8906"/>
    <cellStyle name="Separador de milhares 3 2 6 4 6 3 2" xfId="27120"/>
    <cellStyle name="Separador de milhares 3 2 6 4 6 3 3" xfId="21206"/>
    <cellStyle name="Separador de milhares 3 2 6 4 6 3 4" xfId="15292"/>
    <cellStyle name="Separador de milhares 3 2 6 4 6 4" xfId="5531"/>
    <cellStyle name="Separador de milhares 3 2 6 4 6 4 2" xfId="24163"/>
    <cellStyle name="Separador de milhares 3 2 6 4 6 5" xfId="18249"/>
    <cellStyle name="Separador de milhares 3 2 6 4 6 6" xfId="11918"/>
    <cellStyle name="Separador de milhares 3 2 6 4 7" xfId="3397"/>
    <cellStyle name="Separador de milhares 3 2 6 4 7 2" xfId="7377"/>
    <cellStyle name="Separador de milhares 3 2 6 4 7 2 2" xfId="10521"/>
    <cellStyle name="Separador de milhares 3 2 6 4 7 2 2 2" xfId="28735"/>
    <cellStyle name="Separador de milhares 3 2 6 4 7 2 2 3" xfId="22821"/>
    <cellStyle name="Separador de milhares 3 2 6 4 7 2 2 4" xfId="16907"/>
    <cellStyle name="Separador de milhares 3 2 6 4 7 2 3" xfId="25778"/>
    <cellStyle name="Separador de milhares 3 2 6 4 7 2 4" xfId="19864"/>
    <cellStyle name="Separador de milhares 3 2 6 4 7 2 5" xfId="13766"/>
    <cellStyle name="Separador de milhares 3 2 6 4 7 3" xfId="9053"/>
    <cellStyle name="Separador de milhares 3 2 6 4 7 3 2" xfId="27267"/>
    <cellStyle name="Separador de milhares 3 2 6 4 7 3 3" xfId="21353"/>
    <cellStyle name="Separador de milhares 3 2 6 4 7 3 4" xfId="15439"/>
    <cellStyle name="Separador de milhares 3 2 6 4 7 4" xfId="5678"/>
    <cellStyle name="Separador de milhares 3 2 6 4 7 4 2" xfId="24310"/>
    <cellStyle name="Separador de milhares 3 2 6 4 7 5" xfId="18396"/>
    <cellStyle name="Separador de milhares 3 2 6 4 7 6" xfId="12065"/>
    <cellStyle name="Separador de milhares 3 2 6 4 8" xfId="3924"/>
    <cellStyle name="Separador de milhares 3 2 6 4 8 2" xfId="7524"/>
    <cellStyle name="Separador de milhares 3 2 6 4 8 2 2" xfId="10668"/>
    <cellStyle name="Separador de milhares 3 2 6 4 8 2 2 2" xfId="28882"/>
    <cellStyle name="Separador de milhares 3 2 6 4 8 2 2 3" xfId="22968"/>
    <cellStyle name="Separador de milhares 3 2 6 4 8 2 2 4" xfId="17054"/>
    <cellStyle name="Separador de milhares 3 2 6 4 8 2 3" xfId="25925"/>
    <cellStyle name="Separador de milhares 3 2 6 4 8 2 4" xfId="20011"/>
    <cellStyle name="Separador de milhares 3 2 6 4 8 2 5" xfId="13913"/>
    <cellStyle name="Separador de milhares 3 2 6 4 8 3" xfId="9200"/>
    <cellStyle name="Separador de milhares 3 2 6 4 8 3 2" xfId="27414"/>
    <cellStyle name="Separador de milhares 3 2 6 4 8 3 3" xfId="21500"/>
    <cellStyle name="Separador de milhares 3 2 6 4 8 3 4" xfId="15586"/>
    <cellStyle name="Separador de milhares 3 2 6 4 8 4" xfId="5825"/>
    <cellStyle name="Separador de milhares 3 2 6 4 8 4 2" xfId="24457"/>
    <cellStyle name="Separador de milhares 3 2 6 4 8 5" xfId="18543"/>
    <cellStyle name="Separador de milhares 3 2 6 4 8 6" xfId="12212"/>
    <cellStyle name="Separador de milhares 3 2 6 4 9" xfId="683"/>
    <cellStyle name="Separador de milhares 3 2 6 4 9 2" xfId="6618"/>
    <cellStyle name="Separador de milhares 3 2 6 4 9 2 2" xfId="9765"/>
    <cellStyle name="Separador de milhares 3 2 6 4 9 2 2 2" xfId="27979"/>
    <cellStyle name="Separador de milhares 3 2 6 4 9 2 2 3" xfId="22065"/>
    <cellStyle name="Separador de milhares 3 2 6 4 9 2 2 4" xfId="16151"/>
    <cellStyle name="Separador de milhares 3 2 6 4 9 2 3" xfId="25022"/>
    <cellStyle name="Separador de milhares 3 2 6 4 9 2 4" xfId="19108"/>
    <cellStyle name="Separador de milhares 3 2 6 4 9 2 5" xfId="13007"/>
    <cellStyle name="Separador de milhares 3 2 6 4 9 3" xfId="8297"/>
    <cellStyle name="Separador de milhares 3 2 6 4 9 3 2" xfId="26511"/>
    <cellStyle name="Separador de milhares 3 2 6 4 9 3 3" xfId="20597"/>
    <cellStyle name="Separador de milhares 3 2 6 4 9 3 4" xfId="14683"/>
    <cellStyle name="Separador de milhares 3 2 6 4 9 4" xfId="4919"/>
    <cellStyle name="Separador de milhares 3 2 6 4 9 4 2" xfId="23554"/>
    <cellStyle name="Separador de milhares 3 2 6 4 9 5" xfId="17640"/>
    <cellStyle name="Separador de milhares 3 2 6 4 9 6" xfId="11306"/>
    <cellStyle name="Separador de milhares 3 2 6 5" xfId="639"/>
    <cellStyle name="Separador de milhares 3 2 6 5 10" xfId="4883"/>
    <cellStyle name="Separador de milhares 3 2 6 5 10 2" xfId="23517"/>
    <cellStyle name="Separador de milhares 3 2 6 5 11" xfId="17603"/>
    <cellStyle name="Separador de milhares 3 2 6 5 12" xfId="11272"/>
    <cellStyle name="Separador de milhares 3 2 6 5 2" xfId="1462"/>
    <cellStyle name="Separador de milhares 3 2 6 5 2 2" xfId="6835"/>
    <cellStyle name="Separador de milhares 3 2 6 5 2 2 2" xfId="9982"/>
    <cellStyle name="Separador de milhares 3 2 6 5 2 2 2 2" xfId="28196"/>
    <cellStyle name="Separador de milhares 3 2 6 5 2 2 2 3" xfId="22282"/>
    <cellStyle name="Separador de milhares 3 2 6 5 2 2 2 4" xfId="16368"/>
    <cellStyle name="Separador de milhares 3 2 6 5 2 2 3" xfId="25239"/>
    <cellStyle name="Separador de milhares 3 2 6 5 2 2 4" xfId="19325"/>
    <cellStyle name="Separador de milhares 3 2 6 5 2 2 5" xfId="13224"/>
    <cellStyle name="Separador de milhares 3 2 6 5 2 3" xfId="8514"/>
    <cellStyle name="Separador de milhares 3 2 6 5 2 3 2" xfId="26728"/>
    <cellStyle name="Separador de milhares 3 2 6 5 2 3 3" xfId="20814"/>
    <cellStyle name="Separador de milhares 3 2 6 5 2 3 4" xfId="14900"/>
    <cellStyle name="Separador de milhares 3 2 6 5 2 4" xfId="5136"/>
    <cellStyle name="Separador de milhares 3 2 6 5 2 4 2" xfId="23771"/>
    <cellStyle name="Separador de milhares 3 2 6 5 2 5" xfId="17857"/>
    <cellStyle name="Separador de milhares 3 2 6 5 2 6" xfId="11523"/>
    <cellStyle name="Separador de milhares 3 2 6 5 3" xfId="1897"/>
    <cellStyle name="Separador de milhares 3 2 6 5 3 2" xfId="6954"/>
    <cellStyle name="Separador de milhares 3 2 6 5 3 2 2" xfId="10101"/>
    <cellStyle name="Separador de milhares 3 2 6 5 3 2 2 2" xfId="28315"/>
    <cellStyle name="Separador de milhares 3 2 6 5 3 2 2 3" xfId="22401"/>
    <cellStyle name="Separador de milhares 3 2 6 5 3 2 2 4" xfId="16487"/>
    <cellStyle name="Separador de milhares 3 2 6 5 3 2 3" xfId="25358"/>
    <cellStyle name="Separador de milhares 3 2 6 5 3 2 4" xfId="19444"/>
    <cellStyle name="Separador de milhares 3 2 6 5 3 2 5" xfId="13343"/>
    <cellStyle name="Separador de milhares 3 2 6 5 3 3" xfId="8633"/>
    <cellStyle name="Separador de milhares 3 2 6 5 3 3 2" xfId="26847"/>
    <cellStyle name="Separador de milhares 3 2 6 5 3 3 3" xfId="20933"/>
    <cellStyle name="Separador de milhares 3 2 6 5 3 3 4" xfId="15019"/>
    <cellStyle name="Separador de milhares 3 2 6 5 3 4" xfId="5255"/>
    <cellStyle name="Separador de milhares 3 2 6 5 3 4 2" xfId="23890"/>
    <cellStyle name="Separador de milhares 3 2 6 5 3 5" xfId="17976"/>
    <cellStyle name="Separador de milhares 3 2 6 5 3 6" xfId="11642"/>
    <cellStyle name="Separador de milhares 3 2 6 5 4" xfId="2427"/>
    <cellStyle name="Separador de milhares 3 2 6 5 4 2" xfId="7104"/>
    <cellStyle name="Separador de milhares 3 2 6 5 4 2 2" xfId="10248"/>
    <cellStyle name="Separador de milhares 3 2 6 5 4 2 2 2" xfId="28462"/>
    <cellStyle name="Separador de milhares 3 2 6 5 4 2 2 3" xfId="22548"/>
    <cellStyle name="Separador de milhares 3 2 6 5 4 2 2 4" xfId="16634"/>
    <cellStyle name="Separador de milhares 3 2 6 5 4 2 3" xfId="25505"/>
    <cellStyle name="Separador de milhares 3 2 6 5 4 2 4" xfId="19591"/>
    <cellStyle name="Separador de milhares 3 2 6 5 4 2 5" xfId="13493"/>
    <cellStyle name="Separador de milhares 3 2 6 5 4 3" xfId="8780"/>
    <cellStyle name="Separador de milhares 3 2 6 5 4 3 2" xfId="26994"/>
    <cellStyle name="Separador de milhares 3 2 6 5 4 3 3" xfId="21080"/>
    <cellStyle name="Separador de milhares 3 2 6 5 4 3 4" xfId="15166"/>
    <cellStyle name="Separador de milhares 3 2 6 5 4 4" xfId="5405"/>
    <cellStyle name="Separador de milhares 3 2 6 5 4 4 2" xfId="24037"/>
    <cellStyle name="Separador de milhares 3 2 6 5 4 5" xfId="18123"/>
    <cellStyle name="Separador de milhares 3 2 6 5 4 6" xfId="11792"/>
    <cellStyle name="Separador de milhares 3 2 6 5 5" xfId="2954"/>
    <cellStyle name="Separador de milhares 3 2 6 5 5 2" xfId="7251"/>
    <cellStyle name="Separador de milhares 3 2 6 5 5 2 2" xfId="10395"/>
    <cellStyle name="Separador de milhares 3 2 6 5 5 2 2 2" xfId="28609"/>
    <cellStyle name="Separador de milhares 3 2 6 5 5 2 2 3" xfId="22695"/>
    <cellStyle name="Separador de milhares 3 2 6 5 5 2 2 4" xfId="16781"/>
    <cellStyle name="Separador de milhares 3 2 6 5 5 2 3" xfId="25652"/>
    <cellStyle name="Separador de milhares 3 2 6 5 5 2 4" xfId="19738"/>
    <cellStyle name="Separador de milhares 3 2 6 5 5 2 5" xfId="13640"/>
    <cellStyle name="Separador de milhares 3 2 6 5 5 3" xfId="8927"/>
    <cellStyle name="Separador de milhares 3 2 6 5 5 3 2" xfId="27141"/>
    <cellStyle name="Separador de milhares 3 2 6 5 5 3 3" xfId="21227"/>
    <cellStyle name="Separador de milhares 3 2 6 5 5 3 4" xfId="15313"/>
    <cellStyle name="Separador de milhares 3 2 6 5 5 4" xfId="5552"/>
    <cellStyle name="Separador de milhares 3 2 6 5 5 4 2" xfId="24184"/>
    <cellStyle name="Separador de milhares 3 2 6 5 5 5" xfId="18270"/>
    <cellStyle name="Separador de milhares 3 2 6 5 5 6" xfId="11939"/>
    <cellStyle name="Separador de milhares 3 2 6 5 6" xfId="3481"/>
    <cellStyle name="Separador de milhares 3 2 6 5 6 2" xfId="7398"/>
    <cellStyle name="Separador de milhares 3 2 6 5 6 2 2" xfId="10542"/>
    <cellStyle name="Separador de milhares 3 2 6 5 6 2 2 2" xfId="28756"/>
    <cellStyle name="Separador de milhares 3 2 6 5 6 2 2 3" xfId="22842"/>
    <cellStyle name="Separador de milhares 3 2 6 5 6 2 2 4" xfId="16928"/>
    <cellStyle name="Separador de milhares 3 2 6 5 6 2 3" xfId="25799"/>
    <cellStyle name="Separador de milhares 3 2 6 5 6 2 4" xfId="19885"/>
    <cellStyle name="Separador de milhares 3 2 6 5 6 2 5" xfId="13787"/>
    <cellStyle name="Separador de milhares 3 2 6 5 6 3" xfId="9074"/>
    <cellStyle name="Separador de milhares 3 2 6 5 6 3 2" xfId="27288"/>
    <cellStyle name="Separador de milhares 3 2 6 5 6 3 3" xfId="21374"/>
    <cellStyle name="Separador de milhares 3 2 6 5 6 3 4" xfId="15460"/>
    <cellStyle name="Separador de milhares 3 2 6 5 6 4" xfId="5699"/>
    <cellStyle name="Separador de milhares 3 2 6 5 6 4 2" xfId="24331"/>
    <cellStyle name="Separador de milhares 3 2 6 5 6 5" xfId="18417"/>
    <cellStyle name="Separador de milhares 3 2 6 5 6 6" xfId="12086"/>
    <cellStyle name="Separador de milhares 3 2 6 5 7" xfId="4008"/>
    <cellStyle name="Separador de milhares 3 2 6 5 7 2" xfId="7545"/>
    <cellStyle name="Separador de milhares 3 2 6 5 7 2 2" xfId="10689"/>
    <cellStyle name="Separador de milhares 3 2 6 5 7 2 2 2" xfId="28903"/>
    <cellStyle name="Separador de milhares 3 2 6 5 7 2 2 3" xfId="22989"/>
    <cellStyle name="Separador de milhares 3 2 6 5 7 2 2 4" xfId="17075"/>
    <cellStyle name="Separador de milhares 3 2 6 5 7 2 3" xfId="25946"/>
    <cellStyle name="Separador de milhares 3 2 6 5 7 2 4" xfId="20032"/>
    <cellStyle name="Separador de milhares 3 2 6 5 7 2 5" xfId="13934"/>
    <cellStyle name="Separador de milhares 3 2 6 5 7 3" xfId="9221"/>
    <cellStyle name="Separador de milhares 3 2 6 5 7 3 2" xfId="27435"/>
    <cellStyle name="Separador de milhares 3 2 6 5 7 3 3" xfId="21521"/>
    <cellStyle name="Separador de milhares 3 2 6 5 7 3 4" xfId="15607"/>
    <cellStyle name="Separador de milhares 3 2 6 5 7 4" xfId="5846"/>
    <cellStyle name="Separador de milhares 3 2 6 5 7 4 2" xfId="24478"/>
    <cellStyle name="Separador de milhares 3 2 6 5 7 5" xfId="18564"/>
    <cellStyle name="Separador de milhares 3 2 6 5 7 6" xfId="12233"/>
    <cellStyle name="Separador de milhares 3 2 6 5 8" xfId="6584"/>
    <cellStyle name="Separador de milhares 3 2 6 5 8 2" xfId="9731"/>
    <cellStyle name="Separador de milhares 3 2 6 5 8 2 2" xfId="27945"/>
    <cellStyle name="Separador de milhares 3 2 6 5 8 2 3" xfId="22031"/>
    <cellStyle name="Separador de milhares 3 2 6 5 8 2 4" xfId="16117"/>
    <cellStyle name="Separador de milhares 3 2 6 5 8 3" xfId="24988"/>
    <cellStyle name="Separador de milhares 3 2 6 5 8 4" xfId="19074"/>
    <cellStyle name="Separador de milhares 3 2 6 5 8 5" xfId="12973"/>
    <cellStyle name="Separador de milhares 3 2 6 5 9" xfId="8260"/>
    <cellStyle name="Separador de milhares 3 2 6 5 9 2" xfId="26474"/>
    <cellStyle name="Separador de milhares 3 2 6 5 9 3" xfId="20560"/>
    <cellStyle name="Separador de milhares 3 2 6 5 9 4" xfId="14649"/>
    <cellStyle name="Separador de milhares 3 2 6 6" xfId="760"/>
    <cellStyle name="Separador de milhares 3 2 6 6 2" xfId="4184"/>
    <cellStyle name="Separador de milhares 3 2 6 6 2 2" xfId="7594"/>
    <cellStyle name="Separador de milhares 3 2 6 6 2 2 2" xfId="10738"/>
    <cellStyle name="Separador de milhares 3 2 6 6 2 2 2 2" xfId="28952"/>
    <cellStyle name="Separador de milhares 3 2 6 6 2 2 2 3" xfId="23038"/>
    <cellStyle name="Separador de milhares 3 2 6 6 2 2 2 4" xfId="17124"/>
    <cellStyle name="Separador de milhares 3 2 6 6 2 2 3" xfId="25995"/>
    <cellStyle name="Separador de milhares 3 2 6 6 2 2 4" xfId="20081"/>
    <cellStyle name="Separador de milhares 3 2 6 6 2 2 5" xfId="13983"/>
    <cellStyle name="Separador de milhares 3 2 6 6 2 3" xfId="9270"/>
    <cellStyle name="Separador de milhares 3 2 6 6 2 3 2" xfId="27484"/>
    <cellStyle name="Separador de milhares 3 2 6 6 2 3 3" xfId="21570"/>
    <cellStyle name="Separador de milhares 3 2 6 6 2 3 4" xfId="15656"/>
    <cellStyle name="Separador de milhares 3 2 6 6 2 4" xfId="5895"/>
    <cellStyle name="Separador de milhares 3 2 6 6 2 4 2" xfId="24527"/>
    <cellStyle name="Separador de milhares 3 2 6 6 2 5" xfId="18613"/>
    <cellStyle name="Separador de milhares 3 2 6 6 2 6" xfId="12282"/>
    <cellStyle name="Separador de milhares 3 2 6 6 3" xfId="6639"/>
    <cellStyle name="Separador de milhares 3 2 6 6 3 2" xfId="9786"/>
    <cellStyle name="Separador de milhares 3 2 6 6 3 2 2" xfId="28000"/>
    <cellStyle name="Separador de milhares 3 2 6 6 3 2 3" xfId="22086"/>
    <cellStyle name="Separador de milhares 3 2 6 6 3 2 4" xfId="16172"/>
    <cellStyle name="Separador de milhares 3 2 6 6 3 3" xfId="25043"/>
    <cellStyle name="Separador de milhares 3 2 6 6 3 4" xfId="19129"/>
    <cellStyle name="Separador de milhares 3 2 6 6 3 5" xfId="13028"/>
    <cellStyle name="Separador de milhares 3 2 6 6 4" xfId="8318"/>
    <cellStyle name="Separador de milhares 3 2 6 6 4 2" xfId="26532"/>
    <cellStyle name="Separador de milhares 3 2 6 6 4 3" xfId="20618"/>
    <cellStyle name="Separador de milhares 3 2 6 6 4 4" xfId="14704"/>
    <cellStyle name="Separador de milhares 3 2 6 6 5" xfId="4940"/>
    <cellStyle name="Separador de milhares 3 2 6 6 5 2" xfId="23575"/>
    <cellStyle name="Separador de milhares 3 2 6 6 6" xfId="17661"/>
    <cellStyle name="Separador de milhares 3 2 6 6 7" xfId="11327"/>
    <cellStyle name="Separador de milhares 3 2 6 7" xfId="1111"/>
    <cellStyle name="Separador de milhares 3 2 6 7 2" xfId="6737"/>
    <cellStyle name="Separador de milhares 3 2 6 7 2 2" xfId="9884"/>
    <cellStyle name="Separador de milhares 3 2 6 7 2 2 2" xfId="28098"/>
    <cellStyle name="Separador de milhares 3 2 6 7 2 2 3" xfId="22184"/>
    <cellStyle name="Separador de milhares 3 2 6 7 2 2 4" xfId="16270"/>
    <cellStyle name="Separador de milhares 3 2 6 7 2 3" xfId="25141"/>
    <cellStyle name="Separador de milhares 3 2 6 7 2 4" xfId="19227"/>
    <cellStyle name="Separador de milhares 3 2 6 7 2 5" xfId="13126"/>
    <cellStyle name="Separador de milhares 3 2 6 7 3" xfId="8416"/>
    <cellStyle name="Separador de milhares 3 2 6 7 3 2" xfId="26630"/>
    <cellStyle name="Separador de milhares 3 2 6 7 3 3" xfId="20716"/>
    <cellStyle name="Separador de milhares 3 2 6 7 3 4" xfId="14802"/>
    <cellStyle name="Separador de milhares 3 2 6 7 4" xfId="5038"/>
    <cellStyle name="Separador de milhares 3 2 6 7 4 2" xfId="23673"/>
    <cellStyle name="Separador de milhares 3 2 6 7 5" xfId="17759"/>
    <cellStyle name="Separador de milhares 3 2 6 7 6" xfId="11425"/>
    <cellStyle name="Separador de milhares 3 2 6 8" xfId="1546"/>
    <cellStyle name="Separador de milhares 3 2 6 8 2" xfId="6856"/>
    <cellStyle name="Separador de milhares 3 2 6 8 2 2" xfId="10003"/>
    <cellStyle name="Separador de milhares 3 2 6 8 2 2 2" xfId="28217"/>
    <cellStyle name="Separador de milhares 3 2 6 8 2 2 3" xfId="22303"/>
    <cellStyle name="Separador de milhares 3 2 6 8 2 2 4" xfId="16389"/>
    <cellStyle name="Separador de milhares 3 2 6 8 2 3" xfId="25260"/>
    <cellStyle name="Separador de milhares 3 2 6 8 2 4" xfId="19346"/>
    <cellStyle name="Separador de milhares 3 2 6 8 2 5" xfId="13245"/>
    <cellStyle name="Separador de milhares 3 2 6 8 3" xfId="8535"/>
    <cellStyle name="Separador de milhares 3 2 6 8 3 2" xfId="26749"/>
    <cellStyle name="Separador de milhares 3 2 6 8 3 3" xfId="20835"/>
    <cellStyle name="Separador de milhares 3 2 6 8 3 4" xfId="14921"/>
    <cellStyle name="Separador de milhares 3 2 6 8 4" xfId="5157"/>
    <cellStyle name="Separador de milhares 3 2 6 8 4 2" xfId="23792"/>
    <cellStyle name="Separador de milhares 3 2 6 8 5" xfId="17878"/>
    <cellStyle name="Separador de milhares 3 2 6 8 6" xfId="11544"/>
    <cellStyle name="Separador de milhares 3 2 6 9" xfId="2076"/>
    <cellStyle name="Separador de milhares 3 2 6 9 2" xfId="7006"/>
    <cellStyle name="Separador de milhares 3 2 6 9 2 2" xfId="10150"/>
    <cellStyle name="Separador de milhares 3 2 6 9 2 2 2" xfId="28364"/>
    <cellStyle name="Separador de milhares 3 2 6 9 2 2 3" xfId="22450"/>
    <cellStyle name="Separador de milhares 3 2 6 9 2 2 4" xfId="16536"/>
    <cellStyle name="Separador de milhares 3 2 6 9 2 3" xfId="25407"/>
    <cellStyle name="Separador de milhares 3 2 6 9 2 4" xfId="19493"/>
    <cellStyle name="Separador de milhares 3 2 6 9 2 5" xfId="13395"/>
    <cellStyle name="Separador de milhares 3 2 6 9 3" xfId="8682"/>
    <cellStyle name="Separador de milhares 3 2 6 9 3 2" xfId="26896"/>
    <cellStyle name="Separador de milhares 3 2 6 9 3 3" xfId="20982"/>
    <cellStyle name="Separador de milhares 3 2 6 9 3 4" xfId="15068"/>
    <cellStyle name="Separador de milhares 3 2 6 9 4" xfId="5307"/>
    <cellStyle name="Separador de milhares 3 2 6 9 4 2" xfId="23939"/>
    <cellStyle name="Separador de milhares 3 2 6 9 5" xfId="18025"/>
    <cellStyle name="Separador de milhares 3 2 6 9 6" xfId="11694"/>
    <cellStyle name="Separador de milhares 3 2 7" xfId="40"/>
    <cellStyle name="Separador de milhares 3 2 7 10" xfId="2543"/>
    <cellStyle name="Separador de milhares 3 2 7 10 2" xfId="7138"/>
    <cellStyle name="Separador de milhares 3 2 7 10 2 2" xfId="10282"/>
    <cellStyle name="Separador de milhares 3 2 7 10 2 2 2" xfId="28496"/>
    <cellStyle name="Separador de milhares 3 2 7 10 2 2 3" xfId="22582"/>
    <cellStyle name="Separador de milhares 3 2 7 10 2 2 4" xfId="16668"/>
    <cellStyle name="Separador de milhares 3 2 7 10 2 3" xfId="25539"/>
    <cellStyle name="Separador de milhares 3 2 7 10 2 4" xfId="19625"/>
    <cellStyle name="Separador de milhares 3 2 7 10 2 5" xfId="13527"/>
    <cellStyle name="Separador de milhares 3 2 7 10 3" xfId="8814"/>
    <cellStyle name="Separador de milhares 3 2 7 10 3 2" xfId="27028"/>
    <cellStyle name="Separador de milhares 3 2 7 10 3 3" xfId="21114"/>
    <cellStyle name="Separador de milhares 3 2 7 10 3 4" xfId="15200"/>
    <cellStyle name="Separador de milhares 3 2 7 10 4" xfId="5439"/>
    <cellStyle name="Separador de milhares 3 2 7 10 4 2" xfId="24071"/>
    <cellStyle name="Separador de milhares 3 2 7 10 5" xfId="18157"/>
    <cellStyle name="Separador de milhares 3 2 7 10 6" xfId="11826"/>
    <cellStyle name="Separador de milhares 3 2 7 11" xfId="3070"/>
    <cellStyle name="Separador de milhares 3 2 7 11 2" xfId="7285"/>
    <cellStyle name="Separador de milhares 3 2 7 11 2 2" xfId="10429"/>
    <cellStyle name="Separador de milhares 3 2 7 11 2 2 2" xfId="28643"/>
    <cellStyle name="Separador de milhares 3 2 7 11 2 2 3" xfId="22729"/>
    <cellStyle name="Separador de milhares 3 2 7 11 2 2 4" xfId="16815"/>
    <cellStyle name="Separador de milhares 3 2 7 11 2 3" xfId="25686"/>
    <cellStyle name="Separador de milhares 3 2 7 11 2 4" xfId="19772"/>
    <cellStyle name="Separador de milhares 3 2 7 11 2 5" xfId="13674"/>
    <cellStyle name="Separador de milhares 3 2 7 11 3" xfId="8961"/>
    <cellStyle name="Separador de milhares 3 2 7 11 3 2" xfId="27175"/>
    <cellStyle name="Separador de milhares 3 2 7 11 3 3" xfId="21261"/>
    <cellStyle name="Separador de milhares 3 2 7 11 3 4" xfId="15347"/>
    <cellStyle name="Separador de milhares 3 2 7 11 4" xfId="5586"/>
    <cellStyle name="Separador de milhares 3 2 7 11 4 2" xfId="24218"/>
    <cellStyle name="Separador de milhares 3 2 7 11 5" xfId="18304"/>
    <cellStyle name="Separador de milhares 3 2 7 11 6" xfId="11973"/>
    <cellStyle name="Separador de milhares 3 2 7 12" xfId="3597"/>
    <cellStyle name="Separador de milhares 3 2 7 12 2" xfId="7432"/>
    <cellStyle name="Separador de milhares 3 2 7 12 2 2" xfId="10576"/>
    <cellStyle name="Separador de milhares 3 2 7 12 2 2 2" xfId="28790"/>
    <cellStyle name="Separador de milhares 3 2 7 12 2 2 3" xfId="22876"/>
    <cellStyle name="Separador de milhares 3 2 7 12 2 2 4" xfId="16962"/>
    <cellStyle name="Separador de milhares 3 2 7 12 2 3" xfId="25833"/>
    <cellStyle name="Separador de milhares 3 2 7 12 2 4" xfId="19919"/>
    <cellStyle name="Separador de milhares 3 2 7 12 2 5" xfId="13821"/>
    <cellStyle name="Separador de milhares 3 2 7 12 3" xfId="9108"/>
    <cellStyle name="Separador de milhares 3 2 7 12 3 2" xfId="27322"/>
    <cellStyle name="Separador de milhares 3 2 7 12 3 3" xfId="21408"/>
    <cellStyle name="Separador de milhares 3 2 7 12 3 4" xfId="15494"/>
    <cellStyle name="Separador de milhares 3 2 7 12 4" xfId="5733"/>
    <cellStyle name="Separador de milhares 3 2 7 12 4 2" xfId="24365"/>
    <cellStyle name="Separador de milhares 3 2 7 12 5" xfId="18451"/>
    <cellStyle name="Separador de milhares 3 2 7 12 6" xfId="12120"/>
    <cellStyle name="Separador de milhares 3 2 7 13" xfId="6416"/>
    <cellStyle name="Separador de milhares 3 2 7 13 2" xfId="9572"/>
    <cellStyle name="Separador de milhares 3 2 7 13 2 2" xfId="27786"/>
    <cellStyle name="Separador de milhares 3 2 7 13 2 3" xfId="21872"/>
    <cellStyle name="Separador de milhares 3 2 7 13 2 4" xfId="15958"/>
    <cellStyle name="Separador de milhares 3 2 7 13 3" xfId="24829"/>
    <cellStyle name="Separador de milhares 3 2 7 13 4" xfId="18915"/>
    <cellStyle name="Separador de milhares 3 2 7 13 5" xfId="12805"/>
    <cellStyle name="Separador de milhares 3 2 7 14" xfId="8101"/>
    <cellStyle name="Separador de milhares 3 2 7 14 2" xfId="26315"/>
    <cellStyle name="Separador de milhares 3 2 7 14 3" xfId="20401"/>
    <cellStyle name="Separador de milhares 3 2 7 14 4" xfId="14490"/>
    <cellStyle name="Separador de milhares 3 2 7 15" xfId="4714"/>
    <cellStyle name="Separador de milhares 3 2 7 15 2" xfId="23358"/>
    <cellStyle name="Separador de milhares 3 2 7 16" xfId="17444"/>
    <cellStyle name="Separador de milhares 3 2 7 17" xfId="11104"/>
    <cellStyle name="Separador de milhares 3 2 7 2" xfId="134"/>
    <cellStyle name="Separador de milhares 3 2 7 2 10" xfId="6445"/>
    <cellStyle name="Separador de milhares 3 2 7 2 10 2" xfId="9599"/>
    <cellStyle name="Separador de milhares 3 2 7 2 10 2 2" xfId="27813"/>
    <cellStyle name="Separador de milhares 3 2 7 2 10 2 3" xfId="21899"/>
    <cellStyle name="Separador de milhares 3 2 7 2 10 2 4" xfId="15985"/>
    <cellStyle name="Separador de milhares 3 2 7 2 10 3" xfId="24856"/>
    <cellStyle name="Separador de milhares 3 2 7 2 10 4" xfId="18942"/>
    <cellStyle name="Separador de milhares 3 2 7 2 10 5" xfId="12834"/>
    <cellStyle name="Separador de milhares 3 2 7 2 11" xfId="8128"/>
    <cellStyle name="Separador de milhares 3 2 7 2 11 2" xfId="26342"/>
    <cellStyle name="Separador de milhares 3 2 7 2 11 3" xfId="20428"/>
    <cellStyle name="Separador de milhares 3 2 7 2 11 4" xfId="14517"/>
    <cellStyle name="Separador de milhares 3 2 7 2 12" xfId="4744"/>
    <cellStyle name="Separador de milhares 3 2 7 2 12 2" xfId="23385"/>
    <cellStyle name="Separador de milhares 3 2 7 2 13" xfId="17471"/>
    <cellStyle name="Separador de milhares 3 2 7 2 14" xfId="11133"/>
    <cellStyle name="Separador de milhares 3 2 7 2 2" xfId="407"/>
    <cellStyle name="Separador de milhares 3 2 7 2 2 10" xfId="17545"/>
    <cellStyle name="Separador de milhares 3 2 7 2 2 11" xfId="11214"/>
    <cellStyle name="Separador de milhares 3 2 7 2 2 2" xfId="1926"/>
    <cellStyle name="Separador de milhares 3 2 7 2 2 2 2" xfId="6964"/>
    <cellStyle name="Separador de milhares 3 2 7 2 2 2 2 2" xfId="10111"/>
    <cellStyle name="Separador de milhares 3 2 7 2 2 2 2 2 2" xfId="28325"/>
    <cellStyle name="Separador de milhares 3 2 7 2 2 2 2 2 3" xfId="22411"/>
    <cellStyle name="Separador de milhares 3 2 7 2 2 2 2 2 4" xfId="16497"/>
    <cellStyle name="Separador de milhares 3 2 7 2 2 2 2 3" xfId="25368"/>
    <cellStyle name="Separador de milhares 3 2 7 2 2 2 2 4" xfId="19454"/>
    <cellStyle name="Separador de milhares 3 2 7 2 2 2 2 5" xfId="13353"/>
    <cellStyle name="Separador de milhares 3 2 7 2 2 2 3" xfId="8643"/>
    <cellStyle name="Separador de milhares 3 2 7 2 2 2 3 2" xfId="26857"/>
    <cellStyle name="Separador de milhares 3 2 7 2 2 2 3 3" xfId="20943"/>
    <cellStyle name="Separador de milhares 3 2 7 2 2 2 3 4" xfId="15029"/>
    <cellStyle name="Separador de milhares 3 2 7 2 2 2 4" xfId="5265"/>
    <cellStyle name="Separador de milhares 3 2 7 2 2 2 4 2" xfId="23900"/>
    <cellStyle name="Separador de milhares 3 2 7 2 2 2 5" xfId="17986"/>
    <cellStyle name="Separador de milhares 3 2 7 2 2 2 6" xfId="11652"/>
    <cellStyle name="Separador de milhares 3 2 7 2 2 3" xfId="2456"/>
    <cellStyle name="Separador de milhares 3 2 7 2 2 3 2" xfId="7114"/>
    <cellStyle name="Separador de milhares 3 2 7 2 2 3 2 2" xfId="10258"/>
    <cellStyle name="Separador de milhares 3 2 7 2 2 3 2 2 2" xfId="28472"/>
    <cellStyle name="Separador de milhares 3 2 7 2 2 3 2 2 3" xfId="22558"/>
    <cellStyle name="Separador de milhares 3 2 7 2 2 3 2 2 4" xfId="16644"/>
    <cellStyle name="Separador de milhares 3 2 7 2 2 3 2 3" xfId="25515"/>
    <cellStyle name="Separador de milhares 3 2 7 2 2 3 2 4" xfId="19601"/>
    <cellStyle name="Separador de milhares 3 2 7 2 2 3 2 5" xfId="13503"/>
    <cellStyle name="Separador de milhares 3 2 7 2 2 3 3" xfId="8790"/>
    <cellStyle name="Separador de milhares 3 2 7 2 2 3 3 2" xfId="27004"/>
    <cellStyle name="Separador de milhares 3 2 7 2 2 3 3 3" xfId="21090"/>
    <cellStyle name="Separador de milhares 3 2 7 2 2 3 3 4" xfId="15176"/>
    <cellStyle name="Separador de milhares 3 2 7 2 2 3 4" xfId="5415"/>
    <cellStyle name="Separador de milhares 3 2 7 2 2 3 4 2" xfId="24047"/>
    <cellStyle name="Separador de milhares 3 2 7 2 2 3 5" xfId="18133"/>
    <cellStyle name="Separador de milhares 3 2 7 2 2 3 6" xfId="11802"/>
    <cellStyle name="Separador de milhares 3 2 7 2 2 4" xfId="2983"/>
    <cellStyle name="Separador de milhares 3 2 7 2 2 4 2" xfId="7261"/>
    <cellStyle name="Separador de milhares 3 2 7 2 2 4 2 2" xfId="10405"/>
    <cellStyle name="Separador de milhares 3 2 7 2 2 4 2 2 2" xfId="28619"/>
    <cellStyle name="Separador de milhares 3 2 7 2 2 4 2 2 3" xfId="22705"/>
    <cellStyle name="Separador de milhares 3 2 7 2 2 4 2 2 4" xfId="16791"/>
    <cellStyle name="Separador de milhares 3 2 7 2 2 4 2 3" xfId="25662"/>
    <cellStyle name="Separador de milhares 3 2 7 2 2 4 2 4" xfId="19748"/>
    <cellStyle name="Separador de milhares 3 2 7 2 2 4 2 5" xfId="13650"/>
    <cellStyle name="Separador de milhares 3 2 7 2 2 4 3" xfId="8937"/>
    <cellStyle name="Separador de milhares 3 2 7 2 2 4 3 2" xfId="27151"/>
    <cellStyle name="Separador de milhares 3 2 7 2 2 4 3 3" xfId="21237"/>
    <cellStyle name="Separador de milhares 3 2 7 2 2 4 3 4" xfId="15323"/>
    <cellStyle name="Separador de milhares 3 2 7 2 2 4 4" xfId="5562"/>
    <cellStyle name="Separador de milhares 3 2 7 2 2 4 4 2" xfId="24194"/>
    <cellStyle name="Separador de milhares 3 2 7 2 2 4 5" xfId="18280"/>
    <cellStyle name="Separador de milhares 3 2 7 2 2 4 6" xfId="11949"/>
    <cellStyle name="Separador de milhares 3 2 7 2 2 5" xfId="3510"/>
    <cellStyle name="Separador de milhares 3 2 7 2 2 5 2" xfId="7408"/>
    <cellStyle name="Separador de milhares 3 2 7 2 2 5 2 2" xfId="10552"/>
    <cellStyle name="Separador de milhares 3 2 7 2 2 5 2 2 2" xfId="28766"/>
    <cellStyle name="Separador de milhares 3 2 7 2 2 5 2 2 3" xfId="22852"/>
    <cellStyle name="Separador de milhares 3 2 7 2 2 5 2 2 4" xfId="16938"/>
    <cellStyle name="Separador de milhares 3 2 7 2 2 5 2 3" xfId="25809"/>
    <cellStyle name="Separador de milhares 3 2 7 2 2 5 2 4" xfId="19895"/>
    <cellStyle name="Separador de milhares 3 2 7 2 2 5 2 5" xfId="13797"/>
    <cellStyle name="Separador de milhares 3 2 7 2 2 5 3" xfId="9084"/>
    <cellStyle name="Separador de milhares 3 2 7 2 2 5 3 2" xfId="27298"/>
    <cellStyle name="Separador de milhares 3 2 7 2 2 5 3 3" xfId="21384"/>
    <cellStyle name="Separador de milhares 3 2 7 2 2 5 3 4" xfId="15470"/>
    <cellStyle name="Separador de milhares 3 2 7 2 2 5 4" xfId="5709"/>
    <cellStyle name="Separador de milhares 3 2 7 2 2 5 4 2" xfId="24341"/>
    <cellStyle name="Separador de milhares 3 2 7 2 2 5 5" xfId="18427"/>
    <cellStyle name="Separador de milhares 3 2 7 2 2 5 6" xfId="12096"/>
    <cellStyle name="Separador de milhares 3 2 7 2 2 6" xfId="4037"/>
    <cellStyle name="Separador de milhares 3 2 7 2 2 6 2" xfId="7555"/>
    <cellStyle name="Separador de milhares 3 2 7 2 2 6 2 2" xfId="10699"/>
    <cellStyle name="Separador de milhares 3 2 7 2 2 6 2 2 2" xfId="28913"/>
    <cellStyle name="Separador de milhares 3 2 7 2 2 6 2 2 3" xfId="22999"/>
    <cellStyle name="Separador de milhares 3 2 7 2 2 6 2 2 4" xfId="17085"/>
    <cellStyle name="Separador de milhares 3 2 7 2 2 6 2 3" xfId="25956"/>
    <cellStyle name="Separador de milhares 3 2 7 2 2 6 2 4" xfId="20042"/>
    <cellStyle name="Separador de milhares 3 2 7 2 2 6 2 5" xfId="13944"/>
    <cellStyle name="Separador de milhares 3 2 7 2 2 6 3" xfId="9231"/>
    <cellStyle name="Separador de milhares 3 2 7 2 2 6 3 2" xfId="27445"/>
    <cellStyle name="Separador de milhares 3 2 7 2 2 6 3 3" xfId="21531"/>
    <cellStyle name="Separador de milhares 3 2 7 2 2 6 3 4" xfId="15617"/>
    <cellStyle name="Separador de milhares 3 2 7 2 2 6 4" xfId="5856"/>
    <cellStyle name="Separador de milhares 3 2 7 2 2 6 4 2" xfId="24488"/>
    <cellStyle name="Separador de milhares 3 2 7 2 2 6 5" xfId="18574"/>
    <cellStyle name="Separador de milhares 3 2 7 2 2 6 6" xfId="12243"/>
    <cellStyle name="Separador de milhares 3 2 7 2 2 7" xfId="6526"/>
    <cellStyle name="Separador de milhares 3 2 7 2 2 7 2" xfId="9673"/>
    <cellStyle name="Separador de milhares 3 2 7 2 2 7 2 2" xfId="27887"/>
    <cellStyle name="Separador de milhares 3 2 7 2 2 7 2 3" xfId="21973"/>
    <cellStyle name="Separador de milhares 3 2 7 2 2 7 2 4" xfId="16059"/>
    <cellStyle name="Separador de milhares 3 2 7 2 2 7 3" xfId="24930"/>
    <cellStyle name="Separador de milhares 3 2 7 2 2 7 4" xfId="19016"/>
    <cellStyle name="Separador de milhares 3 2 7 2 2 7 5" xfId="12915"/>
    <cellStyle name="Separador de milhares 3 2 7 2 2 8" xfId="8202"/>
    <cellStyle name="Separador de milhares 3 2 7 2 2 8 2" xfId="26416"/>
    <cellStyle name="Separador de milhares 3 2 7 2 2 8 3" xfId="20502"/>
    <cellStyle name="Separador de milhares 3 2 7 2 2 8 4" xfId="14591"/>
    <cellStyle name="Separador de milhares 3 2 7 2 2 9" xfId="4825"/>
    <cellStyle name="Separador de milhares 3 2 7 2 2 9 2" xfId="23459"/>
    <cellStyle name="Separador de milhares 3 2 7 2 3" xfId="880"/>
    <cellStyle name="Separador de milhares 3 2 7 2 3 2" xfId="6677"/>
    <cellStyle name="Separador de milhares 3 2 7 2 3 2 2" xfId="9824"/>
    <cellStyle name="Separador de milhares 3 2 7 2 3 2 2 2" xfId="28038"/>
    <cellStyle name="Separador de milhares 3 2 7 2 3 2 2 3" xfId="22124"/>
    <cellStyle name="Separador de milhares 3 2 7 2 3 2 2 4" xfId="16210"/>
    <cellStyle name="Separador de milhares 3 2 7 2 3 2 3" xfId="25081"/>
    <cellStyle name="Separador de milhares 3 2 7 2 3 2 4" xfId="19167"/>
    <cellStyle name="Separador de milhares 3 2 7 2 3 2 5" xfId="13066"/>
    <cellStyle name="Separador de milhares 3 2 7 2 3 3" xfId="8356"/>
    <cellStyle name="Separador de milhares 3 2 7 2 3 3 2" xfId="26570"/>
    <cellStyle name="Separador de milhares 3 2 7 2 3 3 3" xfId="20656"/>
    <cellStyle name="Separador de milhares 3 2 7 2 3 3 4" xfId="14742"/>
    <cellStyle name="Separador de milhares 3 2 7 2 3 4" xfId="4978"/>
    <cellStyle name="Separador de milhares 3 2 7 2 3 4 2" xfId="23613"/>
    <cellStyle name="Separador de milhares 3 2 7 2 3 5" xfId="17699"/>
    <cellStyle name="Separador de milhares 3 2 7 2 3 6" xfId="11365"/>
    <cellStyle name="Separador de milhares 3 2 7 2 4" xfId="1231"/>
    <cellStyle name="Separador de milhares 3 2 7 2 4 2" xfId="6775"/>
    <cellStyle name="Separador de milhares 3 2 7 2 4 2 2" xfId="9922"/>
    <cellStyle name="Separador de milhares 3 2 7 2 4 2 2 2" xfId="28136"/>
    <cellStyle name="Separador de milhares 3 2 7 2 4 2 2 3" xfId="22222"/>
    <cellStyle name="Separador de milhares 3 2 7 2 4 2 2 4" xfId="16308"/>
    <cellStyle name="Separador de milhares 3 2 7 2 4 2 3" xfId="25179"/>
    <cellStyle name="Separador de milhares 3 2 7 2 4 2 4" xfId="19265"/>
    <cellStyle name="Separador de milhares 3 2 7 2 4 2 5" xfId="13164"/>
    <cellStyle name="Separador de milhares 3 2 7 2 4 3" xfId="8454"/>
    <cellStyle name="Separador de milhares 3 2 7 2 4 3 2" xfId="26668"/>
    <cellStyle name="Separador de milhares 3 2 7 2 4 3 3" xfId="20754"/>
    <cellStyle name="Separador de milhares 3 2 7 2 4 3 4" xfId="14840"/>
    <cellStyle name="Separador de milhares 3 2 7 2 4 4" xfId="5076"/>
    <cellStyle name="Separador de milhares 3 2 7 2 4 4 2" xfId="23711"/>
    <cellStyle name="Separador de milhares 3 2 7 2 4 5" xfId="17797"/>
    <cellStyle name="Separador de milhares 3 2 7 2 4 6" xfId="11463"/>
    <cellStyle name="Separador de milhares 3 2 7 2 5" xfId="1666"/>
    <cellStyle name="Separador de milhares 3 2 7 2 5 2" xfId="6894"/>
    <cellStyle name="Separador de milhares 3 2 7 2 5 2 2" xfId="10041"/>
    <cellStyle name="Separador de milhares 3 2 7 2 5 2 2 2" xfId="28255"/>
    <cellStyle name="Separador de milhares 3 2 7 2 5 2 2 3" xfId="22341"/>
    <cellStyle name="Separador de milhares 3 2 7 2 5 2 2 4" xfId="16427"/>
    <cellStyle name="Separador de milhares 3 2 7 2 5 2 3" xfId="25298"/>
    <cellStyle name="Separador de milhares 3 2 7 2 5 2 4" xfId="19384"/>
    <cellStyle name="Separador de milhares 3 2 7 2 5 2 5" xfId="13283"/>
    <cellStyle name="Separador de milhares 3 2 7 2 5 3" xfId="8573"/>
    <cellStyle name="Separador de milhares 3 2 7 2 5 3 2" xfId="26787"/>
    <cellStyle name="Separador de milhares 3 2 7 2 5 3 3" xfId="20873"/>
    <cellStyle name="Separador de milhares 3 2 7 2 5 3 4" xfId="14959"/>
    <cellStyle name="Separador de milhares 3 2 7 2 5 4" xfId="5195"/>
    <cellStyle name="Separador de milhares 3 2 7 2 5 4 2" xfId="23830"/>
    <cellStyle name="Separador de milhares 3 2 7 2 5 5" xfId="17916"/>
    <cellStyle name="Separador de milhares 3 2 7 2 5 6" xfId="11582"/>
    <cellStyle name="Separador de milhares 3 2 7 2 6" xfId="2196"/>
    <cellStyle name="Separador de milhares 3 2 7 2 6 2" xfId="7044"/>
    <cellStyle name="Separador de milhares 3 2 7 2 6 2 2" xfId="10188"/>
    <cellStyle name="Separador de milhares 3 2 7 2 6 2 2 2" xfId="28402"/>
    <cellStyle name="Separador de milhares 3 2 7 2 6 2 2 3" xfId="22488"/>
    <cellStyle name="Separador de milhares 3 2 7 2 6 2 2 4" xfId="16574"/>
    <cellStyle name="Separador de milhares 3 2 7 2 6 2 3" xfId="25445"/>
    <cellStyle name="Separador de milhares 3 2 7 2 6 2 4" xfId="19531"/>
    <cellStyle name="Separador de milhares 3 2 7 2 6 2 5" xfId="13433"/>
    <cellStyle name="Separador de milhares 3 2 7 2 6 3" xfId="8720"/>
    <cellStyle name="Separador de milhares 3 2 7 2 6 3 2" xfId="26934"/>
    <cellStyle name="Separador de milhares 3 2 7 2 6 3 3" xfId="21020"/>
    <cellStyle name="Separador de milhares 3 2 7 2 6 3 4" xfId="15106"/>
    <cellStyle name="Separador de milhares 3 2 7 2 6 4" xfId="5345"/>
    <cellStyle name="Separador de milhares 3 2 7 2 6 4 2" xfId="23977"/>
    <cellStyle name="Separador de milhares 3 2 7 2 6 5" xfId="18063"/>
    <cellStyle name="Separador de milhares 3 2 7 2 6 6" xfId="11732"/>
    <cellStyle name="Separador de milhares 3 2 7 2 7" xfId="2723"/>
    <cellStyle name="Separador de milhares 3 2 7 2 7 2" xfId="7191"/>
    <cellStyle name="Separador de milhares 3 2 7 2 7 2 2" xfId="10335"/>
    <cellStyle name="Separador de milhares 3 2 7 2 7 2 2 2" xfId="28549"/>
    <cellStyle name="Separador de milhares 3 2 7 2 7 2 2 3" xfId="22635"/>
    <cellStyle name="Separador de milhares 3 2 7 2 7 2 2 4" xfId="16721"/>
    <cellStyle name="Separador de milhares 3 2 7 2 7 2 3" xfId="25592"/>
    <cellStyle name="Separador de milhares 3 2 7 2 7 2 4" xfId="19678"/>
    <cellStyle name="Separador de milhares 3 2 7 2 7 2 5" xfId="13580"/>
    <cellStyle name="Separador de milhares 3 2 7 2 7 3" xfId="8867"/>
    <cellStyle name="Separador de milhares 3 2 7 2 7 3 2" xfId="27081"/>
    <cellStyle name="Separador de milhares 3 2 7 2 7 3 3" xfId="21167"/>
    <cellStyle name="Separador de milhares 3 2 7 2 7 3 4" xfId="15253"/>
    <cellStyle name="Separador de milhares 3 2 7 2 7 4" xfId="5492"/>
    <cellStyle name="Separador de milhares 3 2 7 2 7 4 2" xfId="24124"/>
    <cellStyle name="Separador de milhares 3 2 7 2 7 5" xfId="18210"/>
    <cellStyle name="Separador de milhares 3 2 7 2 7 6" xfId="11879"/>
    <cellStyle name="Separador de milhares 3 2 7 2 8" xfId="3250"/>
    <cellStyle name="Separador de milhares 3 2 7 2 8 2" xfId="7338"/>
    <cellStyle name="Separador de milhares 3 2 7 2 8 2 2" xfId="10482"/>
    <cellStyle name="Separador de milhares 3 2 7 2 8 2 2 2" xfId="28696"/>
    <cellStyle name="Separador de milhares 3 2 7 2 8 2 2 3" xfId="22782"/>
    <cellStyle name="Separador de milhares 3 2 7 2 8 2 2 4" xfId="16868"/>
    <cellStyle name="Separador de milhares 3 2 7 2 8 2 3" xfId="25739"/>
    <cellStyle name="Separador de milhares 3 2 7 2 8 2 4" xfId="19825"/>
    <cellStyle name="Separador de milhares 3 2 7 2 8 2 5" xfId="13727"/>
    <cellStyle name="Separador de milhares 3 2 7 2 8 3" xfId="9014"/>
    <cellStyle name="Separador de milhares 3 2 7 2 8 3 2" xfId="27228"/>
    <cellStyle name="Separador de milhares 3 2 7 2 8 3 3" xfId="21314"/>
    <cellStyle name="Separador de milhares 3 2 7 2 8 3 4" xfId="15400"/>
    <cellStyle name="Separador de milhares 3 2 7 2 8 4" xfId="5639"/>
    <cellStyle name="Separador de milhares 3 2 7 2 8 4 2" xfId="24271"/>
    <cellStyle name="Separador de milhares 3 2 7 2 8 5" xfId="18357"/>
    <cellStyle name="Separador de milhares 3 2 7 2 8 6" xfId="12026"/>
    <cellStyle name="Separador de milhares 3 2 7 2 9" xfId="3777"/>
    <cellStyle name="Separador de milhares 3 2 7 2 9 2" xfId="7485"/>
    <cellStyle name="Separador de milhares 3 2 7 2 9 2 2" xfId="10629"/>
    <cellStyle name="Separador de milhares 3 2 7 2 9 2 2 2" xfId="28843"/>
    <cellStyle name="Separador de milhares 3 2 7 2 9 2 2 3" xfId="22929"/>
    <cellStyle name="Separador de milhares 3 2 7 2 9 2 2 4" xfId="17015"/>
    <cellStyle name="Separador de milhares 3 2 7 2 9 2 3" xfId="25886"/>
    <cellStyle name="Separador de milhares 3 2 7 2 9 2 4" xfId="19972"/>
    <cellStyle name="Separador de milhares 3 2 7 2 9 2 5" xfId="13874"/>
    <cellStyle name="Separador de milhares 3 2 7 2 9 3" xfId="9161"/>
    <cellStyle name="Separador de milhares 3 2 7 2 9 3 2" xfId="27375"/>
    <cellStyle name="Separador de milhares 3 2 7 2 9 3 3" xfId="21461"/>
    <cellStyle name="Separador de milhares 3 2 7 2 9 3 4" xfId="15547"/>
    <cellStyle name="Separador de milhares 3 2 7 2 9 4" xfId="5786"/>
    <cellStyle name="Separador de milhares 3 2 7 2 9 4 2" xfId="24418"/>
    <cellStyle name="Separador de milhares 3 2 7 2 9 5" xfId="18504"/>
    <cellStyle name="Separador de milhares 3 2 7 2 9 6" xfId="12173"/>
    <cellStyle name="Separador de milhares 3 2 7 3" xfId="229"/>
    <cellStyle name="Separador de milhares 3 2 7 3 10" xfId="6476"/>
    <cellStyle name="Separador de milhares 3 2 7 3 10 2" xfId="9627"/>
    <cellStyle name="Separador de milhares 3 2 7 3 10 2 2" xfId="27841"/>
    <cellStyle name="Separador de milhares 3 2 7 3 10 2 3" xfId="21927"/>
    <cellStyle name="Separador de milhares 3 2 7 3 10 2 4" xfId="16013"/>
    <cellStyle name="Separador de milhares 3 2 7 3 10 3" xfId="24884"/>
    <cellStyle name="Separador de milhares 3 2 7 3 10 4" xfId="18970"/>
    <cellStyle name="Separador de milhares 3 2 7 3 10 5" xfId="12865"/>
    <cellStyle name="Separador de milhares 3 2 7 3 11" xfId="8156"/>
    <cellStyle name="Separador de milhares 3 2 7 3 11 2" xfId="26370"/>
    <cellStyle name="Separador de milhares 3 2 7 3 11 3" xfId="20456"/>
    <cellStyle name="Separador de milhares 3 2 7 3 11 4" xfId="14545"/>
    <cellStyle name="Separador de milhares 3 2 7 3 12" xfId="4775"/>
    <cellStyle name="Separador de milhares 3 2 7 3 12 2" xfId="23413"/>
    <cellStyle name="Separador de milhares 3 2 7 3 13" xfId="17499"/>
    <cellStyle name="Separador de milhares 3 2 7 3 14" xfId="11164"/>
    <cellStyle name="Separador de milhares 3 2 7 3 2" xfId="492"/>
    <cellStyle name="Separador de milhares 3 2 7 3 2 2" xfId="6547"/>
    <cellStyle name="Separador de milhares 3 2 7 3 2 2 2" xfId="9694"/>
    <cellStyle name="Separador de milhares 3 2 7 3 2 2 2 2" xfId="27908"/>
    <cellStyle name="Separador de milhares 3 2 7 3 2 2 2 3" xfId="21994"/>
    <cellStyle name="Separador de milhares 3 2 7 3 2 2 2 4" xfId="16080"/>
    <cellStyle name="Separador de milhares 3 2 7 3 2 2 3" xfId="24951"/>
    <cellStyle name="Separador de milhares 3 2 7 3 2 2 4" xfId="19037"/>
    <cellStyle name="Separador de milhares 3 2 7 3 2 2 5" xfId="12936"/>
    <cellStyle name="Separador de milhares 3 2 7 3 2 3" xfId="8223"/>
    <cellStyle name="Separador de milhares 3 2 7 3 2 3 2" xfId="26437"/>
    <cellStyle name="Separador de milhares 3 2 7 3 2 3 3" xfId="20523"/>
    <cellStyle name="Separador de milhares 3 2 7 3 2 3 4" xfId="14612"/>
    <cellStyle name="Separador de milhares 3 2 7 3 2 4" xfId="4846"/>
    <cellStyle name="Separador de milhares 3 2 7 3 2 4 2" xfId="23480"/>
    <cellStyle name="Separador de milhares 3 2 7 3 2 5" xfId="17566"/>
    <cellStyle name="Separador de milhares 3 2 7 3 2 6" xfId="11235"/>
    <cellStyle name="Separador de milhares 3 2 7 3 3" xfId="789"/>
    <cellStyle name="Separador de milhares 3 2 7 3 3 2" xfId="6649"/>
    <cellStyle name="Separador de milhares 3 2 7 3 3 2 2" xfId="9796"/>
    <cellStyle name="Separador de milhares 3 2 7 3 3 2 2 2" xfId="28010"/>
    <cellStyle name="Separador de milhares 3 2 7 3 3 2 2 3" xfId="22096"/>
    <cellStyle name="Separador de milhares 3 2 7 3 3 2 2 4" xfId="16182"/>
    <cellStyle name="Separador de milhares 3 2 7 3 3 2 3" xfId="25053"/>
    <cellStyle name="Separador de milhares 3 2 7 3 3 2 4" xfId="19139"/>
    <cellStyle name="Separador de milhares 3 2 7 3 3 2 5" xfId="13038"/>
    <cellStyle name="Separador de milhares 3 2 7 3 3 3" xfId="8328"/>
    <cellStyle name="Separador de milhares 3 2 7 3 3 3 2" xfId="26542"/>
    <cellStyle name="Separador de milhares 3 2 7 3 3 3 3" xfId="20628"/>
    <cellStyle name="Separador de milhares 3 2 7 3 3 3 4" xfId="14714"/>
    <cellStyle name="Separador de milhares 3 2 7 3 3 4" xfId="4950"/>
    <cellStyle name="Separador de milhares 3 2 7 3 3 4 2" xfId="23585"/>
    <cellStyle name="Separador de milhares 3 2 7 3 3 5" xfId="17671"/>
    <cellStyle name="Separador de milhares 3 2 7 3 3 6" xfId="11337"/>
    <cellStyle name="Separador de milhares 3 2 7 3 4" xfId="1140"/>
    <cellStyle name="Separador de milhares 3 2 7 3 4 2" xfId="6747"/>
    <cellStyle name="Separador de milhares 3 2 7 3 4 2 2" xfId="9894"/>
    <cellStyle name="Separador de milhares 3 2 7 3 4 2 2 2" xfId="28108"/>
    <cellStyle name="Separador de milhares 3 2 7 3 4 2 2 3" xfId="22194"/>
    <cellStyle name="Separador de milhares 3 2 7 3 4 2 2 4" xfId="16280"/>
    <cellStyle name="Separador de milhares 3 2 7 3 4 2 3" xfId="25151"/>
    <cellStyle name="Separador de milhares 3 2 7 3 4 2 4" xfId="19237"/>
    <cellStyle name="Separador de milhares 3 2 7 3 4 2 5" xfId="13136"/>
    <cellStyle name="Separador de milhares 3 2 7 3 4 3" xfId="8426"/>
    <cellStyle name="Separador de milhares 3 2 7 3 4 3 2" xfId="26640"/>
    <cellStyle name="Separador de milhares 3 2 7 3 4 3 3" xfId="20726"/>
    <cellStyle name="Separador de milhares 3 2 7 3 4 3 4" xfId="14812"/>
    <cellStyle name="Separador de milhares 3 2 7 3 4 4" xfId="5048"/>
    <cellStyle name="Separador de milhares 3 2 7 3 4 4 2" xfId="23683"/>
    <cellStyle name="Separador de milhares 3 2 7 3 4 5" xfId="17769"/>
    <cellStyle name="Separador de milhares 3 2 7 3 4 6" xfId="11435"/>
    <cellStyle name="Separador de milhares 3 2 7 3 5" xfId="1575"/>
    <cellStyle name="Separador de milhares 3 2 7 3 5 2" xfId="6866"/>
    <cellStyle name="Separador de milhares 3 2 7 3 5 2 2" xfId="10013"/>
    <cellStyle name="Separador de milhares 3 2 7 3 5 2 2 2" xfId="28227"/>
    <cellStyle name="Separador de milhares 3 2 7 3 5 2 2 3" xfId="22313"/>
    <cellStyle name="Separador de milhares 3 2 7 3 5 2 2 4" xfId="16399"/>
    <cellStyle name="Separador de milhares 3 2 7 3 5 2 3" xfId="25270"/>
    <cellStyle name="Separador de milhares 3 2 7 3 5 2 4" xfId="19356"/>
    <cellStyle name="Separador de milhares 3 2 7 3 5 2 5" xfId="13255"/>
    <cellStyle name="Separador de milhares 3 2 7 3 5 3" xfId="8545"/>
    <cellStyle name="Separador de milhares 3 2 7 3 5 3 2" xfId="26759"/>
    <cellStyle name="Separador de milhares 3 2 7 3 5 3 3" xfId="20845"/>
    <cellStyle name="Separador de milhares 3 2 7 3 5 3 4" xfId="14931"/>
    <cellStyle name="Separador de milhares 3 2 7 3 5 4" xfId="5167"/>
    <cellStyle name="Separador de milhares 3 2 7 3 5 4 2" xfId="23802"/>
    <cellStyle name="Separador de milhares 3 2 7 3 5 5" xfId="17888"/>
    <cellStyle name="Separador de milhares 3 2 7 3 5 6" xfId="11554"/>
    <cellStyle name="Separador de milhares 3 2 7 3 6" xfId="2105"/>
    <cellStyle name="Separador de milhares 3 2 7 3 6 2" xfId="7016"/>
    <cellStyle name="Separador de milhares 3 2 7 3 6 2 2" xfId="10160"/>
    <cellStyle name="Separador de milhares 3 2 7 3 6 2 2 2" xfId="28374"/>
    <cellStyle name="Separador de milhares 3 2 7 3 6 2 2 3" xfId="22460"/>
    <cellStyle name="Separador de milhares 3 2 7 3 6 2 2 4" xfId="16546"/>
    <cellStyle name="Separador de milhares 3 2 7 3 6 2 3" xfId="25417"/>
    <cellStyle name="Separador de milhares 3 2 7 3 6 2 4" xfId="19503"/>
    <cellStyle name="Separador de milhares 3 2 7 3 6 2 5" xfId="13405"/>
    <cellStyle name="Separador de milhares 3 2 7 3 6 3" xfId="8692"/>
    <cellStyle name="Separador de milhares 3 2 7 3 6 3 2" xfId="26906"/>
    <cellStyle name="Separador de milhares 3 2 7 3 6 3 3" xfId="20992"/>
    <cellStyle name="Separador de milhares 3 2 7 3 6 3 4" xfId="15078"/>
    <cellStyle name="Separador de milhares 3 2 7 3 6 4" xfId="5317"/>
    <cellStyle name="Separador de milhares 3 2 7 3 6 4 2" xfId="23949"/>
    <cellStyle name="Separador de milhares 3 2 7 3 6 5" xfId="18035"/>
    <cellStyle name="Separador de milhares 3 2 7 3 6 6" xfId="11704"/>
    <cellStyle name="Separador de milhares 3 2 7 3 7" xfId="2632"/>
    <cellStyle name="Separador de milhares 3 2 7 3 7 2" xfId="7163"/>
    <cellStyle name="Separador de milhares 3 2 7 3 7 2 2" xfId="10307"/>
    <cellStyle name="Separador de milhares 3 2 7 3 7 2 2 2" xfId="28521"/>
    <cellStyle name="Separador de milhares 3 2 7 3 7 2 2 3" xfId="22607"/>
    <cellStyle name="Separador de milhares 3 2 7 3 7 2 2 4" xfId="16693"/>
    <cellStyle name="Separador de milhares 3 2 7 3 7 2 3" xfId="25564"/>
    <cellStyle name="Separador de milhares 3 2 7 3 7 2 4" xfId="19650"/>
    <cellStyle name="Separador de milhares 3 2 7 3 7 2 5" xfId="13552"/>
    <cellStyle name="Separador de milhares 3 2 7 3 7 3" xfId="8839"/>
    <cellStyle name="Separador de milhares 3 2 7 3 7 3 2" xfId="27053"/>
    <cellStyle name="Separador de milhares 3 2 7 3 7 3 3" xfId="21139"/>
    <cellStyle name="Separador de milhares 3 2 7 3 7 3 4" xfId="15225"/>
    <cellStyle name="Separador de milhares 3 2 7 3 7 4" xfId="5464"/>
    <cellStyle name="Separador de milhares 3 2 7 3 7 4 2" xfId="24096"/>
    <cellStyle name="Separador de milhares 3 2 7 3 7 5" xfId="18182"/>
    <cellStyle name="Separador de milhares 3 2 7 3 7 6" xfId="11851"/>
    <cellStyle name="Separador de milhares 3 2 7 3 8" xfId="3159"/>
    <cellStyle name="Separador de milhares 3 2 7 3 8 2" xfId="7310"/>
    <cellStyle name="Separador de milhares 3 2 7 3 8 2 2" xfId="10454"/>
    <cellStyle name="Separador de milhares 3 2 7 3 8 2 2 2" xfId="28668"/>
    <cellStyle name="Separador de milhares 3 2 7 3 8 2 2 3" xfId="22754"/>
    <cellStyle name="Separador de milhares 3 2 7 3 8 2 2 4" xfId="16840"/>
    <cellStyle name="Separador de milhares 3 2 7 3 8 2 3" xfId="25711"/>
    <cellStyle name="Separador de milhares 3 2 7 3 8 2 4" xfId="19797"/>
    <cellStyle name="Separador de milhares 3 2 7 3 8 2 5" xfId="13699"/>
    <cellStyle name="Separador de milhares 3 2 7 3 8 3" xfId="8986"/>
    <cellStyle name="Separador de milhares 3 2 7 3 8 3 2" xfId="27200"/>
    <cellStyle name="Separador de milhares 3 2 7 3 8 3 3" xfId="21286"/>
    <cellStyle name="Separador de milhares 3 2 7 3 8 3 4" xfId="15372"/>
    <cellStyle name="Separador de milhares 3 2 7 3 8 4" xfId="5611"/>
    <cellStyle name="Separador de milhares 3 2 7 3 8 4 2" xfId="24243"/>
    <cellStyle name="Separador de milhares 3 2 7 3 8 5" xfId="18329"/>
    <cellStyle name="Separador de milhares 3 2 7 3 8 6" xfId="11998"/>
    <cellStyle name="Separador de milhares 3 2 7 3 9" xfId="3686"/>
    <cellStyle name="Separador de milhares 3 2 7 3 9 2" xfId="7457"/>
    <cellStyle name="Separador de milhares 3 2 7 3 9 2 2" xfId="10601"/>
    <cellStyle name="Separador de milhares 3 2 7 3 9 2 2 2" xfId="28815"/>
    <cellStyle name="Separador de milhares 3 2 7 3 9 2 2 3" xfId="22901"/>
    <cellStyle name="Separador de milhares 3 2 7 3 9 2 2 4" xfId="16987"/>
    <cellStyle name="Separador de milhares 3 2 7 3 9 2 3" xfId="25858"/>
    <cellStyle name="Separador de milhares 3 2 7 3 9 2 4" xfId="19944"/>
    <cellStyle name="Separador de milhares 3 2 7 3 9 2 5" xfId="13846"/>
    <cellStyle name="Separador de milhares 3 2 7 3 9 3" xfId="9133"/>
    <cellStyle name="Separador de milhares 3 2 7 3 9 3 2" xfId="27347"/>
    <cellStyle name="Separador de milhares 3 2 7 3 9 3 3" xfId="21433"/>
    <cellStyle name="Separador de milhares 3 2 7 3 9 3 4" xfId="15519"/>
    <cellStyle name="Separador de milhares 3 2 7 3 9 4" xfId="5758"/>
    <cellStyle name="Separador de milhares 3 2 7 3 9 4 2" xfId="24390"/>
    <cellStyle name="Separador de milhares 3 2 7 3 9 5" xfId="18476"/>
    <cellStyle name="Separador de milhares 3 2 7 3 9 6" xfId="12145"/>
    <cellStyle name="Separador de milhares 3 2 7 4" xfId="322"/>
    <cellStyle name="Separador de milhares 3 2 7 4 10" xfId="6504"/>
    <cellStyle name="Separador de milhares 3 2 7 4 10 2" xfId="9652"/>
    <cellStyle name="Separador de milhares 3 2 7 4 10 2 2" xfId="27866"/>
    <cellStyle name="Separador de milhares 3 2 7 4 10 2 3" xfId="21952"/>
    <cellStyle name="Separador de milhares 3 2 7 4 10 2 4" xfId="16038"/>
    <cellStyle name="Separador de milhares 3 2 7 4 10 3" xfId="24909"/>
    <cellStyle name="Separador de milhares 3 2 7 4 10 4" xfId="18995"/>
    <cellStyle name="Separador de milhares 3 2 7 4 10 5" xfId="12893"/>
    <cellStyle name="Separador de milhares 3 2 7 4 11" xfId="8181"/>
    <cellStyle name="Separador de milhares 3 2 7 4 11 2" xfId="26395"/>
    <cellStyle name="Separador de milhares 3 2 7 4 11 3" xfId="20481"/>
    <cellStyle name="Separador de milhares 3 2 7 4 11 4" xfId="14570"/>
    <cellStyle name="Separador de milhares 3 2 7 4 12" xfId="4803"/>
    <cellStyle name="Separador de milhares 3 2 7 4 12 2" xfId="23438"/>
    <cellStyle name="Separador de milhares 3 2 7 4 13" xfId="17524"/>
    <cellStyle name="Separador de milhares 3 2 7 4 14" xfId="11192"/>
    <cellStyle name="Separador de milhares 3 2 7 4 2" xfId="967"/>
    <cellStyle name="Separador de milhares 3 2 7 4 2 2" xfId="6701"/>
    <cellStyle name="Separador de milhares 3 2 7 4 2 2 2" xfId="9848"/>
    <cellStyle name="Separador de milhares 3 2 7 4 2 2 2 2" xfId="28062"/>
    <cellStyle name="Separador de milhares 3 2 7 4 2 2 2 3" xfId="22148"/>
    <cellStyle name="Separador de milhares 3 2 7 4 2 2 2 4" xfId="16234"/>
    <cellStyle name="Separador de milhares 3 2 7 4 2 2 3" xfId="25105"/>
    <cellStyle name="Separador de milhares 3 2 7 4 2 2 4" xfId="19191"/>
    <cellStyle name="Separador de milhares 3 2 7 4 2 2 5" xfId="13090"/>
    <cellStyle name="Separador de milhares 3 2 7 4 2 3" xfId="8380"/>
    <cellStyle name="Separador de milhares 3 2 7 4 2 3 2" xfId="26594"/>
    <cellStyle name="Separador de milhares 3 2 7 4 2 3 3" xfId="20680"/>
    <cellStyle name="Separador de milhares 3 2 7 4 2 3 4" xfId="14766"/>
    <cellStyle name="Separador de milhares 3 2 7 4 2 4" xfId="5002"/>
    <cellStyle name="Separador de milhares 3 2 7 4 2 4 2" xfId="23637"/>
    <cellStyle name="Separador de milhares 3 2 7 4 2 5" xfId="17723"/>
    <cellStyle name="Separador de milhares 3 2 7 4 2 6" xfId="11389"/>
    <cellStyle name="Separador de milhares 3 2 7 4 3" xfId="1318"/>
    <cellStyle name="Separador de milhares 3 2 7 4 3 2" xfId="6799"/>
    <cellStyle name="Separador de milhares 3 2 7 4 3 2 2" xfId="9946"/>
    <cellStyle name="Separador de milhares 3 2 7 4 3 2 2 2" xfId="28160"/>
    <cellStyle name="Separador de milhares 3 2 7 4 3 2 2 3" xfId="22246"/>
    <cellStyle name="Separador de milhares 3 2 7 4 3 2 2 4" xfId="16332"/>
    <cellStyle name="Separador de milhares 3 2 7 4 3 2 3" xfId="25203"/>
    <cellStyle name="Separador de milhares 3 2 7 4 3 2 4" xfId="19289"/>
    <cellStyle name="Separador de milhares 3 2 7 4 3 2 5" xfId="13188"/>
    <cellStyle name="Separador de milhares 3 2 7 4 3 3" xfId="8478"/>
    <cellStyle name="Separador de milhares 3 2 7 4 3 3 2" xfId="26692"/>
    <cellStyle name="Separador de milhares 3 2 7 4 3 3 3" xfId="20778"/>
    <cellStyle name="Separador de milhares 3 2 7 4 3 3 4" xfId="14864"/>
    <cellStyle name="Separador de milhares 3 2 7 4 3 4" xfId="5100"/>
    <cellStyle name="Separador de milhares 3 2 7 4 3 4 2" xfId="23735"/>
    <cellStyle name="Separador de milhares 3 2 7 4 3 5" xfId="17821"/>
    <cellStyle name="Separador de milhares 3 2 7 4 3 6" xfId="11487"/>
    <cellStyle name="Separador de milhares 3 2 7 4 4" xfId="1753"/>
    <cellStyle name="Separador de milhares 3 2 7 4 4 2" xfId="6918"/>
    <cellStyle name="Separador de milhares 3 2 7 4 4 2 2" xfId="10065"/>
    <cellStyle name="Separador de milhares 3 2 7 4 4 2 2 2" xfId="28279"/>
    <cellStyle name="Separador de milhares 3 2 7 4 4 2 2 3" xfId="22365"/>
    <cellStyle name="Separador de milhares 3 2 7 4 4 2 2 4" xfId="16451"/>
    <cellStyle name="Separador de milhares 3 2 7 4 4 2 3" xfId="25322"/>
    <cellStyle name="Separador de milhares 3 2 7 4 4 2 4" xfId="19408"/>
    <cellStyle name="Separador de milhares 3 2 7 4 4 2 5" xfId="13307"/>
    <cellStyle name="Separador de milhares 3 2 7 4 4 3" xfId="8597"/>
    <cellStyle name="Separador de milhares 3 2 7 4 4 3 2" xfId="26811"/>
    <cellStyle name="Separador de milhares 3 2 7 4 4 3 3" xfId="20897"/>
    <cellStyle name="Separador de milhares 3 2 7 4 4 3 4" xfId="14983"/>
    <cellStyle name="Separador de milhares 3 2 7 4 4 4" xfId="5219"/>
    <cellStyle name="Separador de milhares 3 2 7 4 4 4 2" xfId="23854"/>
    <cellStyle name="Separador de milhares 3 2 7 4 4 5" xfId="17940"/>
    <cellStyle name="Separador de milhares 3 2 7 4 4 6" xfId="11606"/>
    <cellStyle name="Separador de milhares 3 2 7 4 5" xfId="2283"/>
    <cellStyle name="Separador de milhares 3 2 7 4 5 2" xfId="7068"/>
    <cellStyle name="Separador de milhares 3 2 7 4 5 2 2" xfId="10212"/>
    <cellStyle name="Separador de milhares 3 2 7 4 5 2 2 2" xfId="28426"/>
    <cellStyle name="Separador de milhares 3 2 7 4 5 2 2 3" xfId="22512"/>
    <cellStyle name="Separador de milhares 3 2 7 4 5 2 2 4" xfId="16598"/>
    <cellStyle name="Separador de milhares 3 2 7 4 5 2 3" xfId="25469"/>
    <cellStyle name="Separador de milhares 3 2 7 4 5 2 4" xfId="19555"/>
    <cellStyle name="Separador de milhares 3 2 7 4 5 2 5" xfId="13457"/>
    <cellStyle name="Separador de milhares 3 2 7 4 5 3" xfId="8744"/>
    <cellStyle name="Separador de milhares 3 2 7 4 5 3 2" xfId="26958"/>
    <cellStyle name="Separador de milhares 3 2 7 4 5 3 3" xfId="21044"/>
    <cellStyle name="Separador de milhares 3 2 7 4 5 3 4" xfId="15130"/>
    <cellStyle name="Separador de milhares 3 2 7 4 5 4" xfId="5369"/>
    <cellStyle name="Separador de milhares 3 2 7 4 5 4 2" xfId="24001"/>
    <cellStyle name="Separador de milhares 3 2 7 4 5 5" xfId="18087"/>
    <cellStyle name="Separador de milhares 3 2 7 4 5 6" xfId="11756"/>
    <cellStyle name="Separador de milhares 3 2 7 4 6" xfId="2810"/>
    <cellStyle name="Separador de milhares 3 2 7 4 6 2" xfId="7215"/>
    <cellStyle name="Separador de milhares 3 2 7 4 6 2 2" xfId="10359"/>
    <cellStyle name="Separador de milhares 3 2 7 4 6 2 2 2" xfId="28573"/>
    <cellStyle name="Separador de milhares 3 2 7 4 6 2 2 3" xfId="22659"/>
    <cellStyle name="Separador de milhares 3 2 7 4 6 2 2 4" xfId="16745"/>
    <cellStyle name="Separador de milhares 3 2 7 4 6 2 3" xfId="25616"/>
    <cellStyle name="Separador de milhares 3 2 7 4 6 2 4" xfId="19702"/>
    <cellStyle name="Separador de milhares 3 2 7 4 6 2 5" xfId="13604"/>
    <cellStyle name="Separador de milhares 3 2 7 4 6 3" xfId="8891"/>
    <cellStyle name="Separador de milhares 3 2 7 4 6 3 2" xfId="27105"/>
    <cellStyle name="Separador de milhares 3 2 7 4 6 3 3" xfId="21191"/>
    <cellStyle name="Separador de milhares 3 2 7 4 6 3 4" xfId="15277"/>
    <cellStyle name="Separador de milhares 3 2 7 4 6 4" xfId="5516"/>
    <cellStyle name="Separador de milhares 3 2 7 4 6 4 2" xfId="24148"/>
    <cellStyle name="Separador de milhares 3 2 7 4 6 5" xfId="18234"/>
    <cellStyle name="Separador de milhares 3 2 7 4 6 6" xfId="11903"/>
    <cellStyle name="Separador de milhares 3 2 7 4 7" xfId="3337"/>
    <cellStyle name="Separador de milhares 3 2 7 4 7 2" xfId="7362"/>
    <cellStyle name="Separador de milhares 3 2 7 4 7 2 2" xfId="10506"/>
    <cellStyle name="Separador de milhares 3 2 7 4 7 2 2 2" xfId="28720"/>
    <cellStyle name="Separador de milhares 3 2 7 4 7 2 2 3" xfId="22806"/>
    <cellStyle name="Separador de milhares 3 2 7 4 7 2 2 4" xfId="16892"/>
    <cellStyle name="Separador de milhares 3 2 7 4 7 2 3" xfId="25763"/>
    <cellStyle name="Separador de milhares 3 2 7 4 7 2 4" xfId="19849"/>
    <cellStyle name="Separador de milhares 3 2 7 4 7 2 5" xfId="13751"/>
    <cellStyle name="Separador de milhares 3 2 7 4 7 3" xfId="9038"/>
    <cellStyle name="Separador de milhares 3 2 7 4 7 3 2" xfId="27252"/>
    <cellStyle name="Separador de milhares 3 2 7 4 7 3 3" xfId="21338"/>
    <cellStyle name="Separador de milhares 3 2 7 4 7 3 4" xfId="15424"/>
    <cellStyle name="Separador de milhares 3 2 7 4 7 4" xfId="5663"/>
    <cellStyle name="Separador de milhares 3 2 7 4 7 4 2" xfId="24295"/>
    <cellStyle name="Separador de milhares 3 2 7 4 7 5" xfId="18381"/>
    <cellStyle name="Separador de milhares 3 2 7 4 7 6" xfId="12050"/>
    <cellStyle name="Separador de milhares 3 2 7 4 8" xfId="3864"/>
    <cellStyle name="Separador de milhares 3 2 7 4 8 2" xfId="7509"/>
    <cellStyle name="Separador de milhares 3 2 7 4 8 2 2" xfId="10653"/>
    <cellStyle name="Separador de milhares 3 2 7 4 8 2 2 2" xfId="28867"/>
    <cellStyle name="Separador de milhares 3 2 7 4 8 2 2 3" xfId="22953"/>
    <cellStyle name="Separador de milhares 3 2 7 4 8 2 2 4" xfId="17039"/>
    <cellStyle name="Separador de milhares 3 2 7 4 8 2 3" xfId="25910"/>
    <cellStyle name="Separador de milhares 3 2 7 4 8 2 4" xfId="19996"/>
    <cellStyle name="Separador de milhares 3 2 7 4 8 2 5" xfId="13898"/>
    <cellStyle name="Separador de milhares 3 2 7 4 8 3" xfId="9185"/>
    <cellStyle name="Separador de milhares 3 2 7 4 8 3 2" xfId="27399"/>
    <cellStyle name="Separador de milhares 3 2 7 4 8 3 3" xfId="21485"/>
    <cellStyle name="Separador de milhares 3 2 7 4 8 3 4" xfId="15571"/>
    <cellStyle name="Separador de milhares 3 2 7 4 8 4" xfId="5810"/>
    <cellStyle name="Separador de milhares 3 2 7 4 8 4 2" xfId="24442"/>
    <cellStyle name="Separador de milhares 3 2 7 4 8 5" xfId="18528"/>
    <cellStyle name="Separador de milhares 3 2 7 4 8 6" xfId="12197"/>
    <cellStyle name="Separador de milhares 3 2 7 4 9" xfId="668"/>
    <cellStyle name="Separador de milhares 3 2 7 4 9 2" xfId="6603"/>
    <cellStyle name="Separador de milhares 3 2 7 4 9 2 2" xfId="9750"/>
    <cellStyle name="Separador de milhares 3 2 7 4 9 2 2 2" xfId="27964"/>
    <cellStyle name="Separador de milhares 3 2 7 4 9 2 2 3" xfId="22050"/>
    <cellStyle name="Separador de milhares 3 2 7 4 9 2 2 4" xfId="16136"/>
    <cellStyle name="Separador de milhares 3 2 7 4 9 2 3" xfId="25007"/>
    <cellStyle name="Separador de milhares 3 2 7 4 9 2 4" xfId="19093"/>
    <cellStyle name="Separador de milhares 3 2 7 4 9 2 5" xfId="12992"/>
    <cellStyle name="Separador de milhares 3 2 7 4 9 3" xfId="8282"/>
    <cellStyle name="Separador de milhares 3 2 7 4 9 3 2" xfId="26496"/>
    <cellStyle name="Separador de milhares 3 2 7 4 9 3 3" xfId="20582"/>
    <cellStyle name="Separador de milhares 3 2 7 4 9 3 4" xfId="14668"/>
    <cellStyle name="Separador de milhares 3 2 7 4 9 4" xfId="4904"/>
    <cellStyle name="Separador de milhares 3 2 7 4 9 4 2" xfId="23539"/>
    <cellStyle name="Separador de milhares 3 2 7 4 9 5" xfId="17625"/>
    <cellStyle name="Separador de milhares 3 2 7 4 9 6" xfId="11291"/>
    <cellStyle name="Separador de milhares 3 2 7 5" xfId="579"/>
    <cellStyle name="Separador de milhares 3 2 7 5 10" xfId="4868"/>
    <cellStyle name="Separador de milhares 3 2 7 5 10 2" xfId="23502"/>
    <cellStyle name="Separador de milhares 3 2 7 5 11" xfId="17588"/>
    <cellStyle name="Separador de milhares 3 2 7 5 12" xfId="11257"/>
    <cellStyle name="Separador de milhares 3 2 7 5 2" xfId="1402"/>
    <cellStyle name="Separador de milhares 3 2 7 5 2 2" xfId="6820"/>
    <cellStyle name="Separador de milhares 3 2 7 5 2 2 2" xfId="9967"/>
    <cellStyle name="Separador de milhares 3 2 7 5 2 2 2 2" xfId="28181"/>
    <cellStyle name="Separador de milhares 3 2 7 5 2 2 2 3" xfId="22267"/>
    <cellStyle name="Separador de milhares 3 2 7 5 2 2 2 4" xfId="16353"/>
    <cellStyle name="Separador de milhares 3 2 7 5 2 2 3" xfId="25224"/>
    <cellStyle name="Separador de milhares 3 2 7 5 2 2 4" xfId="19310"/>
    <cellStyle name="Separador de milhares 3 2 7 5 2 2 5" xfId="13209"/>
    <cellStyle name="Separador de milhares 3 2 7 5 2 3" xfId="8499"/>
    <cellStyle name="Separador de milhares 3 2 7 5 2 3 2" xfId="26713"/>
    <cellStyle name="Separador de milhares 3 2 7 5 2 3 3" xfId="20799"/>
    <cellStyle name="Separador de milhares 3 2 7 5 2 3 4" xfId="14885"/>
    <cellStyle name="Separador de milhares 3 2 7 5 2 4" xfId="5121"/>
    <cellStyle name="Separador de milhares 3 2 7 5 2 4 2" xfId="23756"/>
    <cellStyle name="Separador de milhares 3 2 7 5 2 5" xfId="17842"/>
    <cellStyle name="Separador de milhares 3 2 7 5 2 6" xfId="11508"/>
    <cellStyle name="Separador de milhares 3 2 7 5 3" xfId="1837"/>
    <cellStyle name="Separador de milhares 3 2 7 5 3 2" xfId="6939"/>
    <cellStyle name="Separador de milhares 3 2 7 5 3 2 2" xfId="10086"/>
    <cellStyle name="Separador de milhares 3 2 7 5 3 2 2 2" xfId="28300"/>
    <cellStyle name="Separador de milhares 3 2 7 5 3 2 2 3" xfId="22386"/>
    <cellStyle name="Separador de milhares 3 2 7 5 3 2 2 4" xfId="16472"/>
    <cellStyle name="Separador de milhares 3 2 7 5 3 2 3" xfId="25343"/>
    <cellStyle name="Separador de milhares 3 2 7 5 3 2 4" xfId="19429"/>
    <cellStyle name="Separador de milhares 3 2 7 5 3 2 5" xfId="13328"/>
    <cellStyle name="Separador de milhares 3 2 7 5 3 3" xfId="8618"/>
    <cellStyle name="Separador de milhares 3 2 7 5 3 3 2" xfId="26832"/>
    <cellStyle name="Separador de milhares 3 2 7 5 3 3 3" xfId="20918"/>
    <cellStyle name="Separador de milhares 3 2 7 5 3 3 4" xfId="15004"/>
    <cellStyle name="Separador de milhares 3 2 7 5 3 4" xfId="5240"/>
    <cellStyle name="Separador de milhares 3 2 7 5 3 4 2" xfId="23875"/>
    <cellStyle name="Separador de milhares 3 2 7 5 3 5" xfId="17961"/>
    <cellStyle name="Separador de milhares 3 2 7 5 3 6" xfId="11627"/>
    <cellStyle name="Separador de milhares 3 2 7 5 4" xfId="2367"/>
    <cellStyle name="Separador de milhares 3 2 7 5 4 2" xfId="7089"/>
    <cellStyle name="Separador de milhares 3 2 7 5 4 2 2" xfId="10233"/>
    <cellStyle name="Separador de milhares 3 2 7 5 4 2 2 2" xfId="28447"/>
    <cellStyle name="Separador de milhares 3 2 7 5 4 2 2 3" xfId="22533"/>
    <cellStyle name="Separador de milhares 3 2 7 5 4 2 2 4" xfId="16619"/>
    <cellStyle name="Separador de milhares 3 2 7 5 4 2 3" xfId="25490"/>
    <cellStyle name="Separador de milhares 3 2 7 5 4 2 4" xfId="19576"/>
    <cellStyle name="Separador de milhares 3 2 7 5 4 2 5" xfId="13478"/>
    <cellStyle name="Separador de milhares 3 2 7 5 4 3" xfId="8765"/>
    <cellStyle name="Separador de milhares 3 2 7 5 4 3 2" xfId="26979"/>
    <cellStyle name="Separador de milhares 3 2 7 5 4 3 3" xfId="21065"/>
    <cellStyle name="Separador de milhares 3 2 7 5 4 3 4" xfId="15151"/>
    <cellStyle name="Separador de milhares 3 2 7 5 4 4" xfId="5390"/>
    <cellStyle name="Separador de milhares 3 2 7 5 4 4 2" xfId="24022"/>
    <cellStyle name="Separador de milhares 3 2 7 5 4 5" xfId="18108"/>
    <cellStyle name="Separador de milhares 3 2 7 5 4 6" xfId="11777"/>
    <cellStyle name="Separador de milhares 3 2 7 5 5" xfId="2894"/>
    <cellStyle name="Separador de milhares 3 2 7 5 5 2" xfId="7236"/>
    <cellStyle name="Separador de milhares 3 2 7 5 5 2 2" xfId="10380"/>
    <cellStyle name="Separador de milhares 3 2 7 5 5 2 2 2" xfId="28594"/>
    <cellStyle name="Separador de milhares 3 2 7 5 5 2 2 3" xfId="22680"/>
    <cellStyle name="Separador de milhares 3 2 7 5 5 2 2 4" xfId="16766"/>
    <cellStyle name="Separador de milhares 3 2 7 5 5 2 3" xfId="25637"/>
    <cellStyle name="Separador de milhares 3 2 7 5 5 2 4" xfId="19723"/>
    <cellStyle name="Separador de milhares 3 2 7 5 5 2 5" xfId="13625"/>
    <cellStyle name="Separador de milhares 3 2 7 5 5 3" xfId="8912"/>
    <cellStyle name="Separador de milhares 3 2 7 5 5 3 2" xfId="27126"/>
    <cellStyle name="Separador de milhares 3 2 7 5 5 3 3" xfId="21212"/>
    <cellStyle name="Separador de milhares 3 2 7 5 5 3 4" xfId="15298"/>
    <cellStyle name="Separador de milhares 3 2 7 5 5 4" xfId="5537"/>
    <cellStyle name="Separador de milhares 3 2 7 5 5 4 2" xfId="24169"/>
    <cellStyle name="Separador de milhares 3 2 7 5 5 5" xfId="18255"/>
    <cellStyle name="Separador de milhares 3 2 7 5 5 6" xfId="11924"/>
    <cellStyle name="Separador de milhares 3 2 7 5 6" xfId="3421"/>
    <cellStyle name="Separador de milhares 3 2 7 5 6 2" xfId="7383"/>
    <cellStyle name="Separador de milhares 3 2 7 5 6 2 2" xfId="10527"/>
    <cellStyle name="Separador de milhares 3 2 7 5 6 2 2 2" xfId="28741"/>
    <cellStyle name="Separador de milhares 3 2 7 5 6 2 2 3" xfId="22827"/>
    <cellStyle name="Separador de milhares 3 2 7 5 6 2 2 4" xfId="16913"/>
    <cellStyle name="Separador de milhares 3 2 7 5 6 2 3" xfId="25784"/>
    <cellStyle name="Separador de milhares 3 2 7 5 6 2 4" xfId="19870"/>
    <cellStyle name="Separador de milhares 3 2 7 5 6 2 5" xfId="13772"/>
    <cellStyle name="Separador de milhares 3 2 7 5 6 3" xfId="9059"/>
    <cellStyle name="Separador de milhares 3 2 7 5 6 3 2" xfId="27273"/>
    <cellStyle name="Separador de milhares 3 2 7 5 6 3 3" xfId="21359"/>
    <cellStyle name="Separador de milhares 3 2 7 5 6 3 4" xfId="15445"/>
    <cellStyle name="Separador de milhares 3 2 7 5 6 4" xfId="5684"/>
    <cellStyle name="Separador de milhares 3 2 7 5 6 4 2" xfId="24316"/>
    <cellStyle name="Separador de milhares 3 2 7 5 6 5" xfId="18402"/>
    <cellStyle name="Separador de milhares 3 2 7 5 6 6" xfId="12071"/>
    <cellStyle name="Separador de milhares 3 2 7 5 7" xfId="3948"/>
    <cellStyle name="Separador de milhares 3 2 7 5 7 2" xfId="7530"/>
    <cellStyle name="Separador de milhares 3 2 7 5 7 2 2" xfId="10674"/>
    <cellStyle name="Separador de milhares 3 2 7 5 7 2 2 2" xfId="28888"/>
    <cellStyle name="Separador de milhares 3 2 7 5 7 2 2 3" xfId="22974"/>
    <cellStyle name="Separador de milhares 3 2 7 5 7 2 2 4" xfId="17060"/>
    <cellStyle name="Separador de milhares 3 2 7 5 7 2 3" xfId="25931"/>
    <cellStyle name="Separador de milhares 3 2 7 5 7 2 4" xfId="20017"/>
    <cellStyle name="Separador de milhares 3 2 7 5 7 2 5" xfId="13919"/>
    <cellStyle name="Separador de milhares 3 2 7 5 7 3" xfId="9206"/>
    <cellStyle name="Separador de milhares 3 2 7 5 7 3 2" xfId="27420"/>
    <cellStyle name="Separador de milhares 3 2 7 5 7 3 3" xfId="21506"/>
    <cellStyle name="Separador de milhares 3 2 7 5 7 3 4" xfId="15592"/>
    <cellStyle name="Separador de milhares 3 2 7 5 7 4" xfId="5831"/>
    <cellStyle name="Separador de milhares 3 2 7 5 7 4 2" xfId="24463"/>
    <cellStyle name="Separador de milhares 3 2 7 5 7 5" xfId="18549"/>
    <cellStyle name="Separador de milhares 3 2 7 5 7 6" xfId="12218"/>
    <cellStyle name="Separador de milhares 3 2 7 5 8" xfId="6569"/>
    <cellStyle name="Separador de milhares 3 2 7 5 8 2" xfId="9716"/>
    <cellStyle name="Separador de milhares 3 2 7 5 8 2 2" xfId="27930"/>
    <cellStyle name="Separador de milhares 3 2 7 5 8 2 3" xfId="22016"/>
    <cellStyle name="Separador de milhares 3 2 7 5 8 2 4" xfId="16102"/>
    <cellStyle name="Separador de milhares 3 2 7 5 8 3" xfId="24973"/>
    <cellStyle name="Separador de milhares 3 2 7 5 8 4" xfId="19059"/>
    <cellStyle name="Separador de milhares 3 2 7 5 8 5" xfId="12958"/>
    <cellStyle name="Separador de milhares 3 2 7 5 9" xfId="8245"/>
    <cellStyle name="Separador de milhares 3 2 7 5 9 2" xfId="26459"/>
    <cellStyle name="Separador de milhares 3 2 7 5 9 3" xfId="20545"/>
    <cellStyle name="Separador de milhares 3 2 7 5 9 4" xfId="14634"/>
    <cellStyle name="Separador de milhares 3 2 7 6" xfId="700"/>
    <cellStyle name="Separador de milhares 3 2 7 6 2" xfId="4124"/>
    <cellStyle name="Separador de milhares 3 2 7 6 2 2" xfId="7579"/>
    <cellStyle name="Separador de milhares 3 2 7 6 2 2 2" xfId="10723"/>
    <cellStyle name="Separador de milhares 3 2 7 6 2 2 2 2" xfId="28937"/>
    <cellStyle name="Separador de milhares 3 2 7 6 2 2 2 3" xfId="23023"/>
    <cellStyle name="Separador de milhares 3 2 7 6 2 2 2 4" xfId="17109"/>
    <cellStyle name="Separador de milhares 3 2 7 6 2 2 3" xfId="25980"/>
    <cellStyle name="Separador de milhares 3 2 7 6 2 2 4" xfId="20066"/>
    <cellStyle name="Separador de milhares 3 2 7 6 2 2 5" xfId="13968"/>
    <cellStyle name="Separador de milhares 3 2 7 6 2 3" xfId="9255"/>
    <cellStyle name="Separador de milhares 3 2 7 6 2 3 2" xfId="27469"/>
    <cellStyle name="Separador de milhares 3 2 7 6 2 3 3" xfId="21555"/>
    <cellStyle name="Separador de milhares 3 2 7 6 2 3 4" xfId="15641"/>
    <cellStyle name="Separador de milhares 3 2 7 6 2 4" xfId="5880"/>
    <cellStyle name="Separador de milhares 3 2 7 6 2 4 2" xfId="24512"/>
    <cellStyle name="Separador de milhares 3 2 7 6 2 5" xfId="18598"/>
    <cellStyle name="Separador de milhares 3 2 7 6 2 6" xfId="12267"/>
    <cellStyle name="Separador de milhares 3 2 7 6 3" xfId="6624"/>
    <cellStyle name="Separador de milhares 3 2 7 6 3 2" xfId="9771"/>
    <cellStyle name="Separador de milhares 3 2 7 6 3 2 2" xfId="27985"/>
    <cellStyle name="Separador de milhares 3 2 7 6 3 2 3" xfId="22071"/>
    <cellStyle name="Separador de milhares 3 2 7 6 3 2 4" xfId="16157"/>
    <cellStyle name="Separador de milhares 3 2 7 6 3 3" xfId="25028"/>
    <cellStyle name="Separador de milhares 3 2 7 6 3 4" xfId="19114"/>
    <cellStyle name="Separador de milhares 3 2 7 6 3 5" xfId="13013"/>
    <cellStyle name="Separador de milhares 3 2 7 6 4" xfId="8303"/>
    <cellStyle name="Separador de milhares 3 2 7 6 4 2" xfId="26517"/>
    <cellStyle name="Separador de milhares 3 2 7 6 4 3" xfId="20603"/>
    <cellStyle name="Separador de milhares 3 2 7 6 4 4" xfId="14689"/>
    <cellStyle name="Separador de milhares 3 2 7 6 5" xfId="4925"/>
    <cellStyle name="Separador de milhares 3 2 7 6 5 2" xfId="23560"/>
    <cellStyle name="Separador de milhares 3 2 7 6 6" xfId="17646"/>
    <cellStyle name="Separador de milhares 3 2 7 6 7" xfId="11312"/>
    <cellStyle name="Separador de milhares 3 2 7 7" xfId="1051"/>
    <cellStyle name="Separador de milhares 3 2 7 7 2" xfId="6722"/>
    <cellStyle name="Separador de milhares 3 2 7 7 2 2" xfId="9869"/>
    <cellStyle name="Separador de milhares 3 2 7 7 2 2 2" xfId="28083"/>
    <cellStyle name="Separador de milhares 3 2 7 7 2 2 3" xfId="22169"/>
    <cellStyle name="Separador de milhares 3 2 7 7 2 2 4" xfId="16255"/>
    <cellStyle name="Separador de milhares 3 2 7 7 2 3" xfId="25126"/>
    <cellStyle name="Separador de milhares 3 2 7 7 2 4" xfId="19212"/>
    <cellStyle name="Separador de milhares 3 2 7 7 2 5" xfId="13111"/>
    <cellStyle name="Separador de milhares 3 2 7 7 3" xfId="8401"/>
    <cellStyle name="Separador de milhares 3 2 7 7 3 2" xfId="26615"/>
    <cellStyle name="Separador de milhares 3 2 7 7 3 3" xfId="20701"/>
    <cellStyle name="Separador de milhares 3 2 7 7 3 4" xfId="14787"/>
    <cellStyle name="Separador de milhares 3 2 7 7 4" xfId="5023"/>
    <cellStyle name="Separador de milhares 3 2 7 7 4 2" xfId="23658"/>
    <cellStyle name="Separador de milhares 3 2 7 7 5" xfId="17744"/>
    <cellStyle name="Separador de milhares 3 2 7 7 6" xfId="11410"/>
    <cellStyle name="Separador de milhares 3 2 7 8" xfId="1486"/>
    <cellStyle name="Separador de milhares 3 2 7 8 2" xfId="6841"/>
    <cellStyle name="Separador de milhares 3 2 7 8 2 2" xfId="9988"/>
    <cellStyle name="Separador de milhares 3 2 7 8 2 2 2" xfId="28202"/>
    <cellStyle name="Separador de milhares 3 2 7 8 2 2 3" xfId="22288"/>
    <cellStyle name="Separador de milhares 3 2 7 8 2 2 4" xfId="16374"/>
    <cellStyle name="Separador de milhares 3 2 7 8 2 3" xfId="25245"/>
    <cellStyle name="Separador de milhares 3 2 7 8 2 4" xfId="19331"/>
    <cellStyle name="Separador de milhares 3 2 7 8 2 5" xfId="13230"/>
    <cellStyle name="Separador de milhares 3 2 7 8 3" xfId="8520"/>
    <cellStyle name="Separador de milhares 3 2 7 8 3 2" xfId="26734"/>
    <cellStyle name="Separador de milhares 3 2 7 8 3 3" xfId="20820"/>
    <cellStyle name="Separador de milhares 3 2 7 8 3 4" xfId="14906"/>
    <cellStyle name="Separador de milhares 3 2 7 8 4" xfId="5142"/>
    <cellStyle name="Separador de milhares 3 2 7 8 4 2" xfId="23777"/>
    <cellStyle name="Separador de milhares 3 2 7 8 5" xfId="17863"/>
    <cellStyle name="Separador de milhares 3 2 7 8 6" xfId="11529"/>
    <cellStyle name="Separador de milhares 3 2 7 9" xfId="2016"/>
    <cellStyle name="Separador de milhares 3 2 7 9 2" xfId="6991"/>
    <cellStyle name="Separador de milhares 3 2 7 9 2 2" xfId="10135"/>
    <cellStyle name="Separador de milhares 3 2 7 9 2 2 2" xfId="28349"/>
    <cellStyle name="Separador de milhares 3 2 7 9 2 2 3" xfId="22435"/>
    <cellStyle name="Separador de milhares 3 2 7 9 2 2 4" xfId="16521"/>
    <cellStyle name="Separador de milhares 3 2 7 9 2 3" xfId="25392"/>
    <cellStyle name="Separador de milhares 3 2 7 9 2 4" xfId="19478"/>
    <cellStyle name="Separador de milhares 3 2 7 9 2 5" xfId="13380"/>
    <cellStyle name="Separador de milhares 3 2 7 9 3" xfId="8667"/>
    <cellStyle name="Separador de milhares 3 2 7 9 3 2" xfId="26881"/>
    <cellStyle name="Separador de milhares 3 2 7 9 3 3" xfId="20967"/>
    <cellStyle name="Separador de milhares 3 2 7 9 3 4" xfId="15053"/>
    <cellStyle name="Separador de milhares 3 2 7 9 4" xfId="5292"/>
    <cellStyle name="Separador de milhares 3 2 7 9 4 2" xfId="23924"/>
    <cellStyle name="Separador de milhares 3 2 7 9 5" xfId="18010"/>
    <cellStyle name="Separador de milhares 3 2 7 9 6" xfId="11679"/>
    <cellStyle name="Separador de milhares 3 2 8" xfId="126"/>
    <cellStyle name="Separador de milhares 3 2 8 10" xfId="6443"/>
    <cellStyle name="Separador de milhares 3 2 8 10 2" xfId="9597"/>
    <cellStyle name="Separador de milhares 3 2 8 10 2 2" xfId="27811"/>
    <cellStyle name="Separador de milhares 3 2 8 10 2 3" xfId="21897"/>
    <cellStyle name="Separador de milhares 3 2 8 10 2 4" xfId="15983"/>
    <cellStyle name="Separador de milhares 3 2 8 10 3" xfId="24854"/>
    <cellStyle name="Separador de milhares 3 2 8 10 4" xfId="18940"/>
    <cellStyle name="Separador de milhares 3 2 8 10 5" xfId="12832"/>
    <cellStyle name="Separador de milhares 3 2 8 11" xfId="8126"/>
    <cellStyle name="Separador de milhares 3 2 8 11 2" xfId="26340"/>
    <cellStyle name="Separador de milhares 3 2 8 11 3" xfId="20426"/>
    <cellStyle name="Separador de milhares 3 2 8 11 4" xfId="14515"/>
    <cellStyle name="Separador de milhares 3 2 8 12" xfId="4742"/>
    <cellStyle name="Separador de milhares 3 2 8 12 2" xfId="23383"/>
    <cellStyle name="Separador de milhares 3 2 8 13" xfId="17469"/>
    <cellStyle name="Separador de milhares 3 2 8 14" xfId="11131"/>
    <cellStyle name="Separador de milhares 3 2 8 2" xfId="399"/>
    <cellStyle name="Separador de milhares 3 2 8 2 10" xfId="17543"/>
    <cellStyle name="Separador de milhares 3 2 8 2 11" xfId="11212"/>
    <cellStyle name="Separador de milhares 3 2 8 2 2" xfId="1918"/>
    <cellStyle name="Separador de milhares 3 2 8 2 2 2" xfId="6962"/>
    <cellStyle name="Separador de milhares 3 2 8 2 2 2 2" xfId="10109"/>
    <cellStyle name="Separador de milhares 3 2 8 2 2 2 2 2" xfId="28323"/>
    <cellStyle name="Separador de milhares 3 2 8 2 2 2 2 3" xfId="22409"/>
    <cellStyle name="Separador de milhares 3 2 8 2 2 2 2 4" xfId="16495"/>
    <cellStyle name="Separador de milhares 3 2 8 2 2 2 3" xfId="25366"/>
    <cellStyle name="Separador de milhares 3 2 8 2 2 2 4" xfId="19452"/>
    <cellStyle name="Separador de milhares 3 2 8 2 2 2 5" xfId="13351"/>
    <cellStyle name="Separador de milhares 3 2 8 2 2 3" xfId="8641"/>
    <cellStyle name="Separador de milhares 3 2 8 2 2 3 2" xfId="26855"/>
    <cellStyle name="Separador de milhares 3 2 8 2 2 3 3" xfId="20941"/>
    <cellStyle name="Separador de milhares 3 2 8 2 2 3 4" xfId="15027"/>
    <cellStyle name="Separador de milhares 3 2 8 2 2 4" xfId="5263"/>
    <cellStyle name="Separador de milhares 3 2 8 2 2 4 2" xfId="23898"/>
    <cellStyle name="Separador de milhares 3 2 8 2 2 5" xfId="17984"/>
    <cellStyle name="Separador de milhares 3 2 8 2 2 6" xfId="11650"/>
    <cellStyle name="Separador de milhares 3 2 8 2 3" xfId="2448"/>
    <cellStyle name="Separador de milhares 3 2 8 2 3 2" xfId="7112"/>
    <cellStyle name="Separador de milhares 3 2 8 2 3 2 2" xfId="10256"/>
    <cellStyle name="Separador de milhares 3 2 8 2 3 2 2 2" xfId="28470"/>
    <cellStyle name="Separador de milhares 3 2 8 2 3 2 2 3" xfId="22556"/>
    <cellStyle name="Separador de milhares 3 2 8 2 3 2 2 4" xfId="16642"/>
    <cellStyle name="Separador de milhares 3 2 8 2 3 2 3" xfId="25513"/>
    <cellStyle name="Separador de milhares 3 2 8 2 3 2 4" xfId="19599"/>
    <cellStyle name="Separador de milhares 3 2 8 2 3 2 5" xfId="13501"/>
    <cellStyle name="Separador de milhares 3 2 8 2 3 3" xfId="8788"/>
    <cellStyle name="Separador de milhares 3 2 8 2 3 3 2" xfId="27002"/>
    <cellStyle name="Separador de milhares 3 2 8 2 3 3 3" xfId="21088"/>
    <cellStyle name="Separador de milhares 3 2 8 2 3 3 4" xfId="15174"/>
    <cellStyle name="Separador de milhares 3 2 8 2 3 4" xfId="5413"/>
    <cellStyle name="Separador de milhares 3 2 8 2 3 4 2" xfId="24045"/>
    <cellStyle name="Separador de milhares 3 2 8 2 3 5" xfId="18131"/>
    <cellStyle name="Separador de milhares 3 2 8 2 3 6" xfId="11800"/>
    <cellStyle name="Separador de milhares 3 2 8 2 4" xfId="2975"/>
    <cellStyle name="Separador de milhares 3 2 8 2 4 2" xfId="7259"/>
    <cellStyle name="Separador de milhares 3 2 8 2 4 2 2" xfId="10403"/>
    <cellStyle name="Separador de milhares 3 2 8 2 4 2 2 2" xfId="28617"/>
    <cellStyle name="Separador de milhares 3 2 8 2 4 2 2 3" xfId="22703"/>
    <cellStyle name="Separador de milhares 3 2 8 2 4 2 2 4" xfId="16789"/>
    <cellStyle name="Separador de milhares 3 2 8 2 4 2 3" xfId="25660"/>
    <cellStyle name="Separador de milhares 3 2 8 2 4 2 4" xfId="19746"/>
    <cellStyle name="Separador de milhares 3 2 8 2 4 2 5" xfId="13648"/>
    <cellStyle name="Separador de milhares 3 2 8 2 4 3" xfId="8935"/>
    <cellStyle name="Separador de milhares 3 2 8 2 4 3 2" xfId="27149"/>
    <cellStyle name="Separador de milhares 3 2 8 2 4 3 3" xfId="21235"/>
    <cellStyle name="Separador de milhares 3 2 8 2 4 3 4" xfId="15321"/>
    <cellStyle name="Separador de milhares 3 2 8 2 4 4" xfId="5560"/>
    <cellStyle name="Separador de milhares 3 2 8 2 4 4 2" xfId="24192"/>
    <cellStyle name="Separador de milhares 3 2 8 2 4 5" xfId="18278"/>
    <cellStyle name="Separador de milhares 3 2 8 2 4 6" xfId="11947"/>
    <cellStyle name="Separador de milhares 3 2 8 2 5" xfId="3502"/>
    <cellStyle name="Separador de milhares 3 2 8 2 5 2" xfId="7406"/>
    <cellStyle name="Separador de milhares 3 2 8 2 5 2 2" xfId="10550"/>
    <cellStyle name="Separador de milhares 3 2 8 2 5 2 2 2" xfId="28764"/>
    <cellStyle name="Separador de milhares 3 2 8 2 5 2 2 3" xfId="22850"/>
    <cellStyle name="Separador de milhares 3 2 8 2 5 2 2 4" xfId="16936"/>
    <cellStyle name="Separador de milhares 3 2 8 2 5 2 3" xfId="25807"/>
    <cellStyle name="Separador de milhares 3 2 8 2 5 2 4" xfId="19893"/>
    <cellStyle name="Separador de milhares 3 2 8 2 5 2 5" xfId="13795"/>
    <cellStyle name="Separador de milhares 3 2 8 2 5 3" xfId="9082"/>
    <cellStyle name="Separador de milhares 3 2 8 2 5 3 2" xfId="27296"/>
    <cellStyle name="Separador de milhares 3 2 8 2 5 3 3" xfId="21382"/>
    <cellStyle name="Separador de milhares 3 2 8 2 5 3 4" xfId="15468"/>
    <cellStyle name="Separador de milhares 3 2 8 2 5 4" xfId="5707"/>
    <cellStyle name="Separador de milhares 3 2 8 2 5 4 2" xfId="24339"/>
    <cellStyle name="Separador de milhares 3 2 8 2 5 5" xfId="18425"/>
    <cellStyle name="Separador de milhares 3 2 8 2 5 6" xfId="12094"/>
    <cellStyle name="Separador de milhares 3 2 8 2 6" xfId="4029"/>
    <cellStyle name="Separador de milhares 3 2 8 2 6 2" xfId="7553"/>
    <cellStyle name="Separador de milhares 3 2 8 2 6 2 2" xfId="10697"/>
    <cellStyle name="Separador de milhares 3 2 8 2 6 2 2 2" xfId="28911"/>
    <cellStyle name="Separador de milhares 3 2 8 2 6 2 2 3" xfId="22997"/>
    <cellStyle name="Separador de milhares 3 2 8 2 6 2 2 4" xfId="17083"/>
    <cellStyle name="Separador de milhares 3 2 8 2 6 2 3" xfId="25954"/>
    <cellStyle name="Separador de milhares 3 2 8 2 6 2 4" xfId="20040"/>
    <cellStyle name="Separador de milhares 3 2 8 2 6 2 5" xfId="13942"/>
    <cellStyle name="Separador de milhares 3 2 8 2 6 3" xfId="9229"/>
    <cellStyle name="Separador de milhares 3 2 8 2 6 3 2" xfId="27443"/>
    <cellStyle name="Separador de milhares 3 2 8 2 6 3 3" xfId="21529"/>
    <cellStyle name="Separador de milhares 3 2 8 2 6 3 4" xfId="15615"/>
    <cellStyle name="Separador de milhares 3 2 8 2 6 4" xfId="5854"/>
    <cellStyle name="Separador de milhares 3 2 8 2 6 4 2" xfId="24486"/>
    <cellStyle name="Separador de milhares 3 2 8 2 6 5" xfId="18572"/>
    <cellStyle name="Separador de milhares 3 2 8 2 6 6" xfId="12241"/>
    <cellStyle name="Separador de milhares 3 2 8 2 7" xfId="6524"/>
    <cellStyle name="Separador de milhares 3 2 8 2 7 2" xfId="9671"/>
    <cellStyle name="Separador de milhares 3 2 8 2 7 2 2" xfId="27885"/>
    <cellStyle name="Separador de milhares 3 2 8 2 7 2 3" xfId="21971"/>
    <cellStyle name="Separador de milhares 3 2 8 2 7 2 4" xfId="16057"/>
    <cellStyle name="Separador de milhares 3 2 8 2 7 3" xfId="24928"/>
    <cellStyle name="Separador de milhares 3 2 8 2 7 4" xfId="19014"/>
    <cellStyle name="Separador de milhares 3 2 8 2 7 5" xfId="12913"/>
    <cellStyle name="Separador de milhares 3 2 8 2 8" xfId="8200"/>
    <cellStyle name="Separador de milhares 3 2 8 2 8 2" xfId="26414"/>
    <cellStyle name="Separador de milhares 3 2 8 2 8 3" xfId="20500"/>
    <cellStyle name="Separador de milhares 3 2 8 2 8 4" xfId="14589"/>
    <cellStyle name="Separador de milhares 3 2 8 2 9" xfId="4823"/>
    <cellStyle name="Separador de milhares 3 2 8 2 9 2" xfId="23457"/>
    <cellStyle name="Separador de milhares 3 2 8 3" xfId="872"/>
    <cellStyle name="Separador de milhares 3 2 8 3 2" xfId="6675"/>
    <cellStyle name="Separador de milhares 3 2 8 3 2 2" xfId="9822"/>
    <cellStyle name="Separador de milhares 3 2 8 3 2 2 2" xfId="28036"/>
    <cellStyle name="Separador de milhares 3 2 8 3 2 2 3" xfId="22122"/>
    <cellStyle name="Separador de milhares 3 2 8 3 2 2 4" xfId="16208"/>
    <cellStyle name="Separador de milhares 3 2 8 3 2 3" xfId="25079"/>
    <cellStyle name="Separador de milhares 3 2 8 3 2 4" xfId="19165"/>
    <cellStyle name="Separador de milhares 3 2 8 3 2 5" xfId="13064"/>
    <cellStyle name="Separador de milhares 3 2 8 3 3" xfId="8354"/>
    <cellStyle name="Separador de milhares 3 2 8 3 3 2" xfId="26568"/>
    <cellStyle name="Separador de milhares 3 2 8 3 3 3" xfId="20654"/>
    <cellStyle name="Separador de milhares 3 2 8 3 3 4" xfId="14740"/>
    <cellStyle name="Separador de milhares 3 2 8 3 4" xfId="4976"/>
    <cellStyle name="Separador de milhares 3 2 8 3 4 2" xfId="23611"/>
    <cellStyle name="Separador de milhares 3 2 8 3 5" xfId="17697"/>
    <cellStyle name="Separador de milhares 3 2 8 3 6" xfId="11363"/>
    <cellStyle name="Separador de milhares 3 2 8 4" xfId="1223"/>
    <cellStyle name="Separador de milhares 3 2 8 4 2" xfId="6773"/>
    <cellStyle name="Separador de milhares 3 2 8 4 2 2" xfId="9920"/>
    <cellStyle name="Separador de milhares 3 2 8 4 2 2 2" xfId="28134"/>
    <cellStyle name="Separador de milhares 3 2 8 4 2 2 3" xfId="22220"/>
    <cellStyle name="Separador de milhares 3 2 8 4 2 2 4" xfId="16306"/>
    <cellStyle name="Separador de milhares 3 2 8 4 2 3" xfId="25177"/>
    <cellStyle name="Separador de milhares 3 2 8 4 2 4" xfId="19263"/>
    <cellStyle name="Separador de milhares 3 2 8 4 2 5" xfId="13162"/>
    <cellStyle name="Separador de milhares 3 2 8 4 3" xfId="8452"/>
    <cellStyle name="Separador de milhares 3 2 8 4 3 2" xfId="26666"/>
    <cellStyle name="Separador de milhares 3 2 8 4 3 3" xfId="20752"/>
    <cellStyle name="Separador de milhares 3 2 8 4 3 4" xfId="14838"/>
    <cellStyle name="Separador de milhares 3 2 8 4 4" xfId="5074"/>
    <cellStyle name="Separador de milhares 3 2 8 4 4 2" xfId="23709"/>
    <cellStyle name="Separador de milhares 3 2 8 4 5" xfId="17795"/>
    <cellStyle name="Separador de milhares 3 2 8 4 6" xfId="11461"/>
    <cellStyle name="Separador de milhares 3 2 8 5" xfId="1658"/>
    <cellStyle name="Separador de milhares 3 2 8 5 2" xfId="6892"/>
    <cellStyle name="Separador de milhares 3 2 8 5 2 2" xfId="10039"/>
    <cellStyle name="Separador de milhares 3 2 8 5 2 2 2" xfId="28253"/>
    <cellStyle name="Separador de milhares 3 2 8 5 2 2 3" xfId="22339"/>
    <cellStyle name="Separador de milhares 3 2 8 5 2 2 4" xfId="16425"/>
    <cellStyle name="Separador de milhares 3 2 8 5 2 3" xfId="25296"/>
    <cellStyle name="Separador de milhares 3 2 8 5 2 4" xfId="19382"/>
    <cellStyle name="Separador de milhares 3 2 8 5 2 5" xfId="13281"/>
    <cellStyle name="Separador de milhares 3 2 8 5 3" xfId="8571"/>
    <cellStyle name="Separador de milhares 3 2 8 5 3 2" xfId="26785"/>
    <cellStyle name="Separador de milhares 3 2 8 5 3 3" xfId="20871"/>
    <cellStyle name="Separador de milhares 3 2 8 5 3 4" xfId="14957"/>
    <cellStyle name="Separador de milhares 3 2 8 5 4" xfId="5193"/>
    <cellStyle name="Separador de milhares 3 2 8 5 4 2" xfId="23828"/>
    <cellStyle name="Separador de milhares 3 2 8 5 5" xfId="17914"/>
    <cellStyle name="Separador de milhares 3 2 8 5 6" xfId="11580"/>
    <cellStyle name="Separador de milhares 3 2 8 6" xfId="2188"/>
    <cellStyle name="Separador de milhares 3 2 8 6 2" xfId="7042"/>
    <cellStyle name="Separador de milhares 3 2 8 6 2 2" xfId="10186"/>
    <cellStyle name="Separador de milhares 3 2 8 6 2 2 2" xfId="28400"/>
    <cellStyle name="Separador de milhares 3 2 8 6 2 2 3" xfId="22486"/>
    <cellStyle name="Separador de milhares 3 2 8 6 2 2 4" xfId="16572"/>
    <cellStyle name="Separador de milhares 3 2 8 6 2 3" xfId="25443"/>
    <cellStyle name="Separador de milhares 3 2 8 6 2 4" xfId="19529"/>
    <cellStyle name="Separador de milhares 3 2 8 6 2 5" xfId="13431"/>
    <cellStyle name="Separador de milhares 3 2 8 6 3" xfId="8718"/>
    <cellStyle name="Separador de milhares 3 2 8 6 3 2" xfId="26932"/>
    <cellStyle name="Separador de milhares 3 2 8 6 3 3" xfId="21018"/>
    <cellStyle name="Separador de milhares 3 2 8 6 3 4" xfId="15104"/>
    <cellStyle name="Separador de milhares 3 2 8 6 4" xfId="5343"/>
    <cellStyle name="Separador de milhares 3 2 8 6 4 2" xfId="23975"/>
    <cellStyle name="Separador de milhares 3 2 8 6 5" xfId="18061"/>
    <cellStyle name="Separador de milhares 3 2 8 6 6" xfId="11730"/>
    <cellStyle name="Separador de milhares 3 2 8 7" xfId="2715"/>
    <cellStyle name="Separador de milhares 3 2 8 7 2" xfId="7189"/>
    <cellStyle name="Separador de milhares 3 2 8 7 2 2" xfId="10333"/>
    <cellStyle name="Separador de milhares 3 2 8 7 2 2 2" xfId="28547"/>
    <cellStyle name="Separador de milhares 3 2 8 7 2 2 3" xfId="22633"/>
    <cellStyle name="Separador de milhares 3 2 8 7 2 2 4" xfId="16719"/>
    <cellStyle name="Separador de milhares 3 2 8 7 2 3" xfId="25590"/>
    <cellStyle name="Separador de milhares 3 2 8 7 2 4" xfId="19676"/>
    <cellStyle name="Separador de milhares 3 2 8 7 2 5" xfId="13578"/>
    <cellStyle name="Separador de milhares 3 2 8 7 3" xfId="8865"/>
    <cellStyle name="Separador de milhares 3 2 8 7 3 2" xfId="27079"/>
    <cellStyle name="Separador de milhares 3 2 8 7 3 3" xfId="21165"/>
    <cellStyle name="Separador de milhares 3 2 8 7 3 4" xfId="15251"/>
    <cellStyle name="Separador de milhares 3 2 8 7 4" xfId="5490"/>
    <cellStyle name="Separador de milhares 3 2 8 7 4 2" xfId="24122"/>
    <cellStyle name="Separador de milhares 3 2 8 7 5" xfId="18208"/>
    <cellStyle name="Separador de milhares 3 2 8 7 6" xfId="11877"/>
    <cellStyle name="Separador de milhares 3 2 8 8" xfId="3242"/>
    <cellStyle name="Separador de milhares 3 2 8 8 2" xfId="7336"/>
    <cellStyle name="Separador de milhares 3 2 8 8 2 2" xfId="10480"/>
    <cellStyle name="Separador de milhares 3 2 8 8 2 2 2" xfId="28694"/>
    <cellStyle name="Separador de milhares 3 2 8 8 2 2 3" xfId="22780"/>
    <cellStyle name="Separador de milhares 3 2 8 8 2 2 4" xfId="16866"/>
    <cellStyle name="Separador de milhares 3 2 8 8 2 3" xfId="25737"/>
    <cellStyle name="Separador de milhares 3 2 8 8 2 4" xfId="19823"/>
    <cellStyle name="Separador de milhares 3 2 8 8 2 5" xfId="13725"/>
    <cellStyle name="Separador de milhares 3 2 8 8 3" xfId="9012"/>
    <cellStyle name="Separador de milhares 3 2 8 8 3 2" xfId="27226"/>
    <cellStyle name="Separador de milhares 3 2 8 8 3 3" xfId="21312"/>
    <cellStyle name="Separador de milhares 3 2 8 8 3 4" xfId="15398"/>
    <cellStyle name="Separador de milhares 3 2 8 8 4" xfId="5637"/>
    <cellStyle name="Separador de milhares 3 2 8 8 4 2" xfId="24269"/>
    <cellStyle name="Separador de milhares 3 2 8 8 5" xfId="18355"/>
    <cellStyle name="Separador de milhares 3 2 8 8 6" xfId="12024"/>
    <cellStyle name="Separador de milhares 3 2 8 9" xfId="3769"/>
    <cellStyle name="Separador de milhares 3 2 8 9 2" xfId="7483"/>
    <cellStyle name="Separador de milhares 3 2 8 9 2 2" xfId="10627"/>
    <cellStyle name="Separador de milhares 3 2 8 9 2 2 2" xfId="28841"/>
    <cellStyle name="Separador de milhares 3 2 8 9 2 2 3" xfId="22927"/>
    <cellStyle name="Separador de milhares 3 2 8 9 2 2 4" xfId="17013"/>
    <cellStyle name="Separador de milhares 3 2 8 9 2 3" xfId="25884"/>
    <cellStyle name="Separador de milhares 3 2 8 9 2 4" xfId="19970"/>
    <cellStyle name="Separador de milhares 3 2 8 9 2 5" xfId="13872"/>
    <cellStyle name="Separador de milhares 3 2 8 9 3" xfId="9159"/>
    <cellStyle name="Separador de milhares 3 2 8 9 3 2" xfId="27373"/>
    <cellStyle name="Separador de milhares 3 2 8 9 3 3" xfId="21459"/>
    <cellStyle name="Separador de milhares 3 2 8 9 3 4" xfId="15545"/>
    <cellStyle name="Separador de milhares 3 2 8 9 4" xfId="5784"/>
    <cellStyle name="Separador de milhares 3 2 8 9 4 2" xfId="24416"/>
    <cellStyle name="Separador de milhares 3 2 8 9 5" xfId="18502"/>
    <cellStyle name="Separador de milhares 3 2 8 9 6" xfId="12171"/>
    <cellStyle name="Separador de milhares 3 2 9" xfId="221"/>
    <cellStyle name="Separador de milhares 3 2 9 10" xfId="6474"/>
    <cellStyle name="Separador de milhares 3 2 9 10 2" xfId="9625"/>
    <cellStyle name="Separador de milhares 3 2 9 10 2 2" xfId="27839"/>
    <cellStyle name="Separador de milhares 3 2 9 10 2 3" xfId="21925"/>
    <cellStyle name="Separador de milhares 3 2 9 10 2 4" xfId="16011"/>
    <cellStyle name="Separador de milhares 3 2 9 10 3" xfId="24882"/>
    <cellStyle name="Separador de milhares 3 2 9 10 4" xfId="18968"/>
    <cellStyle name="Separador de milhares 3 2 9 10 5" xfId="12863"/>
    <cellStyle name="Separador de milhares 3 2 9 11" xfId="8154"/>
    <cellStyle name="Separador de milhares 3 2 9 11 2" xfId="26368"/>
    <cellStyle name="Separador de milhares 3 2 9 11 3" xfId="20454"/>
    <cellStyle name="Separador de milhares 3 2 9 11 4" xfId="14543"/>
    <cellStyle name="Separador de milhares 3 2 9 12" xfId="4773"/>
    <cellStyle name="Separador de milhares 3 2 9 12 2" xfId="23411"/>
    <cellStyle name="Separador de milhares 3 2 9 13" xfId="17497"/>
    <cellStyle name="Separador de milhares 3 2 9 14" xfId="11162"/>
    <cellStyle name="Separador de milhares 3 2 9 2" xfId="484"/>
    <cellStyle name="Separador de milhares 3 2 9 2 2" xfId="6545"/>
    <cellStyle name="Separador de milhares 3 2 9 2 2 2" xfId="9692"/>
    <cellStyle name="Separador de milhares 3 2 9 2 2 2 2" xfId="27906"/>
    <cellStyle name="Separador de milhares 3 2 9 2 2 2 3" xfId="21992"/>
    <cellStyle name="Separador de milhares 3 2 9 2 2 2 4" xfId="16078"/>
    <cellStyle name="Separador de milhares 3 2 9 2 2 3" xfId="24949"/>
    <cellStyle name="Separador de milhares 3 2 9 2 2 4" xfId="19035"/>
    <cellStyle name="Separador de milhares 3 2 9 2 2 5" xfId="12934"/>
    <cellStyle name="Separador de milhares 3 2 9 2 3" xfId="8221"/>
    <cellStyle name="Separador de milhares 3 2 9 2 3 2" xfId="26435"/>
    <cellStyle name="Separador de milhares 3 2 9 2 3 3" xfId="20521"/>
    <cellStyle name="Separador de milhares 3 2 9 2 3 4" xfId="14610"/>
    <cellStyle name="Separador de milhares 3 2 9 2 4" xfId="4844"/>
    <cellStyle name="Separador de milhares 3 2 9 2 4 2" xfId="23478"/>
    <cellStyle name="Separador de milhares 3 2 9 2 5" xfId="17564"/>
    <cellStyle name="Separador de milhares 3 2 9 2 6" xfId="11233"/>
    <cellStyle name="Separador de milhares 3 2 9 3" xfId="781"/>
    <cellStyle name="Separador de milhares 3 2 9 3 2" xfId="6647"/>
    <cellStyle name="Separador de milhares 3 2 9 3 2 2" xfId="9794"/>
    <cellStyle name="Separador de milhares 3 2 9 3 2 2 2" xfId="28008"/>
    <cellStyle name="Separador de milhares 3 2 9 3 2 2 3" xfId="22094"/>
    <cellStyle name="Separador de milhares 3 2 9 3 2 2 4" xfId="16180"/>
    <cellStyle name="Separador de milhares 3 2 9 3 2 3" xfId="25051"/>
    <cellStyle name="Separador de milhares 3 2 9 3 2 4" xfId="19137"/>
    <cellStyle name="Separador de milhares 3 2 9 3 2 5" xfId="13036"/>
    <cellStyle name="Separador de milhares 3 2 9 3 3" xfId="8326"/>
    <cellStyle name="Separador de milhares 3 2 9 3 3 2" xfId="26540"/>
    <cellStyle name="Separador de milhares 3 2 9 3 3 3" xfId="20626"/>
    <cellStyle name="Separador de milhares 3 2 9 3 3 4" xfId="14712"/>
    <cellStyle name="Separador de milhares 3 2 9 3 4" xfId="4948"/>
    <cellStyle name="Separador de milhares 3 2 9 3 4 2" xfId="23583"/>
    <cellStyle name="Separador de milhares 3 2 9 3 5" xfId="17669"/>
    <cellStyle name="Separador de milhares 3 2 9 3 6" xfId="11335"/>
    <cellStyle name="Separador de milhares 3 2 9 4" xfId="1132"/>
    <cellStyle name="Separador de milhares 3 2 9 4 2" xfId="6745"/>
    <cellStyle name="Separador de milhares 3 2 9 4 2 2" xfId="9892"/>
    <cellStyle name="Separador de milhares 3 2 9 4 2 2 2" xfId="28106"/>
    <cellStyle name="Separador de milhares 3 2 9 4 2 2 3" xfId="22192"/>
    <cellStyle name="Separador de milhares 3 2 9 4 2 2 4" xfId="16278"/>
    <cellStyle name="Separador de milhares 3 2 9 4 2 3" xfId="25149"/>
    <cellStyle name="Separador de milhares 3 2 9 4 2 4" xfId="19235"/>
    <cellStyle name="Separador de milhares 3 2 9 4 2 5" xfId="13134"/>
    <cellStyle name="Separador de milhares 3 2 9 4 3" xfId="8424"/>
    <cellStyle name="Separador de milhares 3 2 9 4 3 2" xfId="26638"/>
    <cellStyle name="Separador de milhares 3 2 9 4 3 3" xfId="20724"/>
    <cellStyle name="Separador de milhares 3 2 9 4 3 4" xfId="14810"/>
    <cellStyle name="Separador de milhares 3 2 9 4 4" xfId="5046"/>
    <cellStyle name="Separador de milhares 3 2 9 4 4 2" xfId="23681"/>
    <cellStyle name="Separador de milhares 3 2 9 4 5" xfId="17767"/>
    <cellStyle name="Separador de milhares 3 2 9 4 6" xfId="11433"/>
    <cellStyle name="Separador de milhares 3 2 9 5" xfId="1567"/>
    <cellStyle name="Separador de milhares 3 2 9 5 2" xfId="6864"/>
    <cellStyle name="Separador de milhares 3 2 9 5 2 2" xfId="10011"/>
    <cellStyle name="Separador de milhares 3 2 9 5 2 2 2" xfId="28225"/>
    <cellStyle name="Separador de milhares 3 2 9 5 2 2 3" xfId="22311"/>
    <cellStyle name="Separador de milhares 3 2 9 5 2 2 4" xfId="16397"/>
    <cellStyle name="Separador de milhares 3 2 9 5 2 3" xfId="25268"/>
    <cellStyle name="Separador de milhares 3 2 9 5 2 4" xfId="19354"/>
    <cellStyle name="Separador de milhares 3 2 9 5 2 5" xfId="13253"/>
    <cellStyle name="Separador de milhares 3 2 9 5 3" xfId="8543"/>
    <cellStyle name="Separador de milhares 3 2 9 5 3 2" xfId="26757"/>
    <cellStyle name="Separador de milhares 3 2 9 5 3 3" xfId="20843"/>
    <cellStyle name="Separador de milhares 3 2 9 5 3 4" xfId="14929"/>
    <cellStyle name="Separador de milhares 3 2 9 5 4" xfId="5165"/>
    <cellStyle name="Separador de milhares 3 2 9 5 4 2" xfId="23800"/>
    <cellStyle name="Separador de milhares 3 2 9 5 5" xfId="17886"/>
    <cellStyle name="Separador de milhares 3 2 9 5 6" xfId="11552"/>
    <cellStyle name="Separador de milhares 3 2 9 6" xfId="2097"/>
    <cellStyle name="Separador de milhares 3 2 9 6 2" xfId="7014"/>
    <cellStyle name="Separador de milhares 3 2 9 6 2 2" xfId="10158"/>
    <cellStyle name="Separador de milhares 3 2 9 6 2 2 2" xfId="28372"/>
    <cellStyle name="Separador de milhares 3 2 9 6 2 2 3" xfId="22458"/>
    <cellStyle name="Separador de milhares 3 2 9 6 2 2 4" xfId="16544"/>
    <cellStyle name="Separador de milhares 3 2 9 6 2 3" xfId="25415"/>
    <cellStyle name="Separador de milhares 3 2 9 6 2 4" xfId="19501"/>
    <cellStyle name="Separador de milhares 3 2 9 6 2 5" xfId="13403"/>
    <cellStyle name="Separador de milhares 3 2 9 6 3" xfId="8690"/>
    <cellStyle name="Separador de milhares 3 2 9 6 3 2" xfId="26904"/>
    <cellStyle name="Separador de milhares 3 2 9 6 3 3" xfId="20990"/>
    <cellStyle name="Separador de milhares 3 2 9 6 3 4" xfId="15076"/>
    <cellStyle name="Separador de milhares 3 2 9 6 4" xfId="5315"/>
    <cellStyle name="Separador de milhares 3 2 9 6 4 2" xfId="23947"/>
    <cellStyle name="Separador de milhares 3 2 9 6 5" xfId="18033"/>
    <cellStyle name="Separador de milhares 3 2 9 6 6" xfId="11702"/>
    <cellStyle name="Separador de milhares 3 2 9 7" xfId="2624"/>
    <cellStyle name="Separador de milhares 3 2 9 7 2" xfId="7161"/>
    <cellStyle name="Separador de milhares 3 2 9 7 2 2" xfId="10305"/>
    <cellStyle name="Separador de milhares 3 2 9 7 2 2 2" xfId="28519"/>
    <cellStyle name="Separador de milhares 3 2 9 7 2 2 3" xfId="22605"/>
    <cellStyle name="Separador de milhares 3 2 9 7 2 2 4" xfId="16691"/>
    <cellStyle name="Separador de milhares 3 2 9 7 2 3" xfId="25562"/>
    <cellStyle name="Separador de milhares 3 2 9 7 2 4" xfId="19648"/>
    <cellStyle name="Separador de milhares 3 2 9 7 2 5" xfId="13550"/>
    <cellStyle name="Separador de milhares 3 2 9 7 3" xfId="8837"/>
    <cellStyle name="Separador de milhares 3 2 9 7 3 2" xfId="27051"/>
    <cellStyle name="Separador de milhares 3 2 9 7 3 3" xfId="21137"/>
    <cellStyle name="Separador de milhares 3 2 9 7 3 4" xfId="15223"/>
    <cellStyle name="Separador de milhares 3 2 9 7 4" xfId="5462"/>
    <cellStyle name="Separador de milhares 3 2 9 7 4 2" xfId="24094"/>
    <cellStyle name="Separador de milhares 3 2 9 7 5" xfId="18180"/>
    <cellStyle name="Separador de milhares 3 2 9 7 6" xfId="11849"/>
    <cellStyle name="Separador de milhares 3 2 9 8" xfId="3151"/>
    <cellStyle name="Separador de milhares 3 2 9 8 2" xfId="7308"/>
    <cellStyle name="Separador de milhares 3 2 9 8 2 2" xfId="10452"/>
    <cellStyle name="Separador de milhares 3 2 9 8 2 2 2" xfId="28666"/>
    <cellStyle name="Separador de milhares 3 2 9 8 2 2 3" xfId="22752"/>
    <cellStyle name="Separador de milhares 3 2 9 8 2 2 4" xfId="16838"/>
    <cellStyle name="Separador de milhares 3 2 9 8 2 3" xfId="25709"/>
    <cellStyle name="Separador de milhares 3 2 9 8 2 4" xfId="19795"/>
    <cellStyle name="Separador de milhares 3 2 9 8 2 5" xfId="13697"/>
    <cellStyle name="Separador de milhares 3 2 9 8 3" xfId="8984"/>
    <cellStyle name="Separador de milhares 3 2 9 8 3 2" xfId="27198"/>
    <cellStyle name="Separador de milhares 3 2 9 8 3 3" xfId="21284"/>
    <cellStyle name="Separador de milhares 3 2 9 8 3 4" xfId="15370"/>
    <cellStyle name="Separador de milhares 3 2 9 8 4" xfId="5609"/>
    <cellStyle name="Separador de milhares 3 2 9 8 4 2" xfId="24241"/>
    <cellStyle name="Separador de milhares 3 2 9 8 5" xfId="18327"/>
    <cellStyle name="Separador de milhares 3 2 9 8 6" xfId="11996"/>
    <cellStyle name="Separador de milhares 3 2 9 9" xfId="3678"/>
    <cellStyle name="Separador de milhares 3 2 9 9 2" xfId="7455"/>
    <cellStyle name="Separador de milhares 3 2 9 9 2 2" xfId="10599"/>
    <cellStyle name="Separador de milhares 3 2 9 9 2 2 2" xfId="28813"/>
    <cellStyle name="Separador de milhares 3 2 9 9 2 2 3" xfId="22899"/>
    <cellStyle name="Separador de milhares 3 2 9 9 2 2 4" xfId="16985"/>
    <cellStyle name="Separador de milhares 3 2 9 9 2 3" xfId="25856"/>
    <cellStyle name="Separador de milhares 3 2 9 9 2 4" xfId="19942"/>
    <cellStyle name="Separador de milhares 3 2 9 9 2 5" xfId="13844"/>
    <cellStyle name="Separador de milhares 3 2 9 9 3" xfId="9131"/>
    <cellStyle name="Separador de milhares 3 2 9 9 3 2" xfId="27345"/>
    <cellStyle name="Separador de milhares 3 2 9 9 3 3" xfId="21431"/>
    <cellStyle name="Separador de milhares 3 2 9 9 3 4" xfId="15517"/>
    <cellStyle name="Separador de milhares 3 2 9 9 4" xfId="5756"/>
    <cellStyle name="Separador de milhares 3 2 9 9 4 2" xfId="24388"/>
    <cellStyle name="Separador de milhares 3 2 9 9 5" xfId="18474"/>
    <cellStyle name="Separador de milhares 3 2 9 9 6" xfId="12143"/>
    <cellStyle name="Separador de milhares 3 20" xfId="688"/>
    <cellStyle name="Separador de milhares 3 20 2" xfId="4112"/>
    <cellStyle name="Separador de milhares 3 20 2 2" xfId="7576"/>
    <cellStyle name="Separador de milhares 3 20 2 2 2" xfId="10720"/>
    <cellStyle name="Separador de milhares 3 20 2 2 2 2" xfId="28934"/>
    <cellStyle name="Separador de milhares 3 20 2 2 2 3" xfId="23020"/>
    <cellStyle name="Separador de milhares 3 20 2 2 2 4" xfId="17106"/>
    <cellStyle name="Separador de milhares 3 20 2 2 3" xfId="25977"/>
    <cellStyle name="Separador de milhares 3 20 2 2 4" xfId="20063"/>
    <cellStyle name="Separador de milhares 3 20 2 2 5" xfId="13965"/>
    <cellStyle name="Separador de milhares 3 20 2 3" xfId="9252"/>
    <cellStyle name="Separador de milhares 3 20 2 3 2" xfId="27466"/>
    <cellStyle name="Separador de milhares 3 20 2 3 3" xfId="21552"/>
    <cellStyle name="Separador de milhares 3 20 2 3 4" xfId="15638"/>
    <cellStyle name="Separador de milhares 3 20 2 4" xfId="5877"/>
    <cellStyle name="Separador de milhares 3 20 2 4 2" xfId="24509"/>
    <cellStyle name="Separador de milhares 3 20 2 5" xfId="18595"/>
    <cellStyle name="Separador de milhares 3 20 2 6" xfId="12264"/>
    <cellStyle name="Separador de milhares 3 20 3" xfId="6621"/>
    <cellStyle name="Separador de milhares 3 20 3 2" xfId="9768"/>
    <cellStyle name="Separador de milhares 3 20 3 2 2" xfId="27982"/>
    <cellStyle name="Separador de milhares 3 20 3 2 3" xfId="22068"/>
    <cellStyle name="Separador de milhares 3 20 3 2 4" xfId="16154"/>
    <cellStyle name="Separador de milhares 3 20 3 3" xfId="25025"/>
    <cellStyle name="Separador de milhares 3 20 3 4" xfId="19111"/>
    <cellStyle name="Separador de milhares 3 20 3 5" xfId="13010"/>
    <cellStyle name="Separador de milhares 3 20 4" xfId="8300"/>
    <cellStyle name="Separador de milhares 3 20 4 2" xfId="26514"/>
    <cellStyle name="Separador de milhares 3 20 4 3" xfId="20600"/>
    <cellStyle name="Separador de milhares 3 20 4 4" xfId="14686"/>
    <cellStyle name="Separador de milhares 3 20 5" xfId="4922"/>
    <cellStyle name="Separador de milhares 3 20 5 2" xfId="23557"/>
    <cellStyle name="Separador de milhares 3 20 6" xfId="17643"/>
    <cellStyle name="Separador de milhares 3 20 7" xfId="11309"/>
    <cellStyle name="Separador de milhares 3 21" xfId="1039"/>
    <cellStyle name="Separador de milhares 3 21 2" xfId="6719"/>
    <cellStyle name="Separador de milhares 3 21 2 2" xfId="9866"/>
    <cellStyle name="Separador de milhares 3 21 2 2 2" xfId="28080"/>
    <cellStyle name="Separador de milhares 3 21 2 2 3" xfId="22166"/>
    <cellStyle name="Separador de milhares 3 21 2 2 4" xfId="16252"/>
    <cellStyle name="Separador de milhares 3 21 2 3" xfId="25123"/>
    <cellStyle name="Separador de milhares 3 21 2 4" xfId="19209"/>
    <cellStyle name="Separador de milhares 3 21 2 5" xfId="13108"/>
    <cellStyle name="Separador de milhares 3 21 3" xfId="8398"/>
    <cellStyle name="Separador de milhares 3 21 3 2" xfId="26612"/>
    <cellStyle name="Separador de milhares 3 21 3 3" xfId="20698"/>
    <cellStyle name="Separador de milhares 3 21 3 4" xfId="14784"/>
    <cellStyle name="Separador de milhares 3 21 4" xfId="5020"/>
    <cellStyle name="Separador de milhares 3 21 4 2" xfId="23655"/>
    <cellStyle name="Separador de milhares 3 21 5" xfId="17741"/>
    <cellStyle name="Separador de milhares 3 21 6" xfId="11407"/>
    <cellStyle name="Separador de milhares 3 22" xfId="1474"/>
    <cellStyle name="Separador de milhares 3 22 2" xfId="6838"/>
    <cellStyle name="Separador de milhares 3 22 2 2" xfId="9985"/>
    <cellStyle name="Separador de milhares 3 22 2 2 2" xfId="28199"/>
    <cellStyle name="Separador de milhares 3 22 2 2 3" xfId="22285"/>
    <cellStyle name="Separador de milhares 3 22 2 2 4" xfId="16371"/>
    <cellStyle name="Separador de milhares 3 22 2 3" xfId="25242"/>
    <cellStyle name="Separador de milhares 3 22 2 4" xfId="19328"/>
    <cellStyle name="Separador de milhares 3 22 2 5" xfId="13227"/>
    <cellStyle name="Separador de milhares 3 22 3" xfId="8517"/>
    <cellStyle name="Separador de milhares 3 22 3 2" xfId="26731"/>
    <cellStyle name="Separador de milhares 3 22 3 3" xfId="20817"/>
    <cellStyle name="Separador de milhares 3 22 3 4" xfId="14903"/>
    <cellStyle name="Separador de milhares 3 22 4" xfId="5139"/>
    <cellStyle name="Separador de milhares 3 22 4 2" xfId="23774"/>
    <cellStyle name="Separador de milhares 3 22 5" xfId="17860"/>
    <cellStyle name="Separador de milhares 3 22 6" xfId="11526"/>
    <cellStyle name="Separador de milhares 3 23" xfId="2004"/>
    <cellStyle name="Separador de milhares 3 23 2" xfId="6988"/>
    <cellStyle name="Separador de milhares 3 23 2 2" xfId="10132"/>
    <cellStyle name="Separador de milhares 3 23 2 2 2" xfId="28346"/>
    <cellStyle name="Separador de milhares 3 23 2 2 3" xfId="22432"/>
    <cellStyle name="Separador de milhares 3 23 2 2 4" xfId="16518"/>
    <cellStyle name="Separador de milhares 3 23 2 3" xfId="25389"/>
    <cellStyle name="Separador de milhares 3 23 2 4" xfId="19475"/>
    <cellStyle name="Separador de milhares 3 23 2 5" xfId="13377"/>
    <cellStyle name="Separador de milhares 3 23 3" xfId="8664"/>
    <cellStyle name="Separador de milhares 3 23 3 2" xfId="26878"/>
    <cellStyle name="Separador de milhares 3 23 3 3" xfId="20964"/>
    <cellStyle name="Separador de milhares 3 23 3 4" xfId="15050"/>
    <cellStyle name="Separador de milhares 3 23 4" xfId="5289"/>
    <cellStyle name="Separador de milhares 3 23 4 2" xfId="23921"/>
    <cellStyle name="Separador de milhares 3 23 5" xfId="18007"/>
    <cellStyle name="Separador de milhares 3 23 6" xfId="11676"/>
    <cellStyle name="Separador de milhares 3 24" xfId="2531"/>
    <cellStyle name="Separador de milhares 3 24 2" xfId="7135"/>
    <cellStyle name="Separador de milhares 3 24 2 2" xfId="10279"/>
    <cellStyle name="Separador de milhares 3 24 2 2 2" xfId="28493"/>
    <cellStyle name="Separador de milhares 3 24 2 2 3" xfId="22579"/>
    <cellStyle name="Separador de milhares 3 24 2 2 4" xfId="16665"/>
    <cellStyle name="Separador de milhares 3 24 2 3" xfId="25536"/>
    <cellStyle name="Separador de milhares 3 24 2 4" xfId="19622"/>
    <cellStyle name="Separador de milhares 3 24 2 5" xfId="13524"/>
    <cellStyle name="Separador de milhares 3 24 3" xfId="8811"/>
    <cellStyle name="Separador de milhares 3 24 3 2" xfId="27025"/>
    <cellStyle name="Separador de milhares 3 24 3 3" xfId="21111"/>
    <cellStyle name="Separador de milhares 3 24 3 4" xfId="15197"/>
    <cellStyle name="Separador de milhares 3 24 4" xfId="5436"/>
    <cellStyle name="Separador de milhares 3 24 4 2" xfId="24068"/>
    <cellStyle name="Separador de milhares 3 24 5" xfId="18154"/>
    <cellStyle name="Separador de milhares 3 24 6" xfId="11823"/>
    <cellStyle name="Separador de milhares 3 25" xfId="3058"/>
    <cellStyle name="Separador de milhares 3 25 2" xfId="7282"/>
    <cellStyle name="Separador de milhares 3 25 2 2" xfId="10426"/>
    <cellStyle name="Separador de milhares 3 25 2 2 2" xfId="28640"/>
    <cellStyle name="Separador de milhares 3 25 2 2 3" xfId="22726"/>
    <cellStyle name="Separador de milhares 3 25 2 2 4" xfId="16812"/>
    <cellStyle name="Separador de milhares 3 25 2 3" xfId="25683"/>
    <cellStyle name="Separador de milhares 3 25 2 4" xfId="19769"/>
    <cellStyle name="Separador de milhares 3 25 2 5" xfId="13671"/>
    <cellStyle name="Separador de milhares 3 25 3" xfId="8958"/>
    <cellStyle name="Separador de milhares 3 25 3 2" xfId="27172"/>
    <cellStyle name="Separador de milhares 3 25 3 3" xfId="21258"/>
    <cellStyle name="Separador de milhares 3 25 3 4" xfId="15344"/>
    <cellStyle name="Separador de milhares 3 25 4" xfId="5583"/>
    <cellStyle name="Separador de milhares 3 25 4 2" xfId="24215"/>
    <cellStyle name="Separador de milhares 3 25 5" xfId="18301"/>
    <cellStyle name="Separador de milhares 3 25 6" xfId="11970"/>
    <cellStyle name="Separador de milhares 3 26" xfId="3585"/>
    <cellStyle name="Separador de milhares 3 26 2" xfId="7429"/>
    <cellStyle name="Separador de milhares 3 26 2 2" xfId="10573"/>
    <cellStyle name="Separador de milhares 3 26 2 2 2" xfId="28787"/>
    <cellStyle name="Separador de milhares 3 26 2 2 3" xfId="22873"/>
    <cellStyle name="Separador de milhares 3 26 2 2 4" xfId="16959"/>
    <cellStyle name="Separador de milhares 3 26 2 3" xfId="25830"/>
    <cellStyle name="Separador de milhares 3 26 2 4" xfId="19916"/>
    <cellStyle name="Separador de milhares 3 26 2 5" xfId="13818"/>
    <cellStyle name="Separador de milhares 3 26 3" xfId="9105"/>
    <cellStyle name="Separador de milhares 3 26 3 2" xfId="27319"/>
    <cellStyle name="Separador de milhares 3 26 3 3" xfId="21405"/>
    <cellStyle name="Separador de milhares 3 26 3 4" xfId="15491"/>
    <cellStyle name="Separador de milhares 3 26 4" xfId="5730"/>
    <cellStyle name="Separador de milhares 3 26 4 2" xfId="24362"/>
    <cellStyle name="Separador de milhares 3 26 5" xfId="18448"/>
    <cellStyle name="Separador de milhares 3 26 6" xfId="12117"/>
    <cellStyle name="Separador de milhares 3 27" xfId="6413"/>
    <cellStyle name="Separador de milhares 3 27 2" xfId="9569"/>
    <cellStyle name="Separador de milhares 3 27 2 2" xfId="27783"/>
    <cellStyle name="Separador de milhares 3 27 2 3" xfId="21869"/>
    <cellStyle name="Separador de milhares 3 27 2 4" xfId="15955"/>
    <cellStyle name="Separador de milhares 3 27 3" xfId="24826"/>
    <cellStyle name="Separador de milhares 3 27 4" xfId="18912"/>
    <cellStyle name="Separador de milhares 3 27 5" xfId="12802"/>
    <cellStyle name="Separador de milhares 3 28" xfId="8098"/>
    <cellStyle name="Separador de milhares 3 28 2" xfId="26312"/>
    <cellStyle name="Separador de milhares 3 28 3" xfId="20398"/>
    <cellStyle name="Separador de milhares 3 28 4" xfId="14487"/>
    <cellStyle name="Separador de milhares 3 29" xfId="4711"/>
    <cellStyle name="Separador de milhares 3 29 2" xfId="23355"/>
    <cellStyle name="Separador de milhares 3 3" xfId="44"/>
    <cellStyle name="Separador de milhares 3 3 10" xfId="2547"/>
    <cellStyle name="Separador de milhares 3 3 10 2" xfId="7139"/>
    <cellStyle name="Separador de milhares 3 3 10 2 2" xfId="10283"/>
    <cellStyle name="Separador de milhares 3 3 10 2 2 2" xfId="28497"/>
    <cellStyle name="Separador de milhares 3 3 10 2 2 3" xfId="22583"/>
    <cellStyle name="Separador de milhares 3 3 10 2 2 4" xfId="16669"/>
    <cellStyle name="Separador de milhares 3 3 10 2 3" xfId="25540"/>
    <cellStyle name="Separador de milhares 3 3 10 2 4" xfId="19626"/>
    <cellStyle name="Separador de milhares 3 3 10 2 5" xfId="13528"/>
    <cellStyle name="Separador de milhares 3 3 10 3" xfId="8815"/>
    <cellStyle name="Separador de milhares 3 3 10 3 2" xfId="27029"/>
    <cellStyle name="Separador de milhares 3 3 10 3 3" xfId="21115"/>
    <cellStyle name="Separador de milhares 3 3 10 3 4" xfId="15201"/>
    <cellStyle name="Separador de milhares 3 3 10 4" xfId="5440"/>
    <cellStyle name="Separador de milhares 3 3 10 4 2" xfId="24072"/>
    <cellStyle name="Separador de milhares 3 3 10 5" xfId="18158"/>
    <cellStyle name="Separador de milhares 3 3 10 6" xfId="11827"/>
    <cellStyle name="Separador de milhares 3 3 11" xfId="3074"/>
    <cellStyle name="Separador de milhares 3 3 11 2" xfId="7286"/>
    <cellStyle name="Separador de milhares 3 3 11 2 2" xfId="10430"/>
    <cellStyle name="Separador de milhares 3 3 11 2 2 2" xfId="28644"/>
    <cellStyle name="Separador de milhares 3 3 11 2 2 3" xfId="22730"/>
    <cellStyle name="Separador de milhares 3 3 11 2 2 4" xfId="16816"/>
    <cellStyle name="Separador de milhares 3 3 11 2 3" xfId="25687"/>
    <cellStyle name="Separador de milhares 3 3 11 2 4" xfId="19773"/>
    <cellStyle name="Separador de milhares 3 3 11 2 5" xfId="13675"/>
    <cellStyle name="Separador de milhares 3 3 11 3" xfId="8962"/>
    <cellStyle name="Separador de milhares 3 3 11 3 2" xfId="27176"/>
    <cellStyle name="Separador de milhares 3 3 11 3 3" xfId="21262"/>
    <cellStyle name="Separador de milhares 3 3 11 3 4" xfId="15348"/>
    <cellStyle name="Separador de milhares 3 3 11 4" xfId="5587"/>
    <cellStyle name="Separador de milhares 3 3 11 4 2" xfId="24219"/>
    <cellStyle name="Separador de milhares 3 3 11 5" xfId="18305"/>
    <cellStyle name="Separador de milhares 3 3 11 6" xfId="11974"/>
    <cellStyle name="Separador de milhares 3 3 12" xfId="3601"/>
    <cellStyle name="Separador de milhares 3 3 12 2" xfId="7433"/>
    <cellStyle name="Separador de milhares 3 3 12 2 2" xfId="10577"/>
    <cellStyle name="Separador de milhares 3 3 12 2 2 2" xfId="28791"/>
    <cellStyle name="Separador de milhares 3 3 12 2 2 3" xfId="22877"/>
    <cellStyle name="Separador de milhares 3 3 12 2 2 4" xfId="16963"/>
    <cellStyle name="Separador de milhares 3 3 12 2 3" xfId="25834"/>
    <cellStyle name="Separador de milhares 3 3 12 2 4" xfId="19920"/>
    <cellStyle name="Separador de milhares 3 3 12 2 5" xfId="13822"/>
    <cellStyle name="Separador de milhares 3 3 12 3" xfId="9109"/>
    <cellStyle name="Separador de milhares 3 3 12 3 2" xfId="27323"/>
    <cellStyle name="Separador de milhares 3 3 12 3 3" xfId="21409"/>
    <cellStyle name="Separador de milhares 3 3 12 3 4" xfId="15495"/>
    <cellStyle name="Separador de milhares 3 3 12 4" xfId="5734"/>
    <cellStyle name="Separador de milhares 3 3 12 4 2" xfId="24366"/>
    <cellStyle name="Separador de milhares 3 3 12 5" xfId="18452"/>
    <cellStyle name="Separador de milhares 3 3 12 6" xfId="12121"/>
    <cellStyle name="Separador de milhares 3 3 13" xfId="6417"/>
    <cellStyle name="Separador de milhares 3 3 13 2" xfId="9573"/>
    <cellStyle name="Separador de milhares 3 3 13 2 2" xfId="27787"/>
    <cellStyle name="Separador de milhares 3 3 13 2 3" xfId="21873"/>
    <cellStyle name="Separador de milhares 3 3 13 2 4" xfId="15959"/>
    <cellStyle name="Separador de milhares 3 3 13 3" xfId="24830"/>
    <cellStyle name="Separador de milhares 3 3 13 4" xfId="18916"/>
    <cellStyle name="Separador de milhares 3 3 13 5" xfId="12806"/>
    <cellStyle name="Separador de milhares 3 3 14" xfId="8102"/>
    <cellStyle name="Separador de milhares 3 3 14 2" xfId="26316"/>
    <cellStyle name="Separador de milhares 3 3 14 3" xfId="20402"/>
    <cellStyle name="Separador de milhares 3 3 14 4" xfId="14491"/>
    <cellStyle name="Separador de milhares 3 3 15" xfId="4715"/>
    <cellStyle name="Separador de milhares 3 3 15 2" xfId="23359"/>
    <cellStyle name="Separador de milhares 3 3 16" xfId="17445"/>
    <cellStyle name="Separador de milhares 3 3 17" xfId="11105"/>
    <cellStyle name="Separador de milhares 3 3 2" xfId="138"/>
    <cellStyle name="Separador de milhares 3 3 2 10" xfId="6446"/>
    <cellStyle name="Separador de milhares 3 3 2 10 2" xfId="9600"/>
    <cellStyle name="Separador de milhares 3 3 2 10 2 2" xfId="27814"/>
    <cellStyle name="Separador de milhares 3 3 2 10 2 3" xfId="21900"/>
    <cellStyle name="Separador de milhares 3 3 2 10 2 4" xfId="15986"/>
    <cellStyle name="Separador de milhares 3 3 2 10 3" xfId="24857"/>
    <cellStyle name="Separador de milhares 3 3 2 10 4" xfId="18943"/>
    <cellStyle name="Separador de milhares 3 3 2 10 5" xfId="12835"/>
    <cellStyle name="Separador de milhares 3 3 2 11" xfId="8129"/>
    <cellStyle name="Separador de milhares 3 3 2 11 2" xfId="26343"/>
    <cellStyle name="Separador de milhares 3 3 2 11 3" xfId="20429"/>
    <cellStyle name="Separador de milhares 3 3 2 11 4" xfId="14518"/>
    <cellStyle name="Separador de milhares 3 3 2 12" xfId="4745"/>
    <cellStyle name="Separador de milhares 3 3 2 12 2" xfId="23386"/>
    <cellStyle name="Separador de milhares 3 3 2 13" xfId="17472"/>
    <cellStyle name="Separador de milhares 3 3 2 14" xfId="11134"/>
    <cellStyle name="Separador de milhares 3 3 2 2" xfId="411"/>
    <cellStyle name="Separador de milhares 3 3 2 2 10" xfId="17546"/>
    <cellStyle name="Separador de milhares 3 3 2 2 11" xfId="11215"/>
    <cellStyle name="Separador de milhares 3 3 2 2 2" xfId="1930"/>
    <cellStyle name="Separador de milhares 3 3 2 2 2 2" xfId="6965"/>
    <cellStyle name="Separador de milhares 3 3 2 2 2 2 2" xfId="10112"/>
    <cellStyle name="Separador de milhares 3 3 2 2 2 2 2 2" xfId="28326"/>
    <cellStyle name="Separador de milhares 3 3 2 2 2 2 2 3" xfId="22412"/>
    <cellStyle name="Separador de milhares 3 3 2 2 2 2 2 4" xfId="16498"/>
    <cellStyle name="Separador de milhares 3 3 2 2 2 2 3" xfId="25369"/>
    <cellStyle name="Separador de milhares 3 3 2 2 2 2 4" xfId="19455"/>
    <cellStyle name="Separador de milhares 3 3 2 2 2 2 5" xfId="13354"/>
    <cellStyle name="Separador de milhares 3 3 2 2 2 3" xfId="8644"/>
    <cellStyle name="Separador de milhares 3 3 2 2 2 3 2" xfId="26858"/>
    <cellStyle name="Separador de milhares 3 3 2 2 2 3 3" xfId="20944"/>
    <cellStyle name="Separador de milhares 3 3 2 2 2 3 4" xfId="15030"/>
    <cellStyle name="Separador de milhares 3 3 2 2 2 4" xfId="5266"/>
    <cellStyle name="Separador de milhares 3 3 2 2 2 4 2" xfId="23901"/>
    <cellStyle name="Separador de milhares 3 3 2 2 2 5" xfId="17987"/>
    <cellStyle name="Separador de milhares 3 3 2 2 2 6" xfId="11653"/>
    <cellStyle name="Separador de milhares 3 3 2 2 3" xfId="2460"/>
    <cellStyle name="Separador de milhares 3 3 2 2 3 2" xfId="7115"/>
    <cellStyle name="Separador de milhares 3 3 2 2 3 2 2" xfId="10259"/>
    <cellStyle name="Separador de milhares 3 3 2 2 3 2 2 2" xfId="28473"/>
    <cellStyle name="Separador de milhares 3 3 2 2 3 2 2 3" xfId="22559"/>
    <cellStyle name="Separador de milhares 3 3 2 2 3 2 2 4" xfId="16645"/>
    <cellStyle name="Separador de milhares 3 3 2 2 3 2 3" xfId="25516"/>
    <cellStyle name="Separador de milhares 3 3 2 2 3 2 4" xfId="19602"/>
    <cellStyle name="Separador de milhares 3 3 2 2 3 2 5" xfId="13504"/>
    <cellStyle name="Separador de milhares 3 3 2 2 3 3" xfId="8791"/>
    <cellStyle name="Separador de milhares 3 3 2 2 3 3 2" xfId="27005"/>
    <cellStyle name="Separador de milhares 3 3 2 2 3 3 3" xfId="21091"/>
    <cellStyle name="Separador de milhares 3 3 2 2 3 3 4" xfId="15177"/>
    <cellStyle name="Separador de milhares 3 3 2 2 3 4" xfId="5416"/>
    <cellStyle name="Separador de milhares 3 3 2 2 3 4 2" xfId="24048"/>
    <cellStyle name="Separador de milhares 3 3 2 2 3 5" xfId="18134"/>
    <cellStyle name="Separador de milhares 3 3 2 2 3 6" xfId="11803"/>
    <cellStyle name="Separador de milhares 3 3 2 2 4" xfId="2987"/>
    <cellStyle name="Separador de milhares 3 3 2 2 4 2" xfId="7262"/>
    <cellStyle name="Separador de milhares 3 3 2 2 4 2 2" xfId="10406"/>
    <cellStyle name="Separador de milhares 3 3 2 2 4 2 2 2" xfId="28620"/>
    <cellStyle name="Separador de milhares 3 3 2 2 4 2 2 3" xfId="22706"/>
    <cellStyle name="Separador de milhares 3 3 2 2 4 2 2 4" xfId="16792"/>
    <cellStyle name="Separador de milhares 3 3 2 2 4 2 3" xfId="25663"/>
    <cellStyle name="Separador de milhares 3 3 2 2 4 2 4" xfId="19749"/>
    <cellStyle name="Separador de milhares 3 3 2 2 4 2 5" xfId="13651"/>
    <cellStyle name="Separador de milhares 3 3 2 2 4 3" xfId="8938"/>
    <cellStyle name="Separador de milhares 3 3 2 2 4 3 2" xfId="27152"/>
    <cellStyle name="Separador de milhares 3 3 2 2 4 3 3" xfId="21238"/>
    <cellStyle name="Separador de milhares 3 3 2 2 4 3 4" xfId="15324"/>
    <cellStyle name="Separador de milhares 3 3 2 2 4 4" xfId="5563"/>
    <cellStyle name="Separador de milhares 3 3 2 2 4 4 2" xfId="24195"/>
    <cellStyle name="Separador de milhares 3 3 2 2 4 5" xfId="18281"/>
    <cellStyle name="Separador de milhares 3 3 2 2 4 6" xfId="11950"/>
    <cellStyle name="Separador de milhares 3 3 2 2 5" xfId="3514"/>
    <cellStyle name="Separador de milhares 3 3 2 2 5 2" xfId="7409"/>
    <cellStyle name="Separador de milhares 3 3 2 2 5 2 2" xfId="10553"/>
    <cellStyle name="Separador de milhares 3 3 2 2 5 2 2 2" xfId="28767"/>
    <cellStyle name="Separador de milhares 3 3 2 2 5 2 2 3" xfId="22853"/>
    <cellStyle name="Separador de milhares 3 3 2 2 5 2 2 4" xfId="16939"/>
    <cellStyle name="Separador de milhares 3 3 2 2 5 2 3" xfId="25810"/>
    <cellStyle name="Separador de milhares 3 3 2 2 5 2 4" xfId="19896"/>
    <cellStyle name="Separador de milhares 3 3 2 2 5 2 5" xfId="13798"/>
    <cellStyle name="Separador de milhares 3 3 2 2 5 3" xfId="9085"/>
    <cellStyle name="Separador de milhares 3 3 2 2 5 3 2" xfId="27299"/>
    <cellStyle name="Separador de milhares 3 3 2 2 5 3 3" xfId="21385"/>
    <cellStyle name="Separador de milhares 3 3 2 2 5 3 4" xfId="15471"/>
    <cellStyle name="Separador de milhares 3 3 2 2 5 4" xfId="5710"/>
    <cellStyle name="Separador de milhares 3 3 2 2 5 4 2" xfId="24342"/>
    <cellStyle name="Separador de milhares 3 3 2 2 5 5" xfId="18428"/>
    <cellStyle name="Separador de milhares 3 3 2 2 5 6" xfId="12097"/>
    <cellStyle name="Separador de milhares 3 3 2 2 6" xfId="4041"/>
    <cellStyle name="Separador de milhares 3 3 2 2 6 2" xfId="7556"/>
    <cellStyle name="Separador de milhares 3 3 2 2 6 2 2" xfId="10700"/>
    <cellStyle name="Separador de milhares 3 3 2 2 6 2 2 2" xfId="28914"/>
    <cellStyle name="Separador de milhares 3 3 2 2 6 2 2 3" xfId="23000"/>
    <cellStyle name="Separador de milhares 3 3 2 2 6 2 2 4" xfId="17086"/>
    <cellStyle name="Separador de milhares 3 3 2 2 6 2 3" xfId="25957"/>
    <cellStyle name="Separador de milhares 3 3 2 2 6 2 4" xfId="20043"/>
    <cellStyle name="Separador de milhares 3 3 2 2 6 2 5" xfId="13945"/>
    <cellStyle name="Separador de milhares 3 3 2 2 6 3" xfId="9232"/>
    <cellStyle name="Separador de milhares 3 3 2 2 6 3 2" xfId="27446"/>
    <cellStyle name="Separador de milhares 3 3 2 2 6 3 3" xfId="21532"/>
    <cellStyle name="Separador de milhares 3 3 2 2 6 3 4" xfId="15618"/>
    <cellStyle name="Separador de milhares 3 3 2 2 6 4" xfId="5857"/>
    <cellStyle name="Separador de milhares 3 3 2 2 6 4 2" xfId="24489"/>
    <cellStyle name="Separador de milhares 3 3 2 2 6 5" xfId="18575"/>
    <cellStyle name="Separador de milhares 3 3 2 2 6 6" xfId="12244"/>
    <cellStyle name="Separador de milhares 3 3 2 2 7" xfId="6527"/>
    <cellStyle name="Separador de milhares 3 3 2 2 7 2" xfId="9674"/>
    <cellStyle name="Separador de milhares 3 3 2 2 7 2 2" xfId="27888"/>
    <cellStyle name="Separador de milhares 3 3 2 2 7 2 3" xfId="21974"/>
    <cellStyle name="Separador de milhares 3 3 2 2 7 2 4" xfId="16060"/>
    <cellStyle name="Separador de milhares 3 3 2 2 7 3" xfId="24931"/>
    <cellStyle name="Separador de milhares 3 3 2 2 7 4" xfId="19017"/>
    <cellStyle name="Separador de milhares 3 3 2 2 7 5" xfId="12916"/>
    <cellStyle name="Separador de milhares 3 3 2 2 8" xfId="8203"/>
    <cellStyle name="Separador de milhares 3 3 2 2 8 2" xfId="26417"/>
    <cellStyle name="Separador de milhares 3 3 2 2 8 3" xfId="20503"/>
    <cellStyle name="Separador de milhares 3 3 2 2 8 4" xfId="14592"/>
    <cellStyle name="Separador de milhares 3 3 2 2 9" xfId="4826"/>
    <cellStyle name="Separador de milhares 3 3 2 2 9 2" xfId="23460"/>
    <cellStyle name="Separador de milhares 3 3 2 3" xfId="884"/>
    <cellStyle name="Separador de milhares 3 3 2 3 2" xfId="6678"/>
    <cellStyle name="Separador de milhares 3 3 2 3 2 2" xfId="9825"/>
    <cellStyle name="Separador de milhares 3 3 2 3 2 2 2" xfId="28039"/>
    <cellStyle name="Separador de milhares 3 3 2 3 2 2 3" xfId="22125"/>
    <cellStyle name="Separador de milhares 3 3 2 3 2 2 4" xfId="16211"/>
    <cellStyle name="Separador de milhares 3 3 2 3 2 3" xfId="25082"/>
    <cellStyle name="Separador de milhares 3 3 2 3 2 4" xfId="19168"/>
    <cellStyle name="Separador de milhares 3 3 2 3 2 5" xfId="13067"/>
    <cellStyle name="Separador de milhares 3 3 2 3 3" xfId="8357"/>
    <cellStyle name="Separador de milhares 3 3 2 3 3 2" xfId="26571"/>
    <cellStyle name="Separador de milhares 3 3 2 3 3 3" xfId="20657"/>
    <cellStyle name="Separador de milhares 3 3 2 3 3 4" xfId="14743"/>
    <cellStyle name="Separador de milhares 3 3 2 3 4" xfId="4979"/>
    <cellStyle name="Separador de milhares 3 3 2 3 4 2" xfId="23614"/>
    <cellStyle name="Separador de milhares 3 3 2 3 5" xfId="17700"/>
    <cellStyle name="Separador de milhares 3 3 2 3 6" xfId="11366"/>
    <cellStyle name="Separador de milhares 3 3 2 4" xfId="1235"/>
    <cellStyle name="Separador de milhares 3 3 2 4 2" xfId="6776"/>
    <cellStyle name="Separador de milhares 3 3 2 4 2 2" xfId="9923"/>
    <cellStyle name="Separador de milhares 3 3 2 4 2 2 2" xfId="28137"/>
    <cellStyle name="Separador de milhares 3 3 2 4 2 2 3" xfId="22223"/>
    <cellStyle name="Separador de milhares 3 3 2 4 2 2 4" xfId="16309"/>
    <cellStyle name="Separador de milhares 3 3 2 4 2 3" xfId="25180"/>
    <cellStyle name="Separador de milhares 3 3 2 4 2 4" xfId="19266"/>
    <cellStyle name="Separador de milhares 3 3 2 4 2 5" xfId="13165"/>
    <cellStyle name="Separador de milhares 3 3 2 4 3" xfId="8455"/>
    <cellStyle name="Separador de milhares 3 3 2 4 3 2" xfId="26669"/>
    <cellStyle name="Separador de milhares 3 3 2 4 3 3" xfId="20755"/>
    <cellStyle name="Separador de milhares 3 3 2 4 3 4" xfId="14841"/>
    <cellStyle name="Separador de milhares 3 3 2 4 4" xfId="5077"/>
    <cellStyle name="Separador de milhares 3 3 2 4 4 2" xfId="23712"/>
    <cellStyle name="Separador de milhares 3 3 2 4 5" xfId="17798"/>
    <cellStyle name="Separador de milhares 3 3 2 4 6" xfId="11464"/>
    <cellStyle name="Separador de milhares 3 3 2 5" xfId="1670"/>
    <cellStyle name="Separador de milhares 3 3 2 5 2" xfId="6895"/>
    <cellStyle name="Separador de milhares 3 3 2 5 2 2" xfId="10042"/>
    <cellStyle name="Separador de milhares 3 3 2 5 2 2 2" xfId="28256"/>
    <cellStyle name="Separador de milhares 3 3 2 5 2 2 3" xfId="22342"/>
    <cellStyle name="Separador de milhares 3 3 2 5 2 2 4" xfId="16428"/>
    <cellStyle name="Separador de milhares 3 3 2 5 2 3" xfId="25299"/>
    <cellStyle name="Separador de milhares 3 3 2 5 2 4" xfId="19385"/>
    <cellStyle name="Separador de milhares 3 3 2 5 2 5" xfId="13284"/>
    <cellStyle name="Separador de milhares 3 3 2 5 3" xfId="8574"/>
    <cellStyle name="Separador de milhares 3 3 2 5 3 2" xfId="26788"/>
    <cellStyle name="Separador de milhares 3 3 2 5 3 3" xfId="20874"/>
    <cellStyle name="Separador de milhares 3 3 2 5 3 4" xfId="14960"/>
    <cellStyle name="Separador de milhares 3 3 2 5 4" xfId="5196"/>
    <cellStyle name="Separador de milhares 3 3 2 5 4 2" xfId="23831"/>
    <cellStyle name="Separador de milhares 3 3 2 5 5" xfId="17917"/>
    <cellStyle name="Separador de milhares 3 3 2 5 6" xfId="11583"/>
    <cellStyle name="Separador de milhares 3 3 2 6" xfId="2200"/>
    <cellStyle name="Separador de milhares 3 3 2 6 2" xfId="7045"/>
    <cellStyle name="Separador de milhares 3 3 2 6 2 2" xfId="10189"/>
    <cellStyle name="Separador de milhares 3 3 2 6 2 2 2" xfId="28403"/>
    <cellStyle name="Separador de milhares 3 3 2 6 2 2 3" xfId="22489"/>
    <cellStyle name="Separador de milhares 3 3 2 6 2 2 4" xfId="16575"/>
    <cellStyle name="Separador de milhares 3 3 2 6 2 3" xfId="25446"/>
    <cellStyle name="Separador de milhares 3 3 2 6 2 4" xfId="19532"/>
    <cellStyle name="Separador de milhares 3 3 2 6 2 5" xfId="13434"/>
    <cellStyle name="Separador de milhares 3 3 2 6 3" xfId="8721"/>
    <cellStyle name="Separador de milhares 3 3 2 6 3 2" xfId="26935"/>
    <cellStyle name="Separador de milhares 3 3 2 6 3 3" xfId="21021"/>
    <cellStyle name="Separador de milhares 3 3 2 6 3 4" xfId="15107"/>
    <cellStyle name="Separador de milhares 3 3 2 6 4" xfId="5346"/>
    <cellStyle name="Separador de milhares 3 3 2 6 4 2" xfId="23978"/>
    <cellStyle name="Separador de milhares 3 3 2 6 5" xfId="18064"/>
    <cellStyle name="Separador de milhares 3 3 2 6 6" xfId="11733"/>
    <cellStyle name="Separador de milhares 3 3 2 7" xfId="2727"/>
    <cellStyle name="Separador de milhares 3 3 2 7 2" xfId="7192"/>
    <cellStyle name="Separador de milhares 3 3 2 7 2 2" xfId="10336"/>
    <cellStyle name="Separador de milhares 3 3 2 7 2 2 2" xfId="28550"/>
    <cellStyle name="Separador de milhares 3 3 2 7 2 2 3" xfId="22636"/>
    <cellStyle name="Separador de milhares 3 3 2 7 2 2 4" xfId="16722"/>
    <cellStyle name="Separador de milhares 3 3 2 7 2 3" xfId="25593"/>
    <cellStyle name="Separador de milhares 3 3 2 7 2 4" xfId="19679"/>
    <cellStyle name="Separador de milhares 3 3 2 7 2 5" xfId="13581"/>
    <cellStyle name="Separador de milhares 3 3 2 7 3" xfId="8868"/>
    <cellStyle name="Separador de milhares 3 3 2 7 3 2" xfId="27082"/>
    <cellStyle name="Separador de milhares 3 3 2 7 3 3" xfId="21168"/>
    <cellStyle name="Separador de milhares 3 3 2 7 3 4" xfId="15254"/>
    <cellStyle name="Separador de milhares 3 3 2 7 4" xfId="5493"/>
    <cellStyle name="Separador de milhares 3 3 2 7 4 2" xfId="24125"/>
    <cellStyle name="Separador de milhares 3 3 2 7 5" xfId="18211"/>
    <cellStyle name="Separador de milhares 3 3 2 7 6" xfId="11880"/>
    <cellStyle name="Separador de milhares 3 3 2 8" xfId="3254"/>
    <cellStyle name="Separador de milhares 3 3 2 8 2" xfId="7339"/>
    <cellStyle name="Separador de milhares 3 3 2 8 2 2" xfId="10483"/>
    <cellStyle name="Separador de milhares 3 3 2 8 2 2 2" xfId="28697"/>
    <cellStyle name="Separador de milhares 3 3 2 8 2 2 3" xfId="22783"/>
    <cellStyle name="Separador de milhares 3 3 2 8 2 2 4" xfId="16869"/>
    <cellStyle name="Separador de milhares 3 3 2 8 2 3" xfId="25740"/>
    <cellStyle name="Separador de milhares 3 3 2 8 2 4" xfId="19826"/>
    <cellStyle name="Separador de milhares 3 3 2 8 2 5" xfId="13728"/>
    <cellStyle name="Separador de milhares 3 3 2 8 3" xfId="9015"/>
    <cellStyle name="Separador de milhares 3 3 2 8 3 2" xfId="27229"/>
    <cellStyle name="Separador de milhares 3 3 2 8 3 3" xfId="21315"/>
    <cellStyle name="Separador de milhares 3 3 2 8 3 4" xfId="15401"/>
    <cellStyle name="Separador de milhares 3 3 2 8 4" xfId="5640"/>
    <cellStyle name="Separador de milhares 3 3 2 8 4 2" xfId="24272"/>
    <cellStyle name="Separador de milhares 3 3 2 8 5" xfId="18358"/>
    <cellStyle name="Separador de milhares 3 3 2 8 6" xfId="12027"/>
    <cellStyle name="Separador de milhares 3 3 2 9" xfId="3781"/>
    <cellStyle name="Separador de milhares 3 3 2 9 2" xfId="7486"/>
    <cellStyle name="Separador de milhares 3 3 2 9 2 2" xfId="10630"/>
    <cellStyle name="Separador de milhares 3 3 2 9 2 2 2" xfId="28844"/>
    <cellStyle name="Separador de milhares 3 3 2 9 2 2 3" xfId="22930"/>
    <cellStyle name="Separador de milhares 3 3 2 9 2 2 4" xfId="17016"/>
    <cellStyle name="Separador de milhares 3 3 2 9 2 3" xfId="25887"/>
    <cellStyle name="Separador de milhares 3 3 2 9 2 4" xfId="19973"/>
    <cellStyle name="Separador de milhares 3 3 2 9 2 5" xfId="13875"/>
    <cellStyle name="Separador de milhares 3 3 2 9 3" xfId="9162"/>
    <cellStyle name="Separador de milhares 3 3 2 9 3 2" xfId="27376"/>
    <cellStyle name="Separador de milhares 3 3 2 9 3 3" xfId="21462"/>
    <cellStyle name="Separador de milhares 3 3 2 9 3 4" xfId="15548"/>
    <cellStyle name="Separador de milhares 3 3 2 9 4" xfId="5787"/>
    <cellStyle name="Separador de milhares 3 3 2 9 4 2" xfId="24419"/>
    <cellStyle name="Separador de milhares 3 3 2 9 5" xfId="18505"/>
    <cellStyle name="Separador de milhares 3 3 2 9 6" xfId="12174"/>
    <cellStyle name="Separador de milhares 3 3 3" xfId="233"/>
    <cellStyle name="Separador de milhares 3 3 3 10" xfId="6477"/>
    <cellStyle name="Separador de milhares 3 3 3 10 2" xfId="9628"/>
    <cellStyle name="Separador de milhares 3 3 3 10 2 2" xfId="27842"/>
    <cellStyle name="Separador de milhares 3 3 3 10 2 3" xfId="21928"/>
    <cellStyle name="Separador de milhares 3 3 3 10 2 4" xfId="16014"/>
    <cellStyle name="Separador de milhares 3 3 3 10 3" xfId="24885"/>
    <cellStyle name="Separador de milhares 3 3 3 10 4" xfId="18971"/>
    <cellStyle name="Separador de milhares 3 3 3 10 5" xfId="12866"/>
    <cellStyle name="Separador de milhares 3 3 3 11" xfId="8157"/>
    <cellStyle name="Separador de milhares 3 3 3 11 2" xfId="26371"/>
    <cellStyle name="Separador de milhares 3 3 3 11 3" xfId="20457"/>
    <cellStyle name="Separador de milhares 3 3 3 11 4" xfId="14546"/>
    <cellStyle name="Separador de milhares 3 3 3 12" xfId="4776"/>
    <cellStyle name="Separador de milhares 3 3 3 12 2" xfId="23414"/>
    <cellStyle name="Separador de milhares 3 3 3 13" xfId="17500"/>
    <cellStyle name="Separador de milhares 3 3 3 14" xfId="11165"/>
    <cellStyle name="Separador de milhares 3 3 3 2" xfId="496"/>
    <cellStyle name="Separador de milhares 3 3 3 2 2" xfId="6548"/>
    <cellStyle name="Separador de milhares 3 3 3 2 2 2" xfId="9695"/>
    <cellStyle name="Separador de milhares 3 3 3 2 2 2 2" xfId="27909"/>
    <cellStyle name="Separador de milhares 3 3 3 2 2 2 3" xfId="21995"/>
    <cellStyle name="Separador de milhares 3 3 3 2 2 2 4" xfId="16081"/>
    <cellStyle name="Separador de milhares 3 3 3 2 2 3" xfId="24952"/>
    <cellStyle name="Separador de milhares 3 3 3 2 2 4" xfId="19038"/>
    <cellStyle name="Separador de milhares 3 3 3 2 2 5" xfId="12937"/>
    <cellStyle name="Separador de milhares 3 3 3 2 3" xfId="8224"/>
    <cellStyle name="Separador de milhares 3 3 3 2 3 2" xfId="26438"/>
    <cellStyle name="Separador de milhares 3 3 3 2 3 3" xfId="20524"/>
    <cellStyle name="Separador de milhares 3 3 3 2 3 4" xfId="14613"/>
    <cellStyle name="Separador de milhares 3 3 3 2 4" xfId="4847"/>
    <cellStyle name="Separador de milhares 3 3 3 2 4 2" xfId="23481"/>
    <cellStyle name="Separador de milhares 3 3 3 2 5" xfId="17567"/>
    <cellStyle name="Separador de milhares 3 3 3 2 6" xfId="11236"/>
    <cellStyle name="Separador de milhares 3 3 3 3" xfId="793"/>
    <cellStyle name="Separador de milhares 3 3 3 3 2" xfId="6650"/>
    <cellStyle name="Separador de milhares 3 3 3 3 2 2" xfId="9797"/>
    <cellStyle name="Separador de milhares 3 3 3 3 2 2 2" xfId="28011"/>
    <cellStyle name="Separador de milhares 3 3 3 3 2 2 3" xfId="22097"/>
    <cellStyle name="Separador de milhares 3 3 3 3 2 2 4" xfId="16183"/>
    <cellStyle name="Separador de milhares 3 3 3 3 2 3" xfId="25054"/>
    <cellStyle name="Separador de milhares 3 3 3 3 2 4" xfId="19140"/>
    <cellStyle name="Separador de milhares 3 3 3 3 2 5" xfId="13039"/>
    <cellStyle name="Separador de milhares 3 3 3 3 3" xfId="8329"/>
    <cellStyle name="Separador de milhares 3 3 3 3 3 2" xfId="26543"/>
    <cellStyle name="Separador de milhares 3 3 3 3 3 3" xfId="20629"/>
    <cellStyle name="Separador de milhares 3 3 3 3 3 4" xfId="14715"/>
    <cellStyle name="Separador de milhares 3 3 3 3 4" xfId="4951"/>
    <cellStyle name="Separador de milhares 3 3 3 3 4 2" xfId="23586"/>
    <cellStyle name="Separador de milhares 3 3 3 3 5" xfId="17672"/>
    <cellStyle name="Separador de milhares 3 3 3 3 6" xfId="11338"/>
    <cellStyle name="Separador de milhares 3 3 3 4" xfId="1144"/>
    <cellStyle name="Separador de milhares 3 3 3 4 2" xfId="6748"/>
    <cellStyle name="Separador de milhares 3 3 3 4 2 2" xfId="9895"/>
    <cellStyle name="Separador de milhares 3 3 3 4 2 2 2" xfId="28109"/>
    <cellStyle name="Separador de milhares 3 3 3 4 2 2 3" xfId="22195"/>
    <cellStyle name="Separador de milhares 3 3 3 4 2 2 4" xfId="16281"/>
    <cellStyle name="Separador de milhares 3 3 3 4 2 3" xfId="25152"/>
    <cellStyle name="Separador de milhares 3 3 3 4 2 4" xfId="19238"/>
    <cellStyle name="Separador de milhares 3 3 3 4 2 5" xfId="13137"/>
    <cellStyle name="Separador de milhares 3 3 3 4 3" xfId="8427"/>
    <cellStyle name="Separador de milhares 3 3 3 4 3 2" xfId="26641"/>
    <cellStyle name="Separador de milhares 3 3 3 4 3 3" xfId="20727"/>
    <cellStyle name="Separador de milhares 3 3 3 4 3 4" xfId="14813"/>
    <cellStyle name="Separador de milhares 3 3 3 4 4" xfId="5049"/>
    <cellStyle name="Separador de milhares 3 3 3 4 4 2" xfId="23684"/>
    <cellStyle name="Separador de milhares 3 3 3 4 5" xfId="17770"/>
    <cellStyle name="Separador de milhares 3 3 3 4 6" xfId="11436"/>
    <cellStyle name="Separador de milhares 3 3 3 5" xfId="1579"/>
    <cellStyle name="Separador de milhares 3 3 3 5 2" xfId="6867"/>
    <cellStyle name="Separador de milhares 3 3 3 5 2 2" xfId="10014"/>
    <cellStyle name="Separador de milhares 3 3 3 5 2 2 2" xfId="28228"/>
    <cellStyle name="Separador de milhares 3 3 3 5 2 2 3" xfId="22314"/>
    <cellStyle name="Separador de milhares 3 3 3 5 2 2 4" xfId="16400"/>
    <cellStyle name="Separador de milhares 3 3 3 5 2 3" xfId="25271"/>
    <cellStyle name="Separador de milhares 3 3 3 5 2 4" xfId="19357"/>
    <cellStyle name="Separador de milhares 3 3 3 5 2 5" xfId="13256"/>
    <cellStyle name="Separador de milhares 3 3 3 5 3" xfId="8546"/>
    <cellStyle name="Separador de milhares 3 3 3 5 3 2" xfId="26760"/>
    <cellStyle name="Separador de milhares 3 3 3 5 3 3" xfId="20846"/>
    <cellStyle name="Separador de milhares 3 3 3 5 3 4" xfId="14932"/>
    <cellStyle name="Separador de milhares 3 3 3 5 4" xfId="5168"/>
    <cellStyle name="Separador de milhares 3 3 3 5 4 2" xfId="23803"/>
    <cellStyle name="Separador de milhares 3 3 3 5 5" xfId="17889"/>
    <cellStyle name="Separador de milhares 3 3 3 5 6" xfId="11555"/>
    <cellStyle name="Separador de milhares 3 3 3 6" xfId="2109"/>
    <cellStyle name="Separador de milhares 3 3 3 6 2" xfId="7017"/>
    <cellStyle name="Separador de milhares 3 3 3 6 2 2" xfId="10161"/>
    <cellStyle name="Separador de milhares 3 3 3 6 2 2 2" xfId="28375"/>
    <cellStyle name="Separador de milhares 3 3 3 6 2 2 3" xfId="22461"/>
    <cellStyle name="Separador de milhares 3 3 3 6 2 2 4" xfId="16547"/>
    <cellStyle name="Separador de milhares 3 3 3 6 2 3" xfId="25418"/>
    <cellStyle name="Separador de milhares 3 3 3 6 2 4" xfId="19504"/>
    <cellStyle name="Separador de milhares 3 3 3 6 2 5" xfId="13406"/>
    <cellStyle name="Separador de milhares 3 3 3 6 3" xfId="8693"/>
    <cellStyle name="Separador de milhares 3 3 3 6 3 2" xfId="26907"/>
    <cellStyle name="Separador de milhares 3 3 3 6 3 3" xfId="20993"/>
    <cellStyle name="Separador de milhares 3 3 3 6 3 4" xfId="15079"/>
    <cellStyle name="Separador de milhares 3 3 3 6 4" xfId="5318"/>
    <cellStyle name="Separador de milhares 3 3 3 6 4 2" xfId="23950"/>
    <cellStyle name="Separador de milhares 3 3 3 6 5" xfId="18036"/>
    <cellStyle name="Separador de milhares 3 3 3 6 6" xfId="11705"/>
    <cellStyle name="Separador de milhares 3 3 3 7" xfId="2636"/>
    <cellStyle name="Separador de milhares 3 3 3 7 2" xfId="7164"/>
    <cellStyle name="Separador de milhares 3 3 3 7 2 2" xfId="10308"/>
    <cellStyle name="Separador de milhares 3 3 3 7 2 2 2" xfId="28522"/>
    <cellStyle name="Separador de milhares 3 3 3 7 2 2 3" xfId="22608"/>
    <cellStyle name="Separador de milhares 3 3 3 7 2 2 4" xfId="16694"/>
    <cellStyle name="Separador de milhares 3 3 3 7 2 3" xfId="25565"/>
    <cellStyle name="Separador de milhares 3 3 3 7 2 4" xfId="19651"/>
    <cellStyle name="Separador de milhares 3 3 3 7 2 5" xfId="13553"/>
    <cellStyle name="Separador de milhares 3 3 3 7 3" xfId="8840"/>
    <cellStyle name="Separador de milhares 3 3 3 7 3 2" xfId="27054"/>
    <cellStyle name="Separador de milhares 3 3 3 7 3 3" xfId="21140"/>
    <cellStyle name="Separador de milhares 3 3 3 7 3 4" xfId="15226"/>
    <cellStyle name="Separador de milhares 3 3 3 7 4" xfId="5465"/>
    <cellStyle name="Separador de milhares 3 3 3 7 4 2" xfId="24097"/>
    <cellStyle name="Separador de milhares 3 3 3 7 5" xfId="18183"/>
    <cellStyle name="Separador de milhares 3 3 3 7 6" xfId="11852"/>
    <cellStyle name="Separador de milhares 3 3 3 8" xfId="3163"/>
    <cellStyle name="Separador de milhares 3 3 3 8 2" xfId="7311"/>
    <cellStyle name="Separador de milhares 3 3 3 8 2 2" xfId="10455"/>
    <cellStyle name="Separador de milhares 3 3 3 8 2 2 2" xfId="28669"/>
    <cellStyle name="Separador de milhares 3 3 3 8 2 2 3" xfId="22755"/>
    <cellStyle name="Separador de milhares 3 3 3 8 2 2 4" xfId="16841"/>
    <cellStyle name="Separador de milhares 3 3 3 8 2 3" xfId="25712"/>
    <cellStyle name="Separador de milhares 3 3 3 8 2 4" xfId="19798"/>
    <cellStyle name="Separador de milhares 3 3 3 8 2 5" xfId="13700"/>
    <cellStyle name="Separador de milhares 3 3 3 8 3" xfId="8987"/>
    <cellStyle name="Separador de milhares 3 3 3 8 3 2" xfId="27201"/>
    <cellStyle name="Separador de milhares 3 3 3 8 3 3" xfId="21287"/>
    <cellStyle name="Separador de milhares 3 3 3 8 3 4" xfId="15373"/>
    <cellStyle name="Separador de milhares 3 3 3 8 4" xfId="5612"/>
    <cellStyle name="Separador de milhares 3 3 3 8 4 2" xfId="24244"/>
    <cellStyle name="Separador de milhares 3 3 3 8 5" xfId="18330"/>
    <cellStyle name="Separador de milhares 3 3 3 8 6" xfId="11999"/>
    <cellStyle name="Separador de milhares 3 3 3 9" xfId="3690"/>
    <cellStyle name="Separador de milhares 3 3 3 9 2" xfId="7458"/>
    <cellStyle name="Separador de milhares 3 3 3 9 2 2" xfId="10602"/>
    <cellStyle name="Separador de milhares 3 3 3 9 2 2 2" xfId="28816"/>
    <cellStyle name="Separador de milhares 3 3 3 9 2 2 3" xfId="22902"/>
    <cellStyle name="Separador de milhares 3 3 3 9 2 2 4" xfId="16988"/>
    <cellStyle name="Separador de milhares 3 3 3 9 2 3" xfId="25859"/>
    <cellStyle name="Separador de milhares 3 3 3 9 2 4" xfId="19945"/>
    <cellStyle name="Separador de milhares 3 3 3 9 2 5" xfId="13847"/>
    <cellStyle name="Separador de milhares 3 3 3 9 3" xfId="9134"/>
    <cellStyle name="Separador de milhares 3 3 3 9 3 2" xfId="27348"/>
    <cellStyle name="Separador de milhares 3 3 3 9 3 3" xfId="21434"/>
    <cellStyle name="Separador de milhares 3 3 3 9 3 4" xfId="15520"/>
    <cellStyle name="Separador de milhares 3 3 3 9 4" xfId="5759"/>
    <cellStyle name="Separador de milhares 3 3 3 9 4 2" xfId="24391"/>
    <cellStyle name="Separador de milhares 3 3 3 9 5" xfId="18477"/>
    <cellStyle name="Separador de milhares 3 3 3 9 6" xfId="12146"/>
    <cellStyle name="Separador de milhares 3 3 4" xfId="326"/>
    <cellStyle name="Separador de milhares 3 3 4 10" xfId="6505"/>
    <cellStyle name="Separador de milhares 3 3 4 10 2" xfId="9653"/>
    <cellStyle name="Separador de milhares 3 3 4 10 2 2" xfId="27867"/>
    <cellStyle name="Separador de milhares 3 3 4 10 2 3" xfId="21953"/>
    <cellStyle name="Separador de milhares 3 3 4 10 2 4" xfId="16039"/>
    <cellStyle name="Separador de milhares 3 3 4 10 3" xfId="24910"/>
    <cellStyle name="Separador de milhares 3 3 4 10 4" xfId="18996"/>
    <cellStyle name="Separador de milhares 3 3 4 10 5" xfId="12894"/>
    <cellStyle name="Separador de milhares 3 3 4 11" xfId="8182"/>
    <cellStyle name="Separador de milhares 3 3 4 11 2" xfId="26396"/>
    <cellStyle name="Separador de milhares 3 3 4 11 3" xfId="20482"/>
    <cellStyle name="Separador de milhares 3 3 4 11 4" xfId="14571"/>
    <cellStyle name="Separador de milhares 3 3 4 12" xfId="4804"/>
    <cellStyle name="Separador de milhares 3 3 4 12 2" xfId="23439"/>
    <cellStyle name="Separador de milhares 3 3 4 13" xfId="17525"/>
    <cellStyle name="Separador de milhares 3 3 4 14" xfId="11193"/>
    <cellStyle name="Separador de milhares 3 3 4 2" xfId="971"/>
    <cellStyle name="Separador de milhares 3 3 4 2 2" xfId="6702"/>
    <cellStyle name="Separador de milhares 3 3 4 2 2 2" xfId="9849"/>
    <cellStyle name="Separador de milhares 3 3 4 2 2 2 2" xfId="28063"/>
    <cellStyle name="Separador de milhares 3 3 4 2 2 2 3" xfId="22149"/>
    <cellStyle name="Separador de milhares 3 3 4 2 2 2 4" xfId="16235"/>
    <cellStyle name="Separador de milhares 3 3 4 2 2 3" xfId="25106"/>
    <cellStyle name="Separador de milhares 3 3 4 2 2 4" xfId="19192"/>
    <cellStyle name="Separador de milhares 3 3 4 2 2 5" xfId="13091"/>
    <cellStyle name="Separador de milhares 3 3 4 2 3" xfId="8381"/>
    <cellStyle name="Separador de milhares 3 3 4 2 3 2" xfId="26595"/>
    <cellStyle name="Separador de milhares 3 3 4 2 3 3" xfId="20681"/>
    <cellStyle name="Separador de milhares 3 3 4 2 3 4" xfId="14767"/>
    <cellStyle name="Separador de milhares 3 3 4 2 4" xfId="5003"/>
    <cellStyle name="Separador de milhares 3 3 4 2 4 2" xfId="23638"/>
    <cellStyle name="Separador de milhares 3 3 4 2 5" xfId="17724"/>
    <cellStyle name="Separador de milhares 3 3 4 2 6" xfId="11390"/>
    <cellStyle name="Separador de milhares 3 3 4 3" xfId="1322"/>
    <cellStyle name="Separador de milhares 3 3 4 3 2" xfId="6800"/>
    <cellStyle name="Separador de milhares 3 3 4 3 2 2" xfId="9947"/>
    <cellStyle name="Separador de milhares 3 3 4 3 2 2 2" xfId="28161"/>
    <cellStyle name="Separador de milhares 3 3 4 3 2 2 3" xfId="22247"/>
    <cellStyle name="Separador de milhares 3 3 4 3 2 2 4" xfId="16333"/>
    <cellStyle name="Separador de milhares 3 3 4 3 2 3" xfId="25204"/>
    <cellStyle name="Separador de milhares 3 3 4 3 2 4" xfId="19290"/>
    <cellStyle name="Separador de milhares 3 3 4 3 2 5" xfId="13189"/>
    <cellStyle name="Separador de milhares 3 3 4 3 3" xfId="8479"/>
    <cellStyle name="Separador de milhares 3 3 4 3 3 2" xfId="26693"/>
    <cellStyle name="Separador de milhares 3 3 4 3 3 3" xfId="20779"/>
    <cellStyle name="Separador de milhares 3 3 4 3 3 4" xfId="14865"/>
    <cellStyle name="Separador de milhares 3 3 4 3 4" xfId="5101"/>
    <cellStyle name="Separador de milhares 3 3 4 3 4 2" xfId="23736"/>
    <cellStyle name="Separador de milhares 3 3 4 3 5" xfId="17822"/>
    <cellStyle name="Separador de milhares 3 3 4 3 6" xfId="11488"/>
    <cellStyle name="Separador de milhares 3 3 4 4" xfId="1757"/>
    <cellStyle name="Separador de milhares 3 3 4 4 2" xfId="6919"/>
    <cellStyle name="Separador de milhares 3 3 4 4 2 2" xfId="10066"/>
    <cellStyle name="Separador de milhares 3 3 4 4 2 2 2" xfId="28280"/>
    <cellStyle name="Separador de milhares 3 3 4 4 2 2 3" xfId="22366"/>
    <cellStyle name="Separador de milhares 3 3 4 4 2 2 4" xfId="16452"/>
    <cellStyle name="Separador de milhares 3 3 4 4 2 3" xfId="25323"/>
    <cellStyle name="Separador de milhares 3 3 4 4 2 4" xfId="19409"/>
    <cellStyle name="Separador de milhares 3 3 4 4 2 5" xfId="13308"/>
    <cellStyle name="Separador de milhares 3 3 4 4 3" xfId="8598"/>
    <cellStyle name="Separador de milhares 3 3 4 4 3 2" xfId="26812"/>
    <cellStyle name="Separador de milhares 3 3 4 4 3 3" xfId="20898"/>
    <cellStyle name="Separador de milhares 3 3 4 4 3 4" xfId="14984"/>
    <cellStyle name="Separador de milhares 3 3 4 4 4" xfId="5220"/>
    <cellStyle name="Separador de milhares 3 3 4 4 4 2" xfId="23855"/>
    <cellStyle name="Separador de milhares 3 3 4 4 5" xfId="17941"/>
    <cellStyle name="Separador de milhares 3 3 4 4 6" xfId="11607"/>
    <cellStyle name="Separador de milhares 3 3 4 5" xfId="2287"/>
    <cellStyle name="Separador de milhares 3 3 4 5 2" xfId="7069"/>
    <cellStyle name="Separador de milhares 3 3 4 5 2 2" xfId="10213"/>
    <cellStyle name="Separador de milhares 3 3 4 5 2 2 2" xfId="28427"/>
    <cellStyle name="Separador de milhares 3 3 4 5 2 2 3" xfId="22513"/>
    <cellStyle name="Separador de milhares 3 3 4 5 2 2 4" xfId="16599"/>
    <cellStyle name="Separador de milhares 3 3 4 5 2 3" xfId="25470"/>
    <cellStyle name="Separador de milhares 3 3 4 5 2 4" xfId="19556"/>
    <cellStyle name="Separador de milhares 3 3 4 5 2 5" xfId="13458"/>
    <cellStyle name="Separador de milhares 3 3 4 5 3" xfId="8745"/>
    <cellStyle name="Separador de milhares 3 3 4 5 3 2" xfId="26959"/>
    <cellStyle name="Separador de milhares 3 3 4 5 3 3" xfId="21045"/>
    <cellStyle name="Separador de milhares 3 3 4 5 3 4" xfId="15131"/>
    <cellStyle name="Separador de milhares 3 3 4 5 4" xfId="5370"/>
    <cellStyle name="Separador de milhares 3 3 4 5 4 2" xfId="24002"/>
    <cellStyle name="Separador de milhares 3 3 4 5 5" xfId="18088"/>
    <cellStyle name="Separador de milhares 3 3 4 5 6" xfId="11757"/>
    <cellStyle name="Separador de milhares 3 3 4 6" xfId="2814"/>
    <cellStyle name="Separador de milhares 3 3 4 6 2" xfId="7216"/>
    <cellStyle name="Separador de milhares 3 3 4 6 2 2" xfId="10360"/>
    <cellStyle name="Separador de milhares 3 3 4 6 2 2 2" xfId="28574"/>
    <cellStyle name="Separador de milhares 3 3 4 6 2 2 3" xfId="22660"/>
    <cellStyle name="Separador de milhares 3 3 4 6 2 2 4" xfId="16746"/>
    <cellStyle name="Separador de milhares 3 3 4 6 2 3" xfId="25617"/>
    <cellStyle name="Separador de milhares 3 3 4 6 2 4" xfId="19703"/>
    <cellStyle name="Separador de milhares 3 3 4 6 2 5" xfId="13605"/>
    <cellStyle name="Separador de milhares 3 3 4 6 3" xfId="8892"/>
    <cellStyle name="Separador de milhares 3 3 4 6 3 2" xfId="27106"/>
    <cellStyle name="Separador de milhares 3 3 4 6 3 3" xfId="21192"/>
    <cellStyle name="Separador de milhares 3 3 4 6 3 4" xfId="15278"/>
    <cellStyle name="Separador de milhares 3 3 4 6 4" xfId="5517"/>
    <cellStyle name="Separador de milhares 3 3 4 6 4 2" xfId="24149"/>
    <cellStyle name="Separador de milhares 3 3 4 6 5" xfId="18235"/>
    <cellStyle name="Separador de milhares 3 3 4 6 6" xfId="11904"/>
    <cellStyle name="Separador de milhares 3 3 4 7" xfId="3341"/>
    <cellStyle name="Separador de milhares 3 3 4 7 2" xfId="7363"/>
    <cellStyle name="Separador de milhares 3 3 4 7 2 2" xfId="10507"/>
    <cellStyle name="Separador de milhares 3 3 4 7 2 2 2" xfId="28721"/>
    <cellStyle name="Separador de milhares 3 3 4 7 2 2 3" xfId="22807"/>
    <cellStyle name="Separador de milhares 3 3 4 7 2 2 4" xfId="16893"/>
    <cellStyle name="Separador de milhares 3 3 4 7 2 3" xfId="25764"/>
    <cellStyle name="Separador de milhares 3 3 4 7 2 4" xfId="19850"/>
    <cellStyle name="Separador de milhares 3 3 4 7 2 5" xfId="13752"/>
    <cellStyle name="Separador de milhares 3 3 4 7 3" xfId="9039"/>
    <cellStyle name="Separador de milhares 3 3 4 7 3 2" xfId="27253"/>
    <cellStyle name="Separador de milhares 3 3 4 7 3 3" xfId="21339"/>
    <cellStyle name="Separador de milhares 3 3 4 7 3 4" xfId="15425"/>
    <cellStyle name="Separador de milhares 3 3 4 7 4" xfId="5664"/>
    <cellStyle name="Separador de milhares 3 3 4 7 4 2" xfId="24296"/>
    <cellStyle name="Separador de milhares 3 3 4 7 5" xfId="18382"/>
    <cellStyle name="Separador de milhares 3 3 4 7 6" xfId="12051"/>
    <cellStyle name="Separador de milhares 3 3 4 8" xfId="3868"/>
    <cellStyle name="Separador de milhares 3 3 4 8 2" xfId="7510"/>
    <cellStyle name="Separador de milhares 3 3 4 8 2 2" xfId="10654"/>
    <cellStyle name="Separador de milhares 3 3 4 8 2 2 2" xfId="28868"/>
    <cellStyle name="Separador de milhares 3 3 4 8 2 2 3" xfId="22954"/>
    <cellStyle name="Separador de milhares 3 3 4 8 2 2 4" xfId="17040"/>
    <cellStyle name="Separador de milhares 3 3 4 8 2 3" xfId="25911"/>
    <cellStyle name="Separador de milhares 3 3 4 8 2 4" xfId="19997"/>
    <cellStyle name="Separador de milhares 3 3 4 8 2 5" xfId="13899"/>
    <cellStyle name="Separador de milhares 3 3 4 8 3" xfId="9186"/>
    <cellStyle name="Separador de milhares 3 3 4 8 3 2" xfId="27400"/>
    <cellStyle name="Separador de milhares 3 3 4 8 3 3" xfId="21486"/>
    <cellStyle name="Separador de milhares 3 3 4 8 3 4" xfId="15572"/>
    <cellStyle name="Separador de milhares 3 3 4 8 4" xfId="5811"/>
    <cellStyle name="Separador de milhares 3 3 4 8 4 2" xfId="24443"/>
    <cellStyle name="Separador de milhares 3 3 4 8 5" xfId="18529"/>
    <cellStyle name="Separador de milhares 3 3 4 8 6" xfId="12198"/>
    <cellStyle name="Separador de milhares 3 3 4 9" xfId="669"/>
    <cellStyle name="Separador de milhares 3 3 4 9 2" xfId="6604"/>
    <cellStyle name="Separador de milhares 3 3 4 9 2 2" xfId="9751"/>
    <cellStyle name="Separador de milhares 3 3 4 9 2 2 2" xfId="27965"/>
    <cellStyle name="Separador de milhares 3 3 4 9 2 2 3" xfId="22051"/>
    <cellStyle name="Separador de milhares 3 3 4 9 2 2 4" xfId="16137"/>
    <cellStyle name="Separador de milhares 3 3 4 9 2 3" xfId="25008"/>
    <cellStyle name="Separador de milhares 3 3 4 9 2 4" xfId="19094"/>
    <cellStyle name="Separador de milhares 3 3 4 9 2 5" xfId="12993"/>
    <cellStyle name="Separador de milhares 3 3 4 9 3" xfId="8283"/>
    <cellStyle name="Separador de milhares 3 3 4 9 3 2" xfId="26497"/>
    <cellStyle name="Separador de milhares 3 3 4 9 3 3" xfId="20583"/>
    <cellStyle name="Separador de milhares 3 3 4 9 3 4" xfId="14669"/>
    <cellStyle name="Separador de milhares 3 3 4 9 4" xfId="4905"/>
    <cellStyle name="Separador de milhares 3 3 4 9 4 2" xfId="23540"/>
    <cellStyle name="Separador de milhares 3 3 4 9 5" xfId="17626"/>
    <cellStyle name="Separador de milhares 3 3 4 9 6" xfId="11292"/>
    <cellStyle name="Separador de milhares 3 3 5" xfId="583"/>
    <cellStyle name="Separador de milhares 3 3 5 10" xfId="4869"/>
    <cellStyle name="Separador de milhares 3 3 5 10 2" xfId="23503"/>
    <cellStyle name="Separador de milhares 3 3 5 11" xfId="17589"/>
    <cellStyle name="Separador de milhares 3 3 5 12" xfId="11258"/>
    <cellStyle name="Separador de milhares 3 3 5 2" xfId="1406"/>
    <cellStyle name="Separador de milhares 3 3 5 2 2" xfId="6821"/>
    <cellStyle name="Separador de milhares 3 3 5 2 2 2" xfId="9968"/>
    <cellStyle name="Separador de milhares 3 3 5 2 2 2 2" xfId="28182"/>
    <cellStyle name="Separador de milhares 3 3 5 2 2 2 3" xfId="22268"/>
    <cellStyle name="Separador de milhares 3 3 5 2 2 2 4" xfId="16354"/>
    <cellStyle name="Separador de milhares 3 3 5 2 2 3" xfId="25225"/>
    <cellStyle name="Separador de milhares 3 3 5 2 2 4" xfId="19311"/>
    <cellStyle name="Separador de milhares 3 3 5 2 2 5" xfId="13210"/>
    <cellStyle name="Separador de milhares 3 3 5 2 3" xfId="8500"/>
    <cellStyle name="Separador de milhares 3 3 5 2 3 2" xfId="26714"/>
    <cellStyle name="Separador de milhares 3 3 5 2 3 3" xfId="20800"/>
    <cellStyle name="Separador de milhares 3 3 5 2 3 4" xfId="14886"/>
    <cellStyle name="Separador de milhares 3 3 5 2 4" xfId="5122"/>
    <cellStyle name="Separador de milhares 3 3 5 2 4 2" xfId="23757"/>
    <cellStyle name="Separador de milhares 3 3 5 2 5" xfId="17843"/>
    <cellStyle name="Separador de milhares 3 3 5 2 6" xfId="11509"/>
    <cellStyle name="Separador de milhares 3 3 5 3" xfId="1841"/>
    <cellStyle name="Separador de milhares 3 3 5 3 2" xfId="6940"/>
    <cellStyle name="Separador de milhares 3 3 5 3 2 2" xfId="10087"/>
    <cellStyle name="Separador de milhares 3 3 5 3 2 2 2" xfId="28301"/>
    <cellStyle name="Separador de milhares 3 3 5 3 2 2 3" xfId="22387"/>
    <cellStyle name="Separador de milhares 3 3 5 3 2 2 4" xfId="16473"/>
    <cellStyle name="Separador de milhares 3 3 5 3 2 3" xfId="25344"/>
    <cellStyle name="Separador de milhares 3 3 5 3 2 4" xfId="19430"/>
    <cellStyle name="Separador de milhares 3 3 5 3 2 5" xfId="13329"/>
    <cellStyle name="Separador de milhares 3 3 5 3 3" xfId="8619"/>
    <cellStyle name="Separador de milhares 3 3 5 3 3 2" xfId="26833"/>
    <cellStyle name="Separador de milhares 3 3 5 3 3 3" xfId="20919"/>
    <cellStyle name="Separador de milhares 3 3 5 3 3 4" xfId="15005"/>
    <cellStyle name="Separador de milhares 3 3 5 3 4" xfId="5241"/>
    <cellStyle name="Separador de milhares 3 3 5 3 4 2" xfId="23876"/>
    <cellStyle name="Separador de milhares 3 3 5 3 5" xfId="17962"/>
    <cellStyle name="Separador de milhares 3 3 5 3 6" xfId="11628"/>
    <cellStyle name="Separador de milhares 3 3 5 4" xfId="2371"/>
    <cellStyle name="Separador de milhares 3 3 5 4 2" xfId="7090"/>
    <cellStyle name="Separador de milhares 3 3 5 4 2 2" xfId="10234"/>
    <cellStyle name="Separador de milhares 3 3 5 4 2 2 2" xfId="28448"/>
    <cellStyle name="Separador de milhares 3 3 5 4 2 2 3" xfId="22534"/>
    <cellStyle name="Separador de milhares 3 3 5 4 2 2 4" xfId="16620"/>
    <cellStyle name="Separador de milhares 3 3 5 4 2 3" xfId="25491"/>
    <cellStyle name="Separador de milhares 3 3 5 4 2 4" xfId="19577"/>
    <cellStyle name="Separador de milhares 3 3 5 4 2 5" xfId="13479"/>
    <cellStyle name="Separador de milhares 3 3 5 4 3" xfId="8766"/>
    <cellStyle name="Separador de milhares 3 3 5 4 3 2" xfId="26980"/>
    <cellStyle name="Separador de milhares 3 3 5 4 3 3" xfId="21066"/>
    <cellStyle name="Separador de milhares 3 3 5 4 3 4" xfId="15152"/>
    <cellStyle name="Separador de milhares 3 3 5 4 4" xfId="5391"/>
    <cellStyle name="Separador de milhares 3 3 5 4 4 2" xfId="24023"/>
    <cellStyle name="Separador de milhares 3 3 5 4 5" xfId="18109"/>
    <cellStyle name="Separador de milhares 3 3 5 4 6" xfId="11778"/>
    <cellStyle name="Separador de milhares 3 3 5 5" xfId="2898"/>
    <cellStyle name="Separador de milhares 3 3 5 5 2" xfId="7237"/>
    <cellStyle name="Separador de milhares 3 3 5 5 2 2" xfId="10381"/>
    <cellStyle name="Separador de milhares 3 3 5 5 2 2 2" xfId="28595"/>
    <cellStyle name="Separador de milhares 3 3 5 5 2 2 3" xfId="22681"/>
    <cellStyle name="Separador de milhares 3 3 5 5 2 2 4" xfId="16767"/>
    <cellStyle name="Separador de milhares 3 3 5 5 2 3" xfId="25638"/>
    <cellStyle name="Separador de milhares 3 3 5 5 2 4" xfId="19724"/>
    <cellStyle name="Separador de milhares 3 3 5 5 2 5" xfId="13626"/>
    <cellStyle name="Separador de milhares 3 3 5 5 3" xfId="8913"/>
    <cellStyle name="Separador de milhares 3 3 5 5 3 2" xfId="27127"/>
    <cellStyle name="Separador de milhares 3 3 5 5 3 3" xfId="21213"/>
    <cellStyle name="Separador de milhares 3 3 5 5 3 4" xfId="15299"/>
    <cellStyle name="Separador de milhares 3 3 5 5 4" xfId="5538"/>
    <cellStyle name="Separador de milhares 3 3 5 5 4 2" xfId="24170"/>
    <cellStyle name="Separador de milhares 3 3 5 5 5" xfId="18256"/>
    <cellStyle name="Separador de milhares 3 3 5 5 6" xfId="11925"/>
    <cellStyle name="Separador de milhares 3 3 5 6" xfId="3425"/>
    <cellStyle name="Separador de milhares 3 3 5 6 2" xfId="7384"/>
    <cellStyle name="Separador de milhares 3 3 5 6 2 2" xfId="10528"/>
    <cellStyle name="Separador de milhares 3 3 5 6 2 2 2" xfId="28742"/>
    <cellStyle name="Separador de milhares 3 3 5 6 2 2 3" xfId="22828"/>
    <cellStyle name="Separador de milhares 3 3 5 6 2 2 4" xfId="16914"/>
    <cellStyle name="Separador de milhares 3 3 5 6 2 3" xfId="25785"/>
    <cellStyle name="Separador de milhares 3 3 5 6 2 4" xfId="19871"/>
    <cellStyle name="Separador de milhares 3 3 5 6 2 5" xfId="13773"/>
    <cellStyle name="Separador de milhares 3 3 5 6 3" xfId="9060"/>
    <cellStyle name="Separador de milhares 3 3 5 6 3 2" xfId="27274"/>
    <cellStyle name="Separador de milhares 3 3 5 6 3 3" xfId="21360"/>
    <cellStyle name="Separador de milhares 3 3 5 6 3 4" xfId="15446"/>
    <cellStyle name="Separador de milhares 3 3 5 6 4" xfId="5685"/>
    <cellStyle name="Separador de milhares 3 3 5 6 4 2" xfId="24317"/>
    <cellStyle name="Separador de milhares 3 3 5 6 5" xfId="18403"/>
    <cellStyle name="Separador de milhares 3 3 5 6 6" xfId="12072"/>
    <cellStyle name="Separador de milhares 3 3 5 7" xfId="3952"/>
    <cellStyle name="Separador de milhares 3 3 5 7 2" xfId="7531"/>
    <cellStyle name="Separador de milhares 3 3 5 7 2 2" xfId="10675"/>
    <cellStyle name="Separador de milhares 3 3 5 7 2 2 2" xfId="28889"/>
    <cellStyle name="Separador de milhares 3 3 5 7 2 2 3" xfId="22975"/>
    <cellStyle name="Separador de milhares 3 3 5 7 2 2 4" xfId="17061"/>
    <cellStyle name="Separador de milhares 3 3 5 7 2 3" xfId="25932"/>
    <cellStyle name="Separador de milhares 3 3 5 7 2 4" xfId="20018"/>
    <cellStyle name="Separador de milhares 3 3 5 7 2 5" xfId="13920"/>
    <cellStyle name="Separador de milhares 3 3 5 7 3" xfId="9207"/>
    <cellStyle name="Separador de milhares 3 3 5 7 3 2" xfId="27421"/>
    <cellStyle name="Separador de milhares 3 3 5 7 3 3" xfId="21507"/>
    <cellStyle name="Separador de milhares 3 3 5 7 3 4" xfId="15593"/>
    <cellStyle name="Separador de milhares 3 3 5 7 4" xfId="5832"/>
    <cellStyle name="Separador de milhares 3 3 5 7 4 2" xfId="24464"/>
    <cellStyle name="Separador de milhares 3 3 5 7 5" xfId="18550"/>
    <cellStyle name="Separador de milhares 3 3 5 7 6" xfId="12219"/>
    <cellStyle name="Separador de milhares 3 3 5 8" xfId="6570"/>
    <cellStyle name="Separador de milhares 3 3 5 8 2" xfId="9717"/>
    <cellStyle name="Separador de milhares 3 3 5 8 2 2" xfId="27931"/>
    <cellStyle name="Separador de milhares 3 3 5 8 2 3" xfId="22017"/>
    <cellStyle name="Separador de milhares 3 3 5 8 2 4" xfId="16103"/>
    <cellStyle name="Separador de milhares 3 3 5 8 3" xfId="24974"/>
    <cellStyle name="Separador de milhares 3 3 5 8 4" xfId="19060"/>
    <cellStyle name="Separador de milhares 3 3 5 8 5" xfId="12959"/>
    <cellStyle name="Separador de milhares 3 3 5 9" xfId="8246"/>
    <cellStyle name="Separador de milhares 3 3 5 9 2" xfId="26460"/>
    <cellStyle name="Separador de milhares 3 3 5 9 3" xfId="20546"/>
    <cellStyle name="Separador de milhares 3 3 5 9 4" xfId="14635"/>
    <cellStyle name="Separador de milhares 3 3 6" xfId="704"/>
    <cellStyle name="Separador de milhares 3 3 6 2" xfId="4128"/>
    <cellStyle name="Separador de milhares 3 3 6 2 2" xfId="7580"/>
    <cellStyle name="Separador de milhares 3 3 6 2 2 2" xfId="10724"/>
    <cellStyle name="Separador de milhares 3 3 6 2 2 2 2" xfId="28938"/>
    <cellStyle name="Separador de milhares 3 3 6 2 2 2 3" xfId="23024"/>
    <cellStyle name="Separador de milhares 3 3 6 2 2 2 4" xfId="17110"/>
    <cellStyle name="Separador de milhares 3 3 6 2 2 3" xfId="25981"/>
    <cellStyle name="Separador de milhares 3 3 6 2 2 4" xfId="20067"/>
    <cellStyle name="Separador de milhares 3 3 6 2 2 5" xfId="13969"/>
    <cellStyle name="Separador de milhares 3 3 6 2 3" xfId="9256"/>
    <cellStyle name="Separador de milhares 3 3 6 2 3 2" xfId="27470"/>
    <cellStyle name="Separador de milhares 3 3 6 2 3 3" xfId="21556"/>
    <cellStyle name="Separador de milhares 3 3 6 2 3 4" xfId="15642"/>
    <cellStyle name="Separador de milhares 3 3 6 2 4" xfId="5881"/>
    <cellStyle name="Separador de milhares 3 3 6 2 4 2" xfId="24513"/>
    <cellStyle name="Separador de milhares 3 3 6 2 5" xfId="18599"/>
    <cellStyle name="Separador de milhares 3 3 6 2 6" xfId="12268"/>
    <cellStyle name="Separador de milhares 3 3 6 3" xfId="6625"/>
    <cellStyle name="Separador de milhares 3 3 6 3 2" xfId="9772"/>
    <cellStyle name="Separador de milhares 3 3 6 3 2 2" xfId="27986"/>
    <cellStyle name="Separador de milhares 3 3 6 3 2 3" xfId="22072"/>
    <cellStyle name="Separador de milhares 3 3 6 3 2 4" xfId="16158"/>
    <cellStyle name="Separador de milhares 3 3 6 3 3" xfId="25029"/>
    <cellStyle name="Separador de milhares 3 3 6 3 4" xfId="19115"/>
    <cellStyle name="Separador de milhares 3 3 6 3 5" xfId="13014"/>
    <cellStyle name="Separador de milhares 3 3 6 4" xfId="8304"/>
    <cellStyle name="Separador de milhares 3 3 6 4 2" xfId="26518"/>
    <cellStyle name="Separador de milhares 3 3 6 4 3" xfId="20604"/>
    <cellStyle name="Separador de milhares 3 3 6 4 4" xfId="14690"/>
    <cellStyle name="Separador de milhares 3 3 6 5" xfId="4926"/>
    <cellStyle name="Separador de milhares 3 3 6 5 2" xfId="23561"/>
    <cellStyle name="Separador de milhares 3 3 6 6" xfId="17647"/>
    <cellStyle name="Separador de milhares 3 3 6 7" xfId="11313"/>
    <cellStyle name="Separador de milhares 3 3 7" xfId="1055"/>
    <cellStyle name="Separador de milhares 3 3 7 2" xfId="6723"/>
    <cellStyle name="Separador de milhares 3 3 7 2 2" xfId="9870"/>
    <cellStyle name="Separador de milhares 3 3 7 2 2 2" xfId="28084"/>
    <cellStyle name="Separador de milhares 3 3 7 2 2 3" xfId="22170"/>
    <cellStyle name="Separador de milhares 3 3 7 2 2 4" xfId="16256"/>
    <cellStyle name="Separador de milhares 3 3 7 2 3" xfId="25127"/>
    <cellStyle name="Separador de milhares 3 3 7 2 4" xfId="19213"/>
    <cellStyle name="Separador de milhares 3 3 7 2 5" xfId="13112"/>
    <cellStyle name="Separador de milhares 3 3 7 3" xfId="8402"/>
    <cellStyle name="Separador de milhares 3 3 7 3 2" xfId="26616"/>
    <cellStyle name="Separador de milhares 3 3 7 3 3" xfId="20702"/>
    <cellStyle name="Separador de milhares 3 3 7 3 4" xfId="14788"/>
    <cellStyle name="Separador de milhares 3 3 7 4" xfId="5024"/>
    <cellStyle name="Separador de milhares 3 3 7 4 2" xfId="23659"/>
    <cellStyle name="Separador de milhares 3 3 7 5" xfId="17745"/>
    <cellStyle name="Separador de milhares 3 3 7 6" xfId="11411"/>
    <cellStyle name="Separador de milhares 3 3 8" xfId="1490"/>
    <cellStyle name="Separador de milhares 3 3 8 2" xfId="6842"/>
    <cellStyle name="Separador de milhares 3 3 8 2 2" xfId="9989"/>
    <cellStyle name="Separador de milhares 3 3 8 2 2 2" xfId="28203"/>
    <cellStyle name="Separador de milhares 3 3 8 2 2 3" xfId="22289"/>
    <cellStyle name="Separador de milhares 3 3 8 2 2 4" xfId="16375"/>
    <cellStyle name="Separador de milhares 3 3 8 2 3" xfId="25246"/>
    <cellStyle name="Separador de milhares 3 3 8 2 4" xfId="19332"/>
    <cellStyle name="Separador de milhares 3 3 8 2 5" xfId="13231"/>
    <cellStyle name="Separador de milhares 3 3 8 3" xfId="8521"/>
    <cellStyle name="Separador de milhares 3 3 8 3 2" xfId="26735"/>
    <cellStyle name="Separador de milhares 3 3 8 3 3" xfId="20821"/>
    <cellStyle name="Separador de milhares 3 3 8 3 4" xfId="14907"/>
    <cellStyle name="Separador de milhares 3 3 8 4" xfId="5143"/>
    <cellStyle name="Separador de milhares 3 3 8 4 2" xfId="23778"/>
    <cellStyle name="Separador de milhares 3 3 8 5" xfId="17864"/>
    <cellStyle name="Separador de milhares 3 3 8 6" xfId="11530"/>
    <cellStyle name="Separador de milhares 3 3 9" xfId="2020"/>
    <cellStyle name="Separador de milhares 3 3 9 2" xfId="6992"/>
    <cellStyle name="Separador de milhares 3 3 9 2 2" xfId="10136"/>
    <cellStyle name="Separador de milhares 3 3 9 2 2 2" xfId="28350"/>
    <cellStyle name="Separador de milhares 3 3 9 2 2 3" xfId="22436"/>
    <cellStyle name="Separador de milhares 3 3 9 2 2 4" xfId="16522"/>
    <cellStyle name="Separador de milhares 3 3 9 2 3" xfId="25393"/>
    <cellStyle name="Separador de milhares 3 3 9 2 4" xfId="19479"/>
    <cellStyle name="Separador de milhares 3 3 9 2 5" xfId="13381"/>
    <cellStyle name="Separador de milhares 3 3 9 3" xfId="8668"/>
    <cellStyle name="Separador de milhares 3 3 9 3 2" xfId="26882"/>
    <cellStyle name="Separador de milhares 3 3 9 3 3" xfId="20968"/>
    <cellStyle name="Separador de milhares 3 3 9 3 4" xfId="15054"/>
    <cellStyle name="Separador de milhares 3 3 9 4" xfId="5293"/>
    <cellStyle name="Separador de milhares 3 3 9 4 2" xfId="23925"/>
    <cellStyle name="Separador de milhares 3 3 9 5" xfId="18011"/>
    <cellStyle name="Separador de milhares 3 3 9 6" xfId="11680"/>
    <cellStyle name="Separador de milhares 3 30" xfId="17441"/>
    <cellStyle name="Separador de milhares 3 31" xfId="11101"/>
    <cellStyle name="Separador de milhares 3 4" xfId="48"/>
    <cellStyle name="Separador de milhares 3 4 10" xfId="2551"/>
    <cellStyle name="Separador de milhares 3 4 10 2" xfId="7140"/>
    <cellStyle name="Separador de milhares 3 4 10 2 2" xfId="10284"/>
    <cellStyle name="Separador de milhares 3 4 10 2 2 2" xfId="28498"/>
    <cellStyle name="Separador de milhares 3 4 10 2 2 3" xfId="22584"/>
    <cellStyle name="Separador de milhares 3 4 10 2 2 4" xfId="16670"/>
    <cellStyle name="Separador de milhares 3 4 10 2 3" xfId="25541"/>
    <cellStyle name="Separador de milhares 3 4 10 2 4" xfId="19627"/>
    <cellStyle name="Separador de milhares 3 4 10 2 5" xfId="13529"/>
    <cellStyle name="Separador de milhares 3 4 10 3" xfId="8816"/>
    <cellStyle name="Separador de milhares 3 4 10 3 2" xfId="27030"/>
    <cellStyle name="Separador de milhares 3 4 10 3 3" xfId="21116"/>
    <cellStyle name="Separador de milhares 3 4 10 3 4" xfId="15202"/>
    <cellStyle name="Separador de milhares 3 4 10 4" xfId="5441"/>
    <cellStyle name="Separador de milhares 3 4 10 4 2" xfId="24073"/>
    <cellStyle name="Separador de milhares 3 4 10 5" xfId="18159"/>
    <cellStyle name="Separador de milhares 3 4 10 6" xfId="11828"/>
    <cellStyle name="Separador de milhares 3 4 11" xfId="3078"/>
    <cellStyle name="Separador de milhares 3 4 11 2" xfId="7287"/>
    <cellStyle name="Separador de milhares 3 4 11 2 2" xfId="10431"/>
    <cellStyle name="Separador de milhares 3 4 11 2 2 2" xfId="28645"/>
    <cellStyle name="Separador de milhares 3 4 11 2 2 3" xfId="22731"/>
    <cellStyle name="Separador de milhares 3 4 11 2 2 4" xfId="16817"/>
    <cellStyle name="Separador de milhares 3 4 11 2 3" xfId="25688"/>
    <cellStyle name="Separador de milhares 3 4 11 2 4" xfId="19774"/>
    <cellStyle name="Separador de milhares 3 4 11 2 5" xfId="13676"/>
    <cellStyle name="Separador de milhares 3 4 11 3" xfId="8963"/>
    <cellStyle name="Separador de milhares 3 4 11 3 2" xfId="27177"/>
    <cellStyle name="Separador de milhares 3 4 11 3 3" xfId="21263"/>
    <cellStyle name="Separador de milhares 3 4 11 3 4" xfId="15349"/>
    <cellStyle name="Separador de milhares 3 4 11 4" xfId="5588"/>
    <cellStyle name="Separador de milhares 3 4 11 4 2" xfId="24220"/>
    <cellStyle name="Separador de milhares 3 4 11 5" xfId="18306"/>
    <cellStyle name="Separador de milhares 3 4 11 6" xfId="11975"/>
    <cellStyle name="Separador de milhares 3 4 12" xfId="3605"/>
    <cellStyle name="Separador de milhares 3 4 12 2" xfId="7434"/>
    <cellStyle name="Separador de milhares 3 4 12 2 2" xfId="10578"/>
    <cellStyle name="Separador de milhares 3 4 12 2 2 2" xfId="28792"/>
    <cellStyle name="Separador de milhares 3 4 12 2 2 3" xfId="22878"/>
    <cellStyle name="Separador de milhares 3 4 12 2 2 4" xfId="16964"/>
    <cellStyle name="Separador de milhares 3 4 12 2 3" xfId="25835"/>
    <cellStyle name="Separador de milhares 3 4 12 2 4" xfId="19921"/>
    <cellStyle name="Separador de milhares 3 4 12 2 5" xfId="13823"/>
    <cellStyle name="Separador de milhares 3 4 12 3" xfId="9110"/>
    <cellStyle name="Separador de milhares 3 4 12 3 2" xfId="27324"/>
    <cellStyle name="Separador de milhares 3 4 12 3 3" xfId="21410"/>
    <cellStyle name="Separador de milhares 3 4 12 3 4" xfId="15496"/>
    <cellStyle name="Separador de milhares 3 4 12 4" xfId="5735"/>
    <cellStyle name="Separador de milhares 3 4 12 4 2" xfId="24367"/>
    <cellStyle name="Separador de milhares 3 4 12 5" xfId="18453"/>
    <cellStyle name="Separador de milhares 3 4 12 6" xfId="12122"/>
    <cellStyle name="Separador de milhares 3 4 13" xfId="6418"/>
    <cellStyle name="Separador de milhares 3 4 13 2" xfId="9574"/>
    <cellStyle name="Separador de milhares 3 4 13 2 2" xfId="27788"/>
    <cellStyle name="Separador de milhares 3 4 13 2 3" xfId="21874"/>
    <cellStyle name="Separador de milhares 3 4 13 2 4" xfId="15960"/>
    <cellStyle name="Separador de milhares 3 4 13 3" xfId="24831"/>
    <cellStyle name="Separador de milhares 3 4 13 4" xfId="18917"/>
    <cellStyle name="Separador de milhares 3 4 13 5" xfId="12807"/>
    <cellStyle name="Separador de milhares 3 4 14" xfId="8103"/>
    <cellStyle name="Separador de milhares 3 4 14 2" xfId="26317"/>
    <cellStyle name="Separador de milhares 3 4 14 3" xfId="20403"/>
    <cellStyle name="Separador de milhares 3 4 14 4" xfId="14492"/>
    <cellStyle name="Separador de milhares 3 4 15" xfId="4716"/>
    <cellStyle name="Separador de milhares 3 4 15 2" xfId="23360"/>
    <cellStyle name="Separador de milhares 3 4 16" xfId="17446"/>
    <cellStyle name="Separador de milhares 3 4 17" xfId="11106"/>
    <cellStyle name="Separador de milhares 3 4 2" xfId="142"/>
    <cellStyle name="Separador de milhares 3 4 2 10" xfId="6447"/>
    <cellStyle name="Separador de milhares 3 4 2 10 2" xfId="9601"/>
    <cellStyle name="Separador de milhares 3 4 2 10 2 2" xfId="27815"/>
    <cellStyle name="Separador de milhares 3 4 2 10 2 3" xfId="21901"/>
    <cellStyle name="Separador de milhares 3 4 2 10 2 4" xfId="15987"/>
    <cellStyle name="Separador de milhares 3 4 2 10 3" xfId="24858"/>
    <cellStyle name="Separador de milhares 3 4 2 10 4" xfId="18944"/>
    <cellStyle name="Separador de milhares 3 4 2 10 5" xfId="12836"/>
    <cellStyle name="Separador de milhares 3 4 2 11" xfId="8130"/>
    <cellStyle name="Separador de milhares 3 4 2 11 2" xfId="26344"/>
    <cellStyle name="Separador de milhares 3 4 2 11 3" xfId="20430"/>
    <cellStyle name="Separador de milhares 3 4 2 11 4" xfId="14519"/>
    <cellStyle name="Separador de milhares 3 4 2 12" xfId="4746"/>
    <cellStyle name="Separador de milhares 3 4 2 12 2" xfId="23387"/>
    <cellStyle name="Separador de milhares 3 4 2 13" xfId="17473"/>
    <cellStyle name="Separador de milhares 3 4 2 14" xfId="11135"/>
    <cellStyle name="Separador de milhares 3 4 2 2" xfId="415"/>
    <cellStyle name="Separador de milhares 3 4 2 2 10" xfId="17547"/>
    <cellStyle name="Separador de milhares 3 4 2 2 11" xfId="11216"/>
    <cellStyle name="Separador de milhares 3 4 2 2 2" xfId="1934"/>
    <cellStyle name="Separador de milhares 3 4 2 2 2 2" xfId="6966"/>
    <cellStyle name="Separador de milhares 3 4 2 2 2 2 2" xfId="10113"/>
    <cellStyle name="Separador de milhares 3 4 2 2 2 2 2 2" xfId="28327"/>
    <cellStyle name="Separador de milhares 3 4 2 2 2 2 2 3" xfId="22413"/>
    <cellStyle name="Separador de milhares 3 4 2 2 2 2 2 4" xfId="16499"/>
    <cellStyle name="Separador de milhares 3 4 2 2 2 2 3" xfId="25370"/>
    <cellStyle name="Separador de milhares 3 4 2 2 2 2 4" xfId="19456"/>
    <cellStyle name="Separador de milhares 3 4 2 2 2 2 5" xfId="13355"/>
    <cellStyle name="Separador de milhares 3 4 2 2 2 3" xfId="8645"/>
    <cellStyle name="Separador de milhares 3 4 2 2 2 3 2" xfId="26859"/>
    <cellStyle name="Separador de milhares 3 4 2 2 2 3 3" xfId="20945"/>
    <cellStyle name="Separador de milhares 3 4 2 2 2 3 4" xfId="15031"/>
    <cellStyle name="Separador de milhares 3 4 2 2 2 4" xfId="5267"/>
    <cellStyle name="Separador de milhares 3 4 2 2 2 4 2" xfId="23902"/>
    <cellStyle name="Separador de milhares 3 4 2 2 2 5" xfId="17988"/>
    <cellStyle name="Separador de milhares 3 4 2 2 2 6" xfId="11654"/>
    <cellStyle name="Separador de milhares 3 4 2 2 3" xfId="2464"/>
    <cellStyle name="Separador de milhares 3 4 2 2 3 2" xfId="7116"/>
    <cellStyle name="Separador de milhares 3 4 2 2 3 2 2" xfId="10260"/>
    <cellStyle name="Separador de milhares 3 4 2 2 3 2 2 2" xfId="28474"/>
    <cellStyle name="Separador de milhares 3 4 2 2 3 2 2 3" xfId="22560"/>
    <cellStyle name="Separador de milhares 3 4 2 2 3 2 2 4" xfId="16646"/>
    <cellStyle name="Separador de milhares 3 4 2 2 3 2 3" xfId="25517"/>
    <cellStyle name="Separador de milhares 3 4 2 2 3 2 4" xfId="19603"/>
    <cellStyle name="Separador de milhares 3 4 2 2 3 2 5" xfId="13505"/>
    <cellStyle name="Separador de milhares 3 4 2 2 3 3" xfId="8792"/>
    <cellStyle name="Separador de milhares 3 4 2 2 3 3 2" xfId="27006"/>
    <cellStyle name="Separador de milhares 3 4 2 2 3 3 3" xfId="21092"/>
    <cellStyle name="Separador de milhares 3 4 2 2 3 3 4" xfId="15178"/>
    <cellStyle name="Separador de milhares 3 4 2 2 3 4" xfId="5417"/>
    <cellStyle name="Separador de milhares 3 4 2 2 3 4 2" xfId="24049"/>
    <cellStyle name="Separador de milhares 3 4 2 2 3 5" xfId="18135"/>
    <cellStyle name="Separador de milhares 3 4 2 2 3 6" xfId="11804"/>
    <cellStyle name="Separador de milhares 3 4 2 2 4" xfId="2991"/>
    <cellStyle name="Separador de milhares 3 4 2 2 4 2" xfId="7263"/>
    <cellStyle name="Separador de milhares 3 4 2 2 4 2 2" xfId="10407"/>
    <cellStyle name="Separador de milhares 3 4 2 2 4 2 2 2" xfId="28621"/>
    <cellStyle name="Separador de milhares 3 4 2 2 4 2 2 3" xfId="22707"/>
    <cellStyle name="Separador de milhares 3 4 2 2 4 2 2 4" xfId="16793"/>
    <cellStyle name="Separador de milhares 3 4 2 2 4 2 3" xfId="25664"/>
    <cellStyle name="Separador de milhares 3 4 2 2 4 2 4" xfId="19750"/>
    <cellStyle name="Separador de milhares 3 4 2 2 4 2 5" xfId="13652"/>
    <cellStyle name="Separador de milhares 3 4 2 2 4 3" xfId="8939"/>
    <cellStyle name="Separador de milhares 3 4 2 2 4 3 2" xfId="27153"/>
    <cellStyle name="Separador de milhares 3 4 2 2 4 3 3" xfId="21239"/>
    <cellStyle name="Separador de milhares 3 4 2 2 4 3 4" xfId="15325"/>
    <cellStyle name="Separador de milhares 3 4 2 2 4 4" xfId="5564"/>
    <cellStyle name="Separador de milhares 3 4 2 2 4 4 2" xfId="24196"/>
    <cellStyle name="Separador de milhares 3 4 2 2 4 5" xfId="18282"/>
    <cellStyle name="Separador de milhares 3 4 2 2 4 6" xfId="11951"/>
    <cellStyle name="Separador de milhares 3 4 2 2 5" xfId="3518"/>
    <cellStyle name="Separador de milhares 3 4 2 2 5 2" xfId="7410"/>
    <cellStyle name="Separador de milhares 3 4 2 2 5 2 2" xfId="10554"/>
    <cellStyle name="Separador de milhares 3 4 2 2 5 2 2 2" xfId="28768"/>
    <cellStyle name="Separador de milhares 3 4 2 2 5 2 2 3" xfId="22854"/>
    <cellStyle name="Separador de milhares 3 4 2 2 5 2 2 4" xfId="16940"/>
    <cellStyle name="Separador de milhares 3 4 2 2 5 2 3" xfId="25811"/>
    <cellStyle name="Separador de milhares 3 4 2 2 5 2 4" xfId="19897"/>
    <cellStyle name="Separador de milhares 3 4 2 2 5 2 5" xfId="13799"/>
    <cellStyle name="Separador de milhares 3 4 2 2 5 3" xfId="9086"/>
    <cellStyle name="Separador de milhares 3 4 2 2 5 3 2" xfId="27300"/>
    <cellStyle name="Separador de milhares 3 4 2 2 5 3 3" xfId="21386"/>
    <cellStyle name="Separador de milhares 3 4 2 2 5 3 4" xfId="15472"/>
    <cellStyle name="Separador de milhares 3 4 2 2 5 4" xfId="5711"/>
    <cellStyle name="Separador de milhares 3 4 2 2 5 4 2" xfId="24343"/>
    <cellStyle name="Separador de milhares 3 4 2 2 5 5" xfId="18429"/>
    <cellStyle name="Separador de milhares 3 4 2 2 5 6" xfId="12098"/>
    <cellStyle name="Separador de milhares 3 4 2 2 6" xfId="4045"/>
    <cellStyle name="Separador de milhares 3 4 2 2 6 2" xfId="7557"/>
    <cellStyle name="Separador de milhares 3 4 2 2 6 2 2" xfId="10701"/>
    <cellStyle name="Separador de milhares 3 4 2 2 6 2 2 2" xfId="28915"/>
    <cellStyle name="Separador de milhares 3 4 2 2 6 2 2 3" xfId="23001"/>
    <cellStyle name="Separador de milhares 3 4 2 2 6 2 2 4" xfId="17087"/>
    <cellStyle name="Separador de milhares 3 4 2 2 6 2 3" xfId="25958"/>
    <cellStyle name="Separador de milhares 3 4 2 2 6 2 4" xfId="20044"/>
    <cellStyle name="Separador de milhares 3 4 2 2 6 2 5" xfId="13946"/>
    <cellStyle name="Separador de milhares 3 4 2 2 6 3" xfId="9233"/>
    <cellStyle name="Separador de milhares 3 4 2 2 6 3 2" xfId="27447"/>
    <cellStyle name="Separador de milhares 3 4 2 2 6 3 3" xfId="21533"/>
    <cellStyle name="Separador de milhares 3 4 2 2 6 3 4" xfId="15619"/>
    <cellStyle name="Separador de milhares 3 4 2 2 6 4" xfId="5858"/>
    <cellStyle name="Separador de milhares 3 4 2 2 6 4 2" xfId="24490"/>
    <cellStyle name="Separador de milhares 3 4 2 2 6 5" xfId="18576"/>
    <cellStyle name="Separador de milhares 3 4 2 2 6 6" xfId="12245"/>
    <cellStyle name="Separador de milhares 3 4 2 2 7" xfId="6528"/>
    <cellStyle name="Separador de milhares 3 4 2 2 7 2" xfId="9675"/>
    <cellStyle name="Separador de milhares 3 4 2 2 7 2 2" xfId="27889"/>
    <cellStyle name="Separador de milhares 3 4 2 2 7 2 3" xfId="21975"/>
    <cellStyle name="Separador de milhares 3 4 2 2 7 2 4" xfId="16061"/>
    <cellStyle name="Separador de milhares 3 4 2 2 7 3" xfId="24932"/>
    <cellStyle name="Separador de milhares 3 4 2 2 7 4" xfId="19018"/>
    <cellStyle name="Separador de milhares 3 4 2 2 7 5" xfId="12917"/>
    <cellStyle name="Separador de milhares 3 4 2 2 8" xfId="8204"/>
    <cellStyle name="Separador de milhares 3 4 2 2 8 2" xfId="26418"/>
    <cellStyle name="Separador de milhares 3 4 2 2 8 3" xfId="20504"/>
    <cellStyle name="Separador de milhares 3 4 2 2 8 4" xfId="14593"/>
    <cellStyle name="Separador de milhares 3 4 2 2 9" xfId="4827"/>
    <cellStyle name="Separador de milhares 3 4 2 2 9 2" xfId="23461"/>
    <cellStyle name="Separador de milhares 3 4 2 3" xfId="888"/>
    <cellStyle name="Separador de milhares 3 4 2 3 2" xfId="6679"/>
    <cellStyle name="Separador de milhares 3 4 2 3 2 2" xfId="9826"/>
    <cellStyle name="Separador de milhares 3 4 2 3 2 2 2" xfId="28040"/>
    <cellStyle name="Separador de milhares 3 4 2 3 2 2 3" xfId="22126"/>
    <cellStyle name="Separador de milhares 3 4 2 3 2 2 4" xfId="16212"/>
    <cellStyle name="Separador de milhares 3 4 2 3 2 3" xfId="25083"/>
    <cellStyle name="Separador de milhares 3 4 2 3 2 4" xfId="19169"/>
    <cellStyle name="Separador de milhares 3 4 2 3 2 5" xfId="13068"/>
    <cellStyle name="Separador de milhares 3 4 2 3 3" xfId="8358"/>
    <cellStyle name="Separador de milhares 3 4 2 3 3 2" xfId="26572"/>
    <cellStyle name="Separador de milhares 3 4 2 3 3 3" xfId="20658"/>
    <cellStyle name="Separador de milhares 3 4 2 3 3 4" xfId="14744"/>
    <cellStyle name="Separador de milhares 3 4 2 3 4" xfId="4980"/>
    <cellStyle name="Separador de milhares 3 4 2 3 4 2" xfId="23615"/>
    <cellStyle name="Separador de milhares 3 4 2 3 5" xfId="17701"/>
    <cellStyle name="Separador de milhares 3 4 2 3 6" xfId="11367"/>
    <cellStyle name="Separador de milhares 3 4 2 4" xfId="1239"/>
    <cellStyle name="Separador de milhares 3 4 2 4 2" xfId="6777"/>
    <cellStyle name="Separador de milhares 3 4 2 4 2 2" xfId="9924"/>
    <cellStyle name="Separador de milhares 3 4 2 4 2 2 2" xfId="28138"/>
    <cellStyle name="Separador de milhares 3 4 2 4 2 2 3" xfId="22224"/>
    <cellStyle name="Separador de milhares 3 4 2 4 2 2 4" xfId="16310"/>
    <cellStyle name="Separador de milhares 3 4 2 4 2 3" xfId="25181"/>
    <cellStyle name="Separador de milhares 3 4 2 4 2 4" xfId="19267"/>
    <cellStyle name="Separador de milhares 3 4 2 4 2 5" xfId="13166"/>
    <cellStyle name="Separador de milhares 3 4 2 4 3" xfId="8456"/>
    <cellStyle name="Separador de milhares 3 4 2 4 3 2" xfId="26670"/>
    <cellStyle name="Separador de milhares 3 4 2 4 3 3" xfId="20756"/>
    <cellStyle name="Separador de milhares 3 4 2 4 3 4" xfId="14842"/>
    <cellStyle name="Separador de milhares 3 4 2 4 4" xfId="5078"/>
    <cellStyle name="Separador de milhares 3 4 2 4 4 2" xfId="23713"/>
    <cellStyle name="Separador de milhares 3 4 2 4 5" xfId="17799"/>
    <cellStyle name="Separador de milhares 3 4 2 4 6" xfId="11465"/>
    <cellStyle name="Separador de milhares 3 4 2 5" xfId="1674"/>
    <cellStyle name="Separador de milhares 3 4 2 5 2" xfId="6896"/>
    <cellStyle name="Separador de milhares 3 4 2 5 2 2" xfId="10043"/>
    <cellStyle name="Separador de milhares 3 4 2 5 2 2 2" xfId="28257"/>
    <cellStyle name="Separador de milhares 3 4 2 5 2 2 3" xfId="22343"/>
    <cellStyle name="Separador de milhares 3 4 2 5 2 2 4" xfId="16429"/>
    <cellStyle name="Separador de milhares 3 4 2 5 2 3" xfId="25300"/>
    <cellStyle name="Separador de milhares 3 4 2 5 2 4" xfId="19386"/>
    <cellStyle name="Separador de milhares 3 4 2 5 2 5" xfId="13285"/>
    <cellStyle name="Separador de milhares 3 4 2 5 3" xfId="8575"/>
    <cellStyle name="Separador de milhares 3 4 2 5 3 2" xfId="26789"/>
    <cellStyle name="Separador de milhares 3 4 2 5 3 3" xfId="20875"/>
    <cellStyle name="Separador de milhares 3 4 2 5 3 4" xfId="14961"/>
    <cellStyle name="Separador de milhares 3 4 2 5 4" xfId="5197"/>
    <cellStyle name="Separador de milhares 3 4 2 5 4 2" xfId="23832"/>
    <cellStyle name="Separador de milhares 3 4 2 5 5" xfId="17918"/>
    <cellStyle name="Separador de milhares 3 4 2 5 6" xfId="11584"/>
    <cellStyle name="Separador de milhares 3 4 2 6" xfId="2204"/>
    <cellStyle name="Separador de milhares 3 4 2 6 2" xfId="7046"/>
    <cellStyle name="Separador de milhares 3 4 2 6 2 2" xfId="10190"/>
    <cellStyle name="Separador de milhares 3 4 2 6 2 2 2" xfId="28404"/>
    <cellStyle name="Separador de milhares 3 4 2 6 2 2 3" xfId="22490"/>
    <cellStyle name="Separador de milhares 3 4 2 6 2 2 4" xfId="16576"/>
    <cellStyle name="Separador de milhares 3 4 2 6 2 3" xfId="25447"/>
    <cellStyle name="Separador de milhares 3 4 2 6 2 4" xfId="19533"/>
    <cellStyle name="Separador de milhares 3 4 2 6 2 5" xfId="13435"/>
    <cellStyle name="Separador de milhares 3 4 2 6 3" xfId="8722"/>
    <cellStyle name="Separador de milhares 3 4 2 6 3 2" xfId="26936"/>
    <cellStyle name="Separador de milhares 3 4 2 6 3 3" xfId="21022"/>
    <cellStyle name="Separador de milhares 3 4 2 6 3 4" xfId="15108"/>
    <cellStyle name="Separador de milhares 3 4 2 6 4" xfId="5347"/>
    <cellStyle name="Separador de milhares 3 4 2 6 4 2" xfId="23979"/>
    <cellStyle name="Separador de milhares 3 4 2 6 5" xfId="18065"/>
    <cellStyle name="Separador de milhares 3 4 2 6 6" xfId="11734"/>
    <cellStyle name="Separador de milhares 3 4 2 7" xfId="2731"/>
    <cellStyle name="Separador de milhares 3 4 2 7 2" xfId="7193"/>
    <cellStyle name="Separador de milhares 3 4 2 7 2 2" xfId="10337"/>
    <cellStyle name="Separador de milhares 3 4 2 7 2 2 2" xfId="28551"/>
    <cellStyle name="Separador de milhares 3 4 2 7 2 2 3" xfId="22637"/>
    <cellStyle name="Separador de milhares 3 4 2 7 2 2 4" xfId="16723"/>
    <cellStyle name="Separador de milhares 3 4 2 7 2 3" xfId="25594"/>
    <cellStyle name="Separador de milhares 3 4 2 7 2 4" xfId="19680"/>
    <cellStyle name="Separador de milhares 3 4 2 7 2 5" xfId="13582"/>
    <cellStyle name="Separador de milhares 3 4 2 7 3" xfId="8869"/>
    <cellStyle name="Separador de milhares 3 4 2 7 3 2" xfId="27083"/>
    <cellStyle name="Separador de milhares 3 4 2 7 3 3" xfId="21169"/>
    <cellStyle name="Separador de milhares 3 4 2 7 3 4" xfId="15255"/>
    <cellStyle name="Separador de milhares 3 4 2 7 4" xfId="5494"/>
    <cellStyle name="Separador de milhares 3 4 2 7 4 2" xfId="24126"/>
    <cellStyle name="Separador de milhares 3 4 2 7 5" xfId="18212"/>
    <cellStyle name="Separador de milhares 3 4 2 7 6" xfId="11881"/>
    <cellStyle name="Separador de milhares 3 4 2 8" xfId="3258"/>
    <cellStyle name="Separador de milhares 3 4 2 8 2" xfId="7340"/>
    <cellStyle name="Separador de milhares 3 4 2 8 2 2" xfId="10484"/>
    <cellStyle name="Separador de milhares 3 4 2 8 2 2 2" xfId="28698"/>
    <cellStyle name="Separador de milhares 3 4 2 8 2 2 3" xfId="22784"/>
    <cellStyle name="Separador de milhares 3 4 2 8 2 2 4" xfId="16870"/>
    <cellStyle name="Separador de milhares 3 4 2 8 2 3" xfId="25741"/>
    <cellStyle name="Separador de milhares 3 4 2 8 2 4" xfId="19827"/>
    <cellStyle name="Separador de milhares 3 4 2 8 2 5" xfId="13729"/>
    <cellStyle name="Separador de milhares 3 4 2 8 3" xfId="9016"/>
    <cellStyle name="Separador de milhares 3 4 2 8 3 2" xfId="27230"/>
    <cellStyle name="Separador de milhares 3 4 2 8 3 3" xfId="21316"/>
    <cellStyle name="Separador de milhares 3 4 2 8 3 4" xfId="15402"/>
    <cellStyle name="Separador de milhares 3 4 2 8 4" xfId="5641"/>
    <cellStyle name="Separador de milhares 3 4 2 8 4 2" xfId="24273"/>
    <cellStyle name="Separador de milhares 3 4 2 8 5" xfId="18359"/>
    <cellStyle name="Separador de milhares 3 4 2 8 6" xfId="12028"/>
    <cellStyle name="Separador de milhares 3 4 2 9" xfId="3785"/>
    <cellStyle name="Separador de milhares 3 4 2 9 2" xfId="7487"/>
    <cellStyle name="Separador de milhares 3 4 2 9 2 2" xfId="10631"/>
    <cellStyle name="Separador de milhares 3 4 2 9 2 2 2" xfId="28845"/>
    <cellStyle name="Separador de milhares 3 4 2 9 2 2 3" xfId="22931"/>
    <cellStyle name="Separador de milhares 3 4 2 9 2 2 4" xfId="17017"/>
    <cellStyle name="Separador de milhares 3 4 2 9 2 3" xfId="25888"/>
    <cellStyle name="Separador de milhares 3 4 2 9 2 4" xfId="19974"/>
    <cellStyle name="Separador de milhares 3 4 2 9 2 5" xfId="13876"/>
    <cellStyle name="Separador de milhares 3 4 2 9 3" xfId="9163"/>
    <cellStyle name="Separador de milhares 3 4 2 9 3 2" xfId="27377"/>
    <cellStyle name="Separador de milhares 3 4 2 9 3 3" xfId="21463"/>
    <cellStyle name="Separador de milhares 3 4 2 9 3 4" xfId="15549"/>
    <cellStyle name="Separador de milhares 3 4 2 9 4" xfId="5788"/>
    <cellStyle name="Separador de milhares 3 4 2 9 4 2" xfId="24420"/>
    <cellStyle name="Separador de milhares 3 4 2 9 5" xfId="18506"/>
    <cellStyle name="Separador de milhares 3 4 2 9 6" xfId="12175"/>
    <cellStyle name="Separador de milhares 3 4 3" xfId="237"/>
    <cellStyle name="Separador de milhares 3 4 3 10" xfId="6478"/>
    <cellStyle name="Separador de milhares 3 4 3 10 2" xfId="9629"/>
    <cellStyle name="Separador de milhares 3 4 3 10 2 2" xfId="27843"/>
    <cellStyle name="Separador de milhares 3 4 3 10 2 3" xfId="21929"/>
    <cellStyle name="Separador de milhares 3 4 3 10 2 4" xfId="16015"/>
    <cellStyle name="Separador de milhares 3 4 3 10 3" xfId="24886"/>
    <cellStyle name="Separador de milhares 3 4 3 10 4" xfId="18972"/>
    <cellStyle name="Separador de milhares 3 4 3 10 5" xfId="12867"/>
    <cellStyle name="Separador de milhares 3 4 3 11" xfId="8158"/>
    <cellStyle name="Separador de milhares 3 4 3 11 2" xfId="26372"/>
    <cellStyle name="Separador de milhares 3 4 3 11 3" xfId="20458"/>
    <cellStyle name="Separador de milhares 3 4 3 11 4" xfId="14547"/>
    <cellStyle name="Separador de milhares 3 4 3 12" xfId="4777"/>
    <cellStyle name="Separador de milhares 3 4 3 12 2" xfId="23415"/>
    <cellStyle name="Separador de milhares 3 4 3 13" xfId="17501"/>
    <cellStyle name="Separador de milhares 3 4 3 14" xfId="11166"/>
    <cellStyle name="Separador de milhares 3 4 3 2" xfId="500"/>
    <cellStyle name="Separador de milhares 3 4 3 2 2" xfId="6549"/>
    <cellStyle name="Separador de milhares 3 4 3 2 2 2" xfId="9696"/>
    <cellStyle name="Separador de milhares 3 4 3 2 2 2 2" xfId="27910"/>
    <cellStyle name="Separador de milhares 3 4 3 2 2 2 3" xfId="21996"/>
    <cellStyle name="Separador de milhares 3 4 3 2 2 2 4" xfId="16082"/>
    <cellStyle name="Separador de milhares 3 4 3 2 2 3" xfId="24953"/>
    <cellStyle name="Separador de milhares 3 4 3 2 2 4" xfId="19039"/>
    <cellStyle name="Separador de milhares 3 4 3 2 2 5" xfId="12938"/>
    <cellStyle name="Separador de milhares 3 4 3 2 3" xfId="8225"/>
    <cellStyle name="Separador de milhares 3 4 3 2 3 2" xfId="26439"/>
    <cellStyle name="Separador de milhares 3 4 3 2 3 3" xfId="20525"/>
    <cellStyle name="Separador de milhares 3 4 3 2 3 4" xfId="14614"/>
    <cellStyle name="Separador de milhares 3 4 3 2 4" xfId="4848"/>
    <cellStyle name="Separador de milhares 3 4 3 2 4 2" xfId="23482"/>
    <cellStyle name="Separador de milhares 3 4 3 2 5" xfId="17568"/>
    <cellStyle name="Separador de milhares 3 4 3 2 6" xfId="11237"/>
    <cellStyle name="Separador de milhares 3 4 3 3" xfId="797"/>
    <cellStyle name="Separador de milhares 3 4 3 3 2" xfId="6651"/>
    <cellStyle name="Separador de milhares 3 4 3 3 2 2" xfId="9798"/>
    <cellStyle name="Separador de milhares 3 4 3 3 2 2 2" xfId="28012"/>
    <cellStyle name="Separador de milhares 3 4 3 3 2 2 3" xfId="22098"/>
    <cellStyle name="Separador de milhares 3 4 3 3 2 2 4" xfId="16184"/>
    <cellStyle name="Separador de milhares 3 4 3 3 2 3" xfId="25055"/>
    <cellStyle name="Separador de milhares 3 4 3 3 2 4" xfId="19141"/>
    <cellStyle name="Separador de milhares 3 4 3 3 2 5" xfId="13040"/>
    <cellStyle name="Separador de milhares 3 4 3 3 3" xfId="8330"/>
    <cellStyle name="Separador de milhares 3 4 3 3 3 2" xfId="26544"/>
    <cellStyle name="Separador de milhares 3 4 3 3 3 3" xfId="20630"/>
    <cellStyle name="Separador de milhares 3 4 3 3 3 4" xfId="14716"/>
    <cellStyle name="Separador de milhares 3 4 3 3 4" xfId="4952"/>
    <cellStyle name="Separador de milhares 3 4 3 3 4 2" xfId="23587"/>
    <cellStyle name="Separador de milhares 3 4 3 3 5" xfId="17673"/>
    <cellStyle name="Separador de milhares 3 4 3 3 6" xfId="11339"/>
    <cellStyle name="Separador de milhares 3 4 3 4" xfId="1148"/>
    <cellStyle name="Separador de milhares 3 4 3 4 2" xfId="6749"/>
    <cellStyle name="Separador de milhares 3 4 3 4 2 2" xfId="9896"/>
    <cellStyle name="Separador de milhares 3 4 3 4 2 2 2" xfId="28110"/>
    <cellStyle name="Separador de milhares 3 4 3 4 2 2 3" xfId="22196"/>
    <cellStyle name="Separador de milhares 3 4 3 4 2 2 4" xfId="16282"/>
    <cellStyle name="Separador de milhares 3 4 3 4 2 3" xfId="25153"/>
    <cellStyle name="Separador de milhares 3 4 3 4 2 4" xfId="19239"/>
    <cellStyle name="Separador de milhares 3 4 3 4 2 5" xfId="13138"/>
    <cellStyle name="Separador de milhares 3 4 3 4 3" xfId="8428"/>
    <cellStyle name="Separador de milhares 3 4 3 4 3 2" xfId="26642"/>
    <cellStyle name="Separador de milhares 3 4 3 4 3 3" xfId="20728"/>
    <cellStyle name="Separador de milhares 3 4 3 4 3 4" xfId="14814"/>
    <cellStyle name="Separador de milhares 3 4 3 4 4" xfId="5050"/>
    <cellStyle name="Separador de milhares 3 4 3 4 4 2" xfId="23685"/>
    <cellStyle name="Separador de milhares 3 4 3 4 5" xfId="17771"/>
    <cellStyle name="Separador de milhares 3 4 3 4 6" xfId="11437"/>
    <cellStyle name="Separador de milhares 3 4 3 5" xfId="1583"/>
    <cellStyle name="Separador de milhares 3 4 3 5 2" xfId="6868"/>
    <cellStyle name="Separador de milhares 3 4 3 5 2 2" xfId="10015"/>
    <cellStyle name="Separador de milhares 3 4 3 5 2 2 2" xfId="28229"/>
    <cellStyle name="Separador de milhares 3 4 3 5 2 2 3" xfId="22315"/>
    <cellStyle name="Separador de milhares 3 4 3 5 2 2 4" xfId="16401"/>
    <cellStyle name="Separador de milhares 3 4 3 5 2 3" xfId="25272"/>
    <cellStyle name="Separador de milhares 3 4 3 5 2 4" xfId="19358"/>
    <cellStyle name="Separador de milhares 3 4 3 5 2 5" xfId="13257"/>
    <cellStyle name="Separador de milhares 3 4 3 5 3" xfId="8547"/>
    <cellStyle name="Separador de milhares 3 4 3 5 3 2" xfId="26761"/>
    <cellStyle name="Separador de milhares 3 4 3 5 3 3" xfId="20847"/>
    <cellStyle name="Separador de milhares 3 4 3 5 3 4" xfId="14933"/>
    <cellStyle name="Separador de milhares 3 4 3 5 4" xfId="5169"/>
    <cellStyle name="Separador de milhares 3 4 3 5 4 2" xfId="23804"/>
    <cellStyle name="Separador de milhares 3 4 3 5 5" xfId="17890"/>
    <cellStyle name="Separador de milhares 3 4 3 5 6" xfId="11556"/>
    <cellStyle name="Separador de milhares 3 4 3 6" xfId="2113"/>
    <cellStyle name="Separador de milhares 3 4 3 6 2" xfId="7018"/>
    <cellStyle name="Separador de milhares 3 4 3 6 2 2" xfId="10162"/>
    <cellStyle name="Separador de milhares 3 4 3 6 2 2 2" xfId="28376"/>
    <cellStyle name="Separador de milhares 3 4 3 6 2 2 3" xfId="22462"/>
    <cellStyle name="Separador de milhares 3 4 3 6 2 2 4" xfId="16548"/>
    <cellStyle name="Separador de milhares 3 4 3 6 2 3" xfId="25419"/>
    <cellStyle name="Separador de milhares 3 4 3 6 2 4" xfId="19505"/>
    <cellStyle name="Separador de milhares 3 4 3 6 2 5" xfId="13407"/>
    <cellStyle name="Separador de milhares 3 4 3 6 3" xfId="8694"/>
    <cellStyle name="Separador de milhares 3 4 3 6 3 2" xfId="26908"/>
    <cellStyle name="Separador de milhares 3 4 3 6 3 3" xfId="20994"/>
    <cellStyle name="Separador de milhares 3 4 3 6 3 4" xfId="15080"/>
    <cellStyle name="Separador de milhares 3 4 3 6 4" xfId="5319"/>
    <cellStyle name="Separador de milhares 3 4 3 6 4 2" xfId="23951"/>
    <cellStyle name="Separador de milhares 3 4 3 6 5" xfId="18037"/>
    <cellStyle name="Separador de milhares 3 4 3 6 6" xfId="11706"/>
    <cellStyle name="Separador de milhares 3 4 3 7" xfId="2640"/>
    <cellStyle name="Separador de milhares 3 4 3 7 2" xfId="7165"/>
    <cellStyle name="Separador de milhares 3 4 3 7 2 2" xfId="10309"/>
    <cellStyle name="Separador de milhares 3 4 3 7 2 2 2" xfId="28523"/>
    <cellStyle name="Separador de milhares 3 4 3 7 2 2 3" xfId="22609"/>
    <cellStyle name="Separador de milhares 3 4 3 7 2 2 4" xfId="16695"/>
    <cellStyle name="Separador de milhares 3 4 3 7 2 3" xfId="25566"/>
    <cellStyle name="Separador de milhares 3 4 3 7 2 4" xfId="19652"/>
    <cellStyle name="Separador de milhares 3 4 3 7 2 5" xfId="13554"/>
    <cellStyle name="Separador de milhares 3 4 3 7 3" xfId="8841"/>
    <cellStyle name="Separador de milhares 3 4 3 7 3 2" xfId="27055"/>
    <cellStyle name="Separador de milhares 3 4 3 7 3 3" xfId="21141"/>
    <cellStyle name="Separador de milhares 3 4 3 7 3 4" xfId="15227"/>
    <cellStyle name="Separador de milhares 3 4 3 7 4" xfId="5466"/>
    <cellStyle name="Separador de milhares 3 4 3 7 4 2" xfId="24098"/>
    <cellStyle name="Separador de milhares 3 4 3 7 5" xfId="18184"/>
    <cellStyle name="Separador de milhares 3 4 3 7 6" xfId="11853"/>
    <cellStyle name="Separador de milhares 3 4 3 8" xfId="3167"/>
    <cellStyle name="Separador de milhares 3 4 3 8 2" xfId="7312"/>
    <cellStyle name="Separador de milhares 3 4 3 8 2 2" xfId="10456"/>
    <cellStyle name="Separador de milhares 3 4 3 8 2 2 2" xfId="28670"/>
    <cellStyle name="Separador de milhares 3 4 3 8 2 2 3" xfId="22756"/>
    <cellStyle name="Separador de milhares 3 4 3 8 2 2 4" xfId="16842"/>
    <cellStyle name="Separador de milhares 3 4 3 8 2 3" xfId="25713"/>
    <cellStyle name="Separador de milhares 3 4 3 8 2 4" xfId="19799"/>
    <cellStyle name="Separador de milhares 3 4 3 8 2 5" xfId="13701"/>
    <cellStyle name="Separador de milhares 3 4 3 8 3" xfId="8988"/>
    <cellStyle name="Separador de milhares 3 4 3 8 3 2" xfId="27202"/>
    <cellStyle name="Separador de milhares 3 4 3 8 3 3" xfId="21288"/>
    <cellStyle name="Separador de milhares 3 4 3 8 3 4" xfId="15374"/>
    <cellStyle name="Separador de milhares 3 4 3 8 4" xfId="5613"/>
    <cellStyle name="Separador de milhares 3 4 3 8 4 2" xfId="24245"/>
    <cellStyle name="Separador de milhares 3 4 3 8 5" xfId="18331"/>
    <cellStyle name="Separador de milhares 3 4 3 8 6" xfId="12000"/>
    <cellStyle name="Separador de milhares 3 4 3 9" xfId="3694"/>
    <cellStyle name="Separador de milhares 3 4 3 9 2" xfId="7459"/>
    <cellStyle name="Separador de milhares 3 4 3 9 2 2" xfId="10603"/>
    <cellStyle name="Separador de milhares 3 4 3 9 2 2 2" xfId="28817"/>
    <cellStyle name="Separador de milhares 3 4 3 9 2 2 3" xfId="22903"/>
    <cellStyle name="Separador de milhares 3 4 3 9 2 2 4" xfId="16989"/>
    <cellStyle name="Separador de milhares 3 4 3 9 2 3" xfId="25860"/>
    <cellStyle name="Separador de milhares 3 4 3 9 2 4" xfId="19946"/>
    <cellStyle name="Separador de milhares 3 4 3 9 2 5" xfId="13848"/>
    <cellStyle name="Separador de milhares 3 4 3 9 3" xfId="9135"/>
    <cellStyle name="Separador de milhares 3 4 3 9 3 2" xfId="27349"/>
    <cellStyle name="Separador de milhares 3 4 3 9 3 3" xfId="21435"/>
    <cellStyle name="Separador de milhares 3 4 3 9 3 4" xfId="15521"/>
    <cellStyle name="Separador de milhares 3 4 3 9 4" xfId="5760"/>
    <cellStyle name="Separador de milhares 3 4 3 9 4 2" xfId="24392"/>
    <cellStyle name="Separador de milhares 3 4 3 9 5" xfId="18478"/>
    <cellStyle name="Separador de milhares 3 4 3 9 6" xfId="12147"/>
    <cellStyle name="Separador de milhares 3 4 4" xfId="330"/>
    <cellStyle name="Separador de milhares 3 4 4 10" xfId="6506"/>
    <cellStyle name="Separador de milhares 3 4 4 10 2" xfId="9654"/>
    <cellStyle name="Separador de milhares 3 4 4 10 2 2" xfId="27868"/>
    <cellStyle name="Separador de milhares 3 4 4 10 2 3" xfId="21954"/>
    <cellStyle name="Separador de milhares 3 4 4 10 2 4" xfId="16040"/>
    <cellStyle name="Separador de milhares 3 4 4 10 3" xfId="24911"/>
    <cellStyle name="Separador de milhares 3 4 4 10 4" xfId="18997"/>
    <cellStyle name="Separador de milhares 3 4 4 10 5" xfId="12895"/>
    <cellStyle name="Separador de milhares 3 4 4 11" xfId="8183"/>
    <cellStyle name="Separador de milhares 3 4 4 11 2" xfId="26397"/>
    <cellStyle name="Separador de milhares 3 4 4 11 3" xfId="20483"/>
    <cellStyle name="Separador de milhares 3 4 4 11 4" xfId="14572"/>
    <cellStyle name="Separador de milhares 3 4 4 12" xfId="4805"/>
    <cellStyle name="Separador de milhares 3 4 4 12 2" xfId="23440"/>
    <cellStyle name="Separador de milhares 3 4 4 13" xfId="17526"/>
    <cellStyle name="Separador de milhares 3 4 4 14" xfId="11194"/>
    <cellStyle name="Separador de milhares 3 4 4 2" xfId="975"/>
    <cellStyle name="Separador de milhares 3 4 4 2 2" xfId="6703"/>
    <cellStyle name="Separador de milhares 3 4 4 2 2 2" xfId="9850"/>
    <cellStyle name="Separador de milhares 3 4 4 2 2 2 2" xfId="28064"/>
    <cellStyle name="Separador de milhares 3 4 4 2 2 2 3" xfId="22150"/>
    <cellStyle name="Separador de milhares 3 4 4 2 2 2 4" xfId="16236"/>
    <cellStyle name="Separador de milhares 3 4 4 2 2 3" xfId="25107"/>
    <cellStyle name="Separador de milhares 3 4 4 2 2 4" xfId="19193"/>
    <cellStyle name="Separador de milhares 3 4 4 2 2 5" xfId="13092"/>
    <cellStyle name="Separador de milhares 3 4 4 2 3" xfId="8382"/>
    <cellStyle name="Separador de milhares 3 4 4 2 3 2" xfId="26596"/>
    <cellStyle name="Separador de milhares 3 4 4 2 3 3" xfId="20682"/>
    <cellStyle name="Separador de milhares 3 4 4 2 3 4" xfId="14768"/>
    <cellStyle name="Separador de milhares 3 4 4 2 4" xfId="5004"/>
    <cellStyle name="Separador de milhares 3 4 4 2 4 2" xfId="23639"/>
    <cellStyle name="Separador de milhares 3 4 4 2 5" xfId="17725"/>
    <cellStyle name="Separador de milhares 3 4 4 2 6" xfId="11391"/>
    <cellStyle name="Separador de milhares 3 4 4 3" xfId="1326"/>
    <cellStyle name="Separador de milhares 3 4 4 3 2" xfId="6801"/>
    <cellStyle name="Separador de milhares 3 4 4 3 2 2" xfId="9948"/>
    <cellStyle name="Separador de milhares 3 4 4 3 2 2 2" xfId="28162"/>
    <cellStyle name="Separador de milhares 3 4 4 3 2 2 3" xfId="22248"/>
    <cellStyle name="Separador de milhares 3 4 4 3 2 2 4" xfId="16334"/>
    <cellStyle name="Separador de milhares 3 4 4 3 2 3" xfId="25205"/>
    <cellStyle name="Separador de milhares 3 4 4 3 2 4" xfId="19291"/>
    <cellStyle name="Separador de milhares 3 4 4 3 2 5" xfId="13190"/>
    <cellStyle name="Separador de milhares 3 4 4 3 3" xfId="8480"/>
    <cellStyle name="Separador de milhares 3 4 4 3 3 2" xfId="26694"/>
    <cellStyle name="Separador de milhares 3 4 4 3 3 3" xfId="20780"/>
    <cellStyle name="Separador de milhares 3 4 4 3 3 4" xfId="14866"/>
    <cellStyle name="Separador de milhares 3 4 4 3 4" xfId="5102"/>
    <cellStyle name="Separador de milhares 3 4 4 3 4 2" xfId="23737"/>
    <cellStyle name="Separador de milhares 3 4 4 3 5" xfId="17823"/>
    <cellStyle name="Separador de milhares 3 4 4 3 6" xfId="11489"/>
    <cellStyle name="Separador de milhares 3 4 4 4" xfId="1761"/>
    <cellStyle name="Separador de milhares 3 4 4 4 2" xfId="6920"/>
    <cellStyle name="Separador de milhares 3 4 4 4 2 2" xfId="10067"/>
    <cellStyle name="Separador de milhares 3 4 4 4 2 2 2" xfId="28281"/>
    <cellStyle name="Separador de milhares 3 4 4 4 2 2 3" xfId="22367"/>
    <cellStyle name="Separador de milhares 3 4 4 4 2 2 4" xfId="16453"/>
    <cellStyle name="Separador de milhares 3 4 4 4 2 3" xfId="25324"/>
    <cellStyle name="Separador de milhares 3 4 4 4 2 4" xfId="19410"/>
    <cellStyle name="Separador de milhares 3 4 4 4 2 5" xfId="13309"/>
    <cellStyle name="Separador de milhares 3 4 4 4 3" xfId="8599"/>
    <cellStyle name="Separador de milhares 3 4 4 4 3 2" xfId="26813"/>
    <cellStyle name="Separador de milhares 3 4 4 4 3 3" xfId="20899"/>
    <cellStyle name="Separador de milhares 3 4 4 4 3 4" xfId="14985"/>
    <cellStyle name="Separador de milhares 3 4 4 4 4" xfId="5221"/>
    <cellStyle name="Separador de milhares 3 4 4 4 4 2" xfId="23856"/>
    <cellStyle name="Separador de milhares 3 4 4 4 5" xfId="17942"/>
    <cellStyle name="Separador de milhares 3 4 4 4 6" xfId="11608"/>
    <cellStyle name="Separador de milhares 3 4 4 5" xfId="2291"/>
    <cellStyle name="Separador de milhares 3 4 4 5 2" xfId="7070"/>
    <cellStyle name="Separador de milhares 3 4 4 5 2 2" xfId="10214"/>
    <cellStyle name="Separador de milhares 3 4 4 5 2 2 2" xfId="28428"/>
    <cellStyle name="Separador de milhares 3 4 4 5 2 2 3" xfId="22514"/>
    <cellStyle name="Separador de milhares 3 4 4 5 2 2 4" xfId="16600"/>
    <cellStyle name="Separador de milhares 3 4 4 5 2 3" xfId="25471"/>
    <cellStyle name="Separador de milhares 3 4 4 5 2 4" xfId="19557"/>
    <cellStyle name="Separador de milhares 3 4 4 5 2 5" xfId="13459"/>
    <cellStyle name="Separador de milhares 3 4 4 5 3" xfId="8746"/>
    <cellStyle name="Separador de milhares 3 4 4 5 3 2" xfId="26960"/>
    <cellStyle name="Separador de milhares 3 4 4 5 3 3" xfId="21046"/>
    <cellStyle name="Separador de milhares 3 4 4 5 3 4" xfId="15132"/>
    <cellStyle name="Separador de milhares 3 4 4 5 4" xfId="5371"/>
    <cellStyle name="Separador de milhares 3 4 4 5 4 2" xfId="24003"/>
    <cellStyle name="Separador de milhares 3 4 4 5 5" xfId="18089"/>
    <cellStyle name="Separador de milhares 3 4 4 5 6" xfId="11758"/>
    <cellStyle name="Separador de milhares 3 4 4 6" xfId="2818"/>
    <cellStyle name="Separador de milhares 3 4 4 6 2" xfId="7217"/>
    <cellStyle name="Separador de milhares 3 4 4 6 2 2" xfId="10361"/>
    <cellStyle name="Separador de milhares 3 4 4 6 2 2 2" xfId="28575"/>
    <cellStyle name="Separador de milhares 3 4 4 6 2 2 3" xfId="22661"/>
    <cellStyle name="Separador de milhares 3 4 4 6 2 2 4" xfId="16747"/>
    <cellStyle name="Separador de milhares 3 4 4 6 2 3" xfId="25618"/>
    <cellStyle name="Separador de milhares 3 4 4 6 2 4" xfId="19704"/>
    <cellStyle name="Separador de milhares 3 4 4 6 2 5" xfId="13606"/>
    <cellStyle name="Separador de milhares 3 4 4 6 3" xfId="8893"/>
    <cellStyle name="Separador de milhares 3 4 4 6 3 2" xfId="27107"/>
    <cellStyle name="Separador de milhares 3 4 4 6 3 3" xfId="21193"/>
    <cellStyle name="Separador de milhares 3 4 4 6 3 4" xfId="15279"/>
    <cellStyle name="Separador de milhares 3 4 4 6 4" xfId="5518"/>
    <cellStyle name="Separador de milhares 3 4 4 6 4 2" xfId="24150"/>
    <cellStyle name="Separador de milhares 3 4 4 6 5" xfId="18236"/>
    <cellStyle name="Separador de milhares 3 4 4 6 6" xfId="11905"/>
    <cellStyle name="Separador de milhares 3 4 4 7" xfId="3345"/>
    <cellStyle name="Separador de milhares 3 4 4 7 2" xfId="7364"/>
    <cellStyle name="Separador de milhares 3 4 4 7 2 2" xfId="10508"/>
    <cellStyle name="Separador de milhares 3 4 4 7 2 2 2" xfId="28722"/>
    <cellStyle name="Separador de milhares 3 4 4 7 2 2 3" xfId="22808"/>
    <cellStyle name="Separador de milhares 3 4 4 7 2 2 4" xfId="16894"/>
    <cellStyle name="Separador de milhares 3 4 4 7 2 3" xfId="25765"/>
    <cellStyle name="Separador de milhares 3 4 4 7 2 4" xfId="19851"/>
    <cellStyle name="Separador de milhares 3 4 4 7 2 5" xfId="13753"/>
    <cellStyle name="Separador de milhares 3 4 4 7 3" xfId="9040"/>
    <cellStyle name="Separador de milhares 3 4 4 7 3 2" xfId="27254"/>
    <cellStyle name="Separador de milhares 3 4 4 7 3 3" xfId="21340"/>
    <cellStyle name="Separador de milhares 3 4 4 7 3 4" xfId="15426"/>
    <cellStyle name="Separador de milhares 3 4 4 7 4" xfId="5665"/>
    <cellStyle name="Separador de milhares 3 4 4 7 4 2" xfId="24297"/>
    <cellStyle name="Separador de milhares 3 4 4 7 5" xfId="18383"/>
    <cellStyle name="Separador de milhares 3 4 4 7 6" xfId="12052"/>
    <cellStyle name="Separador de milhares 3 4 4 8" xfId="3872"/>
    <cellStyle name="Separador de milhares 3 4 4 8 2" xfId="7511"/>
    <cellStyle name="Separador de milhares 3 4 4 8 2 2" xfId="10655"/>
    <cellStyle name="Separador de milhares 3 4 4 8 2 2 2" xfId="28869"/>
    <cellStyle name="Separador de milhares 3 4 4 8 2 2 3" xfId="22955"/>
    <cellStyle name="Separador de milhares 3 4 4 8 2 2 4" xfId="17041"/>
    <cellStyle name="Separador de milhares 3 4 4 8 2 3" xfId="25912"/>
    <cellStyle name="Separador de milhares 3 4 4 8 2 4" xfId="19998"/>
    <cellStyle name="Separador de milhares 3 4 4 8 2 5" xfId="13900"/>
    <cellStyle name="Separador de milhares 3 4 4 8 3" xfId="9187"/>
    <cellStyle name="Separador de milhares 3 4 4 8 3 2" xfId="27401"/>
    <cellStyle name="Separador de milhares 3 4 4 8 3 3" xfId="21487"/>
    <cellStyle name="Separador de milhares 3 4 4 8 3 4" xfId="15573"/>
    <cellStyle name="Separador de milhares 3 4 4 8 4" xfId="5812"/>
    <cellStyle name="Separador de milhares 3 4 4 8 4 2" xfId="24444"/>
    <cellStyle name="Separador de milhares 3 4 4 8 5" xfId="18530"/>
    <cellStyle name="Separador de milhares 3 4 4 8 6" xfId="12199"/>
    <cellStyle name="Separador de milhares 3 4 4 9" xfId="670"/>
    <cellStyle name="Separador de milhares 3 4 4 9 2" xfId="6605"/>
    <cellStyle name="Separador de milhares 3 4 4 9 2 2" xfId="9752"/>
    <cellStyle name="Separador de milhares 3 4 4 9 2 2 2" xfId="27966"/>
    <cellStyle name="Separador de milhares 3 4 4 9 2 2 3" xfId="22052"/>
    <cellStyle name="Separador de milhares 3 4 4 9 2 2 4" xfId="16138"/>
    <cellStyle name="Separador de milhares 3 4 4 9 2 3" xfId="25009"/>
    <cellStyle name="Separador de milhares 3 4 4 9 2 4" xfId="19095"/>
    <cellStyle name="Separador de milhares 3 4 4 9 2 5" xfId="12994"/>
    <cellStyle name="Separador de milhares 3 4 4 9 3" xfId="8284"/>
    <cellStyle name="Separador de milhares 3 4 4 9 3 2" xfId="26498"/>
    <cellStyle name="Separador de milhares 3 4 4 9 3 3" xfId="20584"/>
    <cellStyle name="Separador de milhares 3 4 4 9 3 4" xfId="14670"/>
    <cellStyle name="Separador de milhares 3 4 4 9 4" xfId="4906"/>
    <cellStyle name="Separador de milhares 3 4 4 9 4 2" xfId="23541"/>
    <cellStyle name="Separador de milhares 3 4 4 9 5" xfId="17627"/>
    <cellStyle name="Separador de milhares 3 4 4 9 6" xfId="11293"/>
    <cellStyle name="Separador de milhares 3 4 5" xfId="587"/>
    <cellStyle name="Separador de milhares 3 4 5 10" xfId="4870"/>
    <cellStyle name="Separador de milhares 3 4 5 10 2" xfId="23504"/>
    <cellStyle name="Separador de milhares 3 4 5 11" xfId="17590"/>
    <cellStyle name="Separador de milhares 3 4 5 12" xfId="11259"/>
    <cellStyle name="Separador de milhares 3 4 5 2" xfId="1410"/>
    <cellStyle name="Separador de milhares 3 4 5 2 2" xfId="6822"/>
    <cellStyle name="Separador de milhares 3 4 5 2 2 2" xfId="9969"/>
    <cellStyle name="Separador de milhares 3 4 5 2 2 2 2" xfId="28183"/>
    <cellStyle name="Separador de milhares 3 4 5 2 2 2 3" xfId="22269"/>
    <cellStyle name="Separador de milhares 3 4 5 2 2 2 4" xfId="16355"/>
    <cellStyle name="Separador de milhares 3 4 5 2 2 3" xfId="25226"/>
    <cellStyle name="Separador de milhares 3 4 5 2 2 4" xfId="19312"/>
    <cellStyle name="Separador de milhares 3 4 5 2 2 5" xfId="13211"/>
    <cellStyle name="Separador de milhares 3 4 5 2 3" xfId="8501"/>
    <cellStyle name="Separador de milhares 3 4 5 2 3 2" xfId="26715"/>
    <cellStyle name="Separador de milhares 3 4 5 2 3 3" xfId="20801"/>
    <cellStyle name="Separador de milhares 3 4 5 2 3 4" xfId="14887"/>
    <cellStyle name="Separador de milhares 3 4 5 2 4" xfId="5123"/>
    <cellStyle name="Separador de milhares 3 4 5 2 4 2" xfId="23758"/>
    <cellStyle name="Separador de milhares 3 4 5 2 5" xfId="17844"/>
    <cellStyle name="Separador de milhares 3 4 5 2 6" xfId="11510"/>
    <cellStyle name="Separador de milhares 3 4 5 3" xfId="1845"/>
    <cellStyle name="Separador de milhares 3 4 5 3 2" xfId="6941"/>
    <cellStyle name="Separador de milhares 3 4 5 3 2 2" xfId="10088"/>
    <cellStyle name="Separador de milhares 3 4 5 3 2 2 2" xfId="28302"/>
    <cellStyle name="Separador de milhares 3 4 5 3 2 2 3" xfId="22388"/>
    <cellStyle name="Separador de milhares 3 4 5 3 2 2 4" xfId="16474"/>
    <cellStyle name="Separador de milhares 3 4 5 3 2 3" xfId="25345"/>
    <cellStyle name="Separador de milhares 3 4 5 3 2 4" xfId="19431"/>
    <cellStyle name="Separador de milhares 3 4 5 3 2 5" xfId="13330"/>
    <cellStyle name="Separador de milhares 3 4 5 3 3" xfId="8620"/>
    <cellStyle name="Separador de milhares 3 4 5 3 3 2" xfId="26834"/>
    <cellStyle name="Separador de milhares 3 4 5 3 3 3" xfId="20920"/>
    <cellStyle name="Separador de milhares 3 4 5 3 3 4" xfId="15006"/>
    <cellStyle name="Separador de milhares 3 4 5 3 4" xfId="5242"/>
    <cellStyle name="Separador de milhares 3 4 5 3 4 2" xfId="23877"/>
    <cellStyle name="Separador de milhares 3 4 5 3 5" xfId="17963"/>
    <cellStyle name="Separador de milhares 3 4 5 3 6" xfId="11629"/>
    <cellStyle name="Separador de milhares 3 4 5 4" xfId="2375"/>
    <cellStyle name="Separador de milhares 3 4 5 4 2" xfId="7091"/>
    <cellStyle name="Separador de milhares 3 4 5 4 2 2" xfId="10235"/>
    <cellStyle name="Separador de milhares 3 4 5 4 2 2 2" xfId="28449"/>
    <cellStyle name="Separador de milhares 3 4 5 4 2 2 3" xfId="22535"/>
    <cellStyle name="Separador de milhares 3 4 5 4 2 2 4" xfId="16621"/>
    <cellStyle name="Separador de milhares 3 4 5 4 2 3" xfId="25492"/>
    <cellStyle name="Separador de milhares 3 4 5 4 2 4" xfId="19578"/>
    <cellStyle name="Separador de milhares 3 4 5 4 2 5" xfId="13480"/>
    <cellStyle name="Separador de milhares 3 4 5 4 3" xfId="8767"/>
    <cellStyle name="Separador de milhares 3 4 5 4 3 2" xfId="26981"/>
    <cellStyle name="Separador de milhares 3 4 5 4 3 3" xfId="21067"/>
    <cellStyle name="Separador de milhares 3 4 5 4 3 4" xfId="15153"/>
    <cellStyle name="Separador de milhares 3 4 5 4 4" xfId="5392"/>
    <cellStyle name="Separador de milhares 3 4 5 4 4 2" xfId="24024"/>
    <cellStyle name="Separador de milhares 3 4 5 4 5" xfId="18110"/>
    <cellStyle name="Separador de milhares 3 4 5 4 6" xfId="11779"/>
    <cellStyle name="Separador de milhares 3 4 5 5" xfId="2902"/>
    <cellStyle name="Separador de milhares 3 4 5 5 2" xfId="7238"/>
    <cellStyle name="Separador de milhares 3 4 5 5 2 2" xfId="10382"/>
    <cellStyle name="Separador de milhares 3 4 5 5 2 2 2" xfId="28596"/>
    <cellStyle name="Separador de milhares 3 4 5 5 2 2 3" xfId="22682"/>
    <cellStyle name="Separador de milhares 3 4 5 5 2 2 4" xfId="16768"/>
    <cellStyle name="Separador de milhares 3 4 5 5 2 3" xfId="25639"/>
    <cellStyle name="Separador de milhares 3 4 5 5 2 4" xfId="19725"/>
    <cellStyle name="Separador de milhares 3 4 5 5 2 5" xfId="13627"/>
    <cellStyle name="Separador de milhares 3 4 5 5 3" xfId="8914"/>
    <cellStyle name="Separador de milhares 3 4 5 5 3 2" xfId="27128"/>
    <cellStyle name="Separador de milhares 3 4 5 5 3 3" xfId="21214"/>
    <cellStyle name="Separador de milhares 3 4 5 5 3 4" xfId="15300"/>
    <cellStyle name="Separador de milhares 3 4 5 5 4" xfId="5539"/>
    <cellStyle name="Separador de milhares 3 4 5 5 4 2" xfId="24171"/>
    <cellStyle name="Separador de milhares 3 4 5 5 5" xfId="18257"/>
    <cellStyle name="Separador de milhares 3 4 5 5 6" xfId="11926"/>
    <cellStyle name="Separador de milhares 3 4 5 6" xfId="3429"/>
    <cellStyle name="Separador de milhares 3 4 5 6 2" xfId="7385"/>
    <cellStyle name="Separador de milhares 3 4 5 6 2 2" xfId="10529"/>
    <cellStyle name="Separador de milhares 3 4 5 6 2 2 2" xfId="28743"/>
    <cellStyle name="Separador de milhares 3 4 5 6 2 2 3" xfId="22829"/>
    <cellStyle name="Separador de milhares 3 4 5 6 2 2 4" xfId="16915"/>
    <cellStyle name="Separador de milhares 3 4 5 6 2 3" xfId="25786"/>
    <cellStyle name="Separador de milhares 3 4 5 6 2 4" xfId="19872"/>
    <cellStyle name="Separador de milhares 3 4 5 6 2 5" xfId="13774"/>
    <cellStyle name="Separador de milhares 3 4 5 6 3" xfId="9061"/>
    <cellStyle name="Separador de milhares 3 4 5 6 3 2" xfId="27275"/>
    <cellStyle name="Separador de milhares 3 4 5 6 3 3" xfId="21361"/>
    <cellStyle name="Separador de milhares 3 4 5 6 3 4" xfId="15447"/>
    <cellStyle name="Separador de milhares 3 4 5 6 4" xfId="5686"/>
    <cellStyle name="Separador de milhares 3 4 5 6 4 2" xfId="24318"/>
    <cellStyle name="Separador de milhares 3 4 5 6 5" xfId="18404"/>
    <cellStyle name="Separador de milhares 3 4 5 6 6" xfId="12073"/>
    <cellStyle name="Separador de milhares 3 4 5 7" xfId="3956"/>
    <cellStyle name="Separador de milhares 3 4 5 7 2" xfId="7532"/>
    <cellStyle name="Separador de milhares 3 4 5 7 2 2" xfId="10676"/>
    <cellStyle name="Separador de milhares 3 4 5 7 2 2 2" xfId="28890"/>
    <cellStyle name="Separador de milhares 3 4 5 7 2 2 3" xfId="22976"/>
    <cellStyle name="Separador de milhares 3 4 5 7 2 2 4" xfId="17062"/>
    <cellStyle name="Separador de milhares 3 4 5 7 2 3" xfId="25933"/>
    <cellStyle name="Separador de milhares 3 4 5 7 2 4" xfId="20019"/>
    <cellStyle name="Separador de milhares 3 4 5 7 2 5" xfId="13921"/>
    <cellStyle name="Separador de milhares 3 4 5 7 3" xfId="9208"/>
    <cellStyle name="Separador de milhares 3 4 5 7 3 2" xfId="27422"/>
    <cellStyle name="Separador de milhares 3 4 5 7 3 3" xfId="21508"/>
    <cellStyle name="Separador de milhares 3 4 5 7 3 4" xfId="15594"/>
    <cellStyle name="Separador de milhares 3 4 5 7 4" xfId="5833"/>
    <cellStyle name="Separador de milhares 3 4 5 7 4 2" xfId="24465"/>
    <cellStyle name="Separador de milhares 3 4 5 7 5" xfId="18551"/>
    <cellStyle name="Separador de milhares 3 4 5 7 6" xfId="12220"/>
    <cellStyle name="Separador de milhares 3 4 5 8" xfId="6571"/>
    <cellStyle name="Separador de milhares 3 4 5 8 2" xfId="9718"/>
    <cellStyle name="Separador de milhares 3 4 5 8 2 2" xfId="27932"/>
    <cellStyle name="Separador de milhares 3 4 5 8 2 3" xfId="22018"/>
    <cellStyle name="Separador de milhares 3 4 5 8 2 4" xfId="16104"/>
    <cellStyle name="Separador de milhares 3 4 5 8 3" xfId="24975"/>
    <cellStyle name="Separador de milhares 3 4 5 8 4" xfId="19061"/>
    <cellStyle name="Separador de milhares 3 4 5 8 5" xfId="12960"/>
    <cellStyle name="Separador de milhares 3 4 5 9" xfId="8247"/>
    <cellStyle name="Separador de milhares 3 4 5 9 2" xfId="26461"/>
    <cellStyle name="Separador de milhares 3 4 5 9 3" xfId="20547"/>
    <cellStyle name="Separador de milhares 3 4 5 9 4" xfId="14636"/>
    <cellStyle name="Separador de milhares 3 4 6" xfId="708"/>
    <cellStyle name="Separador de milhares 3 4 6 2" xfId="4132"/>
    <cellStyle name="Separador de milhares 3 4 6 2 2" xfId="7581"/>
    <cellStyle name="Separador de milhares 3 4 6 2 2 2" xfId="10725"/>
    <cellStyle name="Separador de milhares 3 4 6 2 2 2 2" xfId="28939"/>
    <cellStyle name="Separador de milhares 3 4 6 2 2 2 3" xfId="23025"/>
    <cellStyle name="Separador de milhares 3 4 6 2 2 2 4" xfId="17111"/>
    <cellStyle name="Separador de milhares 3 4 6 2 2 3" xfId="25982"/>
    <cellStyle name="Separador de milhares 3 4 6 2 2 4" xfId="20068"/>
    <cellStyle name="Separador de milhares 3 4 6 2 2 5" xfId="13970"/>
    <cellStyle name="Separador de milhares 3 4 6 2 3" xfId="9257"/>
    <cellStyle name="Separador de milhares 3 4 6 2 3 2" xfId="27471"/>
    <cellStyle name="Separador de milhares 3 4 6 2 3 3" xfId="21557"/>
    <cellStyle name="Separador de milhares 3 4 6 2 3 4" xfId="15643"/>
    <cellStyle name="Separador de milhares 3 4 6 2 4" xfId="5882"/>
    <cellStyle name="Separador de milhares 3 4 6 2 4 2" xfId="24514"/>
    <cellStyle name="Separador de milhares 3 4 6 2 5" xfId="18600"/>
    <cellStyle name="Separador de milhares 3 4 6 2 6" xfId="12269"/>
    <cellStyle name="Separador de milhares 3 4 6 3" xfId="6626"/>
    <cellStyle name="Separador de milhares 3 4 6 3 2" xfId="9773"/>
    <cellStyle name="Separador de milhares 3 4 6 3 2 2" xfId="27987"/>
    <cellStyle name="Separador de milhares 3 4 6 3 2 3" xfId="22073"/>
    <cellStyle name="Separador de milhares 3 4 6 3 2 4" xfId="16159"/>
    <cellStyle name="Separador de milhares 3 4 6 3 3" xfId="25030"/>
    <cellStyle name="Separador de milhares 3 4 6 3 4" xfId="19116"/>
    <cellStyle name="Separador de milhares 3 4 6 3 5" xfId="13015"/>
    <cellStyle name="Separador de milhares 3 4 6 4" xfId="8305"/>
    <cellStyle name="Separador de milhares 3 4 6 4 2" xfId="26519"/>
    <cellStyle name="Separador de milhares 3 4 6 4 3" xfId="20605"/>
    <cellStyle name="Separador de milhares 3 4 6 4 4" xfId="14691"/>
    <cellStyle name="Separador de milhares 3 4 6 5" xfId="4927"/>
    <cellStyle name="Separador de milhares 3 4 6 5 2" xfId="23562"/>
    <cellStyle name="Separador de milhares 3 4 6 6" xfId="17648"/>
    <cellStyle name="Separador de milhares 3 4 6 7" xfId="11314"/>
    <cellStyle name="Separador de milhares 3 4 7" xfId="1059"/>
    <cellStyle name="Separador de milhares 3 4 7 2" xfId="6724"/>
    <cellStyle name="Separador de milhares 3 4 7 2 2" xfId="9871"/>
    <cellStyle name="Separador de milhares 3 4 7 2 2 2" xfId="28085"/>
    <cellStyle name="Separador de milhares 3 4 7 2 2 3" xfId="22171"/>
    <cellStyle name="Separador de milhares 3 4 7 2 2 4" xfId="16257"/>
    <cellStyle name="Separador de milhares 3 4 7 2 3" xfId="25128"/>
    <cellStyle name="Separador de milhares 3 4 7 2 4" xfId="19214"/>
    <cellStyle name="Separador de milhares 3 4 7 2 5" xfId="13113"/>
    <cellStyle name="Separador de milhares 3 4 7 3" xfId="8403"/>
    <cellStyle name="Separador de milhares 3 4 7 3 2" xfId="26617"/>
    <cellStyle name="Separador de milhares 3 4 7 3 3" xfId="20703"/>
    <cellStyle name="Separador de milhares 3 4 7 3 4" xfId="14789"/>
    <cellStyle name="Separador de milhares 3 4 7 4" xfId="5025"/>
    <cellStyle name="Separador de milhares 3 4 7 4 2" xfId="23660"/>
    <cellStyle name="Separador de milhares 3 4 7 5" xfId="17746"/>
    <cellStyle name="Separador de milhares 3 4 7 6" xfId="11412"/>
    <cellStyle name="Separador de milhares 3 4 8" xfId="1494"/>
    <cellStyle name="Separador de milhares 3 4 8 2" xfId="6843"/>
    <cellStyle name="Separador de milhares 3 4 8 2 2" xfId="9990"/>
    <cellStyle name="Separador de milhares 3 4 8 2 2 2" xfId="28204"/>
    <cellStyle name="Separador de milhares 3 4 8 2 2 3" xfId="22290"/>
    <cellStyle name="Separador de milhares 3 4 8 2 2 4" xfId="16376"/>
    <cellStyle name="Separador de milhares 3 4 8 2 3" xfId="25247"/>
    <cellStyle name="Separador de milhares 3 4 8 2 4" xfId="19333"/>
    <cellStyle name="Separador de milhares 3 4 8 2 5" xfId="13232"/>
    <cellStyle name="Separador de milhares 3 4 8 3" xfId="8522"/>
    <cellStyle name="Separador de milhares 3 4 8 3 2" xfId="26736"/>
    <cellStyle name="Separador de milhares 3 4 8 3 3" xfId="20822"/>
    <cellStyle name="Separador de milhares 3 4 8 3 4" xfId="14908"/>
    <cellStyle name="Separador de milhares 3 4 8 4" xfId="5144"/>
    <cellStyle name="Separador de milhares 3 4 8 4 2" xfId="23779"/>
    <cellStyle name="Separador de milhares 3 4 8 5" xfId="17865"/>
    <cellStyle name="Separador de milhares 3 4 8 6" xfId="11531"/>
    <cellStyle name="Separador de milhares 3 4 9" xfId="2024"/>
    <cellStyle name="Separador de milhares 3 4 9 2" xfId="6993"/>
    <cellStyle name="Separador de milhares 3 4 9 2 2" xfId="10137"/>
    <cellStyle name="Separador de milhares 3 4 9 2 2 2" xfId="28351"/>
    <cellStyle name="Separador de milhares 3 4 9 2 2 3" xfId="22437"/>
    <cellStyle name="Separador de milhares 3 4 9 2 2 4" xfId="16523"/>
    <cellStyle name="Separador de milhares 3 4 9 2 3" xfId="25394"/>
    <cellStyle name="Separador de milhares 3 4 9 2 4" xfId="19480"/>
    <cellStyle name="Separador de milhares 3 4 9 2 5" xfId="13382"/>
    <cellStyle name="Separador de milhares 3 4 9 3" xfId="8669"/>
    <cellStyle name="Separador de milhares 3 4 9 3 2" xfId="26883"/>
    <cellStyle name="Separador de milhares 3 4 9 3 3" xfId="20969"/>
    <cellStyle name="Separador de milhares 3 4 9 3 4" xfId="15055"/>
    <cellStyle name="Separador de milhares 3 4 9 4" xfId="5294"/>
    <cellStyle name="Separador de milhares 3 4 9 4 2" xfId="23926"/>
    <cellStyle name="Separador de milhares 3 4 9 5" xfId="18012"/>
    <cellStyle name="Separador de milhares 3 4 9 6" xfId="11681"/>
    <cellStyle name="Separador de milhares 3 5" xfId="52"/>
    <cellStyle name="Separador de milhares 3 5 10" xfId="2555"/>
    <cellStyle name="Separador de milhares 3 5 10 2" xfId="7141"/>
    <cellStyle name="Separador de milhares 3 5 10 2 2" xfId="10285"/>
    <cellStyle name="Separador de milhares 3 5 10 2 2 2" xfId="28499"/>
    <cellStyle name="Separador de milhares 3 5 10 2 2 3" xfId="22585"/>
    <cellStyle name="Separador de milhares 3 5 10 2 2 4" xfId="16671"/>
    <cellStyle name="Separador de milhares 3 5 10 2 3" xfId="25542"/>
    <cellStyle name="Separador de milhares 3 5 10 2 4" xfId="19628"/>
    <cellStyle name="Separador de milhares 3 5 10 2 5" xfId="13530"/>
    <cellStyle name="Separador de milhares 3 5 10 3" xfId="8817"/>
    <cellStyle name="Separador de milhares 3 5 10 3 2" xfId="27031"/>
    <cellStyle name="Separador de milhares 3 5 10 3 3" xfId="21117"/>
    <cellStyle name="Separador de milhares 3 5 10 3 4" xfId="15203"/>
    <cellStyle name="Separador de milhares 3 5 10 4" xfId="5442"/>
    <cellStyle name="Separador de milhares 3 5 10 4 2" xfId="24074"/>
    <cellStyle name="Separador de milhares 3 5 10 5" xfId="18160"/>
    <cellStyle name="Separador de milhares 3 5 10 6" xfId="11829"/>
    <cellStyle name="Separador de milhares 3 5 11" xfId="3082"/>
    <cellStyle name="Separador de milhares 3 5 11 2" xfId="7288"/>
    <cellStyle name="Separador de milhares 3 5 11 2 2" xfId="10432"/>
    <cellStyle name="Separador de milhares 3 5 11 2 2 2" xfId="28646"/>
    <cellStyle name="Separador de milhares 3 5 11 2 2 3" xfId="22732"/>
    <cellStyle name="Separador de milhares 3 5 11 2 2 4" xfId="16818"/>
    <cellStyle name="Separador de milhares 3 5 11 2 3" xfId="25689"/>
    <cellStyle name="Separador de milhares 3 5 11 2 4" xfId="19775"/>
    <cellStyle name="Separador de milhares 3 5 11 2 5" xfId="13677"/>
    <cellStyle name="Separador de milhares 3 5 11 3" xfId="8964"/>
    <cellStyle name="Separador de milhares 3 5 11 3 2" xfId="27178"/>
    <cellStyle name="Separador de milhares 3 5 11 3 3" xfId="21264"/>
    <cellStyle name="Separador de milhares 3 5 11 3 4" xfId="15350"/>
    <cellStyle name="Separador de milhares 3 5 11 4" xfId="5589"/>
    <cellStyle name="Separador de milhares 3 5 11 4 2" xfId="24221"/>
    <cellStyle name="Separador de milhares 3 5 11 5" xfId="18307"/>
    <cellStyle name="Separador de milhares 3 5 11 6" xfId="11976"/>
    <cellStyle name="Separador de milhares 3 5 12" xfId="3609"/>
    <cellStyle name="Separador de milhares 3 5 12 2" xfId="7435"/>
    <cellStyle name="Separador de milhares 3 5 12 2 2" xfId="10579"/>
    <cellStyle name="Separador de milhares 3 5 12 2 2 2" xfId="28793"/>
    <cellStyle name="Separador de milhares 3 5 12 2 2 3" xfId="22879"/>
    <cellStyle name="Separador de milhares 3 5 12 2 2 4" xfId="16965"/>
    <cellStyle name="Separador de milhares 3 5 12 2 3" xfId="25836"/>
    <cellStyle name="Separador de milhares 3 5 12 2 4" xfId="19922"/>
    <cellStyle name="Separador de milhares 3 5 12 2 5" xfId="13824"/>
    <cellStyle name="Separador de milhares 3 5 12 3" xfId="9111"/>
    <cellStyle name="Separador de milhares 3 5 12 3 2" xfId="27325"/>
    <cellStyle name="Separador de milhares 3 5 12 3 3" xfId="21411"/>
    <cellStyle name="Separador de milhares 3 5 12 3 4" xfId="15497"/>
    <cellStyle name="Separador de milhares 3 5 12 4" xfId="5736"/>
    <cellStyle name="Separador de milhares 3 5 12 4 2" xfId="24368"/>
    <cellStyle name="Separador de milhares 3 5 12 5" xfId="18454"/>
    <cellStyle name="Separador de milhares 3 5 12 6" xfId="12123"/>
    <cellStyle name="Separador de milhares 3 5 13" xfId="6419"/>
    <cellStyle name="Separador de milhares 3 5 13 2" xfId="9575"/>
    <cellStyle name="Separador de milhares 3 5 13 2 2" xfId="27789"/>
    <cellStyle name="Separador de milhares 3 5 13 2 3" xfId="21875"/>
    <cellStyle name="Separador de milhares 3 5 13 2 4" xfId="15961"/>
    <cellStyle name="Separador de milhares 3 5 13 3" xfId="24832"/>
    <cellStyle name="Separador de milhares 3 5 13 4" xfId="18918"/>
    <cellStyle name="Separador de milhares 3 5 13 5" xfId="12808"/>
    <cellStyle name="Separador de milhares 3 5 14" xfId="8104"/>
    <cellStyle name="Separador de milhares 3 5 14 2" xfId="26318"/>
    <cellStyle name="Separador de milhares 3 5 14 3" xfId="20404"/>
    <cellStyle name="Separador de milhares 3 5 14 4" xfId="14493"/>
    <cellStyle name="Separador de milhares 3 5 15" xfId="4717"/>
    <cellStyle name="Separador de milhares 3 5 15 2" xfId="23361"/>
    <cellStyle name="Separador de milhares 3 5 16" xfId="17447"/>
    <cellStyle name="Separador de milhares 3 5 17" xfId="11107"/>
    <cellStyle name="Separador de milhares 3 5 2" xfId="146"/>
    <cellStyle name="Separador de milhares 3 5 2 10" xfId="6448"/>
    <cellStyle name="Separador de milhares 3 5 2 10 2" xfId="9602"/>
    <cellStyle name="Separador de milhares 3 5 2 10 2 2" xfId="27816"/>
    <cellStyle name="Separador de milhares 3 5 2 10 2 3" xfId="21902"/>
    <cellStyle name="Separador de milhares 3 5 2 10 2 4" xfId="15988"/>
    <cellStyle name="Separador de milhares 3 5 2 10 3" xfId="24859"/>
    <cellStyle name="Separador de milhares 3 5 2 10 4" xfId="18945"/>
    <cellStyle name="Separador de milhares 3 5 2 10 5" xfId="12837"/>
    <cellStyle name="Separador de milhares 3 5 2 11" xfId="8131"/>
    <cellStyle name="Separador de milhares 3 5 2 11 2" xfId="26345"/>
    <cellStyle name="Separador de milhares 3 5 2 11 3" xfId="20431"/>
    <cellStyle name="Separador de milhares 3 5 2 11 4" xfId="14520"/>
    <cellStyle name="Separador de milhares 3 5 2 12" xfId="4747"/>
    <cellStyle name="Separador de milhares 3 5 2 12 2" xfId="23388"/>
    <cellStyle name="Separador de milhares 3 5 2 13" xfId="17474"/>
    <cellStyle name="Separador de milhares 3 5 2 14" xfId="11136"/>
    <cellStyle name="Separador de milhares 3 5 2 2" xfId="419"/>
    <cellStyle name="Separador de milhares 3 5 2 2 10" xfId="17548"/>
    <cellStyle name="Separador de milhares 3 5 2 2 11" xfId="11217"/>
    <cellStyle name="Separador de milhares 3 5 2 2 2" xfId="1938"/>
    <cellStyle name="Separador de milhares 3 5 2 2 2 2" xfId="6967"/>
    <cellStyle name="Separador de milhares 3 5 2 2 2 2 2" xfId="10114"/>
    <cellStyle name="Separador de milhares 3 5 2 2 2 2 2 2" xfId="28328"/>
    <cellStyle name="Separador de milhares 3 5 2 2 2 2 2 3" xfId="22414"/>
    <cellStyle name="Separador de milhares 3 5 2 2 2 2 2 4" xfId="16500"/>
    <cellStyle name="Separador de milhares 3 5 2 2 2 2 3" xfId="25371"/>
    <cellStyle name="Separador de milhares 3 5 2 2 2 2 4" xfId="19457"/>
    <cellStyle name="Separador de milhares 3 5 2 2 2 2 5" xfId="13356"/>
    <cellStyle name="Separador de milhares 3 5 2 2 2 3" xfId="8646"/>
    <cellStyle name="Separador de milhares 3 5 2 2 2 3 2" xfId="26860"/>
    <cellStyle name="Separador de milhares 3 5 2 2 2 3 3" xfId="20946"/>
    <cellStyle name="Separador de milhares 3 5 2 2 2 3 4" xfId="15032"/>
    <cellStyle name="Separador de milhares 3 5 2 2 2 4" xfId="5268"/>
    <cellStyle name="Separador de milhares 3 5 2 2 2 4 2" xfId="23903"/>
    <cellStyle name="Separador de milhares 3 5 2 2 2 5" xfId="17989"/>
    <cellStyle name="Separador de milhares 3 5 2 2 2 6" xfId="11655"/>
    <cellStyle name="Separador de milhares 3 5 2 2 3" xfId="2468"/>
    <cellStyle name="Separador de milhares 3 5 2 2 3 2" xfId="7117"/>
    <cellStyle name="Separador de milhares 3 5 2 2 3 2 2" xfId="10261"/>
    <cellStyle name="Separador de milhares 3 5 2 2 3 2 2 2" xfId="28475"/>
    <cellStyle name="Separador de milhares 3 5 2 2 3 2 2 3" xfId="22561"/>
    <cellStyle name="Separador de milhares 3 5 2 2 3 2 2 4" xfId="16647"/>
    <cellStyle name="Separador de milhares 3 5 2 2 3 2 3" xfId="25518"/>
    <cellStyle name="Separador de milhares 3 5 2 2 3 2 4" xfId="19604"/>
    <cellStyle name="Separador de milhares 3 5 2 2 3 2 5" xfId="13506"/>
    <cellStyle name="Separador de milhares 3 5 2 2 3 3" xfId="8793"/>
    <cellStyle name="Separador de milhares 3 5 2 2 3 3 2" xfId="27007"/>
    <cellStyle name="Separador de milhares 3 5 2 2 3 3 3" xfId="21093"/>
    <cellStyle name="Separador de milhares 3 5 2 2 3 3 4" xfId="15179"/>
    <cellStyle name="Separador de milhares 3 5 2 2 3 4" xfId="5418"/>
    <cellStyle name="Separador de milhares 3 5 2 2 3 4 2" xfId="24050"/>
    <cellStyle name="Separador de milhares 3 5 2 2 3 5" xfId="18136"/>
    <cellStyle name="Separador de milhares 3 5 2 2 3 6" xfId="11805"/>
    <cellStyle name="Separador de milhares 3 5 2 2 4" xfId="2995"/>
    <cellStyle name="Separador de milhares 3 5 2 2 4 2" xfId="7264"/>
    <cellStyle name="Separador de milhares 3 5 2 2 4 2 2" xfId="10408"/>
    <cellStyle name="Separador de milhares 3 5 2 2 4 2 2 2" xfId="28622"/>
    <cellStyle name="Separador de milhares 3 5 2 2 4 2 2 3" xfId="22708"/>
    <cellStyle name="Separador de milhares 3 5 2 2 4 2 2 4" xfId="16794"/>
    <cellStyle name="Separador de milhares 3 5 2 2 4 2 3" xfId="25665"/>
    <cellStyle name="Separador de milhares 3 5 2 2 4 2 4" xfId="19751"/>
    <cellStyle name="Separador de milhares 3 5 2 2 4 2 5" xfId="13653"/>
    <cellStyle name="Separador de milhares 3 5 2 2 4 3" xfId="8940"/>
    <cellStyle name="Separador de milhares 3 5 2 2 4 3 2" xfId="27154"/>
    <cellStyle name="Separador de milhares 3 5 2 2 4 3 3" xfId="21240"/>
    <cellStyle name="Separador de milhares 3 5 2 2 4 3 4" xfId="15326"/>
    <cellStyle name="Separador de milhares 3 5 2 2 4 4" xfId="5565"/>
    <cellStyle name="Separador de milhares 3 5 2 2 4 4 2" xfId="24197"/>
    <cellStyle name="Separador de milhares 3 5 2 2 4 5" xfId="18283"/>
    <cellStyle name="Separador de milhares 3 5 2 2 4 6" xfId="11952"/>
    <cellStyle name="Separador de milhares 3 5 2 2 5" xfId="3522"/>
    <cellStyle name="Separador de milhares 3 5 2 2 5 2" xfId="7411"/>
    <cellStyle name="Separador de milhares 3 5 2 2 5 2 2" xfId="10555"/>
    <cellStyle name="Separador de milhares 3 5 2 2 5 2 2 2" xfId="28769"/>
    <cellStyle name="Separador de milhares 3 5 2 2 5 2 2 3" xfId="22855"/>
    <cellStyle name="Separador de milhares 3 5 2 2 5 2 2 4" xfId="16941"/>
    <cellStyle name="Separador de milhares 3 5 2 2 5 2 3" xfId="25812"/>
    <cellStyle name="Separador de milhares 3 5 2 2 5 2 4" xfId="19898"/>
    <cellStyle name="Separador de milhares 3 5 2 2 5 2 5" xfId="13800"/>
    <cellStyle name="Separador de milhares 3 5 2 2 5 3" xfId="9087"/>
    <cellStyle name="Separador de milhares 3 5 2 2 5 3 2" xfId="27301"/>
    <cellStyle name="Separador de milhares 3 5 2 2 5 3 3" xfId="21387"/>
    <cellStyle name="Separador de milhares 3 5 2 2 5 3 4" xfId="15473"/>
    <cellStyle name="Separador de milhares 3 5 2 2 5 4" xfId="5712"/>
    <cellStyle name="Separador de milhares 3 5 2 2 5 4 2" xfId="24344"/>
    <cellStyle name="Separador de milhares 3 5 2 2 5 5" xfId="18430"/>
    <cellStyle name="Separador de milhares 3 5 2 2 5 6" xfId="12099"/>
    <cellStyle name="Separador de milhares 3 5 2 2 6" xfId="4049"/>
    <cellStyle name="Separador de milhares 3 5 2 2 6 2" xfId="7558"/>
    <cellStyle name="Separador de milhares 3 5 2 2 6 2 2" xfId="10702"/>
    <cellStyle name="Separador de milhares 3 5 2 2 6 2 2 2" xfId="28916"/>
    <cellStyle name="Separador de milhares 3 5 2 2 6 2 2 3" xfId="23002"/>
    <cellStyle name="Separador de milhares 3 5 2 2 6 2 2 4" xfId="17088"/>
    <cellStyle name="Separador de milhares 3 5 2 2 6 2 3" xfId="25959"/>
    <cellStyle name="Separador de milhares 3 5 2 2 6 2 4" xfId="20045"/>
    <cellStyle name="Separador de milhares 3 5 2 2 6 2 5" xfId="13947"/>
    <cellStyle name="Separador de milhares 3 5 2 2 6 3" xfId="9234"/>
    <cellStyle name="Separador de milhares 3 5 2 2 6 3 2" xfId="27448"/>
    <cellStyle name="Separador de milhares 3 5 2 2 6 3 3" xfId="21534"/>
    <cellStyle name="Separador de milhares 3 5 2 2 6 3 4" xfId="15620"/>
    <cellStyle name="Separador de milhares 3 5 2 2 6 4" xfId="5859"/>
    <cellStyle name="Separador de milhares 3 5 2 2 6 4 2" xfId="24491"/>
    <cellStyle name="Separador de milhares 3 5 2 2 6 5" xfId="18577"/>
    <cellStyle name="Separador de milhares 3 5 2 2 6 6" xfId="12246"/>
    <cellStyle name="Separador de milhares 3 5 2 2 7" xfId="6529"/>
    <cellStyle name="Separador de milhares 3 5 2 2 7 2" xfId="9676"/>
    <cellStyle name="Separador de milhares 3 5 2 2 7 2 2" xfId="27890"/>
    <cellStyle name="Separador de milhares 3 5 2 2 7 2 3" xfId="21976"/>
    <cellStyle name="Separador de milhares 3 5 2 2 7 2 4" xfId="16062"/>
    <cellStyle name="Separador de milhares 3 5 2 2 7 3" xfId="24933"/>
    <cellStyle name="Separador de milhares 3 5 2 2 7 4" xfId="19019"/>
    <cellStyle name="Separador de milhares 3 5 2 2 7 5" xfId="12918"/>
    <cellStyle name="Separador de milhares 3 5 2 2 8" xfId="8205"/>
    <cellStyle name="Separador de milhares 3 5 2 2 8 2" xfId="26419"/>
    <cellStyle name="Separador de milhares 3 5 2 2 8 3" xfId="20505"/>
    <cellStyle name="Separador de milhares 3 5 2 2 8 4" xfId="14594"/>
    <cellStyle name="Separador de milhares 3 5 2 2 9" xfId="4828"/>
    <cellStyle name="Separador de milhares 3 5 2 2 9 2" xfId="23462"/>
    <cellStyle name="Separador de milhares 3 5 2 3" xfId="892"/>
    <cellStyle name="Separador de milhares 3 5 2 3 2" xfId="6680"/>
    <cellStyle name="Separador de milhares 3 5 2 3 2 2" xfId="9827"/>
    <cellStyle name="Separador de milhares 3 5 2 3 2 2 2" xfId="28041"/>
    <cellStyle name="Separador de milhares 3 5 2 3 2 2 3" xfId="22127"/>
    <cellStyle name="Separador de milhares 3 5 2 3 2 2 4" xfId="16213"/>
    <cellStyle name="Separador de milhares 3 5 2 3 2 3" xfId="25084"/>
    <cellStyle name="Separador de milhares 3 5 2 3 2 4" xfId="19170"/>
    <cellStyle name="Separador de milhares 3 5 2 3 2 5" xfId="13069"/>
    <cellStyle name="Separador de milhares 3 5 2 3 3" xfId="8359"/>
    <cellStyle name="Separador de milhares 3 5 2 3 3 2" xfId="26573"/>
    <cellStyle name="Separador de milhares 3 5 2 3 3 3" xfId="20659"/>
    <cellStyle name="Separador de milhares 3 5 2 3 3 4" xfId="14745"/>
    <cellStyle name="Separador de milhares 3 5 2 3 4" xfId="4981"/>
    <cellStyle name="Separador de milhares 3 5 2 3 4 2" xfId="23616"/>
    <cellStyle name="Separador de milhares 3 5 2 3 5" xfId="17702"/>
    <cellStyle name="Separador de milhares 3 5 2 3 6" xfId="11368"/>
    <cellStyle name="Separador de milhares 3 5 2 4" xfId="1243"/>
    <cellStyle name="Separador de milhares 3 5 2 4 2" xfId="6778"/>
    <cellStyle name="Separador de milhares 3 5 2 4 2 2" xfId="9925"/>
    <cellStyle name="Separador de milhares 3 5 2 4 2 2 2" xfId="28139"/>
    <cellStyle name="Separador de milhares 3 5 2 4 2 2 3" xfId="22225"/>
    <cellStyle name="Separador de milhares 3 5 2 4 2 2 4" xfId="16311"/>
    <cellStyle name="Separador de milhares 3 5 2 4 2 3" xfId="25182"/>
    <cellStyle name="Separador de milhares 3 5 2 4 2 4" xfId="19268"/>
    <cellStyle name="Separador de milhares 3 5 2 4 2 5" xfId="13167"/>
    <cellStyle name="Separador de milhares 3 5 2 4 3" xfId="8457"/>
    <cellStyle name="Separador de milhares 3 5 2 4 3 2" xfId="26671"/>
    <cellStyle name="Separador de milhares 3 5 2 4 3 3" xfId="20757"/>
    <cellStyle name="Separador de milhares 3 5 2 4 3 4" xfId="14843"/>
    <cellStyle name="Separador de milhares 3 5 2 4 4" xfId="5079"/>
    <cellStyle name="Separador de milhares 3 5 2 4 4 2" xfId="23714"/>
    <cellStyle name="Separador de milhares 3 5 2 4 5" xfId="17800"/>
    <cellStyle name="Separador de milhares 3 5 2 4 6" xfId="11466"/>
    <cellStyle name="Separador de milhares 3 5 2 5" xfId="1678"/>
    <cellStyle name="Separador de milhares 3 5 2 5 2" xfId="6897"/>
    <cellStyle name="Separador de milhares 3 5 2 5 2 2" xfId="10044"/>
    <cellStyle name="Separador de milhares 3 5 2 5 2 2 2" xfId="28258"/>
    <cellStyle name="Separador de milhares 3 5 2 5 2 2 3" xfId="22344"/>
    <cellStyle name="Separador de milhares 3 5 2 5 2 2 4" xfId="16430"/>
    <cellStyle name="Separador de milhares 3 5 2 5 2 3" xfId="25301"/>
    <cellStyle name="Separador de milhares 3 5 2 5 2 4" xfId="19387"/>
    <cellStyle name="Separador de milhares 3 5 2 5 2 5" xfId="13286"/>
    <cellStyle name="Separador de milhares 3 5 2 5 3" xfId="8576"/>
    <cellStyle name="Separador de milhares 3 5 2 5 3 2" xfId="26790"/>
    <cellStyle name="Separador de milhares 3 5 2 5 3 3" xfId="20876"/>
    <cellStyle name="Separador de milhares 3 5 2 5 3 4" xfId="14962"/>
    <cellStyle name="Separador de milhares 3 5 2 5 4" xfId="5198"/>
    <cellStyle name="Separador de milhares 3 5 2 5 4 2" xfId="23833"/>
    <cellStyle name="Separador de milhares 3 5 2 5 5" xfId="17919"/>
    <cellStyle name="Separador de milhares 3 5 2 5 6" xfId="11585"/>
    <cellStyle name="Separador de milhares 3 5 2 6" xfId="2208"/>
    <cellStyle name="Separador de milhares 3 5 2 6 2" xfId="7047"/>
    <cellStyle name="Separador de milhares 3 5 2 6 2 2" xfId="10191"/>
    <cellStyle name="Separador de milhares 3 5 2 6 2 2 2" xfId="28405"/>
    <cellStyle name="Separador de milhares 3 5 2 6 2 2 3" xfId="22491"/>
    <cellStyle name="Separador de milhares 3 5 2 6 2 2 4" xfId="16577"/>
    <cellStyle name="Separador de milhares 3 5 2 6 2 3" xfId="25448"/>
    <cellStyle name="Separador de milhares 3 5 2 6 2 4" xfId="19534"/>
    <cellStyle name="Separador de milhares 3 5 2 6 2 5" xfId="13436"/>
    <cellStyle name="Separador de milhares 3 5 2 6 3" xfId="8723"/>
    <cellStyle name="Separador de milhares 3 5 2 6 3 2" xfId="26937"/>
    <cellStyle name="Separador de milhares 3 5 2 6 3 3" xfId="21023"/>
    <cellStyle name="Separador de milhares 3 5 2 6 3 4" xfId="15109"/>
    <cellStyle name="Separador de milhares 3 5 2 6 4" xfId="5348"/>
    <cellStyle name="Separador de milhares 3 5 2 6 4 2" xfId="23980"/>
    <cellStyle name="Separador de milhares 3 5 2 6 5" xfId="18066"/>
    <cellStyle name="Separador de milhares 3 5 2 6 6" xfId="11735"/>
    <cellStyle name="Separador de milhares 3 5 2 7" xfId="2735"/>
    <cellStyle name="Separador de milhares 3 5 2 7 2" xfId="7194"/>
    <cellStyle name="Separador de milhares 3 5 2 7 2 2" xfId="10338"/>
    <cellStyle name="Separador de milhares 3 5 2 7 2 2 2" xfId="28552"/>
    <cellStyle name="Separador de milhares 3 5 2 7 2 2 3" xfId="22638"/>
    <cellStyle name="Separador de milhares 3 5 2 7 2 2 4" xfId="16724"/>
    <cellStyle name="Separador de milhares 3 5 2 7 2 3" xfId="25595"/>
    <cellStyle name="Separador de milhares 3 5 2 7 2 4" xfId="19681"/>
    <cellStyle name="Separador de milhares 3 5 2 7 2 5" xfId="13583"/>
    <cellStyle name="Separador de milhares 3 5 2 7 3" xfId="8870"/>
    <cellStyle name="Separador de milhares 3 5 2 7 3 2" xfId="27084"/>
    <cellStyle name="Separador de milhares 3 5 2 7 3 3" xfId="21170"/>
    <cellStyle name="Separador de milhares 3 5 2 7 3 4" xfId="15256"/>
    <cellStyle name="Separador de milhares 3 5 2 7 4" xfId="5495"/>
    <cellStyle name="Separador de milhares 3 5 2 7 4 2" xfId="24127"/>
    <cellStyle name="Separador de milhares 3 5 2 7 5" xfId="18213"/>
    <cellStyle name="Separador de milhares 3 5 2 7 6" xfId="11882"/>
    <cellStyle name="Separador de milhares 3 5 2 8" xfId="3262"/>
    <cellStyle name="Separador de milhares 3 5 2 8 2" xfId="7341"/>
    <cellStyle name="Separador de milhares 3 5 2 8 2 2" xfId="10485"/>
    <cellStyle name="Separador de milhares 3 5 2 8 2 2 2" xfId="28699"/>
    <cellStyle name="Separador de milhares 3 5 2 8 2 2 3" xfId="22785"/>
    <cellStyle name="Separador de milhares 3 5 2 8 2 2 4" xfId="16871"/>
    <cellStyle name="Separador de milhares 3 5 2 8 2 3" xfId="25742"/>
    <cellStyle name="Separador de milhares 3 5 2 8 2 4" xfId="19828"/>
    <cellStyle name="Separador de milhares 3 5 2 8 2 5" xfId="13730"/>
    <cellStyle name="Separador de milhares 3 5 2 8 3" xfId="9017"/>
    <cellStyle name="Separador de milhares 3 5 2 8 3 2" xfId="27231"/>
    <cellStyle name="Separador de milhares 3 5 2 8 3 3" xfId="21317"/>
    <cellStyle name="Separador de milhares 3 5 2 8 3 4" xfId="15403"/>
    <cellStyle name="Separador de milhares 3 5 2 8 4" xfId="5642"/>
    <cellStyle name="Separador de milhares 3 5 2 8 4 2" xfId="24274"/>
    <cellStyle name="Separador de milhares 3 5 2 8 5" xfId="18360"/>
    <cellStyle name="Separador de milhares 3 5 2 8 6" xfId="12029"/>
    <cellStyle name="Separador de milhares 3 5 2 9" xfId="3789"/>
    <cellStyle name="Separador de milhares 3 5 2 9 2" xfId="7488"/>
    <cellStyle name="Separador de milhares 3 5 2 9 2 2" xfId="10632"/>
    <cellStyle name="Separador de milhares 3 5 2 9 2 2 2" xfId="28846"/>
    <cellStyle name="Separador de milhares 3 5 2 9 2 2 3" xfId="22932"/>
    <cellStyle name="Separador de milhares 3 5 2 9 2 2 4" xfId="17018"/>
    <cellStyle name="Separador de milhares 3 5 2 9 2 3" xfId="25889"/>
    <cellStyle name="Separador de milhares 3 5 2 9 2 4" xfId="19975"/>
    <cellStyle name="Separador de milhares 3 5 2 9 2 5" xfId="13877"/>
    <cellStyle name="Separador de milhares 3 5 2 9 3" xfId="9164"/>
    <cellStyle name="Separador de milhares 3 5 2 9 3 2" xfId="27378"/>
    <cellStyle name="Separador de milhares 3 5 2 9 3 3" xfId="21464"/>
    <cellStyle name="Separador de milhares 3 5 2 9 3 4" xfId="15550"/>
    <cellStyle name="Separador de milhares 3 5 2 9 4" xfId="5789"/>
    <cellStyle name="Separador de milhares 3 5 2 9 4 2" xfId="24421"/>
    <cellStyle name="Separador de milhares 3 5 2 9 5" xfId="18507"/>
    <cellStyle name="Separador de milhares 3 5 2 9 6" xfId="12176"/>
    <cellStyle name="Separador de milhares 3 5 3" xfId="241"/>
    <cellStyle name="Separador de milhares 3 5 3 10" xfId="6479"/>
    <cellStyle name="Separador de milhares 3 5 3 10 2" xfId="9630"/>
    <cellStyle name="Separador de milhares 3 5 3 10 2 2" xfId="27844"/>
    <cellStyle name="Separador de milhares 3 5 3 10 2 3" xfId="21930"/>
    <cellStyle name="Separador de milhares 3 5 3 10 2 4" xfId="16016"/>
    <cellStyle name="Separador de milhares 3 5 3 10 3" xfId="24887"/>
    <cellStyle name="Separador de milhares 3 5 3 10 4" xfId="18973"/>
    <cellStyle name="Separador de milhares 3 5 3 10 5" xfId="12868"/>
    <cellStyle name="Separador de milhares 3 5 3 11" xfId="8159"/>
    <cellStyle name="Separador de milhares 3 5 3 11 2" xfId="26373"/>
    <cellStyle name="Separador de milhares 3 5 3 11 3" xfId="20459"/>
    <cellStyle name="Separador de milhares 3 5 3 11 4" xfId="14548"/>
    <cellStyle name="Separador de milhares 3 5 3 12" xfId="4778"/>
    <cellStyle name="Separador de milhares 3 5 3 12 2" xfId="23416"/>
    <cellStyle name="Separador de milhares 3 5 3 13" xfId="17502"/>
    <cellStyle name="Separador de milhares 3 5 3 14" xfId="11167"/>
    <cellStyle name="Separador de milhares 3 5 3 2" xfId="504"/>
    <cellStyle name="Separador de milhares 3 5 3 2 2" xfId="6550"/>
    <cellStyle name="Separador de milhares 3 5 3 2 2 2" xfId="9697"/>
    <cellStyle name="Separador de milhares 3 5 3 2 2 2 2" xfId="27911"/>
    <cellStyle name="Separador de milhares 3 5 3 2 2 2 3" xfId="21997"/>
    <cellStyle name="Separador de milhares 3 5 3 2 2 2 4" xfId="16083"/>
    <cellStyle name="Separador de milhares 3 5 3 2 2 3" xfId="24954"/>
    <cellStyle name="Separador de milhares 3 5 3 2 2 4" xfId="19040"/>
    <cellStyle name="Separador de milhares 3 5 3 2 2 5" xfId="12939"/>
    <cellStyle name="Separador de milhares 3 5 3 2 3" xfId="8226"/>
    <cellStyle name="Separador de milhares 3 5 3 2 3 2" xfId="26440"/>
    <cellStyle name="Separador de milhares 3 5 3 2 3 3" xfId="20526"/>
    <cellStyle name="Separador de milhares 3 5 3 2 3 4" xfId="14615"/>
    <cellStyle name="Separador de milhares 3 5 3 2 4" xfId="4849"/>
    <cellStyle name="Separador de milhares 3 5 3 2 4 2" xfId="23483"/>
    <cellStyle name="Separador de milhares 3 5 3 2 5" xfId="17569"/>
    <cellStyle name="Separador de milhares 3 5 3 2 6" xfId="11238"/>
    <cellStyle name="Separador de milhares 3 5 3 3" xfId="801"/>
    <cellStyle name="Separador de milhares 3 5 3 3 2" xfId="6652"/>
    <cellStyle name="Separador de milhares 3 5 3 3 2 2" xfId="9799"/>
    <cellStyle name="Separador de milhares 3 5 3 3 2 2 2" xfId="28013"/>
    <cellStyle name="Separador de milhares 3 5 3 3 2 2 3" xfId="22099"/>
    <cellStyle name="Separador de milhares 3 5 3 3 2 2 4" xfId="16185"/>
    <cellStyle name="Separador de milhares 3 5 3 3 2 3" xfId="25056"/>
    <cellStyle name="Separador de milhares 3 5 3 3 2 4" xfId="19142"/>
    <cellStyle name="Separador de milhares 3 5 3 3 2 5" xfId="13041"/>
    <cellStyle name="Separador de milhares 3 5 3 3 3" xfId="8331"/>
    <cellStyle name="Separador de milhares 3 5 3 3 3 2" xfId="26545"/>
    <cellStyle name="Separador de milhares 3 5 3 3 3 3" xfId="20631"/>
    <cellStyle name="Separador de milhares 3 5 3 3 3 4" xfId="14717"/>
    <cellStyle name="Separador de milhares 3 5 3 3 4" xfId="4953"/>
    <cellStyle name="Separador de milhares 3 5 3 3 4 2" xfId="23588"/>
    <cellStyle name="Separador de milhares 3 5 3 3 5" xfId="17674"/>
    <cellStyle name="Separador de milhares 3 5 3 3 6" xfId="11340"/>
    <cellStyle name="Separador de milhares 3 5 3 4" xfId="1152"/>
    <cellStyle name="Separador de milhares 3 5 3 4 2" xfId="6750"/>
    <cellStyle name="Separador de milhares 3 5 3 4 2 2" xfId="9897"/>
    <cellStyle name="Separador de milhares 3 5 3 4 2 2 2" xfId="28111"/>
    <cellStyle name="Separador de milhares 3 5 3 4 2 2 3" xfId="22197"/>
    <cellStyle name="Separador de milhares 3 5 3 4 2 2 4" xfId="16283"/>
    <cellStyle name="Separador de milhares 3 5 3 4 2 3" xfId="25154"/>
    <cellStyle name="Separador de milhares 3 5 3 4 2 4" xfId="19240"/>
    <cellStyle name="Separador de milhares 3 5 3 4 2 5" xfId="13139"/>
    <cellStyle name="Separador de milhares 3 5 3 4 3" xfId="8429"/>
    <cellStyle name="Separador de milhares 3 5 3 4 3 2" xfId="26643"/>
    <cellStyle name="Separador de milhares 3 5 3 4 3 3" xfId="20729"/>
    <cellStyle name="Separador de milhares 3 5 3 4 3 4" xfId="14815"/>
    <cellStyle name="Separador de milhares 3 5 3 4 4" xfId="5051"/>
    <cellStyle name="Separador de milhares 3 5 3 4 4 2" xfId="23686"/>
    <cellStyle name="Separador de milhares 3 5 3 4 5" xfId="17772"/>
    <cellStyle name="Separador de milhares 3 5 3 4 6" xfId="11438"/>
    <cellStyle name="Separador de milhares 3 5 3 5" xfId="1587"/>
    <cellStyle name="Separador de milhares 3 5 3 5 2" xfId="6869"/>
    <cellStyle name="Separador de milhares 3 5 3 5 2 2" xfId="10016"/>
    <cellStyle name="Separador de milhares 3 5 3 5 2 2 2" xfId="28230"/>
    <cellStyle name="Separador de milhares 3 5 3 5 2 2 3" xfId="22316"/>
    <cellStyle name="Separador de milhares 3 5 3 5 2 2 4" xfId="16402"/>
    <cellStyle name="Separador de milhares 3 5 3 5 2 3" xfId="25273"/>
    <cellStyle name="Separador de milhares 3 5 3 5 2 4" xfId="19359"/>
    <cellStyle name="Separador de milhares 3 5 3 5 2 5" xfId="13258"/>
    <cellStyle name="Separador de milhares 3 5 3 5 3" xfId="8548"/>
    <cellStyle name="Separador de milhares 3 5 3 5 3 2" xfId="26762"/>
    <cellStyle name="Separador de milhares 3 5 3 5 3 3" xfId="20848"/>
    <cellStyle name="Separador de milhares 3 5 3 5 3 4" xfId="14934"/>
    <cellStyle name="Separador de milhares 3 5 3 5 4" xfId="5170"/>
    <cellStyle name="Separador de milhares 3 5 3 5 4 2" xfId="23805"/>
    <cellStyle name="Separador de milhares 3 5 3 5 5" xfId="17891"/>
    <cellStyle name="Separador de milhares 3 5 3 5 6" xfId="11557"/>
    <cellStyle name="Separador de milhares 3 5 3 6" xfId="2117"/>
    <cellStyle name="Separador de milhares 3 5 3 6 2" xfId="7019"/>
    <cellStyle name="Separador de milhares 3 5 3 6 2 2" xfId="10163"/>
    <cellStyle name="Separador de milhares 3 5 3 6 2 2 2" xfId="28377"/>
    <cellStyle name="Separador de milhares 3 5 3 6 2 2 3" xfId="22463"/>
    <cellStyle name="Separador de milhares 3 5 3 6 2 2 4" xfId="16549"/>
    <cellStyle name="Separador de milhares 3 5 3 6 2 3" xfId="25420"/>
    <cellStyle name="Separador de milhares 3 5 3 6 2 4" xfId="19506"/>
    <cellStyle name="Separador de milhares 3 5 3 6 2 5" xfId="13408"/>
    <cellStyle name="Separador de milhares 3 5 3 6 3" xfId="8695"/>
    <cellStyle name="Separador de milhares 3 5 3 6 3 2" xfId="26909"/>
    <cellStyle name="Separador de milhares 3 5 3 6 3 3" xfId="20995"/>
    <cellStyle name="Separador de milhares 3 5 3 6 3 4" xfId="15081"/>
    <cellStyle name="Separador de milhares 3 5 3 6 4" xfId="5320"/>
    <cellStyle name="Separador de milhares 3 5 3 6 4 2" xfId="23952"/>
    <cellStyle name="Separador de milhares 3 5 3 6 5" xfId="18038"/>
    <cellStyle name="Separador de milhares 3 5 3 6 6" xfId="11707"/>
    <cellStyle name="Separador de milhares 3 5 3 7" xfId="2644"/>
    <cellStyle name="Separador de milhares 3 5 3 7 2" xfId="7166"/>
    <cellStyle name="Separador de milhares 3 5 3 7 2 2" xfId="10310"/>
    <cellStyle name="Separador de milhares 3 5 3 7 2 2 2" xfId="28524"/>
    <cellStyle name="Separador de milhares 3 5 3 7 2 2 3" xfId="22610"/>
    <cellStyle name="Separador de milhares 3 5 3 7 2 2 4" xfId="16696"/>
    <cellStyle name="Separador de milhares 3 5 3 7 2 3" xfId="25567"/>
    <cellStyle name="Separador de milhares 3 5 3 7 2 4" xfId="19653"/>
    <cellStyle name="Separador de milhares 3 5 3 7 2 5" xfId="13555"/>
    <cellStyle name="Separador de milhares 3 5 3 7 3" xfId="8842"/>
    <cellStyle name="Separador de milhares 3 5 3 7 3 2" xfId="27056"/>
    <cellStyle name="Separador de milhares 3 5 3 7 3 3" xfId="21142"/>
    <cellStyle name="Separador de milhares 3 5 3 7 3 4" xfId="15228"/>
    <cellStyle name="Separador de milhares 3 5 3 7 4" xfId="5467"/>
    <cellStyle name="Separador de milhares 3 5 3 7 4 2" xfId="24099"/>
    <cellStyle name="Separador de milhares 3 5 3 7 5" xfId="18185"/>
    <cellStyle name="Separador de milhares 3 5 3 7 6" xfId="11854"/>
    <cellStyle name="Separador de milhares 3 5 3 8" xfId="3171"/>
    <cellStyle name="Separador de milhares 3 5 3 8 2" xfId="7313"/>
    <cellStyle name="Separador de milhares 3 5 3 8 2 2" xfId="10457"/>
    <cellStyle name="Separador de milhares 3 5 3 8 2 2 2" xfId="28671"/>
    <cellStyle name="Separador de milhares 3 5 3 8 2 2 3" xfId="22757"/>
    <cellStyle name="Separador de milhares 3 5 3 8 2 2 4" xfId="16843"/>
    <cellStyle name="Separador de milhares 3 5 3 8 2 3" xfId="25714"/>
    <cellStyle name="Separador de milhares 3 5 3 8 2 4" xfId="19800"/>
    <cellStyle name="Separador de milhares 3 5 3 8 2 5" xfId="13702"/>
    <cellStyle name="Separador de milhares 3 5 3 8 3" xfId="8989"/>
    <cellStyle name="Separador de milhares 3 5 3 8 3 2" xfId="27203"/>
    <cellStyle name="Separador de milhares 3 5 3 8 3 3" xfId="21289"/>
    <cellStyle name="Separador de milhares 3 5 3 8 3 4" xfId="15375"/>
    <cellStyle name="Separador de milhares 3 5 3 8 4" xfId="5614"/>
    <cellStyle name="Separador de milhares 3 5 3 8 4 2" xfId="24246"/>
    <cellStyle name="Separador de milhares 3 5 3 8 5" xfId="18332"/>
    <cellStyle name="Separador de milhares 3 5 3 8 6" xfId="12001"/>
    <cellStyle name="Separador de milhares 3 5 3 9" xfId="3698"/>
    <cellStyle name="Separador de milhares 3 5 3 9 2" xfId="7460"/>
    <cellStyle name="Separador de milhares 3 5 3 9 2 2" xfId="10604"/>
    <cellStyle name="Separador de milhares 3 5 3 9 2 2 2" xfId="28818"/>
    <cellStyle name="Separador de milhares 3 5 3 9 2 2 3" xfId="22904"/>
    <cellStyle name="Separador de milhares 3 5 3 9 2 2 4" xfId="16990"/>
    <cellStyle name="Separador de milhares 3 5 3 9 2 3" xfId="25861"/>
    <cellStyle name="Separador de milhares 3 5 3 9 2 4" xfId="19947"/>
    <cellStyle name="Separador de milhares 3 5 3 9 2 5" xfId="13849"/>
    <cellStyle name="Separador de milhares 3 5 3 9 3" xfId="9136"/>
    <cellStyle name="Separador de milhares 3 5 3 9 3 2" xfId="27350"/>
    <cellStyle name="Separador de milhares 3 5 3 9 3 3" xfId="21436"/>
    <cellStyle name="Separador de milhares 3 5 3 9 3 4" xfId="15522"/>
    <cellStyle name="Separador de milhares 3 5 3 9 4" xfId="5761"/>
    <cellStyle name="Separador de milhares 3 5 3 9 4 2" xfId="24393"/>
    <cellStyle name="Separador de milhares 3 5 3 9 5" xfId="18479"/>
    <cellStyle name="Separador de milhares 3 5 3 9 6" xfId="12148"/>
    <cellStyle name="Separador de milhares 3 5 4" xfId="334"/>
    <cellStyle name="Separador de milhares 3 5 4 10" xfId="6507"/>
    <cellStyle name="Separador de milhares 3 5 4 10 2" xfId="9655"/>
    <cellStyle name="Separador de milhares 3 5 4 10 2 2" xfId="27869"/>
    <cellStyle name="Separador de milhares 3 5 4 10 2 3" xfId="21955"/>
    <cellStyle name="Separador de milhares 3 5 4 10 2 4" xfId="16041"/>
    <cellStyle name="Separador de milhares 3 5 4 10 3" xfId="24912"/>
    <cellStyle name="Separador de milhares 3 5 4 10 4" xfId="18998"/>
    <cellStyle name="Separador de milhares 3 5 4 10 5" xfId="12896"/>
    <cellStyle name="Separador de milhares 3 5 4 11" xfId="8184"/>
    <cellStyle name="Separador de milhares 3 5 4 11 2" xfId="26398"/>
    <cellStyle name="Separador de milhares 3 5 4 11 3" xfId="20484"/>
    <cellStyle name="Separador de milhares 3 5 4 11 4" xfId="14573"/>
    <cellStyle name="Separador de milhares 3 5 4 12" xfId="4806"/>
    <cellStyle name="Separador de milhares 3 5 4 12 2" xfId="23441"/>
    <cellStyle name="Separador de milhares 3 5 4 13" xfId="17527"/>
    <cellStyle name="Separador de milhares 3 5 4 14" xfId="11195"/>
    <cellStyle name="Separador de milhares 3 5 4 2" xfId="979"/>
    <cellStyle name="Separador de milhares 3 5 4 2 2" xfId="6704"/>
    <cellStyle name="Separador de milhares 3 5 4 2 2 2" xfId="9851"/>
    <cellStyle name="Separador de milhares 3 5 4 2 2 2 2" xfId="28065"/>
    <cellStyle name="Separador de milhares 3 5 4 2 2 2 3" xfId="22151"/>
    <cellStyle name="Separador de milhares 3 5 4 2 2 2 4" xfId="16237"/>
    <cellStyle name="Separador de milhares 3 5 4 2 2 3" xfId="25108"/>
    <cellStyle name="Separador de milhares 3 5 4 2 2 4" xfId="19194"/>
    <cellStyle name="Separador de milhares 3 5 4 2 2 5" xfId="13093"/>
    <cellStyle name="Separador de milhares 3 5 4 2 3" xfId="8383"/>
    <cellStyle name="Separador de milhares 3 5 4 2 3 2" xfId="26597"/>
    <cellStyle name="Separador de milhares 3 5 4 2 3 3" xfId="20683"/>
    <cellStyle name="Separador de milhares 3 5 4 2 3 4" xfId="14769"/>
    <cellStyle name="Separador de milhares 3 5 4 2 4" xfId="5005"/>
    <cellStyle name="Separador de milhares 3 5 4 2 4 2" xfId="23640"/>
    <cellStyle name="Separador de milhares 3 5 4 2 5" xfId="17726"/>
    <cellStyle name="Separador de milhares 3 5 4 2 6" xfId="11392"/>
    <cellStyle name="Separador de milhares 3 5 4 3" xfId="1330"/>
    <cellStyle name="Separador de milhares 3 5 4 3 2" xfId="6802"/>
    <cellStyle name="Separador de milhares 3 5 4 3 2 2" xfId="9949"/>
    <cellStyle name="Separador de milhares 3 5 4 3 2 2 2" xfId="28163"/>
    <cellStyle name="Separador de milhares 3 5 4 3 2 2 3" xfId="22249"/>
    <cellStyle name="Separador de milhares 3 5 4 3 2 2 4" xfId="16335"/>
    <cellStyle name="Separador de milhares 3 5 4 3 2 3" xfId="25206"/>
    <cellStyle name="Separador de milhares 3 5 4 3 2 4" xfId="19292"/>
    <cellStyle name="Separador de milhares 3 5 4 3 2 5" xfId="13191"/>
    <cellStyle name="Separador de milhares 3 5 4 3 3" xfId="8481"/>
    <cellStyle name="Separador de milhares 3 5 4 3 3 2" xfId="26695"/>
    <cellStyle name="Separador de milhares 3 5 4 3 3 3" xfId="20781"/>
    <cellStyle name="Separador de milhares 3 5 4 3 3 4" xfId="14867"/>
    <cellStyle name="Separador de milhares 3 5 4 3 4" xfId="5103"/>
    <cellStyle name="Separador de milhares 3 5 4 3 4 2" xfId="23738"/>
    <cellStyle name="Separador de milhares 3 5 4 3 5" xfId="17824"/>
    <cellStyle name="Separador de milhares 3 5 4 3 6" xfId="11490"/>
    <cellStyle name="Separador de milhares 3 5 4 4" xfId="1765"/>
    <cellStyle name="Separador de milhares 3 5 4 4 2" xfId="6921"/>
    <cellStyle name="Separador de milhares 3 5 4 4 2 2" xfId="10068"/>
    <cellStyle name="Separador de milhares 3 5 4 4 2 2 2" xfId="28282"/>
    <cellStyle name="Separador de milhares 3 5 4 4 2 2 3" xfId="22368"/>
    <cellStyle name="Separador de milhares 3 5 4 4 2 2 4" xfId="16454"/>
    <cellStyle name="Separador de milhares 3 5 4 4 2 3" xfId="25325"/>
    <cellStyle name="Separador de milhares 3 5 4 4 2 4" xfId="19411"/>
    <cellStyle name="Separador de milhares 3 5 4 4 2 5" xfId="13310"/>
    <cellStyle name="Separador de milhares 3 5 4 4 3" xfId="8600"/>
    <cellStyle name="Separador de milhares 3 5 4 4 3 2" xfId="26814"/>
    <cellStyle name="Separador de milhares 3 5 4 4 3 3" xfId="20900"/>
    <cellStyle name="Separador de milhares 3 5 4 4 3 4" xfId="14986"/>
    <cellStyle name="Separador de milhares 3 5 4 4 4" xfId="5222"/>
    <cellStyle name="Separador de milhares 3 5 4 4 4 2" xfId="23857"/>
    <cellStyle name="Separador de milhares 3 5 4 4 5" xfId="17943"/>
    <cellStyle name="Separador de milhares 3 5 4 4 6" xfId="11609"/>
    <cellStyle name="Separador de milhares 3 5 4 5" xfId="2295"/>
    <cellStyle name="Separador de milhares 3 5 4 5 2" xfId="7071"/>
    <cellStyle name="Separador de milhares 3 5 4 5 2 2" xfId="10215"/>
    <cellStyle name="Separador de milhares 3 5 4 5 2 2 2" xfId="28429"/>
    <cellStyle name="Separador de milhares 3 5 4 5 2 2 3" xfId="22515"/>
    <cellStyle name="Separador de milhares 3 5 4 5 2 2 4" xfId="16601"/>
    <cellStyle name="Separador de milhares 3 5 4 5 2 3" xfId="25472"/>
    <cellStyle name="Separador de milhares 3 5 4 5 2 4" xfId="19558"/>
    <cellStyle name="Separador de milhares 3 5 4 5 2 5" xfId="13460"/>
    <cellStyle name="Separador de milhares 3 5 4 5 3" xfId="8747"/>
    <cellStyle name="Separador de milhares 3 5 4 5 3 2" xfId="26961"/>
    <cellStyle name="Separador de milhares 3 5 4 5 3 3" xfId="21047"/>
    <cellStyle name="Separador de milhares 3 5 4 5 3 4" xfId="15133"/>
    <cellStyle name="Separador de milhares 3 5 4 5 4" xfId="5372"/>
    <cellStyle name="Separador de milhares 3 5 4 5 4 2" xfId="24004"/>
    <cellStyle name="Separador de milhares 3 5 4 5 5" xfId="18090"/>
    <cellStyle name="Separador de milhares 3 5 4 5 6" xfId="11759"/>
    <cellStyle name="Separador de milhares 3 5 4 6" xfId="2822"/>
    <cellStyle name="Separador de milhares 3 5 4 6 2" xfId="7218"/>
    <cellStyle name="Separador de milhares 3 5 4 6 2 2" xfId="10362"/>
    <cellStyle name="Separador de milhares 3 5 4 6 2 2 2" xfId="28576"/>
    <cellStyle name="Separador de milhares 3 5 4 6 2 2 3" xfId="22662"/>
    <cellStyle name="Separador de milhares 3 5 4 6 2 2 4" xfId="16748"/>
    <cellStyle name="Separador de milhares 3 5 4 6 2 3" xfId="25619"/>
    <cellStyle name="Separador de milhares 3 5 4 6 2 4" xfId="19705"/>
    <cellStyle name="Separador de milhares 3 5 4 6 2 5" xfId="13607"/>
    <cellStyle name="Separador de milhares 3 5 4 6 3" xfId="8894"/>
    <cellStyle name="Separador de milhares 3 5 4 6 3 2" xfId="27108"/>
    <cellStyle name="Separador de milhares 3 5 4 6 3 3" xfId="21194"/>
    <cellStyle name="Separador de milhares 3 5 4 6 3 4" xfId="15280"/>
    <cellStyle name="Separador de milhares 3 5 4 6 4" xfId="5519"/>
    <cellStyle name="Separador de milhares 3 5 4 6 4 2" xfId="24151"/>
    <cellStyle name="Separador de milhares 3 5 4 6 5" xfId="18237"/>
    <cellStyle name="Separador de milhares 3 5 4 6 6" xfId="11906"/>
    <cellStyle name="Separador de milhares 3 5 4 7" xfId="3349"/>
    <cellStyle name="Separador de milhares 3 5 4 7 2" xfId="7365"/>
    <cellStyle name="Separador de milhares 3 5 4 7 2 2" xfId="10509"/>
    <cellStyle name="Separador de milhares 3 5 4 7 2 2 2" xfId="28723"/>
    <cellStyle name="Separador de milhares 3 5 4 7 2 2 3" xfId="22809"/>
    <cellStyle name="Separador de milhares 3 5 4 7 2 2 4" xfId="16895"/>
    <cellStyle name="Separador de milhares 3 5 4 7 2 3" xfId="25766"/>
    <cellStyle name="Separador de milhares 3 5 4 7 2 4" xfId="19852"/>
    <cellStyle name="Separador de milhares 3 5 4 7 2 5" xfId="13754"/>
    <cellStyle name="Separador de milhares 3 5 4 7 3" xfId="9041"/>
    <cellStyle name="Separador de milhares 3 5 4 7 3 2" xfId="27255"/>
    <cellStyle name="Separador de milhares 3 5 4 7 3 3" xfId="21341"/>
    <cellStyle name="Separador de milhares 3 5 4 7 3 4" xfId="15427"/>
    <cellStyle name="Separador de milhares 3 5 4 7 4" xfId="5666"/>
    <cellStyle name="Separador de milhares 3 5 4 7 4 2" xfId="24298"/>
    <cellStyle name="Separador de milhares 3 5 4 7 5" xfId="18384"/>
    <cellStyle name="Separador de milhares 3 5 4 7 6" xfId="12053"/>
    <cellStyle name="Separador de milhares 3 5 4 8" xfId="3876"/>
    <cellStyle name="Separador de milhares 3 5 4 8 2" xfId="7512"/>
    <cellStyle name="Separador de milhares 3 5 4 8 2 2" xfId="10656"/>
    <cellStyle name="Separador de milhares 3 5 4 8 2 2 2" xfId="28870"/>
    <cellStyle name="Separador de milhares 3 5 4 8 2 2 3" xfId="22956"/>
    <cellStyle name="Separador de milhares 3 5 4 8 2 2 4" xfId="17042"/>
    <cellStyle name="Separador de milhares 3 5 4 8 2 3" xfId="25913"/>
    <cellStyle name="Separador de milhares 3 5 4 8 2 4" xfId="19999"/>
    <cellStyle name="Separador de milhares 3 5 4 8 2 5" xfId="13901"/>
    <cellStyle name="Separador de milhares 3 5 4 8 3" xfId="9188"/>
    <cellStyle name="Separador de milhares 3 5 4 8 3 2" xfId="27402"/>
    <cellStyle name="Separador de milhares 3 5 4 8 3 3" xfId="21488"/>
    <cellStyle name="Separador de milhares 3 5 4 8 3 4" xfId="15574"/>
    <cellStyle name="Separador de milhares 3 5 4 8 4" xfId="5813"/>
    <cellStyle name="Separador de milhares 3 5 4 8 4 2" xfId="24445"/>
    <cellStyle name="Separador de milhares 3 5 4 8 5" xfId="18531"/>
    <cellStyle name="Separador de milhares 3 5 4 8 6" xfId="12200"/>
    <cellStyle name="Separador de milhares 3 5 4 9" xfId="671"/>
    <cellStyle name="Separador de milhares 3 5 4 9 2" xfId="6606"/>
    <cellStyle name="Separador de milhares 3 5 4 9 2 2" xfId="9753"/>
    <cellStyle name="Separador de milhares 3 5 4 9 2 2 2" xfId="27967"/>
    <cellStyle name="Separador de milhares 3 5 4 9 2 2 3" xfId="22053"/>
    <cellStyle name="Separador de milhares 3 5 4 9 2 2 4" xfId="16139"/>
    <cellStyle name="Separador de milhares 3 5 4 9 2 3" xfId="25010"/>
    <cellStyle name="Separador de milhares 3 5 4 9 2 4" xfId="19096"/>
    <cellStyle name="Separador de milhares 3 5 4 9 2 5" xfId="12995"/>
    <cellStyle name="Separador de milhares 3 5 4 9 3" xfId="8285"/>
    <cellStyle name="Separador de milhares 3 5 4 9 3 2" xfId="26499"/>
    <cellStyle name="Separador de milhares 3 5 4 9 3 3" xfId="20585"/>
    <cellStyle name="Separador de milhares 3 5 4 9 3 4" xfId="14671"/>
    <cellStyle name="Separador de milhares 3 5 4 9 4" xfId="4907"/>
    <cellStyle name="Separador de milhares 3 5 4 9 4 2" xfId="23542"/>
    <cellStyle name="Separador de milhares 3 5 4 9 5" xfId="17628"/>
    <cellStyle name="Separador de milhares 3 5 4 9 6" xfId="11294"/>
    <cellStyle name="Separador de milhares 3 5 5" xfId="591"/>
    <cellStyle name="Separador de milhares 3 5 5 10" xfId="4871"/>
    <cellStyle name="Separador de milhares 3 5 5 10 2" xfId="23505"/>
    <cellStyle name="Separador de milhares 3 5 5 11" xfId="17591"/>
    <cellStyle name="Separador de milhares 3 5 5 12" xfId="11260"/>
    <cellStyle name="Separador de milhares 3 5 5 2" xfId="1414"/>
    <cellStyle name="Separador de milhares 3 5 5 2 2" xfId="6823"/>
    <cellStyle name="Separador de milhares 3 5 5 2 2 2" xfId="9970"/>
    <cellStyle name="Separador de milhares 3 5 5 2 2 2 2" xfId="28184"/>
    <cellStyle name="Separador de milhares 3 5 5 2 2 2 3" xfId="22270"/>
    <cellStyle name="Separador de milhares 3 5 5 2 2 2 4" xfId="16356"/>
    <cellStyle name="Separador de milhares 3 5 5 2 2 3" xfId="25227"/>
    <cellStyle name="Separador de milhares 3 5 5 2 2 4" xfId="19313"/>
    <cellStyle name="Separador de milhares 3 5 5 2 2 5" xfId="13212"/>
    <cellStyle name="Separador de milhares 3 5 5 2 3" xfId="8502"/>
    <cellStyle name="Separador de milhares 3 5 5 2 3 2" xfId="26716"/>
    <cellStyle name="Separador de milhares 3 5 5 2 3 3" xfId="20802"/>
    <cellStyle name="Separador de milhares 3 5 5 2 3 4" xfId="14888"/>
    <cellStyle name="Separador de milhares 3 5 5 2 4" xfId="5124"/>
    <cellStyle name="Separador de milhares 3 5 5 2 4 2" xfId="23759"/>
    <cellStyle name="Separador de milhares 3 5 5 2 5" xfId="17845"/>
    <cellStyle name="Separador de milhares 3 5 5 2 6" xfId="11511"/>
    <cellStyle name="Separador de milhares 3 5 5 3" xfId="1849"/>
    <cellStyle name="Separador de milhares 3 5 5 3 2" xfId="6942"/>
    <cellStyle name="Separador de milhares 3 5 5 3 2 2" xfId="10089"/>
    <cellStyle name="Separador de milhares 3 5 5 3 2 2 2" xfId="28303"/>
    <cellStyle name="Separador de milhares 3 5 5 3 2 2 3" xfId="22389"/>
    <cellStyle name="Separador de milhares 3 5 5 3 2 2 4" xfId="16475"/>
    <cellStyle name="Separador de milhares 3 5 5 3 2 3" xfId="25346"/>
    <cellStyle name="Separador de milhares 3 5 5 3 2 4" xfId="19432"/>
    <cellStyle name="Separador de milhares 3 5 5 3 2 5" xfId="13331"/>
    <cellStyle name="Separador de milhares 3 5 5 3 3" xfId="8621"/>
    <cellStyle name="Separador de milhares 3 5 5 3 3 2" xfId="26835"/>
    <cellStyle name="Separador de milhares 3 5 5 3 3 3" xfId="20921"/>
    <cellStyle name="Separador de milhares 3 5 5 3 3 4" xfId="15007"/>
    <cellStyle name="Separador de milhares 3 5 5 3 4" xfId="5243"/>
    <cellStyle name="Separador de milhares 3 5 5 3 4 2" xfId="23878"/>
    <cellStyle name="Separador de milhares 3 5 5 3 5" xfId="17964"/>
    <cellStyle name="Separador de milhares 3 5 5 3 6" xfId="11630"/>
    <cellStyle name="Separador de milhares 3 5 5 4" xfId="2379"/>
    <cellStyle name="Separador de milhares 3 5 5 4 2" xfId="7092"/>
    <cellStyle name="Separador de milhares 3 5 5 4 2 2" xfId="10236"/>
    <cellStyle name="Separador de milhares 3 5 5 4 2 2 2" xfId="28450"/>
    <cellStyle name="Separador de milhares 3 5 5 4 2 2 3" xfId="22536"/>
    <cellStyle name="Separador de milhares 3 5 5 4 2 2 4" xfId="16622"/>
    <cellStyle name="Separador de milhares 3 5 5 4 2 3" xfId="25493"/>
    <cellStyle name="Separador de milhares 3 5 5 4 2 4" xfId="19579"/>
    <cellStyle name="Separador de milhares 3 5 5 4 2 5" xfId="13481"/>
    <cellStyle name="Separador de milhares 3 5 5 4 3" xfId="8768"/>
    <cellStyle name="Separador de milhares 3 5 5 4 3 2" xfId="26982"/>
    <cellStyle name="Separador de milhares 3 5 5 4 3 3" xfId="21068"/>
    <cellStyle name="Separador de milhares 3 5 5 4 3 4" xfId="15154"/>
    <cellStyle name="Separador de milhares 3 5 5 4 4" xfId="5393"/>
    <cellStyle name="Separador de milhares 3 5 5 4 4 2" xfId="24025"/>
    <cellStyle name="Separador de milhares 3 5 5 4 5" xfId="18111"/>
    <cellStyle name="Separador de milhares 3 5 5 4 6" xfId="11780"/>
    <cellStyle name="Separador de milhares 3 5 5 5" xfId="2906"/>
    <cellStyle name="Separador de milhares 3 5 5 5 2" xfId="7239"/>
    <cellStyle name="Separador de milhares 3 5 5 5 2 2" xfId="10383"/>
    <cellStyle name="Separador de milhares 3 5 5 5 2 2 2" xfId="28597"/>
    <cellStyle name="Separador de milhares 3 5 5 5 2 2 3" xfId="22683"/>
    <cellStyle name="Separador de milhares 3 5 5 5 2 2 4" xfId="16769"/>
    <cellStyle name="Separador de milhares 3 5 5 5 2 3" xfId="25640"/>
    <cellStyle name="Separador de milhares 3 5 5 5 2 4" xfId="19726"/>
    <cellStyle name="Separador de milhares 3 5 5 5 2 5" xfId="13628"/>
    <cellStyle name="Separador de milhares 3 5 5 5 3" xfId="8915"/>
    <cellStyle name="Separador de milhares 3 5 5 5 3 2" xfId="27129"/>
    <cellStyle name="Separador de milhares 3 5 5 5 3 3" xfId="21215"/>
    <cellStyle name="Separador de milhares 3 5 5 5 3 4" xfId="15301"/>
    <cellStyle name="Separador de milhares 3 5 5 5 4" xfId="5540"/>
    <cellStyle name="Separador de milhares 3 5 5 5 4 2" xfId="24172"/>
    <cellStyle name="Separador de milhares 3 5 5 5 5" xfId="18258"/>
    <cellStyle name="Separador de milhares 3 5 5 5 6" xfId="11927"/>
    <cellStyle name="Separador de milhares 3 5 5 6" xfId="3433"/>
    <cellStyle name="Separador de milhares 3 5 5 6 2" xfId="7386"/>
    <cellStyle name="Separador de milhares 3 5 5 6 2 2" xfId="10530"/>
    <cellStyle name="Separador de milhares 3 5 5 6 2 2 2" xfId="28744"/>
    <cellStyle name="Separador de milhares 3 5 5 6 2 2 3" xfId="22830"/>
    <cellStyle name="Separador de milhares 3 5 5 6 2 2 4" xfId="16916"/>
    <cellStyle name="Separador de milhares 3 5 5 6 2 3" xfId="25787"/>
    <cellStyle name="Separador de milhares 3 5 5 6 2 4" xfId="19873"/>
    <cellStyle name="Separador de milhares 3 5 5 6 2 5" xfId="13775"/>
    <cellStyle name="Separador de milhares 3 5 5 6 3" xfId="9062"/>
    <cellStyle name="Separador de milhares 3 5 5 6 3 2" xfId="27276"/>
    <cellStyle name="Separador de milhares 3 5 5 6 3 3" xfId="21362"/>
    <cellStyle name="Separador de milhares 3 5 5 6 3 4" xfId="15448"/>
    <cellStyle name="Separador de milhares 3 5 5 6 4" xfId="5687"/>
    <cellStyle name="Separador de milhares 3 5 5 6 4 2" xfId="24319"/>
    <cellStyle name="Separador de milhares 3 5 5 6 5" xfId="18405"/>
    <cellStyle name="Separador de milhares 3 5 5 6 6" xfId="12074"/>
    <cellStyle name="Separador de milhares 3 5 5 7" xfId="3960"/>
    <cellStyle name="Separador de milhares 3 5 5 7 2" xfId="7533"/>
    <cellStyle name="Separador de milhares 3 5 5 7 2 2" xfId="10677"/>
    <cellStyle name="Separador de milhares 3 5 5 7 2 2 2" xfId="28891"/>
    <cellStyle name="Separador de milhares 3 5 5 7 2 2 3" xfId="22977"/>
    <cellStyle name="Separador de milhares 3 5 5 7 2 2 4" xfId="17063"/>
    <cellStyle name="Separador de milhares 3 5 5 7 2 3" xfId="25934"/>
    <cellStyle name="Separador de milhares 3 5 5 7 2 4" xfId="20020"/>
    <cellStyle name="Separador de milhares 3 5 5 7 2 5" xfId="13922"/>
    <cellStyle name="Separador de milhares 3 5 5 7 3" xfId="9209"/>
    <cellStyle name="Separador de milhares 3 5 5 7 3 2" xfId="27423"/>
    <cellStyle name="Separador de milhares 3 5 5 7 3 3" xfId="21509"/>
    <cellStyle name="Separador de milhares 3 5 5 7 3 4" xfId="15595"/>
    <cellStyle name="Separador de milhares 3 5 5 7 4" xfId="5834"/>
    <cellStyle name="Separador de milhares 3 5 5 7 4 2" xfId="24466"/>
    <cellStyle name="Separador de milhares 3 5 5 7 5" xfId="18552"/>
    <cellStyle name="Separador de milhares 3 5 5 7 6" xfId="12221"/>
    <cellStyle name="Separador de milhares 3 5 5 8" xfId="6572"/>
    <cellStyle name="Separador de milhares 3 5 5 8 2" xfId="9719"/>
    <cellStyle name="Separador de milhares 3 5 5 8 2 2" xfId="27933"/>
    <cellStyle name="Separador de milhares 3 5 5 8 2 3" xfId="22019"/>
    <cellStyle name="Separador de milhares 3 5 5 8 2 4" xfId="16105"/>
    <cellStyle name="Separador de milhares 3 5 5 8 3" xfId="24976"/>
    <cellStyle name="Separador de milhares 3 5 5 8 4" xfId="19062"/>
    <cellStyle name="Separador de milhares 3 5 5 8 5" xfId="12961"/>
    <cellStyle name="Separador de milhares 3 5 5 9" xfId="8248"/>
    <cellStyle name="Separador de milhares 3 5 5 9 2" xfId="26462"/>
    <cellStyle name="Separador de milhares 3 5 5 9 3" xfId="20548"/>
    <cellStyle name="Separador de milhares 3 5 5 9 4" xfId="14637"/>
    <cellStyle name="Separador de milhares 3 5 6" xfId="712"/>
    <cellStyle name="Separador de milhares 3 5 6 2" xfId="4136"/>
    <cellStyle name="Separador de milhares 3 5 6 2 2" xfId="7582"/>
    <cellStyle name="Separador de milhares 3 5 6 2 2 2" xfId="10726"/>
    <cellStyle name="Separador de milhares 3 5 6 2 2 2 2" xfId="28940"/>
    <cellStyle name="Separador de milhares 3 5 6 2 2 2 3" xfId="23026"/>
    <cellStyle name="Separador de milhares 3 5 6 2 2 2 4" xfId="17112"/>
    <cellStyle name="Separador de milhares 3 5 6 2 2 3" xfId="25983"/>
    <cellStyle name="Separador de milhares 3 5 6 2 2 4" xfId="20069"/>
    <cellStyle name="Separador de milhares 3 5 6 2 2 5" xfId="13971"/>
    <cellStyle name="Separador de milhares 3 5 6 2 3" xfId="9258"/>
    <cellStyle name="Separador de milhares 3 5 6 2 3 2" xfId="27472"/>
    <cellStyle name="Separador de milhares 3 5 6 2 3 3" xfId="21558"/>
    <cellStyle name="Separador de milhares 3 5 6 2 3 4" xfId="15644"/>
    <cellStyle name="Separador de milhares 3 5 6 2 4" xfId="5883"/>
    <cellStyle name="Separador de milhares 3 5 6 2 4 2" xfId="24515"/>
    <cellStyle name="Separador de milhares 3 5 6 2 5" xfId="18601"/>
    <cellStyle name="Separador de milhares 3 5 6 2 6" xfId="12270"/>
    <cellStyle name="Separador de milhares 3 5 6 3" xfId="6627"/>
    <cellStyle name="Separador de milhares 3 5 6 3 2" xfId="9774"/>
    <cellStyle name="Separador de milhares 3 5 6 3 2 2" xfId="27988"/>
    <cellStyle name="Separador de milhares 3 5 6 3 2 3" xfId="22074"/>
    <cellStyle name="Separador de milhares 3 5 6 3 2 4" xfId="16160"/>
    <cellStyle name="Separador de milhares 3 5 6 3 3" xfId="25031"/>
    <cellStyle name="Separador de milhares 3 5 6 3 4" xfId="19117"/>
    <cellStyle name="Separador de milhares 3 5 6 3 5" xfId="13016"/>
    <cellStyle name="Separador de milhares 3 5 6 4" xfId="8306"/>
    <cellStyle name="Separador de milhares 3 5 6 4 2" xfId="26520"/>
    <cellStyle name="Separador de milhares 3 5 6 4 3" xfId="20606"/>
    <cellStyle name="Separador de milhares 3 5 6 4 4" xfId="14692"/>
    <cellStyle name="Separador de milhares 3 5 6 5" xfId="4928"/>
    <cellStyle name="Separador de milhares 3 5 6 5 2" xfId="23563"/>
    <cellStyle name="Separador de milhares 3 5 6 6" xfId="17649"/>
    <cellStyle name="Separador de milhares 3 5 6 7" xfId="11315"/>
    <cellStyle name="Separador de milhares 3 5 7" xfId="1063"/>
    <cellStyle name="Separador de milhares 3 5 7 2" xfId="6725"/>
    <cellStyle name="Separador de milhares 3 5 7 2 2" xfId="9872"/>
    <cellStyle name="Separador de milhares 3 5 7 2 2 2" xfId="28086"/>
    <cellStyle name="Separador de milhares 3 5 7 2 2 3" xfId="22172"/>
    <cellStyle name="Separador de milhares 3 5 7 2 2 4" xfId="16258"/>
    <cellStyle name="Separador de milhares 3 5 7 2 3" xfId="25129"/>
    <cellStyle name="Separador de milhares 3 5 7 2 4" xfId="19215"/>
    <cellStyle name="Separador de milhares 3 5 7 2 5" xfId="13114"/>
    <cellStyle name="Separador de milhares 3 5 7 3" xfId="8404"/>
    <cellStyle name="Separador de milhares 3 5 7 3 2" xfId="26618"/>
    <cellStyle name="Separador de milhares 3 5 7 3 3" xfId="20704"/>
    <cellStyle name="Separador de milhares 3 5 7 3 4" xfId="14790"/>
    <cellStyle name="Separador de milhares 3 5 7 4" xfId="5026"/>
    <cellStyle name="Separador de milhares 3 5 7 4 2" xfId="23661"/>
    <cellStyle name="Separador de milhares 3 5 7 5" xfId="17747"/>
    <cellStyle name="Separador de milhares 3 5 7 6" xfId="11413"/>
    <cellStyle name="Separador de milhares 3 5 8" xfId="1498"/>
    <cellStyle name="Separador de milhares 3 5 8 2" xfId="6844"/>
    <cellStyle name="Separador de milhares 3 5 8 2 2" xfId="9991"/>
    <cellStyle name="Separador de milhares 3 5 8 2 2 2" xfId="28205"/>
    <cellStyle name="Separador de milhares 3 5 8 2 2 3" xfId="22291"/>
    <cellStyle name="Separador de milhares 3 5 8 2 2 4" xfId="16377"/>
    <cellStyle name="Separador de milhares 3 5 8 2 3" xfId="25248"/>
    <cellStyle name="Separador de milhares 3 5 8 2 4" xfId="19334"/>
    <cellStyle name="Separador de milhares 3 5 8 2 5" xfId="13233"/>
    <cellStyle name="Separador de milhares 3 5 8 3" xfId="8523"/>
    <cellStyle name="Separador de milhares 3 5 8 3 2" xfId="26737"/>
    <cellStyle name="Separador de milhares 3 5 8 3 3" xfId="20823"/>
    <cellStyle name="Separador de milhares 3 5 8 3 4" xfId="14909"/>
    <cellStyle name="Separador de milhares 3 5 8 4" xfId="5145"/>
    <cellStyle name="Separador de milhares 3 5 8 4 2" xfId="23780"/>
    <cellStyle name="Separador de milhares 3 5 8 5" xfId="17866"/>
    <cellStyle name="Separador de milhares 3 5 8 6" xfId="11532"/>
    <cellStyle name="Separador de milhares 3 5 9" xfId="2028"/>
    <cellStyle name="Separador de milhares 3 5 9 2" xfId="6994"/>
    <cellStyle name="Separador de milhares 3 5 9 2 2" xfId="10138"/>
    <cellStyle name="Separador de milhares 3 5 9 2 2 2" xfId="28352"/>
    <cellStyle name="Separador de milhares 3 5 9 2 2 3" xfId="22438"/>
    <cellStyle name="Separador de milhares 3 5 9 2 2 4" xfId="16524"/>
    <cellStyle name="Separador de milhares 3 5 9 2 3" xfId="25395"/>
    <cellStyle name="Separador de milhares 3 5 9 2 4" xfId="19481"/>
    <cellStyle name="Separador de milhares 3 5 9 2 5" xfId="13383"/>
    <cellStyle name="Separador de milhares 3 5 9 3" xfId="8670"/>
    <cellStyle name="Separador de milhares 3 5 9 3 2" xfId="26884"/>
    <cellStyle name="Separador de milhares 3 5 9 3 3" xfId="20970"/>
    <cellStyle name="Separador de milhares 3 5 9 3 4" xfId="15056"/>
    <cellStyle name="Separador de milhares 3 5 9 4" xfId="5295"/>
    <cellStyle name="Separador de milhares 3 5 9 4 2" xfId="23927"/>
    <cellStyle name="Separador de milhares 3 5 9 5" xfId="18013"/>
    <cellStyle name="Separador de milhares 3 5 9 6" xfId="11682"/>
    <cellStyle name="Separador de milhares 3 6" xfId="56"/>
    <cellStyle name="Separador de milhares 3 6 10" xfId="2559"/>
    <cellStyle name="Separador de milhares 3 6 10 2" xfId="7142"/>
    <cellStyle name="Separador de milhares 3 6 10 2 2" xfId="10286"/>
    <cellStyle name="Separador de milhares 3 6 10 2 2 2" xfId="28500"/>
    <cellStyle name="Separador de milhares 3 6 10 2 2 3" xfId="22586"/>
    <cellStyle name="Separador de milhares 3 6 10 2 2 4" xfId="16672"/>
    <cellStyle name="Separador de milhares 3 6 10 2 3" xfId="25543"/>
    <cellStyle name="Separador de milhares 3 6 10 2 4" xfId="19629"/>
    <cellStyle name="Separador de milhares 3 6 10 2 5" xfId="13531"/>
    <cellStyle name="Separador de milhares 3 6 10 3" xfId="8818"/>
    <cellStyle name="Separador de milhares 3 6 10 3 2" xfId="27032"/>
    <cellStyle name="Separador de milhares 3 6 10 3 3" xfId="21118"/>
    <cellStyle name="Separador de milhares 3 6 10 3 4" xfId="15204"/>
    <cellStyle name="Separador de milhares 3 6 10 4" xfId="5443"/>
    <cellStyle name="Separador de milhares 3 6 10 4 2" xfId="24075"/>
    <cellStyle name="Separador de milhares 3 6 10 5" xfId="18161"/>
    <cellStyle name="Separador de milhares 3 6 10 6" xfId="11830"/>
    <cellStyle name="Separador de milhares 3 6 11" xfId="3086"/>
    <cellStyle name="Separador de milhares 3 6 11 2" xfId="7289"/>
    <cellStyle name="Separador de milhares 3 6 11 2 2" xfId="10433"/>
    <cellStyle name="Separador de milhares 3 6 11 2 2 2" xfId="28647"/>
    <cellStyle name="Separador de milhares 3 6 11 2 2 3" xfId="22733"/>
    <cellStyle name="Separador de milhares 3 6 11 2 2 4" xfId="16819"/>
    <cellStyle name="Separador de milhares 3 6 11 2 3" xfId="25690"/>
    <cellStyle name="Separador de milhares 3 6 11 2 4" xfId="19776"/>
    <cellStyle name="Separador de milhares 3 6 11 2 5" xfId="13678"/>
    <cellStyle name="Separador de milhares 3 6 11 3" xfId="8965"/>
    <cellStyle name="Separador de milhares 3 6 11 3 2" xfId="27179"/>
    <cellStyle name="Separador de milhares 3 6 11 3 3" xfId="21265"/>
    <cellStyle name="Separador de milhares 3 6 11 3 4" xfId="15351"/>
    <cellStyle name="Separador de milhares 3 6 11 4" xfId="5590"/>
    <cellStyle name="Separador de milhares 3 6 11 4 2" xfId="24222"/>
    <cellStyle name="Separador de milhares 3 6 11 5" xfId="18308"/>
    <cellStyle name="Separador de milhares 3 6 11 6" xfId="11977"/>
    <cellStyle name="Separador de milhares 3 6 12" xfId="3613"/>
    <cellStyle name="Separador de milhares 3 6 12 2" xfId="7436"/>
    <cellStyle name="Separador de milhares 3 6 12 2 2" xfId="10580"/>
    <cellStyle name="Separador de milhares 3 6 12 2 2 2" xfId="28794"/>
    <cellStyle name="Separador de milhares 3 6 12 2 2 3" xfId="22880"/>
    <cellStyle name="Separador de milhares 3 6 12 2 2 4" xfId="16966"/>
    <cellStyle name="Separador de milhares 3 6 12 2 3" xfId="25837"/>
    <cellStyle name="Separador de milhares 3 6 12 2 4" xfId="19923"/>
    <cellStyle name="Separador de milhares 3 6 12 2 5" xfId="13825"/>
    <cellStyle name="Separador de milhares 3 6 12 3" xfId="9112"/>
    <cellStyle name="Separador de milhares 3 6 12 3 2" xfId="27326"/>
    <cellStyle name="Separador de milhares 3 6 12 3 3" xfId="21412"/>
    <cellStyle name="Separador de milhares 3 6 12 3 4" xfId="15498"/>
    <cellStyle name="Separador de milhares 3 6 12 4" xfId="5737"/>
    <cellStyle name="Separador de milhares 3 6 12 4 2" xfId="24369"/>
    <cellStyle name="Separador de milhares 3 6 12 5" xfId="18455"/>
    <cellStyle name="Separador de milhares 3 6 12 6" xfId="12124"/>
    <cellStyle name="Separador de milhares 3 6 13" xfId="6420"/>
    <cellStyle name="Separador de milhares 3 6 13 2" xfId="9576"/>
    <cellStyle name="Separador de milhares 3 6 13 2 2" xfId="27790"/>
    <cellStyle name="Separador de milhares 3 6 13 2 3" xfId="21876"/>
    <cellStyle name="Separador de milhares 3 6 13 2 4" xfId="15962"/>
    <cellStyle name="Separador de milhares 3 6 13 3" xfId="24833"/>
    <cellStyle name="Separador de milhares 3 6 13 4" xfId="18919"/>
    <cellStyle name="Separador de milhares 3 6 13 5" xfId="12809"/>
    <cellStyle name="Separador de milhares 3 6 14" xfId="8105"/>
    <cellStyle name="Separador de milhares 3 6 14 2" xfId="26319"/>
    <cellStyle name="Separador de milhares 3 6 14 3" xfId="20405"/>
    <cellStyle name="Separador de milhares 3 6 14 4" xfId="14494"/>
    <cellStyle name="Separador de milhares 3 6 15" xfId="4718"/>
    <cellStyle name="Separador de milhares 3 6 15 2" xfId="23362"/>
    <cellStyle name="Separador de milhares 3 6 16" xfId="17448"/>
    <cellStyle name="Separador de milhares 3 6 17" xfId="11108"/>
    <cellStyle name="Separador de milhares 3 6 2" xfId="150"/>
    <cellStyle name="Separador de milhares 3 6 2 10" xfId="6449"/>
    <cellStyle name="Separador de milhares 3 6 2 10 2" xfId="9603"/>
    <cellStyle name="Separador de milhares 3 6 2 10 2 2" xfId="27817"/>
    <cellStyle name="Separador de milhares 3 6 2 10 2 3" xfId="21903"/>
    <cellStyle name="Separador de milhares 3 6 2 10 2 4" xfId="15989"/>
    <cellStyle name="Separador de milhares 3 6 2 10 3" xfId="24860"/>
    <cellStyle name="Separador de milhares 3 6 2 10 4" xfId="18946"/>
    <cellStyle name="Separador de milhares 3 6 2 10 5" xfId="12838"/>
    <cellStyle name="Separador de milhares 3 6 2 11" xfId="8132"/>
    <cellStyle name="Separador de milhares 3 6 2 11 2" xfId="26346"/>
    <cellStyle name="Separador de milhares 3 6 2 11 3" xfId="20432"/>
    <cellStyle name="Separador de milhares 3 6 2 11 4" xfId="14521"/>
    <cellStyle name="Separador de milhares 3 6 2 12" xfId="4748"/>
    <cellStyle name="Separador de milhares 3 6 2 12 2" xfId="23389"/>
    <cellStyle name="Separador de milhares 3 6 2 13" xfId="17475"/>
    <cellStyle name="Separador de milhares 3 6 2 14" xfId="11137"/>
    <cellStyle name="Separador de milhares 3 6 2 2" xfId="423"/>
    <cellStyle name="Separador de milhares 3 6 2 2 10" xfId="17549"/>
    <cellStyle name="Separador de milhares 3 6 2 2 11" xfId="11218"/>
    <cellStyle name="Separador de milhares 3 6 2 2 2" xfId="1942"/>
    <cellStyle name="Separador de milhares 3 6 2 2 2 2" xfId="6968"/>
    <cellStyle name="Separador de milhares 3 6 2 2 2 2 2" xfId="10115"/>
    <cellStyle name="Separador de milhares 3 6 2 2 2 2 2 2" xfId="28329"/>
    <cellStyle name="Separador de milhares 3 6 2 2 2 2 2 3" xfId="22415"/>
    <cellStyle name="Separador de milhares 3 6 2 2 2 2 2 4" xfId="16501"/>
    <cellStyle name="Separador de milhares 3 6 2 2 2 2 3" xfId="25372"/>
    <cellStyle name="Separador de milhares 3 6 2 2 2 2 4" xfId="19458"/>
    <cellStyle name="Separador de milhares 3 6 2 2 2 2 5" xfId="13357"/>
    <cellStyle name="Separador de milhares 3 6 2 2 2 3" xfId="8647"/>
    <cellStyle name="Separador de milhares 3 6 2 2 2 3 2" xfId="26861"/>
    <cellStyle name="Separador de milhares 3 6 2 2 2 3 3" xfId="20947"/>
    <cellStyle name="Separador de milhares 3 6 2 2 2 3 4" xfId="15033"/>
    <cellStyle name="Separador de milhares 3 6 2 2 2 4" xfId="5269"/>
    <cellStyle name="Separador de milhares 3 6 2 2 2 4 2" xfId="23904"/>
    <cellStyle name="Separador de milhares 3 6 2 2 2 5" xfId="17990"/>
    <cellStyle name="Separador de milhares 3 6 2 2 2 6" xfId="11656"/>
    <cellStyle name="Separador de milhares 3 6 2 2 3" xfId="2472"/>
    <cellStyle name="Separador de milhares 3 6 2 2 3 2" xfId="7118"/>
    <cellStyle name="Separador de milhares 3 6 2 2 3 2 2" xfId="10262"/>
    <cellStyle name="Separador de milhares 3 6 2 2 3 2 2 2" xfId="28476"/>
    <cellStyle name="Separador de milhares 3 6 2 2 3 2 2 3" xfId="22562"/>
    <cellStyle name="Separador de milhares 3 6 2 2 3 2 2 4" xfId="16648"/>
    <cellStyle name="Separador de milhares 3 6 2 2 3 2 3" xfId="25519"/>
    <cellStyle name="Separador de milhares 3 6 2 2 3 2 4" xfId="19605"/>
    <cellStyle name="Separador de milhares 3 6 2 2 3 2 5" xfId="13507"/>
    <cellStyle name="Separador de milhares 3 6 2 2 3 3" xfId="8794"/>
    <cellStyle name="Separador de milhares 3 6 2 2 3 3 2" xfId="27008"/>
    <cellStyle name="Separador de milhares 3 6 2 2 3 3 3" xfId="21094"/>
    <cellStyle name="Separador de milhares 3 6 2 2 3 3 4" xfId="15180"/>
    <cellStyle name="Separador de milhares 3 6 2 2 3 4" xfId="5419"/>
    <cellStyle name="Separador de milhares 3 6 2 2 3 4 2" xfId="24051"/>
    <cellStyle name="Separador de milhares 3 6 2 2 3 5" xfId="18137"/>
    <cellStyle name="Separador de milhares 3 6 2 2 3 6" xfId="11806"/>
    <cellStyle name="Separador de milhares 3 6 2 2 4" xfId="2999"/>
    <cellStyle name="Separador de milhares 3 6 2 2 4 2" xfId="7265"/>
    <cellStyle name="Separador de milhares 3 6 2 2 4 2 2" xfId="10409"/>
    <cellStyle name="Separador de milhares 3 6 2 2 4 2 2 2" xfId="28623"/>
    <cellStyle name="Separador de milhares 3 6 2 2 4 2 2 3" xfId="22709"/>
    <cellStyle name="Separador de milhares 3 6 2 2 4 2 2 4" xfId="16795"/>
    <cellStyle name="Separador de milhares 3 6 2 2 4 2 3" xfId="25666"/>
    <cellStyle name="Separador de milhares 3 6 2 2 4 2 4" xfId="19752"/>
    <cellStyle name="Separador de milhares 3 6 2 2 4 2 5" xfId="13654"/>
    <cellStyle name="Separador de milhares 3 6 2 2 4 3" xfId="8941"/>
    <cellStyle name="Separador de milhares 3 6 2 2 4 3 2" xfId="27155"/>
    <cellStyle name="Separador de milhares 3 6 2 2 4 3 3" xfId="21241"/>
    <cellStyle name="Separador de milhares 3 6 2 2 4 3 4" xfId="15327"/>
    <cellStyle name="Separador de milhares 3 6 2 2 4 4" xfId="5566"/>
    <cellStyle name="Separador de milhares 3 6 2 2 4 4 2" xfId="24198"/>
    <cellStyle name="Separador de milhares 3 6 2 2 4 5" xfId="18284"/>
    <cellStyle name="Separador de milhares 3 6 2 2 4 6" xfId="11953"/>
    <cellStyle name="Separador de milhares 3 6 2 2 5" xfId="3526"/>
    <cellStyle name="Separador de milhares 3 6 2 2 5 2" xfId="7412"/>
    <cellStyle name="Separador de milhares 3 6 2 2 5 2 2" xfId="10556"/>
    <cellStyle name="Separador de milhares 3 6 2 2 5 2 2 2" xfId="28770"/>
    <cellStyle name="Separador de milhares 3 6 2 2 5 2 2 3" xfId="22856"/>
    <cellStyle name="Separador de milhares 3 6 2 2 5 2 2 4" xfId="16942"/>
    <cellStyle name="Separador de milhares 3 6 2 2 5 2 3" xfId="25813"/>
    <cellStyle name="Separador de milhares 3 6 2 2 5 2 4" xfId="19899"/>
    <cellStyle name="Separador de milhares 3 6 2 2 5 2 5" xfId="13801"/>
    <cellStyle name="Separador de milhares 3 6 2 2 5 3" xfId="9088"/>
    <cellStyle name="Separador de milhares 3 6 2 2 5 3 2" xfId="27302"/>
    <cellStyle name="Separador de milhares 3 6 2 2 5 3 3" xfId="21388"/>
    <cellStyle name="Separador de milhares 3 6 2 2 5 3 4" xfId="15474"/>
    <cellStyle name="Separador de milhares 3 6 2 2 5 4" xfId="5713"/>
    <cellStyle name="Separador de milhares 3 6 2 2 5 4 2" xfId="24345"/>
    <cellStyle name="Separador de milhares 3 6 2 2 5 5" xfId="18431"/>
    <cellStyle name="Separador de milhares 3 6 2 2 5 6" xfId="12100"/>
    <cellStyle name="Separador de milhares 3 6 2 2 6" xfId="4053"/>
    <cellStyle name="Separador de milhares 3 6 2 2 6 2" xfId="7559"/>
    <cellStyle name="Separador de milhares 3 6 2 2 6 2 2" xfId="10703"/>
    <cellStyle name="Separador de milhares 3 6 2 2 6 2 2 2" xfId="28917"/>
    <cellStyle name="Separador de milhares 3 6 2 2 6 2 2 3" xfId="23003"/>
    <cellStyle name="Separador de milhares 3 6 2 2 6 2 2 4" xfId="17089"/>
    <cellStyle name="Separador de milhares 3 6 2 2 6 2 3" xfId="25960"/>
    <cellStyle name="Separador de milhares 3 6 2 2 6 2 4" xfId="20046"/>
    <cellStyle name="Separador de milhares 3 6 2 2 6 2 5" xfId="13948"/>
    <cellStyle name="Separador de milhares 3 6 2 2 6 3" xfId="9235"/>
    <cellStyle name="Separador de milhares 3 6 2 2 6 3 2" xfId="27449"/>
    <cellStyle name="Separador de milhares 3 6 2 2 6 3 3" xfId="21535"/>
    <cellStyle name="Separador de milhares 3 6 2 2 6 3 4" xfId="15621"/>
    <cellStyle name="Separador de milhares 3 6 2 2 6 4" xfId="5860"/>
    <cellStyle name="Separador de milhares 3 6 2 2 6 4 2" xfId="24492"/>
    <cellStyle name="Separador de milhares 3 6 2 2 6 5" xfId="18578"/>
    <cellStyle name="Separador de milhares 3 6 2 2 6 6" xfId="12247"/>
    <cellStyle name="Separador de milhares 3 6 2 2 7" xfId="6530"/>
    <cellStyle name="Separador de milhares 3 6 2 2 7 2" xfId="9677"/>
    <cellStyle name="Separador de milhares 3 6 2 2 7 2 2" xfId="27891"/>
    <cellStyle name="Separador de milhares 3 6 2 2 7 2 3" xfId="21977"/>
    <cellStyle name="Separador de milhares 3 6 2 2 7 2 4" xfId="16063"/>
    <cellStyle name="Separador de milhares 3 6 2 2 7 3" xfId="24934"/>
    <cellStyle name="Separador de milhares 3 6 2 2 7 4" xfId="19020"/>
    <cellStyle name="Separador de milhares 3 6 2 2 7 5" xfId="12919"/>
    <cellStyle name="Separador de milhares 3 6 2 2 8" xfId="8206"/>
    <cellStyle name="Separador de milhares 3 6 2 2 8 2" xfId="26420"/>
    <cellStyle name="Separador de milhares 3 6 2 2 8 3" xfId="20506"/>
    <cellStyle name="Separador de milhares 3 6 2 2 8 4" xfId="14595"/>
    <cellStyle name="Separador de milhares 3 6 2 2 9" xfId="4829"/>
    <cellStyle name="Separador de milhares 3 6 2 2 9 2" xfId="23463"/>
    <cellStyle name="Separador de milhares 3 6 2 3" xfId="896"/>
    <cellStyle name="Separador de milhares 3 6 2 3 2" xfId="6681"/>
    <cellStyle name="Separador de milhares 3 6 2 3 2 2" xfId="9828"/>
    <cellStyle name="Separador de milhares 3 6 2 3 2 2 2" xfId="28042"/>
    <cellStyle name="Separador de milhares 3 6 2 3 2 2 3" xfId="22128"/>
    <cellStyle name="Separador de milhares 3 6 2 3 2 2 4" xfId="16214"/>
    <cellStyle name="Separador de milhares 3 6 2 3 2 3" xfId="25085"/>
    <cellStyle name="Separador de milhares 3 6 2 3 2 4" xfId="19171"/>
    <cellStyle name="Separador de milhares 3 6 2 3 2 5" xfId="13070"/>
    <cellStyle name="Separador de milhares 3 6 2 3 3" xfId="8360"/>
    <cellStyle name="Separador de milhares 3 6 2 3 3 2" xfId="26574"/>
    <cellStyle name="Separador de milhares 3 6 2 3 3 3" xfId="20660"/>
    <cellStyle name="Separador de milhares 3 6 2 3 3 4" xfId="14746"/>
    <cellStyle name="Separador de milhares 3 6 2 3 4" xfId="4982"/>
    <cellStyle name="Separador de milhares 3 6 2 3 4 2" xfId="23617"/>
    <cellStyle name="Separador de milhares 3 6 2 3 5" xfId="17703"/>
    <cellStyle name="Separador de milhares 3 6 2 3 6" xfId="11369"/>
    <cellStyle name="Separador de milhares 3 6 2 4" xfId="1247"/>
    <cellStyle name="Separador de milhares 3 6 2 4 2" xfId="6779"/>
    <cellStyle name="Separador de milhares 3 6 2 4 2 2" xfId="9926"/>
    <cellStyle name="Separador de milhares 3 6 2 4 2 2 2" xfId="28140"/>
    <cellStyle name="Separador de milhares 3 6 2 4 2 2 3" xfId="22226"/>
    <cellStyle name="Separador de milhares 3 6 2 4 2 2 4" xfId="16312"/>
    <cellStyle name="Separador de milhares 3 6 2 4 2 3" xfId="25183"/>
    <cellStyle name="Separador de milhares 3 6 2 4 2 4" xfId="19269"/>
    <cellStyle name="Separador de milhares 3 6 2 4 2 5" xfId="13168"/>
    <cellStyle name="Separador de milhares 3 6 2 4 3" xfId="8458"/>
    <cellStyle name="Separador de milhares 3 6 2 4 3 2" xfId="26672"/>
    <cellStyle name="Separador de milhares 3 6 2 4 3 3" xfId="20758"/>
    <cellStyle name="Separador de milhares 3 6 2 4 3 4" xfId="14844"/>
    <cellStyle name="Separador de milhares 3 6 2 4 4" xfId="5080"/>
    <cellStyle name="Separador de milhares 3 6 2 4 4 2" xfId="23715"/>
    <cellStyle name="Separador de milhares 3 6 2 4 5" xfId="17801"/>
    <cellStyle name="Separador de milhares 3 6 2 4 6" xfId="11467"/>
    <cellStyle name="Separador de milhares 3 6 2 5" xfId="1682"/>
    <cellStyle name="Separador de milhares 3 6 2 5 2" xfId="6898"/>
    <cellStyle name="Separador de milhares 3 6 2 5 2 2" xfId="10045"/>
    <cellStyle name="Separador de milhares 3 6 2 5 2 2 2" xfId="28259"/>
    <cellStyle name="Separador de milhares 3 6 2 5 2 2 3" xfId="22345"/>
    <cellStyle name="Separador de milhares 3 6 2 5 2 2 4" xfId="16431"/>
    <cellStyle name="Separador de milhares 3 6 2 5 2 3" xfId="25302"/>
    <cellStyle name="Separador de milhares 3 6 2 5 2 4" xfId="19388"/>
    <cellStyle name="Separador de milhares 3 6 2 5 2 5" xfId="13287"/>
    <cellStyle name="Separador de milhares 3 6 2 5 3" xfId="8577"/>
    <cellStyle name="Separador de milhares 3 6 2 5 3 2" xfId="26791"/>
    <cellStyle name="Separador de milhares 3 6 2 5 3 3" xfId="20877"/>
    <cellStyle name="Separador de milhares 3 6 2 5 3 4" xfId="14963"/>
    <cellStyle name="Separador de milhares 3 6 2 5 4" xfId="5199"/>
    <cellStyle name="Separador de milhares 3 6 2 5 4 2" xfId="23834"/>
    <cellStyle name="Separador de milhares 3 6 2 5 5" xfId="17920"/>
    <cellStyle name="Separador de milhares 3 6 2 5 6" xfId="11586"/>
    <cellStyle name="Separador de milhares 3 6 2 6" xfId="2212"/>
    <cellStyle name="Separador de milhares 3 6 2 6 2" xfId="7048"/>
    <cellStyle name="Separador de milhares 3 6 2 6 2 2" xfId="10192"/>
    <cellStyle name="Separador de milhares 3 6 2 6 2 2 2" xfId="28406"/>
    <cellStyle name="Separador de milhares 3 6 2 6 2 2 3" xfId="22492"/>
    <cellStyle name="Separador de milhares 3 6 2 6 2 2 4" xfId="16578"/>
    <cellStyle name="Separador de milhares 3 6 2 6 2 3" xfId="25449"/>
    <cellStyle name="Separador de milhares 3 6 2 6 2 4" xfId="19535"/>
    <cellStyle name="Separador de milhares 3 6 2 6 2 5" xfId="13437"/>
    <cellStyle name="Separador de milhares 3 6 2 6 3" xfId="8724"/>
    <cellStyle name="Separador de milhares 3 6 2 6 3 2" xfId="26938"/>
    <cellStyle name="Separador de milhares 3 6 2 6 3 3" xfId="21024"/>
    <cellStyle name="Separador de milhares 3 6 2 6 3 4" xfId="15110"/>
    <cellStyle name="Separador de milhares 3 6 2 6 4" xfId="5349"/>
    <cellStyle name="Separador de milhares 3 6 2 6 4 2" xfId="23981"/>
    <cellStyle name="Separador de milhares 3 6 2 6 5" xfId="18067"/>
    <cellStyle name="Separador de milhares 3 6 2 6 6" xfId="11736"/>
    <cellStyle name="Separador de milhares 3 6 2 7" xfId="2739"/>
    <cellStyle name="Separador de milhares 3 6 2 7 2" xfId="7195"/>
    <cellStyle name="Separador de milhares 3 6 2 7 2 2" xfId="10339"/>
    <cellStyle name="Separador de milhares 3 6 2 7 2 2 2" xfId="28553"/>
    <cellStyle name="Separador de milhares 3 6 2 7 2 2 3" xfId="22639"/>
    <cellStyle name="Separador de milhares 3 6 2 7 2 2 4" xfId="16725"/>
    <cellStyle name="Separador de milhares 3 6 2 7 2 3" xfId="25596"/>
    <cellStyle name="Separador de milhares 3 6 2 7 2 4" xfId="19682"/>
    <cellStyle name="Separador de milhares 3 6 2 7 2 5" xfId="13584"/>
    <cellStyle name="Separador de milhares 3 6 2 7 3" xfId="8871"/>
    <cellStyle name="Separador de milhares 3 6 2 7 3 2" xfId="27085"/>
    <cellStyle name="Separador de milhares 3 6 2 7 3 3" xfId="21171"/>
    <cellStyle name="Separador de milhares 3 6 2 7 3 4" xfId="15257"/>
    <cellStyle name="Separador de milhares 3 6 2 7 4" xfId="5496"/>
    <cellStyle name="Separador de milhares 3 6 2 7 4 2" xfId="24128"/>
    <cellStyle name="Separador de milhares 3 6 2 7 5" xfId="18214"/>
    <cellStyle name="Separador de milhares 3 6 2 7 6" xfId="11883"/>
    <cellStyle name="Separador de milhares 3 6 2 8" xfId="3266"/>
    <cellStyle name="Separador de milhares 3 6 2 8 2" xfId="7342"/>
    <cellStyle name="Separador de milhares 3 6 2 8 2 2" xfId="10486"/>
    <cellStyle name="Separador de milhares 3 6 2 8 2 2 2" xfId="28700"/>
    <cellStyle name="Separador de milhares 3 6 2 8 2 2 3" xfId="22786"/>
    <cellStyle name="Separador de milhares 3 6 2 8 2 2 4" xfId="16872"/>
    <cellStyle name="Separador de milhares 3 6 2 8 2 3" xfId="25743"/>
    <cellStyle name="Separador de milhares 3 6 2 8 2 4" xfId="19829"/>
    <cellStyle name="Separador de milhares 3 6 2 8 2 5" xfId="13731"/>
    <cellStyle name="Separador de milhares 3 6 2 8 3" xfId="9018"/>
    <cellStyle name="Separador de milhares 3 6 2 8 3 2" xfId="27232"/>
    <cellStyle name="Separador de milhares 3 6 2 8 3 3" xfId="21318"/>
    <cellStyle name="Separador de milhares 3 6 2 8 3 4" xfId="15404"/>
    <cellStyle name="Separador de milhares 3 6 2 8 4" xfId="5643"/>
    <cellStyle name="Separador de milhares 3 6 2 8 4 2" xfId="24275"/>
    <cellStyle name="Separador de milhares 3 6 2 8 5" xfId="18361"/>
    <cellStyle name="Separador de milhares 3 6 2 8 6" xfId="12030"/>
    <cellStyle name="Separador de milhares 3 6 2 9" xfId="3793"/>
    <cellStyle name="Separador de milhares 3 6 2 9 2" xfId="7489"/>
    <cellStyle name="Separador de milhares 3 6 2 9 2 2" xfId="10633"/>
    <cellStyle name="Separador de milhares 3 6 2 9 2 2 2" xfId="28847"/>
    <cellStyle name="Separador de milhares 3 6 2 9 2 2 3" xfId="22933"/>
    <cellStyle name="Separador de milhares 3 6 2 9 2 2 4" xfId="17019"/>
    <cellStyle name="Separador de milhares 3 6 2 9 2 3" xfId="25890"/>
    <cellStyle name="Separador de milhares 3 6 2 9 2 4" xfId="19976"/>
    <cellStyle name="Separador de milhares 3 6 2 9 2 5" xfId="13878"/>
    <cellStyle name="Separador de milhares 3 6 2 9 3" xfId="9165"/>
    <cellStyle name="Separador de milhares 3 6 2 9 3 2" xfId="27379"/>
    <cellStyle name="Separador de milhares 3 6 2 9 3 3" xfId="21465"/>
    <cellStyle name="Separador de milhares 3 6 2 9 3 4" xfId="15551"/>
    <cellStyle name="Separador de milhares 3 6 2 9 4" xfId="5790"/>
    <cellStyle name="Separador de milhares 3 6 2 9 4 2" xfId="24422"/>
    <cellStyle name="Separador de milhares 3 6 2 9 5" xfId="18508"/>
    <cellStyle name="Separador de milhares 3 6 2 9 6" xfId="12177"/>
    <cellStyle name="Separador de milhares 3 6 3" xfId="245"/>
    <cellStyle name="Separador de milhares 3 6 3 10" xfId="6480"/>
    <cellStyle name="Separador de milhares 3 6 3 10 2" xfId="9631"/>
    <cellStyle name="Separador de milhares 3 6 3 10 2 2" xfId="27845"/>
    <cellStyle name="Separador de milhares 3 6 3 10 2 3" xfId="21931"/>
    <cellStyle name="Separador de milhares 3 6 3 10 2 4" xfId="16017"/>
    <cellStyle name="Separador de milhares 3 6 3 10 3" xfId="24888"/>
    <cellStyle name="Separador de milhares 3 6 3 10 4" xfId="18974"/>
    <cellStyle name="Separador de milhares 3 6 3 10 5" xfId="12869"/>
    <cellStyle name="Separador de milhares 3 6 3 11" xfId="8160"/>
    <cellStyle name="Separador de milhares 3 6 3 11 2" xfId="26374"/>
    <cellStyle name="Separador de milhares 3 6 3 11 3" xfId="20460"/>
    <cellStyle name="Separador de milhares 3 6 3 11 4" xfId="14549"/>
    <cellStyle name="Separador de milhares 3 6 3 12" xfId="4779"/>
    <cellStyle name="Separador de milhares 3 6 3 12 2" xfId="23417"/>
    <cellStyle name="Separador de milhares 3 6 3 13" xfId="17503"/>
    <cellStyle name="Separador de milhares 3 6 3 14" xfId="11168"/>
    <cellStyle name="Separador de milhares 3 6 3 2" xfId="508"/>
    <cellStyle name="Separador de milhares 3 6 3 2 2" xfId="6551"/>
    <cellStyle name="Separador de milhares 3 6 3 2 2 2" xfId="9698"/>
    <cellStyle name="Separador de milhares 3 6 3 2 2 2 2" xfId="27912"/>
    <cellStyle name="Separador de milhares 3 6 3 2 2 2 3" xfId="21998"/>
    <cellStyle name="Separador de milhares 3 6 3 2 2 2 4" xfId="16084"/>
    <cellStyle name="Separador de milhares 3 6 3 2 2 3" xfId="24955"/>
    <cellStyle name="Separador de milhares 3 6 3 2 2 4" xfId="19041"/>
    <cellStyle name="Separador de milhares 3 6 3 2 2 5" xfId="12940"/>
    <cellStyle name="Separador de milhares 3 6 3 2 3" xfId="8227"/>
    <cellStyle name="Separador de milhares 3 6 3 2 3 2" xfId="26441"/>
    <cellStyle name="Separador de milhares 3 6 3 2 3 3" xfId="20527"/>
    <cellStyle name="Separador de milhares 3 6 3 2 3 4" xfId="14616"/>
    <cellStyle name="Separador de milhares 3 6 3 2 4" xfId="4850"/>
    <cellStyle name="Separador de milhares 3 6 3 2 4 2" xfId="23484"/>
    <cellStyle name="Separador de milhares 3 6 3 2 5" xfId="17570"/>
    <cellStyle name="Separador de milhares 3 6 3 2 6" xfId="11239"/>
    <cellStyle name="Separador de milhares 3 6 3 3" xfId="805"/>
    <cellStyle name="Separador de milhares 3 6 3 3 2" xfId="6653"/>
    <cellStyle name="Separador de milhares 3 6 3 3 2 2" xfId="9800"/>
    <cellStyle name="Separador de milhares 3 6 3 3 2 2 2" xfId="28014"/>
    <cellStyle name="Separador de milhares 3 6 3 3 2 2 3" xfId="22100"/>
    <cellStyle name="Separador de milhares 3 6 3 3 2 2 4" xfId="16186"/>
    <cellStyle name="Separador de milhares 3 6 3 3 2 3" xfId="25057"/>
    <cellStyle name="Separador de milhares 3 6 3 3 2 4" xfId="19143"/>
    <cellStyle name="Separador de milhares 3 6 3 3 2 5" xfId="13042"/>
    <cellStyle name="Separador de milhares 3 6 3 3 3" xfId="8332"/>
    <cellStyle name="Separador de milhares 3 6 3 3 3 2" xfId="26546"/>
    <cellStyle name="Separador de milhares 3 6 3 3 3 3" xfId="20632"/>
    <cellStyle name="Separador de milhares 3 6 3 3 3 4" xfId="14718"/>
    <cellStyle name="Separador de milhares 3 6 3 3 4" xfId="4954"/>
    <cellStyle name="Separador de milhares 3 6 3 3 4 2" xfId="23589"/>
    <cellStyle name="Separador de milhares 3 6 3 3 5" xfId="17675"/>
    <cellStyle name="Separador de milhares 3 6 3 3 6" xfId="11341"/>
    <cellStyle name="Separador de milhares 3 6 3 4" xfId="1156"/>
    <cellStyle name="Separador de milhares 3 6 3 4 2" xfId="6751"/>
    <cellStyle name="Separador de milhares 3 6 3 4 2 2" xfId="9898"/>
    <cellStyle name="Separador de milhares 3 6 3 4 2 2 2" xfId="28112"/>
    <cellStyle name="Separador de milhares 3 6 3 4 2 2 3" xfId="22198"/>
    <cellStyle name="Separador de milhares 3 6 3 4 2 2 4" xfId="16284"/>
    <cellStyle name="Separador de milhares 3 6 3 4 2 3" xfId="25155"/>
    <cellStyle name="Separador de milhares 3 6 3 4 2 4" xfId="19241"/>
    <cellStyle name="Separador de milhares 3 6 3 4 2 5" xfId="13140"/>
    <cellStyle name="Separador de milhares 3 6 3 4 3" xfId="8430"/>
    <cellStyle name="Separador de milhares 3 6 3 4 3 2" xfId="26644"/>
    <cellStyle name="Separador de milhares 3 6 3 4 3 3" xfId="20730"/>
    <cellStyle name="Separador de milhares 3 6 3 4 3 4" xfId="14816"/>
    <cellStyle name="Separador de milhares 3 6 3 4 4" xfId="5052"/>
    <cellStyle name="Separador de milhares 3 6 3 4 4 2" xfId="23687"/>
    <cellStyle name="Separador de milhares 3 6 3 4 5" xfId="17773"/>
    <cellStyle name="Separador de milhares 3 6 3 4 6" xfId="11439"/>
    <cellStyle name="Separador de milhares 3 6 3 5" xfId="1591"/>
    <cellStyle name="Separador de milhares 3 6 3 5 2" xfId="6870"/>
    <cellStyle name="Separador de milhares 3 6 3 5 2 2" xfId="10017"/>
    <cellStyle name="Separador de milhares 3 6 3 5 2 2 2" xfId="28231"/>
    <cellStyle name="Separador de milhares 3 6 3 5 2 2 3" xfId="22317"/>
    <cellStyle name="Separador de milhares 3 6 3 5 2 2 4" xfId="16403"/>
    <cellStyle name="Separador de milhares 3 6 3 5 2 3" xfId="25274"/>
    <cellStyle name="Separador de milhares 3 6 3 5 2 4" xfId="19360"/>
    <cellStyle name="Separador de milhares 3 6 3 5 2 5" xfId="13259"/>
    <cellStyle name="Separador de milhares 3 6 3 5 3" xfId="8549"/>
    <cellStyle name="Separador de milhares 3 6 3 5 3 2" xfId="26763"/>
    <cellStyle name="Separador de milhares 3 6 3 5 3 3" xfId="20849"/>
    <cellStyle name="Separador de milhares 3 6 3 5 3 4" xfId="14935"/>
    <cellStyle name="Separador de milhares 3 6 3 5 4" xfId="5171"/>
    <cellStyle name="Separador de milhares 3 6 3 5 4 2" xfId="23806"/>
    <cellStyle name="Separador de milhares 3 6 3 5 5" xfId="17892"/>
    <cellStyle name="Separador de milhares 3 6 3 5 6" xfId="11558"/>
    <cellStyle name="Separador de milhares 3 6 3 6" xfId="2121"/>
    <cellStyle name="Separador de milhares 3 6 3 6 2" xfId="7020"/>
    <cellStyle name="Separador de milhares 3 6 3 6 2 2" xfId="10164"/>
    <cellStyle name="Separador de milhares 3 6 3 6 2 2 2" xfId="28378"/>
    <cellStyle name="Separador de milhares 3 6 3 6 2 2 3" xfId="22464"/>
    <cellStyle name="Separador de milhares 3 6 3 6 2 2 4" xfId="16550"/>
    <cellStyle name="Separador de milhares 3 6 3 6 2 3" xfId="25421"/>
    <cellStyle name="Separador de milhares 3 6 3 6 2 4" xfId="19507"/>
    <cellStyle name="Separador de milhares 3 6 3 6 2 5" xfId="13409"/>
    <cellStyle name="Separador de milhares 3 6 3 6 3" xfId="8696"/>
    <cellStyle name="Separador de milhares 3 6 3 6 3 2" xfId="26910"/>
    <cellStyle name="Separador de milhares 3 6 3 6 3 3" xfId="20996"/>
    <cellStyle name="Separador de milhares 3 6 3 6 3 4" xfId="15082"/>
    <cellStyle name="Separador de milhares 3 6 3 6 4" xfId="5321"/>
    <cellStyle name="Separador de milhares 3 6 3 6 4 2" xfId="23953"/>
    <cellStyle name="Separador de milhares 3 6 3 6 5" xfId="18039"/>
    <cellStyle name="Separador de milhares 3 6 3 6 6" xfId="11708"/>
    <cellStyle name="Separador de milhares 3 6 3 7" xfId="2648"/>
    <cellStyle name="Separador de milhares 3 6 3 7 2" xfId="7167"/>
    <cellStyle name="Separador de milhares 3 6 3 7 2 2" xfId="10311"/>
    <cellStyle name="Separador de milhares 3 6 3 7 2 2 2" xfId="28525"/>
    <cellStyle name="Separador de milhares 3 6 3 7 2 2 3" xfId="22611"/>
    <cellStyle name="Separador de milhares 3 6 3 7 2 2 4" xfId="16697"/>
    <cellStyle name="Separador de milhares 3 6 3 7 2 3" xfId="25568"/>
    <cellStyle name="Separador de milhares 3 6 3 7 2 4" xfId="19654"/>
    <cellStyle name="Separador de milhares 3 6 3 7 2 5" xfId="13556"/>
    <cellStyle name="Separador de milhares 3 6 3 7 3" xfId="8843"/>
    <cellStyle name="Separador de milhares 3 6 3 7 3 2" xfId="27057"/>
    <cellStyle name="Separador de milhares 3 6 3 7 3 3" xfId="21143"/>
    <cellStyle name="Separador de milhares 3 6 3 7 3 4" xfId="15229"/>
    <cellStyle name="Separador de milhares 3 6 3 7 4" xfId="5468"/>
    <cellStyle name="Separador de milhares 3 6 3 7 4 2" xfId="24100"/>
    <cellStyle name="Separador de milhares 3 6 3 7 5" xfId="18186"/>
    <cellStyle name="Separador de milhares 3 6 3 7 6" xfId="11855"/>
    <cellStyle name="Separador de milhares 3 6 3 8" xfId="3175"/>
    <cellStyle name="Separador de milhares 3 6 3 8 2" xfId="7314"/>
    <cellStyle name="Separador de milhares 3 6 3 8 2 2" xfId="10458"/>
    <cellStyle name="Separador de milhares 3 6 3 8 2 2 2" xfId="28672"/>
    <cellStyle name="Separador de milhares 3 6 3 8 2 2 3" xfId="22758"/>
    <cellStyle name="Separador de milhares 3 6 3 8 2 2 4" xfId="16844"/>
    <cellStyle name="Separador de milhares 3 6 3 8 2 3" xfId="25715"/>
    <cellStyle name="Separador de milhares 3 6 3 8 2 4" xfId="19801"/>
    <cellStyle name="Separador de milhares 3 6 3 8 2 5" xfId="13703"/>
    <cellStyle name="Separador de milhares 3 6 3 8 3" xfId="8990"/>
    <cellStyle name="Separador de milhares 3 6 3 8 3 2" xfId="27204"/>
    <cellStyle name="Separador de milhares 3 6 3 8 3 3" xfId="21290"/>
    <cellStyle name="Separador de milhares 3 6 3 8 3 4" xfId="15376"/>
    <cellStyle name="Separador de milhares 3 6 3 8 4" xfId="5615"/>
    <cellStyle name="Separador de milhares 3 6 3 8 4 2" xfId="24247"/>
    <cellStyle name="Separador de milhares 3 6 3 8 5" xfId="18333"/>
    <cellStyle name="Separador de milhares 3 6 3 8 6" xfId="12002"/>
    <cellStyle name="Separador de milhares 3 6 3 9" xfId="3702"/>
    <cellStyle name="Separador de milhares 3 6 3 9 2" xfId="7461"/>
    <cellStyle name="Separador de milhares 3 6 3 9 2 2" xfId="10605"/>
    <cellStyle name="Separador de milhares 3 6 3 9 2 2 2" xfId="28819"/>
    <cellStyle name="Separador de milhares 3 6 3 9 2 2 3" xfId="22905"/>
    <cellStyle name="Separador de milhares 3 6 3 9 2 2 4" xfId="16991"/>
    <cellStyle name="Separador de milhares 3 6 3 9 2 3" xfId="25862"/>
    <cellStyle name="Separador de milhares 3 6 3 9 2 4" xfId="19948"/>
    <cellStyle name="Separador de milhares 3 6 3 9 2 5" xfId="13850"/>
    <cellStyle name="Separador de milhares 3 6 3 9 3" xfId="9137"/>
    <cellStyle name="Separador de milhares 3 6 3 9 3 2" xfId="27351"/>
    <cellStyle name="Separador de milhares 3 6 3 9 3 3" xfId="21437"/>
    <cellStyle name="Separador de milhares 3 6 3 9 3 4" xfId="15523"/>
    <cellStyle name="Separador de milhares 3 6 3 9 4" xfId="5762"/>
    <cellStyle name="Separador de milhares 3 6 3 9 4 2" xfId="24394"/>
    <cellStyle name="Separador de milhares 3 6 3 9 5" xfId="18480"/>
    <cellStyle name="Separador de milhares 3 6 3 9 6" xfId="12149"/>
    <cellStyle name="Separador de milhares 3 6 4" xfId="338"/>
    <cellStyle name="Separador de milhares 3 6 4 10" xfId="6508"/>
    <cellStyle name="Separador de milhares 3 6 4 10 2" xfId="9656"/>
    <cellStyle name="Separador de milhares 3 6 4 10 2 2" xfId="27870"/>
    <cellStyle name="Separador de milhares 3 6 4 10 2 3" xfId="21956"/>
    <cellStyle name="Separador de milhares 3 6 4 10 2 4" xfId="16042"/>
    <cellStyle name="Separador de milhares 3 6 4 10 3" xfId="24913"/>
    <cellStyle name="Separador de milhares 3 6 4 10 4" xfId="18999"/>
    <cellStyle name="Separador de milhares 3 6 4 10 5" xfId="12897"/>
    <cellStyle name="Separador de milhares 3 6 4 11" xfId="8185"/>
    <cellStyle name="Separador de milhares 3 6 4 11 2" xfId="26399"/>
    <cellStyle name="Separador de milhares 3 6 4 11 3" xfId="20485"/>
    <cellStyle name="Separador de milhares 3 6 4 11 4" xfId="14574"/>
    <cellStyle name="Separador de milhares 3 6 4 12" xfId="4807"/>
    <cellStyle name="Separador de milhares 3 6 4 12 2" xfId="23442"/>
    <cellStyle name="Separador de milhares 3 6 4 13" xfId="17528"/>
    <cellStyle name="Separador de milhares 3 6 4 14" xfId="11196"/>
    <cellStyle name="Separador de milhares 3 6 4 2" xfId="983"/>
    <cellStyle name="Separador de milhares 3 6 4 2 2" xfId="6705"/>
    <cellStyle name="Separador de milhares 3 6 4 2 2 2" xfId="9852"/>
    <cellStyle name="Separador de milhares 3 6 4 2 2 2 2" xfId="28066"/>
    <cellStyle name="Separador de milhares 3 6 4 2 2 2 3" xfId="22152"/>
    <cellStyle name="Separador de milhares 3 6 4 2 2 2 4" xfId="16238"/>
    <cellStyle name="Separador de milhares 3 6 4 2 2 3" xfId="25109"/>
    <cellStyle name="Separador de milhares 3 6 4 2 2 4" xfId="19195"/>
    <cellStyle name="Separador de milhares 3 6 4 2 2 5" xfId="13094"/>
    <cellStyle name="Separador de milhares 3 6 4 2 3" xfId="8384"/>
    <cellStyle name="Separador de milhares 3 6 4 2 3 2" xfId="26598"/>
    <cellStyle name="Separador de milhares 3 6 4 2 3 3" xfId="20684"/>
    <cellStyle name="Separador de milhares 3 6 4 2 3 4" xfId="14770"/>
    <cellStyle name="Separador de milhares 3 6 4 2 4" xfId="5006"/>
    <cellStyle name="Separador de milhares 3 6 4 2 4 2" xfId="23641"/>
    <cellStyle name="Separador de milhares 3 6 4 2 5" xfId="17727"/>
    <cellStyle name="Separador de milhares 3 6 4 2 6" xfId="11393"/>
    <cellStyle name="Separador de milhares 3 6 4 3" xfId="1334"/>
    <cellStyle name="Separador de milhares 3 6 4 3 2" xfId="6803"/>
    <cellStyle name="Separador de milhares 3 6 4 3 2 2" xfId="9950"/>
    <cellStyle name="Separador de milhares 3 6 4 3 2 2 2" xfId="28164"/>
    <cellStyle name="Separador de milhares 3 6 4 3 2 2 3" xfId="22250"/>
    <cellStyle name="Separador de milhares 3 6 4 3 2 2 4" xfId="16336"/>
    <cellStyle name="Separador de milhares 3 6 4 3 2 3" xfId="25207"/>
    <cellStyle name="Separador de milhares 3 6 4 3 2 4" xfId="19293"/>
    <cellStyle name="Separador de milhares 3 6 4 3 2 5" xfId="13192"/>
    <cellStyle name="Separador de milhares 3 6 4 3 3" xfId="8482"/>
    <cellStyle name="Separador de milhares 3 6 4 3 3 2" xfId="26696"/>
    <cellStyle name="Separador de milhares 3 6 4 3 3 3" xfId="20782"/>
    <cellStyle name="Separador de milhares 3 6 4 3 3 4" xfId="14868"/>
    <cellStyle name="Separador de milhares 3 6 4 3 4" xfId="5104"/>
    <cellStyle name="Separador de milhares 3 6 4 3 4 2" xfId="23739"/>
    <cellStyle name="Separador de milhares 3 6 4 3 5" xfId="17825"/>
    <cellStyle name="Separador de milhares 3 6 4 3 6" xfId="11491"/>
    <cellStyle name="Separador de milhares 3 6 4 4" xfId="1769"/>
    <cellStyle name="Separador de milhares 3 6 4 4 2" xfId="6922"/>
    <cellStyle name="Separador de milhares 3 6 4 4 2 2" xfId="10069"/>
    <cellStyle name="Separador de milhares 3 6 4 4 2 2 2" xfId="28283"/>
    <cellStyle name="Separador de milhares 3 6 4 4 2 2 3" xfId="22369"/>
    <cellStyle name="Separador de milhares 3 6 4 4 2 2 4" xfId="16455"/>
    <cellStyle name="Separador de milhares 3 6 4 4 2 3" xfId="25326"/>
    <cellStyle name="Separador de milhares 3 6 4 4 2 4" xfId="19412"/>
    <cellStyle name="Separador de milhares 3 6 4 4 2 5" xfId="13311"/>
    <cellStyle name="Separador de milhares 3 6 4 4 3" xfId="8601"/>
    <cellStyle name="Separador de milhares 3 6 4 4 3 2" xfId="26815"/>
    <cellStyle name="Separador de milhares 3 6 4 4 3 3" xfId="20901"/>
    <cellStyle name="Separador de milhares 3 6 4 4 3 4" xfId="14987"/>
    <cellStyle name="Separador de milhares 3 6 4 4 4" xfId="5223"/>
    <cellStyle name="Separador de milhares 3 6 4 4 4 2" xfId="23858"/>
    <cellStyle name="Separador de milhares 3 6 4 4 5" xfId="17944"/>
    <cellStyle name="Separador de milhares 3 6 4 4 6" xfId="11610"/>
    <cellStyle name="Separador de milhares 3 6 4 5" xfId="2299"/>
    <cellStyle name="Separador de milhares 3 6 4 5 2" xfId="7072"/>
    <cellStyle name="Separador de milhares 3 6 4 5 2 2" xfId="10216"/>
    <cellStyle name="Separador de milhares 3 6 4 5 2 2 2" xfId="28430"/>
    <cellStyle name="Separador de milhares 3 6 4 5 2 2 3" xfId="22516"/>
    <cellStyle name="Separador de milhares 3 6 4 5 2 2 4" xfId="16602"/>
    <cellStyle name="Separador de milhares 3 6 4 5 2 3" xfId="25473"/>
    <cellStyle name="Separador de milhares 3 6 4 5 2 4" xfId="19559"/>
    <cellStyle name="Separador de milhares 3 6 4 5 2 5" xfId="13461"/>
    <cellStyle name="Separador de milhares 3 6 4 5 3" xfId="8748"/>
    <cellStyle name="Separador de milhares 3 6 4 5 3 2" xfId="26962"/>
    <cellStyle name="Separador de milhares 3 6 4 5 3 3" xfId="21048"/>
    <cellStyle name="Separador de milhares 3 6 4 5 3 4" xfId="15134"/>
    <cellStyle name="Separador de milhares 3 6 4 5 4" xfId="5373"/>
    <cellStyle name="Separador de milhares 3 6 4 5 4 2" xfId="24005"/>
    <cellStyle name="Separador de milhares 3 6 4 5 5" xfId="18091"/>
    <cellStyle name="Separador de milhares 3 6 4 5 6" xfId="11760"/>
    <cellStyle name="Separador de milhares 3 6 4 6" xfId="2826"/>
    <cellStyle name="Separador de milhares 3 6 4 6 2" xfId="7219"/>
    <cellStyle name="Separador de milhares 3 6 4 6 2 2" xfId="10363"/>
    <cellStyle name="Separador de milhares 3 6 4 6 2 2 2" xfId="28577"/>
    <cellStyle name="Separador de milhares 3 6 4 6 2 2 3" xfId="22663"/>
    <cellStyle name="Separador de milhares 3 6 4 6 2 2 4" xfId="16749"/>
    <cellStyle name="Separador de milhares 3 6 4 6 2 3" xfId="25620"/>
    <cellStyle name="Separador de milhares 3 6 4 6 2 4" xfId="19706"/>
    <cellStyle name="Separador de milhares 3 6 4 6 2 5" xfId="13608"/>
    <cellStyle name="Separador de milhares 3 6 4 6 3" xfId="8895"/>
    <cellStyle name="Separador de milhares 3 6 4 6 3 2" xfId="27109"/>
    <cellStyle name="Separador de milhares 3 6 4 6 3 3" xfId="21195"/>
    <cellStyle name="Separador de milhares 3 6 4 6 3 4" xfId="15281"/>
    <cellStyle name="Separador de milhares 3 6 4 6 4" xfId="5520"/>
    <cellStyle name="Separador de milhares 3 6 4 6 4 2" xfId="24152"/>
    <cellStyle name="Separador de milhares 3 6 4 6 5" xfId="18238"/>
    <cellStyle name="Separador de milhares 3 6 4 6 6" xfId="11907"/>
    <cellStyle name="Separador de milhares 3 6 4 7" xfId="3353"/>
    <cellStyle name="Separador de milhares 3 6 4 7 2" xfId="7366"/>
    <cellStyle name="Separador de milhares 3 6 4 7 2 2" xfId="10510"/>
    <cellStyle name="Separador de milhares 3 6 4 7 2 2 2" xfId="28724"/>
    <cellStyle name="Separador de milhares 3 6 4 7 2 2 3" xfId="22810"/>
    <cellStyle name="Separador de milhares 3 6 4 7 2 2 4" xfId="16896"/>
    <cellStyle name="Separador de milhares 3 6 4 7 2 3" xfId="25767"/>
    <cellStyle name="Separador de milhares 3 6 4 7 2 4" xfId="19853"/>
    <cellStyle name="Separador de milhares 3 6 4 7 2 5" xfId="13755"/>
    <cellStyle name="Separador de milhares 3 6 4 7 3" xfId="9042"/>
    <cellStyle name="Separador de milhares 3 6 4 7 3 2" xfId="27256"/>
    <cellStyle name="Separador de milhares 3 6 4 7 3 3" xfId="21342"/>
    <cellStyle name="Separador de milhares 3 6 4 7 3 4" xfId="15428"/>
    <cellStyle name="Separador de milhares 3 6 4 7 4" xfId="5667"/>
    <cellStyle name="Separador de milhares 3 6 4 7 4 2" xfId="24299"/>
    <cellStyle name="Separador de milhares 3 6 4 7 5" xfId="18385"/>
    <cellStyle name="Separador de milhares 3 6 4 7 6" xfId="12054"/>
    <cellStyle name="Separador de milhares 3 6 4 8" xfId="3880"/>
    <cellStyle name="Separador de milhares 3 6 4 8 2" xfId="7513"/>
    <cellStyle name="Separador de milhares 3 6 4 8 2 2" xfId="10657"/>
    <cellStyle name="Separador de milhares 3 6 4 8 2 2 2" xfId="28871"/>
    <cellStyle name="Separador de milhares 3 6 4 8 2 2 3" xfId="22957"/>
    <cellStyle name="Separador de milhares 3 6 4 8 2 2 4" xfId="17043"/>
    <cellStyle name="Separador de milhares 3 6 4 8 2 3" xfId="25914"/>
    <cellStyle name="Separador de milhares 3 6 4 8 2 4" xfId="20000"/>
    <cellStyle name="Separador de milhares 3 6 4 8 2 5" xfId="13902"/>
    <cellStyle name="Separador de milhares 3 6 4 8 3" xfId="9189"/>
    <cellStyle name="Separador de milhares 3 6 4 8 3 2" xfId="27403"/>
    <cellStyle name="Separador de milhares 3 6 4 8 3 3" xfId="21489"/>
    <cellStyle name="Separador de milhares 3 6 4 8 3 4" xfId="15575"/>
    <cellStyle name="Separador de milhares 3 6 4 8 4" xfId="5814"/>
    <cellStyle name="Separador de milhares 3 6 4 8 4 2" xfId="24446"/>
    <cellStyle name="Separador de milhares 3 6 4 8 5" xfId="18532"/>
    <cellStyle name="Separador de milhares 3 6 4 8 6" xfId="12201"/>
    <cellStyle name="Separador de milhares 3 6 4 9" xfId="672"/>
    <cellStyle name="Separador de milhares 3 6 4 9 2" xfId="6607"/>
    <cellStyle name="Separador de milhares 3 6 4 9 2 2" xfId="9754"/>
    <cellStyle name="Separador de milhares 3 6 4 9 2 2 2" xfId="27968"/>
    <cellStyle name="Separador de milhares 3 6 4 9 2 2 3" xfId="22054"/>
    <cellStyle name="Separador de milhares 3 6 4 9 2 2 4" xfId="16140"/>
    <cellStyle name="Separador de milhares 3 6 4 9 2 3" xfId="25011"/>
    <cellStyle name="Separador de milhares 3 6 4 9 2 4" xfId="19097"/>
    <cellStyle name="Separador de milhares 3 6 4 9 2 5" xfId="12996"/>
    <cellStyle name="Separador de milhares 3 6 4 9 3" xfId="8286"/>
    <cellStyle name="Separador de milhares 3 6 4 9 3 2" xfId="26500"/>
    <cellStyle name="Separador de milhares 3 6 4 9 3 3" xfId="20586"/>
    <cellStyle name="Separador de milhares 3 6 4 9 3 4" xfId="14672"/>
    <cellStyle name="Separador de milhares 3 6 4 9 4" xfId="4908"/>
    <cellStyle name="Separador de milhares 3 6 4 9 4 2" xfId="23543"/>
    <cellStyle name="Separador de milhares 3 6 4 9 5" xfId="17629"/>
    <cellStyle name="Separador de milhares 3 6 4 9 6" xfId="11295"/>
    <cellStyle name="Separador de milhares 3 6 5" xfId="595"/>
    <cellStyle name="Separador de milhares 3 6 5 10" xfId="4872"/>
    <cellStyle name="Separador de milhares 3 6 5 10 2" xfId="23506"/>
    <cellStyle name="Separador de milhares 3 6 5 11" xfId="17592"/>
    <cellStyle name="Separador de milhares 3 6 5 12" xfId="11261"/>
    <cellStyle name="Separador de milhares 3 6 5 2" xfId="1418"/>
    <cellStyle name="Separador de milhares 3 6 5 2 2" xfId="6824"/>
    <cellStyle name="Separador de milhares 3 6 5 2 2 2" xfId="9971"/>
    <cellStyle name="Separador de milhares 3 6 5 2 2 2 2" xfId="28185"/>
    <cellStyle name="Separador de milhares 3 6 5 2 2 2 3" xfId="22271"/>
    <cellStyle name="Separador de milhares 3 6 5 2 2 2 4" xfId="16357"/>
    <cellStyle name="Separador de milhares 3 6 5 2 2 3" xfId="25228"/>
    <cellStyle name="Separador de milhares 3 6 5 2 2 4" xfId="19314"/>
    <cellStyle name="Separador de milhares 3 6 5 2 2 5" xfId="13213"/>
    <cellStyle name="Separador de milhares 3 6 5 2 3" xfId="8503"/>
    <cellStyle name="Separador de milhares 3 6 5 2 3 2" xfId="26717"/>
    <cellStyle name="Separador de milhares 3 6 5 2 3 3" xfId="20803"/>
    <cellStyle name="Separador de milhares 3 6 5 2 3 4" xfId="14889"/>
    <cellStyle name="Separador de milhares 3 6 5 2 4" xfId="5125"/>
    <cellStyle name="Separador de milhares 3 6 5 2 4 2" xfId="23760"/>
    <cellStyle name="Separador de milhares 3 6 5 2 5" xfId="17846"/>
    <cellStyle name="Separador de milhares 3 6 5 2 6" xfId="11512"/>
    <cellStyle name="Separador de milhares 3 6 5 3" xfId="1853"/>
    <cellStyle name="Separador de milhares 3 6 5 3 2" xfId="6943"/>
    <cellStyle name="Separador de milhares 3 6 5 3 2 2" xfId="10090"/>
    <cellStyle name="Separador de milhares 3 6 5 3 2 2 2" xfId="28304"/>
    <cellStyle name="Separador de milhares 3 6 5 3 2 2 3" xfId="22390"/>
    <cellStyle name="Separador de milhares 3 6 5 3 2 2 4" xfId="16476"/>
    <cellStyle name="Separador de milhares 3 6 5 3 2 3" xfId="25347"/>
    <cellStyle name="Separador de milhares 3 6 5 3 2 4" xfId="19433"/>
    <cellStyle name="Separador de milhares 3 6 5 3 2 5" xfId="13332"/>
    <cellStyle name="Separador de milhares 3 6 5 3 3" xfId="8622"/>
    <cellStyle name="Separador de milhares 3 6 5 3 3 2" xfId="26836"/>
    <cellStyle name="Separador de milhares 3 6 5 3 3 3" xfId="20922"/>
    <cellStyle name="Separador de milhares 3 6 5 3 3 4" xfId="15008"/>
    <cellStyle name="Separador de milhares 3 6 5 3 4" xfId="5244"/>
    <cellStyle name="Separador de milhares 3 6 5 3 4 2" xfId="23879"/>
    <cellStyle name="Separador de milhares 3 6 5 3 5" xfId="17965"/>
    <cellStyle name="Separador de milhares 3 6 5 3 6" xfId="11631"/>
    <cellStyle name="Separador de milhares 3 6 5 4" xfId="2383"/>
    <cellStyle name="Separador de milhares 3 6 5 4 2" xfId="7093"/>
    <cellStyle name="Separador de milhares 3 6 5 4 2 2" xfId="10237"/>
    <cellStyle name="Separador de milhares 3 6 5 4 2 2 2" xfId="28451"/>
    <cellStyle name="Separador de milhares 3 6 5 4 2 2 3" xfId="22537"/>
    <cellStyle name="Separador de milhares 3 6 5 4 2 2 4" xfId="16623"/>
    <cellStyle name="Separador de milhares 3 6 5 4 2 3" xfId="25494"/>
    <cellStyle name="Separador de milhares 3 6 5 4 2 4" xfId="19580"/>
    <cellStyle name="Separador de milhares 3 6 5 4 2 5" xfId="13482"/>
    <cellStyle name="Separador de milhares 3 6 5 4 3" xfId="8769"/>
    <cellStyle name="Separador de milhares 3 6 5 4 3 2" xfId="26983"/>
    <cellStyle name="Separador de milhares 3 6 5 4 3 3" xfId="21069"/>
    <cellStyle name="Separador de milhares 3 6 5 4 3 4" xfId="15155"/>
    <cellStyle name="Separador de milhares 3 6 5 4 4" xfId="5394"/>
    <cellStyle name="Separador de milhares 3 6 5 4 4 2" xfId="24026"/>
    <cellStyle name="Separador de milhares 3 6 5 4 5" xfId="18112"/>
    <cellStyle name="Separador de milhares 3 6 5 4 6" xfId="11781"/>
    <cellStyle name="Separador de milhares 3 6 5 5" xfId="2910"/>
    <cellStyle name="Separador de milhares 3 6 5 5 2" xfId="7240"/>
    <cellStyle name="Separador de milhares 3 6 5 5 2 2" xfId="10384"/>
    <cellStyle name="Separador de milhares 3 6 5 5 2 2 2" xfId="28598"/>
    <cellStyle name="Separador de milhares 3 6 5 5 2 2 3" xfId="22684"/>
    <cellStyle name="Separador de milhares 3 6 5 5 2 2 4" xfId="16770"/>
    <cellStyle name="Separador de milhares 3 6 5 5 2 3" xfId="25641"/>
    <cellStyle name="Separador de milhares 3 6 5 5 2 4" xfId="19727"/>
    <cellStyle name="Separador de milhares 3 6 5 5 2 5" xfId="13629"/>
    <cellStyle name="Separador de milhares 3 6 5 5 3" xfId="8916"/>
    <cellStyle name="Separador de milhares 3 6 5 5 3 2" xfId="27130"/>
    <cellStyle name="Separador de milhares 3 6 5 5 3 3" xfId="21216"/>
    <cellStyle name="Separador de milhares 3 6 5 5 3 4" xfId="15302"/>
    <cellStyle name="Separador de milhares 3 6 5 5 4" xfId="5541"/>
    <cellStyle name="Separador de milhares 3 6 5 5 4 2" xfId="24173"/>
    <cellStyle name="Separador de milhares 3 6 5 5 5" xfId="18259"/>
    <cellStyle name="Separador de milhares 3 6 5 5 6" xfId="11928"/>
    <cellStyle name="Separador de milhares 3 6 5 6" xfId="3437"/>
    <cellStyle name="Separador de milhares 3 6 5 6 2" xfId="7387"/>
    <cellStyle name="Separador de milhares 3 6 5 6 2 2" xfId="10531"/>
    <cellStyle name="Separador de milhares 3 6 5 6 2 2 2" xfId="28745"/>
    <cellStyle name="Separador de milhares 3 6 5 6 2 2 3" xfId="22831"/>
    <cellStyle name="Separador de milhares 3 6 5 6 2 2 4" xfId="16917"/>
    <cellStyle name="Separador de milhares 3 6 5 6 2 3" xfId="25788"/>
    <cellStyle name="Separador de milhares 3 6 5 6 2 4" xfId="19874"/>
    <cellStyle name="Separador de milhares 3 6 5 6 2 5" xfId="13776"/>
    <cellStyle name="Separador de milhares 3 6 5 6 3" xfId="9063"/>
    <cellStyle name="Separador de milhares 3 6 5 6 3 2" xfId="27277"/>
    <cellStyle name="Separador de milhares 3 6 5 6 3 3" xfId="21363"/>
    <cellStyle name="Separador de milhares 3 6 5 6 3 4" xfId="15449"/>
    <cellStyle name="Separador de milhares 3 6 5 6 4" xfId="5688"/>
    <cellStyle name="Separador de milhares 3 6 5 6 4 2" xfId="24320"/>
    <cellStyle name="Separador de milhares 3 6 5 6 5" xfId="18406"/>
    <cellStyle name="Separador de milhares 3 6 5 6 6" xfId="12075"/>
    <cellStyle name="Separador de milhares 3 6 5 7" xfId="3964"/>
    <cellStyle name="Separador de milhares 3 6 5 7 2" xfId="7534"/>
    <cellStyle name="Separador de milhares 3 6 5 7 2 2" xfId="10678"/>
    <cellStyle name="Separador de milhares 3 6 5 7 2 2 2" xfId="28892"/>
    <cellStyle name="Separador de milhares 3 6 5 7 2 2 3" xfId="22978"/>
    <cellStyle name="Separador de milhares 3 6 5 7 2 2 4" xfId="17064"/>
    <cellStyle name="Separador de milhares 3 6 5 7 2 3" xfId="25935"/>
    <cellStyle name="Separador de milhares 3 6 5 7 2 4" xfId="20021"/>
    <cellStyle name="Separador de milhares 3 6 5 7 2 5" xfId="13923"/>
    <cellStyle name="Separador de milhares 3 6 5 7 3" xfId="9210"/>
    <cellStyle name="Separador de milhares 3 6 5 7 3 2" xfId="27424"/>
    <cellStyle name="Separador de milhares 3 6 5 7 3 3" xfId="21510"/>
    <cellStyle name="Separador de milhares 3 6 5 7 3 4" xfId="15596"/>
    <cellStyle name="Separador de milhares 3 6 5 7 4" xfId="5835"/>
    <cellStyle name="Separador de milhares 3 6 5 7 4 2" xfId="24467"/>
    <cellStyle name="Separador de milhares 3 6 5 7 5" xfId="18553"/>
    <cellStyle name="Separador de milhares 3 6 5 7 6" xfId="12222"/>
    <cellStyle name="Separador de milhares 3 6 5 8" xfId="6573"/>
    <cellStyle name="Separador de milhares 3 6 5 8 2" xfId="9720"/>
    <cellStyle name="Separador de milhares 3 6 5 8 2 2" xfId="27934"/>
    <cellStyle name="Separador de milhares 3 6 5 8 2 3" xfId="22020"/>
    <cellStyle name="Separador de milhares 3 6 5 8 2 4" xfId="16106"/>
    <cellStyle name="Separador de milhares 3 6 5 8 3" xfId="24977"/>
    <cellStyle name="Separador de milhares 3 6 5 8 4" xfId="19063"/>
    <cellStyle name="Separador de milhares 3 6 5 8 5" xfId="12962"/>
    <cellStyle name="Separador de milhares 3 6 5 9" xfId="8249"/>
    <cellStyle name="Separador de milhares 3 6 5 9 2" xfId="26463"/>
    <cellStyle name="Separador de milhares 3 6 5 9 3" xfId="20549"/>
    <cellStyle name="Separador de milhares 3 6 5 9 4" xfId="14638"/>
    <cellStyle name="Separador de milhares 3 6 6" xfId="716"/>
    <cellStyle name="Separador de milhares 3 6 6 2" xfId="4140"/>
    <cellStyle name="Separador de milhares 3 6 6 2 2" xfId="7583"/>
    <cellStyle name="Separador de milhares 3 6 6 2 2 2" xfId="10727"/>
    <cellStyle name="Separador de milhares 3 6 6 2 2 2 2" xfId="28941"/>
    <cellStyle name="Separador de milhares 3 6 6 2 2 2 3" xfId="23027"/>
    <cellStyle name="Separador de milhares 3 6 6 2 2 2 4" xfId="17113"/>
    <cellStyle name="Separador de milhares 3 6 6 2 2 3" xfId="25984"/>
    <cellStyle name="Separador de milhares 3 6 6 2 2 4" xfId="20070"/>
    <cellStyle name="Separador de milhares 3 6 6 2 2 5" xfId="13972"/>
    <cellStyle name="Separador de milhares 3 6 6 2 3" xfId="9259"/>
    <cellStyle name="Separador de milhares 3 6 6 2 3 2" xfId="27473"/>
    <cellStyle name="Separador de milhares 3 6 6 2 3 3" xfId="21559"/>
    <cellStyle name="Separador de milhares 3 6 6 2 3 4" xfId="15645"/>
    <cellStyle name="Separador de milhares 3 6 6 2 4" xfId="5884"/>
    <cellStyle name="Separador de milhares 3 6 6 2 4 2" xfId="24516"/>
    <cellStyle name="Separador de milhares 3 6 6 2 5" xfId="18602"/>
    <cellStyle name="Separador de milhares 3 6 6 2 6" xfId="12271"/>
    <cellStyle name="Separador de milhares 3 6 6 3" xfId="6628"/>
    <cellStyle name="Separador de milhares 3 6 6 3 2" xfId="9775"/>
    <cellStyle name="Separador de milhares 3 6 6 3 2 2" xfId="27989"/>
    <cellStyle name="Separador de milhares 3 6 6 3 2 3" xfId="22075"/>
    <cellStyle name="Separador de milhares 3 6 6 3 2 4" xfId="16161"/>
    <cellStyle name="Separador de milhares 3 6 6 3 3" xfId="25032"/>
    <cellStyle name="Separador de milhares 3 6 6 3 4" xfId="19118"/>
    <cellStyle name="Separador de milhares 3 6 6 3 5" xfId="13017"/>
    <cellStyle name="Separador de milhares 3 6 6 4" xfId="8307"/>
    <cellStyle name="Separador de milhares 3 6 6 4 2" xfId="26521"/>
    <cellStyle name="Separador de milhares 3 6 6 4 3" xfId="20607"/>
    <cellStyle name="Separador de milhares 3 6 6 4 4" xfId="14693"/>
    <cellStyle name="Separador de milhares 3 6 6 5" xfId="4929"/>
    <cellStyle name="Separador de milhares 3 6 6 5 2" xfId="23564"/>
    <cellStyle name="Separador de milhares 3 6 6 6" xfId="17650"/>
    <cellStyle name="Separador de milhares 3 6 6 7" xfId="11316"/>
    <cellStyle name="Separador de milhares 3 6 7" xfId="1067"/>
    <cellStyle name="Separador de milhares 3 6 7 2" xfId="6726"/>
    <cellStyle name="Separador de milhares 3 6 7 2 2" xfId="9873"/>
    <cellStyle name="Separador de milhares 3 6 7 2 2 2" xfId="28087"/>
    <cellStyle name="Separador de milhares 3 6 7 2 2 3" xfId="22173"/>
    <cellStyle name="Separador de milhares 3 6 7 2 2 4" xfId="16259"/>
    <cellStyle name="Separador de milhares 3 6 7 2 3" xfId="25130"/>
    <cellStyle name="Separador de milhares 3 6 7 2 4" xfId="19216"/>
    <cellStyle name="Separador de milhares 3 6 7 2 5" xfId="13115"/>
    <cellStyle name="Separador de milhares 3 6 7 3" xfId="8405"/>
    <cellStyle name="Separador de milhares 3 6 7 3 2" xfId="26619"/>
    <cellStyle name="Separador de milhares 3 6 7 3 3" xfId="20705"/>
    <cellStyle name="Separador de milhares 3 6 7 3 4" xfId="14791"/>
    <cellStyle name="Separador de milhares 3 6 7 4" xfId="5027"/>
    <cellStyle name="Separador de milhares 3 6 7 4 2" xfId="23662"/>
    <cellStyle name="Separador de milhares 3 6 7 5" xfId="17748"/>
    <cellStyle name="Separador de milhares 3 6 7 6" xfId="11414"/>
    <cellStyle name="Separador de milhares 3 6 8" xfId="1502"/>
    <cellStyle name="Separador de milhares 3 6 8 2" xfId="6845"/>
    <cellStyle name="Separador de milhares 3 6 8 2 2" xfId="9992"/>
    <cellStyle name="Separador de milhares 3 6 8 2 2 2" xfId="28206"/>
    <cellStyle name="Separador de milhares 3 6 8 2 2 3" xfId="22292"/>
    <cellStyle name="Separador de milhares 3 6 8 2 2 4" xfId="16378"/>
    <cellStyle name="Separador de milhares 3 6 8 2 3" xfId="25249"/>
    <cellStyle name="Separador de milhares 3 6 8 2 4" xfId="19335"/>
    <cellStyle name="Separador de milhares 3 6 8 2 5" xfId="13234"/>
    <cellStyle name="Separador de milhares 3 6 8 3" xfId="8524"/>
    <cellStyle name="Separador de milhares 3 6 8 3 2" xfId="26738"/>
    <cellStyle name="Separador de milhares 3 6 8 3 3" xfId="20824"/>
    <cellStyle name="Separador de milhares 3 6 8 3 4" xfId="14910"/>
    <cellStyle name="Separador de milhares 3 6 8 4" xfId="5146"/>
    <cellStyle name="Separador de milhares 3 6 8 4 2" xfId="23781"/>
    <cellStyle name="Separador de milhares 3 6 8 5" xfId="17867"/>
    <cellStyle name="Separador de milhares 3 6 8 6" xfId="11533"/>
    <cellStyle name="Separador de milhares 3 6 9" xfId="2032"/>
    <cellStyle name="Separador de milhares 3 6 9 2" xfId="6995"/>
    <cellStyle name="Separador de milhares 3 6 9 2 2" xfId="10139"/>
    <cellStyle name="Separador de milhares 3 6 9 2 2 2" xfId="28353"/>
    <cellStyle name="Separador de milhares 3 6 9 2 2 3" xfId="22439"/>
    <cellStyle name="Separador de milhares 3 6 9 2 2 4" xfId="16525"/>
    <cellStyle name="Separador de milhares 3 6 9 2 3" xfId="25396"/>
    <cellStyle name="Separador de milhares 3 6 9 2 4" xfId="19482"/>
    <cellStyle name="Separador de milhares 3 6 9 2 5" xfId="13384"/>
    <cellStyle name="Separador de milhares 3 6 9 3" xfId="8671"/>
    <cellStyle name="Separador de milhares 3 6 9 3 2" xfId="26885"/>
    <cellStyle name="Separador de milhares 3 6 9 3 3" xfId="20971"/>
    <cellStyle name="Separador de milhares 3 6 9 3 4" xfId="15057"/>
    <cellStyle name="Separador de milhares 3 6 9 4" xfId="5296"/>
    <cellStyle name="Separador de milhares 3 6 9 4 2" xfId="23928"/>
    <cellStyle name="Separador de milhares 3 6 9 5" xfId="18014"/>
    <cellStyle name="Separador de milhares 3 6 9 6" xfId="11683"/>
    <cellStyle name="Separador de milhares 3 7" xfId="60"/>
    <cellStyle name="Separador de milhares 3 7 10" xfId="2563"/>
    <cellStyle name="Separador de milhares 3 7 10 2" xfId="7143"/>
    <cellStyle name="Separador de milhares 3 7 10 2 2" xfId="10287"/>
    <cellStyle name="Separador de milhares 3 7 10 2 2 2" xfId="28501"/>
    <cellStyle name="Separador de milhares 3 7 10 2 2 3" xfId="22587"/>
    <cellStyle name="Separador de milhares 3 7 10 2 2 4" xfId="16673"/>
    <cellStyle name="Separador de milhares 3 7 10 2 3" xfId="25544"/>
    <cellStyle name="Separador de milhares 3 7 10 2 4" xfId="19630"/>
    <cellStyle name="Separador de milhares 3 7 10 2 5" xfId="13532"/>
    <cellStyle name="Separador de milhares 3 7 10 3" xfId="8819"/>
    <cellStyle name="Separador de milhares 3 7 10 3 2" xfId="27033"/>
    <cellStyle name="Separador de milhares 3 7 10 3 3" xfId="21119"/>
    <cellStyle name="Separador de milhares 3 7 10 3 4" xfId="15205"/>
    <cellStyle name="Separador de milhares 3 7 10 4" xfId="5444"/>
    <cellStyle name="Separador de milhares 3 7 10 4 2" xfId="24076"/>
    <cellStyle name="Separador de milhares 3 7 10 5" xfId="18162"/>
    <cellStyle name="Separador de milhares 3 7 10 6" xfId="11831"/>
    <cellStyle name="Separador de milhares 3 7 11" xfId="3090"/>
    <cellStyle name="Separador de milhares 3 7 11 2" xfId="7290"/>
    <cellStyle name="Separador de milhares 3 7 11 2 2" xfId="10434"/>
    <cellStyle name="Separador de milhares 3 7 11 2 2 2" xfId="28648"/>
    <cellStyle name="Separador de milhares 3 7 11 2 2 3" xfId="22734"/>
    <cellStyle name="Separador de milhares 3 7 11 2 2 4" xfId="16820"/>
    <cellStyle name="Separador de milhares 3 7 11 2 3" xfId="25691"/>
    <cellStyle name="Separador de milhares 3 7 11 2 4" xfId="19777"/>
    <cellStyle name="Separador de milhares 3 7 11 2 5" xfId="13679"/>
    <cellStyle name="Separador de milhares 3 7 11 3" xfId="8966"/>
    <cellStyle name="Separador de milhares 3 7 11 3 2" xfId="27180"/>
    <cellStyle name="Separador de milhares 3 7 11 3 3" xfId="21266"/>
    <cellStyle name="Separador de milhares 3 7 11 3 4" xfId="15352"/>
    <cellStyle name="Separador de milhares 3 7 11 4" xfId="5591"/>
    <cellStyle name="Separador de milhares 3 7 11 4 2" xfId="24223"/>
    <cellStyle name="Separador de milhares 3 7 11 5" xfId="18309"/>
    <cellStyle name="Separador de milhares 3 7 11 6" xfId="11978"/>
    <cellStyle name="Separador de milhares 3 7 12" xfId="3617"/>
    <cellStyle name="Separador de milhares 3 7 12 2" xfId="7437"/>
    <cellStyle name="Separador de milhares 3 7 12 2 2" xfId="10581"/>
    <cellStyle name="Separador de milhares 3 7 12 2 2 2" xfId="28795"/>
    <cellStyle name="Separador de milhares 3 7 12 2 2 3" xfId="22881"/>
    <cellStyle name="Separador de milhares 3 7 12 2 2 4" xfId="16967"/>
    <cellStyle name="Separador de milhares 3 7 12 2 3" xfId="25838"/>
    <cellStyle name="Separador de milhares 3 7 12 2 4" xfId="19924"/>
    <cellStyle name="Separador de milhares 3 7 12 2 5" xfId="13826"/>
    <cellStyle name="Separador de milhares 3 7 12 3" xfId="9113"/>
    <cellStyle name="Separador de milhares 3 7 12 3 2" xfId="27327"/>
    <cellStyle name="Separador de milhares 3 7 12 3 3" xfId="21413"/>
    <cellStyle name="Separador de milhares 3 7 12 3 4" xfId="15499"/>
    <cellStyle name="Separador de milhares 3 7 12 4" xfId="5738"/>
    <cellStyle name="Separador de milhares 3 7 12 4 2" xfId="24370"/>
    <cellStyle name="Separador de milhares 3 7 12 5" xfId="18456"/>
    <cellStyle name="Separador de milhares 3 7 12 6" xfId="12125"/>
    <cellStyle name="Separador de milhares 3 7 13" xfId="6421"/>
    <cellStyle name="Separador de milhares 3 7 13 2" xfId="9577"/>
    <cellStyle name="Separador de milhares 3 7 13 2 2" xfId="27791"/>
    <cellStyle name="Separador de milhares 3 7 13 2 3" xfId="21877"/>
    <cellStyle name="Separador de milhares 3 7 13 2 4" xfId="15963"/>
    <cellStyle name="Separador de milhares 3 7 13 3" xfId="24834"/>
    <cellStyle name="Separador de milhares 3 7 13 4" xfId="18920"/>
    <cellStyle name="Separador de milhares 3 7 13 5" xfId="12810"/>
    <cellStyle name="Separador de milhares 3 7 14" xfId="8106"/>
    <cellStyle name="Separador de milhares 3 7 14 2" xfId="26320"/>
    <cellStyle name="Separador de milhares 3 7 14 3" xfId="20406"/>
    <cellStyle name="Separador de milhares 3 7 14 4" xfId="14495"/>
    <cellStyle name="Separador de milhares 3 7 15" xfId="4719"/>
    <cellStyle name="Separador de milhares 3 7 15 2" xfId="23363"/>
    <cellStyle name="Separador de milhares 3 7 16" xfId="17449"/>
    <cellStyle name="Separador de milhares 3 7 17" xfId="11109"/>
    <cellStyle name="Separador de milhares 3 7 2" xfId="154"/>
    <cellStyle name="Separador de milhares 3 7 2 10" xfId="6450"/>
    <cellStyle name="Separador de milhares 3 7 2 10 2" xfId="9604"/>
    <cellStyle name="Separador de milhares 3 7 2 10 2 2" xfId="27818"/>
    <cellStyle name="Separador de milhares 3 7 2 10 2 3" xfId="21904"/>
    <cellStyle name="Separador de milhares 3 7 2 10 2 4" xfId="15990"/>
    <cellStyle name="Separador de milhares 3 7 2 10 3" xfId="24861"/>
    <cellStyle name="Separador de milhares 3 7 2 10 4" xfId="18947"/>
    <cellStyle name="Separador de milhares 3 7 2 10 5" xfId="12839"/>
    <cellStyle name="Separador de milhares 3 7 2 11" xfId="8133"/>
    <cellStyle name="Separador de milhares 3 7 2 11 2" xfId="26347"/>
    <cellStyle name="Separador de milhares 3 7 2 11 3" xfId="20433"/>
    <cellStyle name="Separador de milhares 3 7 2 11 4" xfId="14522"/>
    <cellStyle name="Separador de milhares 3 7 2 12" xfId="4749"/>
    <cellStyle name="Separador de milhares 3 7 2 12 2" xfId="23390"/>
    <cellStyle name="Separador de milhares 3 7 2 13" xfId="17476"/>
    <cellStyle name="Separador de milhares 3 7 2 14" xfId="11138"/>
    <cellStyle name="Separador de milhares 3 7 2 2" xfId="427"/>
    <cellStyle name="Separador de milhares 3 7 2 2 10" xfId="17550"/>
    <cellStyle name="Separador de milhares 3 7 2 2 11" xfId="11219"/>
    <cellStyle name="Separador de milhares 3 7 2 2 2" xfId="1946"/>
    <cellStyle name="Separador de milhares 3 7 2 2 2 2" xfId="6969"/>
    <cellStyle name="Separador de milhares 3 7 2 2 2 2 2" xfId="10116"/>
    <cellStyle name="Separador de milhares 3 7 2 2 2 2 2 2" xfId="28330"/>
    <cellStyle name="Separador de milhares 3 7 2 2 2 2 2 3" xfId="22416"/>
    <cellStyle name="Separador de milhares 3 7 2 2 2 2 2 4" xfId="16502"/>
    <cellStyle name="Separador de milhares 3 7 2 2 2 2 3" xfId="25373"/>
    <cellStyle name="Separador de milhares 3 7 2 2 2 2 4" xfId="19459"/>
    <cellStyle name="Separador de milhares 3 7 2 2 2 2 5" xfId="13358"/>
    <cellStyle name="Separador de milhares 3 7 2 2 2 3" xfId="8648"/>
    <cellStyle name="Separador de milhares 3 7 2 2 2 3 2" xfId="26862"/>
    <cellStyle name="Separador de milhares 3 7 2 2 2 3 3" xfId="20948"/>
    <cellStyle name="Separador de milhares 3 7 2 2 2 3 4" xfId="15034"/>
    <cellStyle name="Separador de milhares 3 7 2 2 2 4" xfId="5270"/>
    <cellStyle name="Separador de milhares 3 7 2 2 2 4 2" xfId="23905"/>
    <cellStyle name="Separador de milhares 3 7 2 2 2 5" xfId="17991"/>
    <cellStyle name="Separador de milhares 3 7 2 2 2 6" xfId="11657"/>
    <cellStyle name="Separador de milhares 3 7 2 2 3" xfId="2476"/>
    <cellStyle name="Separador de milhares 3 7 2 2 3 2" xfId="7119"/>
    <cellStyle name="Separador de milhares 3 7 2 2 3 2 2" xfId="10263"/>
    <cellStyle name="Separador de milhares 3 7 2 2 3 2 2 2" xfId="28477"/>
    <cellStyle name="Separador de milhares 3 7 2 2 3 2 2 3" xfId="22563"/>
    <cellStyle name="Separador de milhares 3 7 2 2 3 2 2 4" xfId="16649"/>
    <cellStyle name="Separador de milhares 3 7 2 2 3 2 3" xfId="25520"/>
    <cellStyle name="Separador de milhares 3 7 2 2 3 2 4" xfId="19606"/>
    <cellStyle name="Separador de milhares 3 7 2 2 3 2 5" xfId="13508"/>
    <cellStyle name="Separador de milhares 3 7 2 2 3 3" xfId="8795"/>
    <cellStyle name="Separador de milhares 3 7 2 2 3 3 2" xfId="27009"/>
    <cellStyle name="Separador de milhares 3 7 2 2 3 3 3" xfId="21095"/>
    <cellStyle name="Separador de milhares 3 7 2 2 3 3 4" xfId="15181"/>
    <cellStyle name="Separador de milhares 3 7 2 2 3 4" xfId="5420"/>
    <cellStyle name="Separador de milhares 3 7 2 2 3 4 2" xfId="24052"/>
    <cellStyle name="Separador de milhares 3 7 2 2 3 5" xfId="18138"/>
    <cellStyle name="Separador de milhares 3 7 2 2 3 6" xfId="11807"/>
    <cellStyle name="Separador de milhares 3 7 2 2 4" xfId="3003"/>
    <cellStyle name="Separador de milhares 3 7 2 2 4 2" xfId="7266"/>
    <cellStyle name="Separador de milhares 3 7 2 2 4 2 2" xfId="10410"/>
    <cellStyle name="Separador de milhares 3 7 2 2 4 2 2 2" xfId="28624"/>
    <cellStyle name="Separador de milhares 3 7 2 2 4 2 2 3" xfId="22710"/>
    <cellStyle name="Separador de milhares 3 7 2 2 4 2 2 4" xfId="16796"/>
    <cellStyle name="Separador de milhares 3 7 2 2 4 2 3" xfId="25667"/>
    <cellStyle name="Separador de milhares 3 7 2 2 4 2 4" xfId="19753"/>
    <cellStyle name="Separador de milhares 3 7 2 2 4 2 5" xfId="13655"/>
    <cellStyle name="Separador de milhares 3 7 2 2 4 3" xfId="8942"/>
    <cellStyle name="Separador de milhares 3 7 2 2 4 3 2" xfId="27156"/>
    <cellStyle name="Separador de milhares 3 7 2 2 4 3 3" xfId="21242"/>
    <cellStyle name="Separador de milhares 3 7 2 2 4 3 4" xfId="15328"/>
    <cellStyle name="Separador de milhares 3 7 2 2 4 4" xfId="5567"/>
    <cellStyle name="Separador de milhares 3 7 2 2 4 4 2" xfId="24199"/>
    <cellStyle name="Separador de milhares 3 7 2 2 4 5" xfId="18285"/>
    <cellStyle name="Separador de milhares 3 7 2 2 4 6" xfId="11954"/>
    <cellStyle name="Separador de milhares 3 7 2 2 5" xfId="3530"/>
    <cellStyle name="Separador de milhares 3 7 2 2 5 2" xfId="7413"/>
    <cellStyle name="Separador de milhares 3 7 2 2 5 2 2" xfId="10557"/>
    <cellStyle name="Separador de milhares 3 7 2 2 5 2 2 2" xfId="28771"/>
    <cellStyle name="Separador de milhares 3 7 2 2 5 2 2 3" xfId="22857"/>
    <cellStyle name="Separador de milhares 3 7 2 2 5 2 2 4" xfId="16943"/>
    <cellStyle name="Separador de milhares 3 7 2 2 5 2 3" xfId="25814"/>
    <cellStyle name="Separador de milhares 3 7 2 2 5 2 4" xfId="19900"/>
    <cellStyle name="Separador de milhares 3 7 2 2 5 2 5" xfId="13802"/>
    <cellStyle name="Separador de milhares 3 7 2 2 5 3" xfId="9089"/>
    <cellStyle name="Separador de milhares 3 7 2 2 5 3 2" xfId="27303"/>
    <cellStyle name="Separador de milhares 3 7 2 2 5 3 3" xfId="21389"/>
    <cellStyle name="Separador de milhares 3 7 2 2 5 3 4" xfId="15475"/>
    <cellStyle name="Separador de milhares 3 7 2 2 5 4" xfId="5714"/>
    <cellStyle name="Separador de milhares 3 7 2 2 5 4 2" xfId="24346"/>
    <cellStyle name="Separador de milhares 3 7 2 2 5 5" xfId="18432"/>
    <cellStyle name="Separador de milhares 3 7 2 2 5 6" xfId="12101"/>
    <cellStyle name="Separador de milhares 3 7 2 2 6" xfId="4057"/>
    <cellStyle name="Separador de milhares 3 7 2 2 6 2" xfId="7560"/>
    <cellStyle name="Separador de milhares 3 7 2 2 6 2 2" xfId="10704"/>
    <cellStyle name="Separador de milhares 3 7 2 2 6 2 2 2" xfId="28918"/>
    <cellStyle name="Separador de milhares 3 7 2 2 6 2 2 3" xfId="23004"/>
    <cellStyle name="Separador de milhares 3 7 2 2 6 2 2 4" xfId="17090"/>
    <cellStyle name="Separador de milhares 3 7 2 2 6 2 3" xfId="25961"/>
    <cellStyle name="Separador de milhares 3 7 2 2 6 2 4" xfId="20047"/>
    <cellStyle name="Separador de milhares 3 7 2 2 6 2 5" xfId="13949"/>
    <cellStyle name="Separador de milhares 3 7 2 2 6 3" xfId="9236"/>
    <cellStyle name="Separador de milhares 3 7 2 2 6 3 2" xfId="27450"/>
    <cellStyle name="Separador de milhares 3 7 2 2 6 3 3" xfId="21536"/>
    <cellStyle name="Separador de milhares 3 7 2 2 6 3 4" xfId="15622"/>
    <cellStyle name="Separador de milhares 3 7 2 2 6 4" xfId="5861"/>
    <cellStyle name="Separador de milhares 3 7 2 2 6 4 2" xfId="24493"/>
    <cellStyle name="Separador de milhares 3 7 2 2 6 5" xfId="18579"/>
    <cellStyle name="Separador de milhares 3 7 2 2 6 6" xfId="12248"/>
    <cellStyle name="Separador de milhares 3 7 2 2 7" xfId="6531"/>
    <cellStyle name="Separador de milhares 3 7 2 2 7 2" xfId="9678"/>
    <cellStyle name="Separador de milhares 3 7 2 2 7 2 2" xfId="27892"/>
    <cellStyle name="Separador de milhares 3 7 2 2 7 2 3" xfId="21978"/>
    <cellStyle name="Separador de milhares 3 7 2 2 7 2 4" xfId="16064"/>
    <cellStyle name="Separador de milhares 3 7 2 2 7 3" xfId="24935"/>
    <cellStyle name="Separador de milhares 3 7 2 2 7 4" xfId="19021"/>
    <cellStyle name="Separador de milhares 3 7 2 2 7 5" xfId="12920"/>
    <cellStyle name="Separador de milhares 3 7 2 2 8" xfId="8207"/>
    <cellStyle name="Separador de milhares 3 7 2 2 8 2" xfId="26421"/>
    <cellStyle name="Separador de milhares 3 7 2 2 8 3" xfId="20507"/>
    <cellStyle name="Separador de milhares 3 7 2 2 8 4" xfId="14596"/>
    <cellStyle name="Separador de milhares 3 7 2 2 9" xfId="4830"/>
    <cellStyle name="Separador de milhares 3 7 2 2 9 2" xfId="23464"/>
    <cellStyle name="Separador de milhares 3 7 2 3" xfId="900"/>
    <cellStyle name="Separador de milhares 3 7 2 3 2" xfId="6682"/>
    <cellStyle name="Separador de milhares 3 7 2 3 2 2" xfId="9829"/>
    <cellStyle name="Separador de milhares 3 7 2 3 2 2 2" xfId="28043"/>
    <cellStyle name="Separador de milhares 3 7 2 3 2 2 3" xfId="22129"/>
    <cellStyle name="Separador de milhares 3 7 2 3 2 2 4" xfId="16215"/>
    <cellStyle name="Separador de milhares 3 7 2 3 2 3" xfId="25086"/>
    <cellStyle name="Separador de milhares 3 7 2 3 2 4" xfId="19172"/>
    <cellStyle name="Separador de milhares 3 7 2 3 2 5" xfId="13071"/>
    <cellStyle name="Separador de milhares 3 7 2 3 3" xfId="8361"/>
    <cellStyle name="Separador de milhares 3 7 2 3 3 2" xfId="26575"/>
    <cellStyle name="Separador de milhares 3 7 2 3 3 3" xfId="20661"/>
    <cellStyle name="Separador de milhares 3 7 2 3 3 4" xfId="14747"/>
    <cellStyle name="Separador de milhares 3 7 2 3 4" xfId="4983"/>
    <cellStyle name="Separador de milhares 3 7 2 3 4 2" xfId="23618"/>
    <cellStyle name="Separador de milhares 3 7 2 3 5" xfId="17704"/>
    <cellStyle name="Separador de milhares 3 7 2 3 6" xfId="11370"/>
    <cellStyle name="Separador de milhares 3 7 2 4" xfId="1251"/>
    <cellStyle name="Separador de milhares 3 7 2 4 2" xfId="6780"/>
    <cellStyle name="Separador de milhares 3 7 2 4 2 2" xfId="9927"/>
    <cellStyle name="Separador de milhares 3 7 2 4 2 2 2" xfId="28141"/>
    <cellStyle name="Separador de milhares 3 7 2 4 2 2 3" xfId="22227"/>
    <cellStyle name="Separador de milhares 3 7 2 4 2 2 4" xfId="16313"/>
    <cellStyle name="Separador de milhares 3 7 2 4 2 3" xfId="25184"/>
    <cellStyle name="Separador de milhares 3 7 2 4 2 4" xfId="19270"/>
    <cellStyle name="Separador de milhares 3 7 2 4 2 5" xfId="13169"/>
    <cellStyle name="Separador de milhares 3 7 2 4 3" xfId="8459"/>
    <cellStyle name="Separador de milhares 3 7 2 4 3 2" xfId="26673"/>
    <cellStyle name="Separador de milhares 3 7 2 4 3 3" xfId="20759"/>
    <cellStyle name="Separador de milhares 3 7 2 4 3 4" xfId="14845"/>
    <cellStyle name="Separador de milhares 3 7 2 4 4" xfId="5081"/>
    <cellStyle name="Separador de milhares 3 7 2 4 4 2" xfId="23716"/>
    <cellStyle name="Separador de milhares 3 7 2 4 5" xfId="17802"/>
    <cellStyle name="Separador de milhares 3 7 2 4 6" xfId="11468"/>
    <cellStyle name="Separador de milhares 3 7 2 5" xfId="1686"/>
    <cellStyle name="Separador de milhares 3 7 2 5 2" xfId="6899"/>
    <cellStyle name="Separador de milhares 3 7 2 5 2 2" xfId="10046"/>
    <cellStyle name="Separador de milhares 3 7 2 5 2 2 2" xfId="28260"/>
    <cellStyle name="Separador de milhares 3 7 2 5 2 2 3" xfId="22346"/>
    <cellStyle name="Separador de milhares 3 7 2 5 2 2 4" xfId="16432"/>
    <cellStyle name="Separador de milhares 3 7 2 5 2 3" xfId="25303"/>
    <cellStyle name="Separador de milhares 3 7 2 5 2 4" xfId="19389"/>
    <cellStyle name="Separador de milhares 3 7 2 5 2 5" xfId="13288"/>
    <cellStyle name="Separador de milhares 3 7 2 5 3" xfId="8578"/>
    <cellStyle name="Separador de milhares 3 7 2 5 3 2" xfId="26792"/>
    <cellStyle name="Separador de milhares 3 7 2 5 3 3" xfId="20878"/>
    <cellStyle name="Separador de milhares 3 7 2 5 3 4" xfId="14964"/>
    <cellStyle name="Separador de milhares 3 7 2 5 4" xfId="5200"/>
    <cellStyle name="Separador de milhares 3 7 2 5 4 2" xfId="23835"/>
    <cellStyle name="Separador de milhares 3 7 2 5 5" xfId="17921"/>
    <cellStyle name="Separador de milhares 3 7 2 5 6" xfId="11587"/>
    <cellStyle name="Separador de milhares 3 7 2 6" xfId="2216"/>
    <cellStyle name="Separador de milhares 3 7 2 6 2" xfId="7049"/>
    <cellStyle name="Separador de milhares 3 7 2 6 2 2" xfId="10193"/>
    <cellStyle name="Separador de milhares 3 7 2 6 2 2 2" xfId="28407"/>
    <cellStyle name="Separador de milhares 3 7 2 6 2 2 3" xfId="22493"/>
    <cellStyle name="Separador de milhares 3 7 2 6 2 2 4" xfId="16579"/>
    <cellStyle name="Separador de milhares 3 7 2 6 2 3" xfId="25450"/>
    <cellStyle name="Separador de milhares 3 7 2 6 2 4" xfId="19536"/>
    <cellStyle name="Separador de milhares 3 7 2 6 2 5" xfId="13438"/>
    <cellStyle name="Separador de milhares 3 7 2 6 3" xfId="8725"/>
    <cellStyle name="Separador de milhares 3 7 2 6 3 2" xfId="26939"/>
    <cellStyle name="Separador de milhares 3 7 2 6 3 3" xfId="21025"/>
    <cellStyle name="Separador de milhares 3 7 2 6 3 4" xfId="15111"/>
    <cellStyle name="Separador de milhares 3 7 2 6 4" xfId="5350"/>
    <cellStyle name="Separador de milhares 3 7 2 6 4 2" xfId="23982"/>
    <cellStyle name="Separador de milhares 3 7 2 6 5" xfId="18068"/>
    <cellStyle name="Separador de milhares 3 7 2 6 6" xfId="11737"/>
    <cellStyle name="Separador de milhares 3 7 2 7" xfId="2743"/>
    <cellStyle name="Separador de milhares 3 7 2 7 2" xfId="7196"/>
    <cellStyle name="Separador de milhares 3 7 2 7 2 2" xfId="10340"/>
    <cellStyle name="Separador de milhares 3 7 2 7 2 2 2" xfId="28554"/>
    <cellStyle name="Separador de milhares 3 7 2 7 2 2 3" xfId="22640"/>
    <cellStyle name="Separador de milhares 3 7 2 7 2 2 4" xfId="16726"/>
    <cellStyle name="Separador de milhares 3 7 2 7 2 3" xfId="25597"/>
    <cellStyle name="Separador de milhares 3 7 2 7 2 4" xfId="19683"/>
    <cellStyle name="Separador de milhares 3 7 2 7 2 5" xfId="13585"/>
    <cellStyle name="Separador de milhares 3 7 2 7 3" xfId="8872"/>
    <cellStyle name="Separador de milhares 3 7 2 7 3 2" xfId="27086"/>
    <cellStyle name="Separador de milhares 3 7 2 7 3 3" xfId="21172"/>
    <cellStyle name="Separador de milhares 3 7 2 7 3 4" xfId="15258"/>
    <cellStyle name="Separador de milhares 3 7 2 7 4" xfId="5497"/>
    <cellStyle name="Separador de milhares 3 7 2 7 4 2" xfId="24129"/>
    <cellStyle name="Separador de milhares 3 7 2 7 5" xfId="18215"/>
    <cellStyle name="Separador de milhares 3 7 2 7 6" xfId="11884"/>
    <cellStyle name="Separador de milhares 3 7 2 8" xfId="3270"/>
    <cellStyle name="Separador de milhares 3 7 2 8 2" xfId="7343"/>
    <cellStyle name="Separador de milhares 3 7 2 8 2 2" xfId="10487"/>
    <cellStyle name="Separador de milhares 3 7 2 8 2 2 2" xfId="28701"/>
    <cellStyle name="Separador de milhares 3 7 2 8 2 2 3" xfId="22787"/>
    <cellStyle name="Separador de milhares 3 7 2 8 2 2 4" xfId="16873"/>
    <cellStyle name="Separador de milhares 3 7 2 8 2 3" xfId="25744"/>
    <cellStyle name="Separador de milhares 3 7 2 8 2 4" xfId="19830"/>
    <cellStyle name="Separador de milhares 3 7 2 8 2 5" xfId="13732"/>
    <cellStyle name="Separador de milhares 3 7 2 8 3" xfId="9019"/>
    <cellStyle name="Separador de milhares 3 7 2 8 3 2" xfId="27233"/>
    <cellStyle name="Separador de milhares 3 7 2 8 3 3" xfId="21319"/>
    <cellStyle name="Separador de milhares 3 7 2 8 3 4" xfId="15405"/>
    <cellStyle name="Separador de milhares 3 7 2 8 4" xfId="5644"/>
    <cellStyle name="Separador de milhares 3 7 2 8 4 2" xfId="24276"/>
    <cellStyle name="Separador de milhares 3 7 2 8 5" xfId="18362"/>
    <cellStyle name="Separador de milhares 3 7 2 8 6" xfId="12031"/>
    <cellStyle name="Separador de milhares 3 7 2 9" xfId="3797"/>
    <cellStyle name="Separador de milhares 3 7 2 9 2" xfId="7490"/>
    <cellStyle name="Separador de milhares 3 7 2 9 2 2" xfId="10634"/>
    <cellStyle name="Separador de milhares 3 7 2 9 2 2 2" xfId="28848"/>
    <cellStyle name="Separador de milhares 3 7 2 9 2 2 3" xfId="22934"/>
    <cellStyle name="Separador de milhares 3 7 2 9 2 2 4" xfId="17020"/>
    <cellStyle name="Separador de milhares 3 7 2 9 2 3" xfId="25891"/>
    <cellStyle name="Separador de milhares 3 7 2 9 2 4" xfId="19977"/>
    <cellStyle name="Separador de milhares 3 7 2 9 2 5" xfId="13879"/>
    <cellStyle name="Separador de milhares 3 7 2 9 3" xfId="9166"/>
    <cellStyle name="Separador de milhares 3 7 2 9 3 2" xfId="27380"/>
    <cellStyle name="Separador de milhares 3 7 2 9 3 3" xfId="21466"/>
    <cellStyle name="Separador de milhares 3 7 2 9 3 4" xfId="15552"/>
    <cellStyle name="Separador de milhares 3 7 2 9 4" xfId="5791"/>
    <cellStyle name="Separador de milhares 3 7 2 9 4 2" xfId="24423"/>
    <cellStyle name="Separador de milhares 3 7 2 9 5" xfId="18509"/>
    <cellStyle name="Separador de milhares 3 7 2 9 6" xfId="12178"/>
    <cellStyle name="Separador de milhares 3 7 3" xfId="249"/>
    <cellStyle name="Separador de milhares 3 7 3 10" xfId="6481"/>
    <cellStyle name="Separador de milhares 3 7 3 10 2" xfId="9632"/>
    <cellStyle name="Separador de milhares 3 7 3 10 2 2" xfId="27846"/>
    <cellStyle name="Separador de milhares 3 7 3 10 2 3" xfId="21932"/>
    <cellStyle name="Separador de milhares 3 7 3 10 2 4" xfId="16018"/>
    <cellStyle name="Separador de milhares 3 7 3 10 3" xfId="24889"/>
    <cellStyle name="Separador de milhares 3 7 3 10 4" xfId="18975"/>
    <cellStyle name="Separador de milhares 3 7 3 10 5" xfId="12870"/>
    <cellStyle name="Separador de milhares 3 7 3 11" xfId="8161"/>
    <cellStyle name="Separador de milhares 3 7 3 11 2" xfId="26375"/>
    <cellStyle name="Separador de milhares 3 7 3 11 3" xfId="20461"/>
    <cellStyle name="Separador de milhares 3 7 3 11 4" xfId="14550"/>
    <cellStyle name="Separador de milhares 3 7 3 12" xfId="4780"/>
    <cellStyle name="Separador de milhares 3 7 3 12 2" xfId="23418"/>
    <cellStyle name="Separador de milhares 3 7 3 13" xfId="17504"/>
    <cellStyle name="Separador de milhares 3 7 3 14" xfId="11169"/>
    <cellStyle name="Separador de milhares 3 7 3 2" xfId="512"/>
    <cellStyle name="Separador de milhares 3 7 3 2 2" xfId="6552"/>
    <cellStyle name="Separador de milhares 3 7 3 2 2 2" xfId="9699"/>
    <cellStyle name="Separador de milhares 3 7 3 2 2 2 2" xfId="27913"/>
    <cellStyle name="Separador de milhares 3 7 3 2 2 2 3" xfId="21999"/>
    <cellStyle name="Separador de milhares 3 7 3 2 2 2 4" xfId="16085"/>
    <cellStyle name="Separador de milhares 3 7 3 2 2 3" xfId="24956"/>
    <cellStyle name="Separador de milhares 3 7 3 2 2 4" xfId="19042"/>
    <cellStyle name="Separador de milhares 3 7 3 2 2 5" xfId="12941"/>
    <cellStyle name="Separador de milhares 3 7 3 2 3" xfId="8228"/>
    <cellStyle name="Separador de milhares 3 7 3 2 3 2" xfId="26442"/>
    <cellStyle name="Separador de milhares 3 7 3 2 3 3" xfId="20528"/>
    <cellStyle name="Separador de milhares 3 7 3 2 3 4" xfId="14617"/>
    <cellStyle name="Separador de milhares 3 7 3 2 4" xfId="4851"/>
    <cellStyle name="Separador de milhares 3 7 3 2 4 2" xfId="23485"/>
    <cellStyle name="Separador de milhares 3 7 3 2 5" xfId="17571"/>
    <cellStyle name="Separador de milhares 3 7 3 2 6" xfId="11240"/>
    <cellStyle name="Separador de milhares 3 7 3 3" xfId="809"/>
    <cellStyle name="Separador de milhares 3 7 3 3 2" xfId="6654"/>
    <cellStyle name="Separador de milhares 3 7 3 3 2 2" xfId="9801"/>
    <cellStyle name="Separador de milhares 3 7 3 3 2 2 2" xfId="28015"/>
    <cellStyle name="Separador de milhares 3 7 3 3 2 2 3" xfId="22101"/>
    <cellStyle name="Separador de milhares 3 7 3 3 2 2 4" xfId="16187"/>
    <cellStyle name="Separador de milhares 3 7 3 3 2 3" xfId="25058"/>
    <cellStyle name="Separador de milhares 3 7 3 3 2 4" xfId="19144"/>
    <cellStyle name="Separador de milhares 3 7 3 3 2 5" xfId="13043"/>
    <cellStyle name="Separador de milhares 3 7 3 3 3" xfId="8333"/>
    <cellStyle name="Separador de milhares 3 7 3 3 3 2" xfId="26547"/>
    <cellStyle name="Separador de milhares 3 7 3 3 3 3" xfId="20633"/>
    <cellStyle name="Separador de milhares 3 7 3 3 3 4" xfId="14719"/>
    <cellStyle name="Separador de milhares 3 7 3 3 4" xfId="4955"/>
    <cellStyle name="Separador de milhares 3 7 3 3 4 2" xfId="23590"/>
    <cellStyle name="Separador de milhares 3 7 3 3 5" xfId="17676"/>
    <cellStyle name="Separador de milhares 3 7 3 3 6" xfId="11342"/>
    <cellStyle name="Separador de milhares 3 7 3 4" xfId="1160"/>
    <cellStyle name="Separador de milhares 3 7 3 4 2" xfId="6752"/>
    <cellStyle name="Separador de milhares 3 7 3 4 2 2" xfId="9899"/>
    <cellStyle name="Separador de milhares 3 7 3 4 2 2 2" xfId="28113"/>
    <cellStyle name="Separador de milhares 3 7 3 4 2 2 3" xfId="22199"/>
    <cellStyle name="Separador de milhares 3 7 3 4 2 2 4" xfId="16285"/>
    <cellStyle name="Separador de milhares 3 7 3 4 2 3" xfId="25156"/>
    <cellStyle name="Separador de milhares 3 7 3 4 2 4" xfId="19242"/>
    <cellStyle name="Separador de milhares 3 7 3 4 2 5" xfId="13141"/>
    <cellStyle name="Separador de milhares 3 7 3 4 3" xfId="8431"/>
    <cellStyle name="Separador de milhares 3 7 3 4 3 2" xfId="26645"/>
    <cellStyle name="Separador de milhares 3 7 3 4 3 3" xfId="20731"/>
    <cellStyle name="Separador de milhares 3 7 3 4 3 4" xfId="14817"/>
    <cellStyle name="Separador de milhares 3 7 3 4 4" xfId="5053"/>
    <cellStyle name="Separador de milhares 3 7 3 4 4 2" xfId="23688"/>
    <cellStyle name="Separador de milhares 3 7 3 4 5" xfId="17774"/>
    <cellStyle name="Separador de milhares 3 7 3 4 6" xfId="11440"/>
    <cellStyle name="Separador de milhares 3 7 3 5" xfId="1595"/>
    <cellStyle name="Separador de milhares 3 7 3 5 2" xfId="6871"/>
    <cellStyle name="Separador de milhares 3 7 3 5 2 2" xfId="10018"/>
    <cellStyle name="Separador de milhares 3 7 3 5 2 2 2" xfId="28232"/>
    <cellStyle name="Separador de milhares 3 7 3 5 2 2 3" xfId="22318"/>
    <cellStyle name="Separador de milhares 3 7 3 5 2 2 4" xfId="16404"/>
    <cellStyle name="Separador de milhares 3 7 3 5 2 3" xfId="25275"/>
    <cellStyle name="Separador de milhares 3 7 3 5 2 4" xfId="19361"/>
    <cellStyle name="Separador de milhares 3 7 3 5 2 5" xfId="13260"/>
    <cellStyle name="Separador de milhares 3 7 3 5 3" xfId="8550"/>
    <cellStyle name="Separador de milhares 3 7 3 5 3 2" xfId="26764"/>
    <cellStyle name="Separador de milhares 3 7 3 5 3 3" xfId="20850"/>
    <cellStyle name="Separador de milhares 3 7 3 5 3 4" xfId="14936"/>
    <cellStyle name="Separador de milhares 3 7 3 5 4" xfId="5172"/>
    <cellStyle name="Separador de milhares 3 7 3 5 4 2" xfId="23807"/>
    <cellStyle name="Separador de milhares 3 7 3 5 5" xfId="17893"/>
    <cellStyle name="Separador de milhares 3 7 3 5 6" xfId="11559"/>
    <cellStyle name="Separador de milhares 3 7 3 6" xfId="2125"/>
    <cellStyle name="Separador de milhares 3 7 3 6 2" xfId="7021"/>
    <cellStyle name="Separador de milhares 3 7 3 6 2 2" xfId="10165"/>
    <cellStyle name="Separador de milhares 3 7 3 6 2 2 2" xfId="28379"/>
    <cellStyle name="Separador de milhares 3 7 3 6 2 2 3" xfId="22465"/>
    <cellStyle name="Separador de milhares 3 7 3 6 2 2 4" xfId="16551"/>
    <cellStyle name="Separador de milhares 3 7 3 6 2 3" xfId="25422"/>
    <cellStyle name="Separador de milhares 3 7 3 6 2 4" xfId="19508"/>
    <cellStyle name="Separador de milhares 3 7 3 6 2 5" xfId="13410"/>
    <cellStyle name="Separador de milhares 3 7 3 6 3" xfId="8697"/>
    <cellStyle name="Separador de milhares 3 7 3 6 3 2" xfId="26911"/>
    <cellStyle name="Separador de milhares 3 7 3 6 3 3" xfId="20997"/>
    <cellStyle name="Separador de milhares 3 7 3 6 3 4" xfId="15083"/>
    <cellStyle name="Separador de milhares 3 7 3 6 4" xfId="5322"/>
    <cellStyle name="Separador de milhares 3 7 3 6 4 2" xfId="23954"/>
    <cellStyle name="Separador de milhares 3 7 3 6 5" xfId="18040"/>
    <cellStyle name="Separador de milhares 3 7 3 6 6" xfId="11709"/>
    <cellStyle name="Separador de milhares 3 7 3 7" xfId="2652"/>
    <cellStyle name="Separador de milhares 3 7 3 7 2" xfId="7168"/>
    <cellStyle name="Separador de milhares 3 7 3 7 2 2" xfId="10312"/>
    <cellStyle name="Separador de milhares 3 7 3 7 2 2 2" xfId="28526"/>
    <cellStyle name="Separador de milhares 3 7 3 7 2 2 3" xfId="22612"/>
    <cellStyle name="Separador de milhares 3 7 3 7 2 2 4" xfId="16698"/>
    <cellStyle name="Separador de milhares 3 7 3 7 2 3" xfId="25569"/>
    <cellStyle name="Separador de milhares 3 7 3 7 2 4" xfId="19655"/>
    <cellStyle name="Separador de milhares 3 7 3 7 2 5" xfId="13557"/>
    <cellStyle name="Separador de milhares 3 7 3 7 3" xfId="8844"/>
    <cellStyle name="Separador de milhares 3 7 3 7 3 2" xfId="27058"/>
    <cellStyle name="Separador de milhares 3 7 3 7 3 3" xfId="21144"/>
    <cellStyle name="Separador de milhares 3 7 3 7 3 4" xfId="15230"/>
    <cellStyle name="Separador de milhares 3 7 3 7 4" xfId="5469"/>
    <cellStyle name="Separador de milhares 3 7 3 7 4 2" xfId="24101"/>
    <cellStyle name="Separador de milhares 3 7 3 7 5" xfId="18187"/>
    <cellStyle name="Separador de milhares 3 7 3 7 6" xfId="11856"/>
    <cellStyle name="Separador de milhares 3 7 3 8" xfId="3179"/>
    <cellStyle name="Separador de milhares 3 7 3 8 2" xfId="7315"/>
    <cellStyle name="Separador de milhares 3 7 3 8 2 2" xfId="10459"/>
    <cellStyle name="Separador de milhares 3 7 3 8 2 2 2" xfId="28673"/>
    <cellStyle name="Separador de milhares 3 7 3 8 2 2 3" xfId="22759"/>
    <cellStyle name="Separador de milhares 3 7 3 8 2 2 4" xfId="16845"/>
    <cellStyle name="Separador de milhares 3 7 3 8 2 3" xfId="25716"/>
    <cellStyle name="Separador de milhares 3 7 3 8 2 4" xfId="19802"/>
    <cellStyle name="Separador de milhares 3 7 3 8 2 5" xfId="13704"/>
    <cellStyle name="Separador de milhares 3 7 3 8 3" xfId="8991"/>
    <cellStyle name="Separador de milhares 3 7 3 8 3 2" xfId="27205"/>
    <cellStyle name="Separador de milhares 3 7 3 8 3 3" xfId="21291"/>
    <cellStyle name="Separador de milhares 3 7 3 8 3 4" xfId="15377"/>
    <cellStyle name="Separador de milhares 3 7 3 8 4" xfId="5616"/>
    <cellStyle name="Separador de milhares 3 7 3 8 4 2" xfId="24248"/>
    <cellStyle name="Separador de milhares 3 7 3 8 5" xfId="18334"/>
    <cellStyle name="Separador de milhares 3 7 3 8 6" xfId="12003"/>
    <cellStyle name="Separador de milhares 3 7 3 9" xfId="3706"/>
    <cellStyle name="Separador de milhares 3 7 3 9 2" xfId="7462"/>
    <cellStyle name="Separador de milhares 3 7 3 9 2 2" xfId="10606"/>
    <cellStyle name="Separador de milhares 3 7 3 9 2 2 2" xfId="28820"/>
    <cellStyle name="Separador de milhares 3 7 3 9 2 2 3" xfId="22906"/>
    <cellStyle name="Separador de milhares 3 7 3 9 2 2 4" xfId="16992"/>
    <cellStyle name="Separador de milhares 3 7 3 9 2 3" xfId="25863"/>
    <cellStyle name="Separador de milhares 3 7 3 9 2 4" xfId="19949"/>
    <cellStyle name="Separador de milhares 3 7 3 9 2 5" xfId="13851"/>
    <cellStyle name="Separador de milhares 3 7 3 9 3" xfId="9138"/>
    <cellStyle name="Separador de milhares 3 7 3 9 3 2" xfId="27352"/>
    <cellStyle name="Separador de milhares 3 7 3 9 3 3" xfId="21438"/>
    <cellStyle name="Separador de milhares 3 7 3 9 3 4" xfId="15524"/>
    <cellStyle name="Separador de milhares 3 7 3 9 4" xfId="5763"/>
    <cellStyle name="Separador de milhares 3 7 3 9 4 2" xfId="24395"/>
    <cellStyle name="Separador de milhares 3 7 3 9 5" xfId="18481"/>
    <cellStyle name="Separador de milhares 3 7 3 9 6" xfId="12150"/>
    <cellStyle name="Separador de milhares 3 7 4" xfId="342"/>
    <cellStyle name="Separador de milhares 3 7 4 10" xfId="6509"/>
    <cellStyle name="Separador de milhares 3 7 4 10 2" xfId="9657"/>
    <cellStyle name="Separador de milhares 3 7 4 10 2 2" xfId="27871"/>
    <cellStyle name="Separador de milhares 3 7 4 10 2 3" xfId="21957"/>
    <cellStyle name="Separador de milhares 3 7 4 10 2 4" xfId="16043"/>
    <cellStyle name="Separador de milhares 3 7 4 10 3" xfId="24914"/>
    <cellStyle name="Separador de milhares 3 7 4 10 4" xfId="19000"/>
    <cellStyle name="Separador de milhares 3 7 4 10 5" xfId="12898"/>
    <cellStyle name="Separador de milhares 3 7 4 11" xfId="8186"/>
    <cellStyle name="Separador de milhares 3 7 4 11 2" xfId="26400"/>
    <cellStyle name="Separador de milhares 3 7 4 11 3" xfId="20486"/>
    <cellStyle name="Separador de milhares 3 7 4 11 4" xfId="14575"/>
    <cellStyle name="Separador de milhares 3 7 4 12" xfId="4808"/>
    <cellStyle name="Separador de milhares 3 7 4 12 2" xfId="23443"/>
    <cellStyle name="Separador de milhares 3 7 4 13" xfId="17529"/>
    <cellStyle name="Separador de milhares 3 7 4 14" xfId="11197"/>
    <cellStyle name="Separador de milhares 3 7 4 2" xfId="987"/>
    <cellStyle name="Separador de milhares 3 7 4 2 2" xfId="6706"/>
    <cellStyle name="Separador de milhares 3 7 4 2 2 2" xfId="9853"/>
    <cellStyle name="Separador de milhares 3 7 4 2 2 2 2" xfId="28067"/>
    <cellStyle name="Separador de milhares 3 7 4 2 2 2 3" xfId="22153"/>
    <cellStyle name="Separador de milhares 3 7 4 2 2 2 4" xfId="16239"/>
    <cellStyle name="Separador de milhares 3 7 4 2 2 3" xfId="25110"/>
    <cellStyle name="Separador de milhares 3 7 4 2 2 4" xfId="19196"/>
    <cellStyle name="Separador de milhares 3 7 4 2 2 5" xfId="13095"/>
    <cellStyle name="Separador de milhares 3 7 4 2 3" xfId="8385"/>
    <cellStyle name="Separador de milhares 3 7 4 2 3 2" xfId="26599"/>
    <cellStyle name="Separador de milhares 3 7 4 2 3 3" xfId="20685"/>
    <cellStyle name="Separador de milhares 3 7 4 2 3 4" xfId="14771"/>
    <cellStyle name="Separador de milhares 3 7 4 2 4" xfId="5007"/>
    <cellStyle name="Separador de milhares 3 7 4 2 4 2" xfId="23642"/>
    <cellStyle name="Separador de milhares 3 7 4 2 5" xfId="17728"/>
    <cellStyle name="Separador de milhares 3 7 4 2 6" xfId="11394"/>
    <cellStyle name="Separador de milhares 3 7 4 3" xfId="1338"/>
    <cellStyle name="Separador de milhares 3 7 4 3 2" xfId="6804"/>
    <cellStyle name="Separador de milhares 3 7 4 3 2 2" xfId="9951"/>
    <cellStyle name="Separador de milhares 3 7 4 3 2 2 2" xfId="28165"/>
    <cellStyle name="Separador de milhares 3 7 4 3 2 2 3" xfId="22251"/>
    <cellStyle name="Separador de milhares 3 7 4 3 2 2 4" xfId="16337"/>
    <cellStyle name="Separador de milhares 3 7 4 3 2 3" xfId="25208"/>
    <cellStyle name="Separador de milhares 3 7 4 3 2 4" xfId="19294"/>
    <cellStyle name="Separador de milhares 3 7 4 3 2 5" xfId="13193"/>
    <cellStyle name="Separador de milhares 3 7 4 3 3" xfId="8483"/>
    <cellStyle name="Separador de milhares 3 7 4 3 3 2" xfId="26697"/>
    <cellStyle name="Separador de milhares 3 7 4 3 3 3" xfId="20783"/>
    <cellStyle name="Separador de milhares 3 7 4 3 3 4" xfId="14869"/>
    <cellStyle name="Separador de milhares 3 7 4 3 4" xfId="5105"/>
    <cellStyle name="Separador de milhares 3 7 4 3 4 2" xfId="23740"/>
    <cellStyle name="Separador de milhares 3 7 4 3 5" xfId="17826"/>
    <cellStyle name="Separador de milhares 3 7 4 3 6" xfId="11492"/>
    <cellStyle name="Separador de milhares 3 7 4 4" xfId="1773"/>
    <cellStyle name="Separador de milhares 3 7 4 4 2" xfId="6923"/>
    <cellStyle name="Separador de milhares 3 7 4 4 2 2" xfId="10070"/>
    <cellStyle name="Separador de milhares 3 7 4 4 2 2 2" xfId="28284"/>
    <cellStyle name="Separador de milhares 3 7 4 4 2 2 3" xfId="22370"/>
    <cellStyle name="Separador de milhares 3 7 4 4 2 2 4" xfId="16456"/>
    <cellStyle name="Separador de milhares 3 7 4 4 2 3" xfId="25327"/>
    <cellStyle name="Separador de milhares 3 7 4 4 2 4" xfId="19413"/>
    <cellStyle name="Separador de milhares 3 7 4 4 2 5" xfId="13312"/>
    <cellStyle name="Separador de milhares 3 7 4 4 3" xfId="8602"/>
    <cellStyle name="Separador de milhares 3 7 4 4 3 2" xfId="26816"/>
    <cellStyle name="Separador de milhares 3 7 4 4 3 3" xfId="20902"/>
    <cellStyle name="Separador de milhares 3 7 4 4 3 4" xfId="14988"/>
    <cellStyle name="Separador de milhares 3 7 4 4 4" xfId="5224"/>
    <cellStyle name="Separador de milhares 3 7 4 4 4 2" xfId="23859"/>
    <cellStyle name="Separador de milhares 3 7 4 4 5" xfId="17945"/>
    <cellStyle name="Separador de milhares 3 7 4 4 6" xfId="11611"/>
    <cellStyle name="Separador de milhares 3 7 4 5" xfId="2303"/>
    <cellStyle name="Separador de milhares 3 7 4 5 2" xfId="7073"/>
    <cellStyle name="Separador de milhares 3 7 4 5 2 2" xfId="10217"/>
    <cellStyle name="Separador de milhares 3 7 4 5 2 2 2" xfId="28431"/>
    <cellStyle name="Separador de milhares 3 7 4 5 2 2 3" xfId="22517"/>
    <cellStyle name="Separador de milhares 3 7 4 5 2 2 4" xfId="16603"/>
    <cellStyle name="Separador de milhares 3 7 4 5 2 3" xfId="25474"/>
    <cellStyle name="Separador de milhares 3 7 4 5 2 4" xfId="19560"/>
    <cellStyle name="Separador de milhares 3 7 4 5 2 5" xfId="13462"/>
    <cellStyle name="Separador de milhares 3 7 4 5 3" xfId="8749"/>
    <cellStyle name="Separador de milhares 3 7 4 5 3 2" xfId="26963"/>
    <cellStyle name="Separador de milhares 3 7 4 5 3 3" xfId="21049"/>
    <cellStyle name="Separador de milhares 3 7 4 5 3 4" xfId="15135"/>
    <cellStyle name="Separador de milhares 3 7 4 5 4" xfId="5374"/>
    <cellStyle name="Separador de milhares 3 7 4 5 4 2" xfId="24006"/>
    <cellStyle name="Separador de milhares 3 7 4 5 5" xfId="18092"/>
    <cellStyle name="Separador de milhares 3 7 4 5 6" xfId="11761"/>
    <cellStyle name="Separador de milhares 3 7 4 6" xfId="2830"/>
    <cellStyle name="Separador de milhares 3 7 4 6 2" xfId="7220"/>
    <cellStyle name="Separador de milhares 3 7 4 6 2 2" xfId="10364"/>
    <cellStyle name="Separador de milhares 3 7 4 6 2 2 2" xfId="28578"/>
    <cellStyle name="Separador de milhares 3 7 4 6 2 2 3" xfId="22664"/>
    <cellStyle name="Separador de milhares 3 7 4 6 2 2 4" xfId="16750"/>
    <cellStyle name="Separador de milhares 3 7 4 6 2 3" xfId="25621"/>
    <cellStyle name="Separador de milhares 3 7 4 6 2 4" xfId="19707"/>
    <cellStyle name="Separador de milhares 3 7 4 6 2 5" xfId="13609"/>
    <cellStyle name="Separador de milhares 3 7 4 6 3" xfId="8896"/>
    <cellStyle name="Separador de milhares 3 7 4 6 3 2" xfId="27110"/>
    <cellStyle name="Separador de milhares 3 7 4 6 3 3" xfId="21196"/>
    <cellStyle name="Separador de milhares 3 7 4 6 3 4" xfId="15282"/>
    <cellStyle name="Separador de milhares 3 7 4 6 4" xfId="5521"/>
    <cellStyle name="Separador de milhares 3 7 4 6 4 2" xfId="24153"/>
    <cellStyle name="Separador de milhares 3 7 4 6 5" xfId="18239"/>
    <cellStyle name="Separador de milhares 3 7 4 6 6" xfId="11908"/>
    <cellStyle name="Separador de milhares 3 7 4 7" xfId="3357"/>
    <cellStyle name="Separador de milhares 3 7 4 7 2" xfId="7367"/>
    <cellStyle name="Separador de milhares 3 7 4 7 2 2" xfId="10511"/>
    <cellStyle name="Separador de milhares 3 7 4 7 2 2 2" xfId="28725"/>
    <cellStyle name="Separador de milhares 3 7 4 7 2 2 3" xfId="22811"/>
    <cellStyle name="Separador de milhares 3 7 4 7 2 2 4" xfId="16897"/>
    <cellStyle name="Separador de milhares 3 7 4 7 2 3" xfId="25768"/>
    <cellStyle name="Separador de milhares 3 7 4 7 2 4" xfId="19854"/>
    <cellStyle name="Separador de milhares 3 7 4 7 2 5" xfId="13756"/>
    <cellStyle name="Separador de milhares 3 7 4 7 3" xfId="9043"/>
    <cellStyle name="Separador de milhares 3 7 4 7 3 2" xfId="27257"/>
    <cellStyle name="Separador de milhares 3 7 4 7 3 3" xfId="21343"/>
    <cellStyle name="Separador de milhares 3 7 4 7 3 4" xfId="15429"/>
    <cellStyle name="Separador de milhares 3 7 4 7 4" xfId="5668"/>
    <cellStyle name="Separador de milhares 3 7 4 7 4 2" xfId="24300"/>
    <cellStyle name="Separador de milhares 3 7 4 7 5" xfId="18386"/>
    <cellStyle name="Separador de milhares 3 7 4 7 6" xfId="12055"/>
    <cellStyle name="Separador de milhares 3 7 4 8" xfId="3884"/>
    <cellStyle name="Separador de milhares 3 7 4 8 2" xfId="7514"/>
    <cellStyle name="Separador de milhares 3 7 4 8 2 2" xfId="10658"/>
    <cellStyle name="Separador de milhares 3 7 4 8 2 2 2" xfId="28872"/>
    <cellStyle name="Separador de milhares 3 7 4 8 2 2 3" xfId="22958"/>
    <cellStyle name="Separador de milhares 3 7 4 8 2 2 4" xfId="17044"/>
    <cellStyle name="Separador de milhares 3 7 4 8 2 3" xfId="25915"/>
    <cellStyle name="Separador de milhares 3 7 4 8 2 4" xfId="20001"/>
    <cellStyle name="Separador de milhares 3 7 4 8 2 5" xfId="13903"/>
    <cellStyle name="Separador de milhares 3 7 4 8 3" xfId="9190"/>
    <cellStyle name="Separador de milhares 3 7 4 8 3 2" xfId="27404"/>
    <cellStyle name="Separador de milhares 3 7 4 8 3 3" xfId="21490"/>
    <cellStyle name="Separador de milhares 3 7 4 8 3 4" xfId="15576"/>
    <cellStyle name="Separador de milhares 3 7 4 8 4" xfId="5815"/>
    <cellStyle name="Separador de milhares 3 7 4 8 4 2" xfId="24447"/>
    <cellStyle name="Separador de milhares 3 7 4 8 5" xfId="18533"/>
    <cellStyle name="Separador de milhares 3 7 4 8 6" xfId="12202"/>
    <cellStyle name="Separador de milhares 3 7 4 9" xfId="673"/>
    <cellStyle name="Separador de milhares 3 7 4 9 2" xfId="6608"/>
    <cellStyle name="Separador de milhares 3 7 4 9 2 2" xfId="9755"/>
    <cellStyle name="Separador de milhares 3 7 4 9 2 2 2" xfId="27969"/>
    <cellStyle name="Separador de milhares 3 7 4 9 2 2 3" xfId="22055"/>
    <cellStyle name="Separador de milhares 3 7 4 9 2 2 4" xfId="16141"/>
    <cellStyle name="Separador de milhares 3 7 4 9 2 3" xfId="25012"/>
    <cellStyle name="Separador de milhares 3 7 4 9 2 4" xfId="19098"/>
    <cellStyle name="Separador de milhares 3 7 4 9 2 5" xfId="12997"/>
    <cellStyle name="Separador de milhares 3 7 4 9 3" xfId="8287"/>
    <cellStyle name="Separador de milhares 3 7 4 9 3 2" xfId="26501"/>
    <cellStyle name="Separador de milhares 3 7 4 9 3 3" xfId="20587"/>
    <cellStyle name="Separador de milhares 3 7 4 9 3 4" xfId="14673"/>
    <cellStyle name="Separador de milhares 3 7 4 9 4" xfId="4909"/>
    <cellStyle name="Separador de milhares 3 7 4 9 4 2" xfId="23544"/>
    <cellStyle name="Separador de milhares 3 7 4 9 5" xfId="17630"/>
    <cellStyle name="Separador de milhares 3 7 4 9 6" xfId="11296"/>
    <cellStyle name="Separador de milhares 3 7 5" xfId="599"/>
    <cellStyle name="Separador de milhares 3 7 5 10" xfId="4873"/>
    <cellStyle name="Separador de milhares 3 7 5 10 2" xfId="23507"/>
    <cellStyle name="Separador de milhares 3 7 5 11" xfId="17593"/>
    <cellStyle name="Separador de milhares 3 7 5 12" xfId="11262"/>
    <cellStyle name="Separador de milhares 3 7 5 2" xfId="1422"/>
    <cellStyle name="Separador de milhares 3 7 5 2 2" xfId="6825"/>
    <cellStyle name="Separador de milhares 3 7 5 2 2 2" xfId="9972"/>
    <cellStyle name="Separador de milhares 3 7 5 2 2 2 2" xfId="28186"/>
    <cellStyle name="Separador de milhares 3 7 5 2 2 2 3" xfId="22272"/>
    <cellStyle name="Separador de milhares 3 7 5 2 2 2 4" xfId="16358"/>
    <cellStyle name="Separador de milhares 3 7 5 2 2 3" xfId="25229"/>
    <cellStyle name="Separador de milhares 3 7 5 2 2 4" xfId="19315"/>
    <cellStyle name="Separador de milhares 3 7 5 2 2 5" xfId="13214"/>
    <cellStyle name="Separador de milhares 3 7 5 2 3" xfId="8504"/>
    <cellStyle name="Separador de milhares 3 7 5 2 3 2" xfId="26718"/>
    <cellStyle name="Separador de milhares 3 7 5 2 3 3" xfId="20804"/>
    <cellStyle name="Separador de milhares 3 7 5 2 3 4" xfId="14890"/>
    <cellStyle name="Separador de milhares 3 7 5 2 4" xfId="5126"/>
    <cellStyle name="Separador de milhares 3 7 5 2 4 2" xfId="23761"/>
    <cellStyle name="Separador de milhares 3 7 5 2 5" xfId="17847"/>
    <cellStyle name="Separador de milhares 3 7 5 2 6" xfId="11513"/>
    <cellStyle name="Separador de milhares 3 7 5 3" xfId="1857"/>
    <cellStyle name="Separador de milhares 3 7 5 3 2" xfId="6944"/>
    <cellStyle name="Separador de milhares 3 7 5 3 2 2" xfId="10091"/>
    <cellStyle name="Separador de milhares 3 7 5 3 2 2 2" xfId="28305"/>
    <cellStyle name="Separador de milhares 3 7 5 3 2 2 3" xfId="22391"/>
    <cellStyle name="Separador de milhares 3 7 5 3 2 2 4" xfId="16477"/>
    <cellStyle name="Separador de milhares 3 7 5 3 2 3" xfId="25348"/>
    <cellStyle name="Separador de milhares 3 7 5 3 2 4" xfId="19434"/>
    <cellStyle name="Separador de milhares 3 7 5 3 2 5" xfId="13333"/>
    <cellStyle name="Separador de milhares 3 7 5 3 3" xfId="8623"/>
    <cellStyle name="Separador de milhares 3 7 5 3 3 2" xfId="26837"/>
    <cellStyle name="Separador de milhares 3 7 5 3 3 3" xfId="20923"/>
    <cellStyle name="Separador de milhares 3 7 5 3 3 4" xfId="15009"/>
    <cellStyle name="Separador de milhares 3 7 5 3 4" xfId="5245"/>
    <cellStyle name="Separador de milhares 3 7 5 3 4 2" xfId="23880"/>
    <cellStyle name="Separador de milhares 3 7 5 3 5" xfId="17966"/>
    <cellStyle name="Separador de milhares 3 7 5 3 6" xfId="11632"/>
    <cellStyle name="Separador de milhares 3 7 5 4" xfId="2387"/>
    <cellStyle name="Separador de milhares 3 7 5 4 2" xfId="7094"/>
    <cellStyle name="Separador de milhares 3 7 5 4 2 2" xfId="10238"/>
    <cellStyle name="Separador de milhares 3 7 5 4 2 2 2" xfId="28452"/>
    <cellStyle name="Separador de milhares 3 7 5 4 2 2 3" xfId="22538"/>
    <cellStyle name="Separador de milhares 3 7 5 4 2 2 4" xfId="16624"/>
    <cellStyle name="Separador de milhares 3 7 5 4 2 3" xfId="25495"/>
    <cellStyle name="Separador de milhares 3 7 5 4 2 4" xfId="19581"/>
    <cellStyle name="Separador de milhares 3 7 5 4 2 5" xfId="13483"/>
    <cellStyle name="Separador de milhares 3 7 5 4 3" xfId="8770"/>
    <cellStyle name="Separador de milhares 3 7 5 4 3 2" xfId="26984"/>
    <cellStyle name="Separador de milhares 3 7 5 4 3 3" xfId="21070"/>
    <cellStyle name="Separador de milhares 3 7 5 4 3 4" xfId="15156"/>
    <cellStyle name="Separador de milhares 3 7 5 4 4" xfId="5395"/>
    <cellStyle name="Separador de milhares 3 7 5 4 4 2" xfId="24027"/>
    <cellStyle name="Separador de milhares 3 7 5 4 5" xfId="18113"/>
    <cellStyle name="Separador de milhares 3 7 5 4 6" xfId="11782"/>
    <cellStyle name="Separador de milhares 3 7 5 5" xfId="2914"/>
    <cellStyle name="Separador de milhares 3 7 5 5 2" xfId="7241"/>
    <cellStyle name="Separador de milhares 3 7 5 5 2 2" xfId="10385"/>
    <cellStyle name="Separador de milhares 3 7 5 5 2 2 2" xfId="28599"/>
    <cellStyle name="Separador de milhares 3 7 5 5 2 2 3" xfId="22685"/>
    <cellStyle name="Separador de milhares 3 7 5 5 2 2 4" xfId="16771"/>
    <cellStyle name="Separador de milhares 3 7 5 5 2 3" xfId="25642"/>
    <cellStyle name="Separador de milhares 3 7 5 5 2 4" xfId="19728"/>
    <cellStyle name="Separador de milhares 3 7 5 5 2 5" xfId="13630"/>
    <cellStyle name="Separador de milhares 3 7 5 5 3" xfId="8917"/>
    <cellStyle name="Separador de milhares 3 7 5 5 3 2" xfId="27131"/>
    <cellStyle name="Separador de milhares 3 7 5 5 3 3" xfId="21217"/>
    <cellStyle name="Separador de milhares 3 7 5 5 3 4" xfId="15303"/>
    <cellStyle name="Separador de milhares 3 7 5 5 4" xfId="5542"/>
    <cellStyle name="Separador de milhares 3 7 5 5 4 2" xfId="24174"/>
    <cellStyle name="Separador de milhares 3 7 5 5 5" xfId="18260"/>
    <cellStyle name="Separador de milhares 3 7 5 5 6" xfId="11929"/>
    <cellStyle name="Separador de milhares 3 7 5 6" xfId="3441"/>
    <cellStyle name="Separador de milhares 3 7 5 6 2" xfId="7388"/>
    <cellStyle name="Separador de milhares 3 7 5 6 2 2" xfId="10532"/>
    <cellStyle name="Separador de milhares 3 7 5 6 2 2 2" xfId="28746"/>
    <cellStyle name="Separador de milhares 3 7 5 6 2 2 3" xfId="22832"/>
    <cellStyle name="Separador de milhares 3 7 5 6 2 2 4" xfId="16918"/>
    <cellStyle name="Separador de milhares 3 7 5 6 2 3" xfId="25789"/>
    <cellStyle name="Separador de milhares 3 7 5 6 2 4" xfId="19875"/>
    <cellStyle name="Separador de milhares 3 7 5 6 2 5" xfId="13777"/>
    <cellStyle name="Separador de milhares 3 7 5 6 3" xfId="9064"/>
    <cellStyle name="Separador de milhares 3 7 5 6 3 2" xfId="27278"/>
    <cellStyle name="Separador de milhares 3 7 5 6 3 3" xfId="21364"/>
    <cellStyle name="Separador de milhares 3 7 5 6 3 4" xfId="15450"/>
    <cellStyle name="Separador de milhares 3 7 5 6 4" xfId="5689"/>
    <cellStyle name="Separador de milhares 3 7 5 6 4 2" xfId="24321"/>
    <cellStyle name="Separador de milhares 3 7 5 6 5" xfId="18407"/>
    <cellStyle name="Separador de milhares 3 7 5 6 6" xfId="12076"/>
    <cellStyle name="Separador de milhares 3 7 5 7" xfId="3968"/>
    <cellStyle name="Separador de milhares 3 7 5 7 2" xfId="7535"/>
    <cellStyle name="Separador de milhares 3 7 5 7 2 2" xfId="10679"/>
    <cellStyle name="Separador de milhares 3 7 5 7 2 2 2" xfId="28893"/>
    <cellStyle name="Separador de milhares 3 7 5 7 2 2 3" xfId="22979"/>
    <cellStyle name="Separador de milhares 3 7 5 7 2 2 4" xfId="17065"/>
    <cellStyle name="Separador de milhares 3 7 5 7 2 3" xfId="25936"/>
    <cellStyle name="Separador de milhares 3 7 5 7 2 4" xfId="20022"/>
    <cellStyle name="Separador de milhares 3 7 5 7 2 5" xfId="13924"/>
    <cellStyle name="Separador de milhares 3 7 5 7 3" xfId="9211"/>
    <cellStyle name="Separador de milhares 3 7 5 7 3 2" xfId="27425"/>
    <cellStyle name="Separador de milhares 3 7 5 7 3 3" xfId="21511"/>
    <cellStyle name="Separador de milhares 3 7 5 7 3 4" xfId="15597"/>
    <cellStyle name="Separador de milhares 3 7 5 7 4" xfId="5836"/>
    <cellStyle name="Separador de milhares 3 7 5 7 4 2" xfId="24468"/>
    <cellStyle name="Separador de milhares 3 7 5 7 5" xfId="18554"/>
    <cellStyle name="Separador de milhares 3 7 5 7 6" xfId="12223"/>
    <cellStyle name="Separador de milhares 3 7 5 8" xfId="6574"/>
    <cellStyle name="Separador de milhares 3 7 5 8 2" xfId="9721"/>
    <cellStyle name="Separador de milhares 3 7 5 8 2 2" xfId="27935"/>
    <cellStyle name="Separador de milhares 3 7 5 8 2 3" xfId="22021"/>
    <cellStyle name="Separador de milhares 3 7 5 8 2 4" xfId="16107"/>
    <cellStyle name="Separador de milhares 3 7 5 8 3" xfId="24978"/>
    <cellStyle name="Separador de milhares 3 7 5 8 4" xfId="19064"/>
    <cellStyle name="Separador de milhares 3 7 5 8 5" xfId="12963"/>
    <cellStyle name="Separador de milhares 3 7 5 9" xfId="8250"/>
    <cellStyle name="Separador de milhares 3 7 5 9 2" xfId="26464"/>
    <cellStyle name="Separador de milhares 3 7 5 9 3" xfId="20550"/>
    <cellStyle name="Separador de milhares 3 7 5 9 4" xfId="14639"/>
    <cellStyle name="Separador de milhares 3 7 6" xfId="720"/>
    <cellStyle name="Separador de milhares 3 7 6 2" xfId="4144"/>
    <cellStyle name="Separador de milhares 3 7 6 2 2" xfId="7584"/>
    <cellStyle name="Separador de milhares 3 7 6 2 2 2" xfId="10728"/>
    <cellStyle name="Separador de milhares 3 7 6 2 2 2 2" xfId="28942"/>
    <cellStyle name="Separador de milhares 3 7 6 2 2 2 3" xfId="23028"/>
    <cellStyle name="Separador de milhares 3 7 6 2 2 2 4" xfId="17114"/>
    <cellStyle name="Separador de milhares 3 7 6 2 2 3" xfId="25985"/>
    <cellStyle name="Separador de milhares 3 7 6 2 2 4" xfId="20071"/>
    <cellStyle name="Separador de milhares 3 7 6 2 2 5" xfId="13973"/>
    <cellStyle name="Separador de milhares 3 7 6 2 3" xfId="9260"/>
    <cellStyle name="Separador de milhares 3 7 6 2 3 2" xfId="27474"/>
    <cellStyle name="Separador de milhares 3 7 6 2 3 3" xfId="21560"/>
    <cellStyle name="Separador de milhares 3 7 6 2 3 4" xfId="15646"/>
    <cellStyle name="Separador de milhares 3 7 6 2 4" xfId="5885"/>
    <cellStyle name="Separador de milhares 3 7 6 2 4 2" xfId="24517"/>
    <cellStyle name="Separador de milhares 3 7 6 2 5" xfId="18603"/>
    <cellStyle name="Separador de milhares 3 7 6 2 6" xfId="12272"/>
    <cellStyle name="Separador de milhares 3 7 6 3" xfId="6629"/>
    <cellStyle name="Separador de milhares 3 7 6 3 2" xfId="9776"/>
    <cellStyle name="Separador de milhares 3 7 6 3 2 2" xfId="27990"/>
    <cellStyle name="Separador de milhares 3 7 6 3 2 3" xfId="22076"/>
    <cellStyle name="Separador de milhares 3 7 6 3 2 4" xfId="16162"/>
    <cellStyle name="Separador de milhares 3 7 6 3 3" xfId="25033"/>
    <cellStyle name="Separador de milhares 3 7 6 3 4" xfId="19119"/>
    <cellStyle name="Separador de milhares 3 7 6 3 5" xfId="13018"/>
    <cellStyle name="Separador de milhares 3 7 6 4" xfId="8308"/>
    <cellStyle name="Separador de milhares 3 7 6 4 2" xfId="26522"/>
    <cellStyle name="Separador de milhares 3 7 6 4 3" xfId="20608"/>
    <cellStyle name="Separador de milhares 3 7 6 4 4" xfId="14694"/>
    <cellStyle name="Separador de milhares 3 7 6 5" xfId="4930"/>
    <cellStyle name="Separador de milhares 3 7 6 5 2" xfId="23565"/>
    <cellStyle name="Separador de milhares 3 7 6 6" xfId="17651"/>
    <cellStyle name="Separador de milhares 3 7 6 7" xfId="11317"/>
    <cellStyle name="Separador de milhares 3 7 7" xfId="1071"/>
    <cellStyle name="Separador de milhares 3 7 7 2" xfId="6727"/>
    <cellStyle name="Separador de milhares 3 7 7 2 2" xfId="9874"/>
    <cellStyle name="Separador de milhares 3 7 7 2 2 2" xfId="28088"/>
    <cellStyle name="Separador de milhares 3 7 7 2 2 3" xfId="22174"/>
    <cellStyle name="Separador de milhares 3 7 7 2 2 4" xfId="16260"/>
    <cellStyle name="Separador de milhares 3 7 7 2 3" xfId="25131"/>
    <cellStyle name="Separador de milhares 3 7 7 2 4" xfId="19217"/>
    <cellStyle name="Separador de milhares 3 7 7 2 5" xfId="13116"/>
    <cellStyle name="Separador de milhares 3 7 7 3" xfId="8406"/>
    <cellStyle name="Separador de milhares 3 7 7 3 2" xfId="26620"/>
    <cellStyle name="Separador de milhares 3 7 7 3 3" xfId="20706"/>
    <cellStyle name="Separador de milhares 3 7 7 3 4" xfId="14792"/>
    <cellStyle name="Separador de milhares 3 7 7 4" xfId="5028"/>
    <cellStyle name="Separador de milhares 3 7 7 4 2" xfId="23663"/>
    <cellStyle name="Separador de milhares 3 7 7 5" xfId="17749"/>
    <cellStyle name="Separador de milhares 3 7 7 6" xfId="11415"/>
    <cellStyle name="Separador de milhares 3 7 8" xfId="1506"/>
    <cellStyle name="Separador de milhares 3 7 8 2" xfId="6846"/>
    <cellStyle name="Separador de milhares 3 7 8 2 2" xfId="9993"/>
    <cellStyle name="Separador de milhares 3 7 8 2 2 2" xfId="28207"/>
    <cellStyle name="Separador de milhares 3 7 8 2 2 3" xfId="22293"/>
    <cellStyle name="Separador de milhares 3 7 8 2 2 4" xfId="16379"/>
    <cellStyle name="Separador de milhares 3 7 8 2 3" xfId="25250"/>
    <cellStyle name="Separador de milhares 3 7 8 2 4" xfId="19336"/>
    <cellStyle name="Separador de milhares 3 7 8 2 5" xfId="13235"/>
    <cellStyle name="Separador de milhares 3 7 8 3" xfId="8525"/>
    <cellStyle name="Separador de milhares 3 7 8 3 2" xfId="26739"/>
    <cellStyle name="Separador de milhares 3 7 8 3 3" xfId="20825"/>
    <cellStyle name="Separador de milhares 3 7 8 3 4" xfId="14911"/>
    <cellStyle name="Separador de milhares 3 7 8 4" xfId="5147"/>
    <cellStyle name="Separador de milhares 3 7 8 4 2" xfId="23782"/>
    <cellStyle name="Separador de milhares 3 7 8 5" xfId="17868"/>
    <cellStyle name="Separador de milhares 3 7 8 6" xfId="11534"/>
    <cellStyle name="Separador de milhares 3 7 9" xfId="2036"/>
    <cellStyle name="Separador de milhares 3 7 9 2" xfId="6996"/>
    <cellStyle name="Separador de milhares 3 7 9 2 2" xfId="10140"/>
    <cellStyle name="Separador de milhares 3 7 9 2 2 2" xfId="28354"/>
    <cellStyle name="Separador de milhares 3 7 9 2 2 3" xfId="22440"/>
    <cellStyle name="Separador de milhares 3 7 9 2 2 4" xfId="16526"/>
    <cellStyle name="Separador de milhares 3 7 9 2 3" xfId="25397"/>
    <cellStyle name="Separador de milhares 3 7 9 2 4" xfId="19483"/>
    <cellStyle name="Separador de milhares 3 7 9 2 5" xfId="13385"/>
    <cellStyle name="Separador de milhares 3 7 9 3" xfId="8672"/>
    <cellStyle name="Separador de milhares 3 7 9 3 2" xfId="26886"/>
    <cellStyle name="Separador de milhares 3 7 9 3 3" xfId="20972"/>
    <cellStyle name="Separador de milhares 3 7 9 3 4" xfId="15058"/>
    <cellStyle name="Separador de milhares 3 7 9 4" xfId="5297"/>
    <cellStyle name="Separador de milhares 3 7 9 4 2" xfId="23929"/>
    <cellStyle name="Separador de milhares 3 7 9 5" xfId="18015"/>
    <cellStyle name="Separador de milhares 3 7 9 6" xfId="11684"/>
    <cellStyle name="Separador de milhares 3 8" xfId="64"/>
    <cellStyle name="Separador de milhares 3 8 10" xfId="2567"/>
    <cellStyle name="Separador de milhares 3 8 10 2" xfId="7144"/>
    <cellStyle name="Separador de milhares 3 8 10 2 2" xfId="10288"/>
    <cellStyle name="Separador de milhares 3 8 10 2 2 2" xfId="28502"/>
    <cellStyle name="Separador de milhares 3 8 10 2 2 3" xfId="22588"/>
    <cellStyle name="Separador de milhares 3 8 10 2 2 4" xfId="16674"/>
    <cellStyle name="Separador de milhares 3 8 10 2 3" xfId="25545"/>
    <cellStyle name="Separador de milhares 3 8 10 2 4" xfId="19631"/>
    <cellStyle name="Separador de milhares 3 8 10 2 5" xfId="13533"/>
    <cellStyle name="Separador de milhares 3 8 10 3" xfId="8820"/>
    <cellStyle name="Separador de milhares 3 8 10 3 2" xfId="27034"/>
    <cellStyle name="Separador de milhares 3 8 10 3 3" xfId="21120"/>
    <cellStyle name="Separador de milhares 3 8 10 3 4" xfId="15206"/>
    <cellStyle name="Separador de milhares 3 8 10 4" xfId="5445"/>
    <cellStyle name="Separador de milhares 3 8 10 4 2" xfId="24077"/>
    <cellStyle name="Separador de milhares 3 8 10 5" xfId="18163"/>
    <cellStyle name="Separador de milhares 3 8 10 6" xfId="11832"/>
    <cellStyle name="Separador de milhares 3 8 11" xfId="3094"/>
    <cellStyle name="Separador de milhares 3 8 11 2" xfId="7291"/>
    <cellStyle name="Separador de milhares 3 8 11 2 2" xfId="10435"/>
    <cellStyle name="Separador de milhares 3 8 11 2 2 2" xfId="28649"/>
    <cellStyle name="Separador de milhares 3 8 11 2 2 3" xfId="22735"/>
    <cellStyle name="Separador de milhares 3 8 11 2 2 4" xfId="16821"/>
    <cellStyle name="Separador de milhares 3 8 11 2 3" xfId="25692"/>
    <cellStyle name="Separador de milhares 3 8 11 2 4" xfId="19778"/>
    <cellStyle name="Separador de milhares 3 8 11 2 5" xfId="13680"/>
    <cellStyle name="Separador de milhares 3 8 11 3" xfId="8967"/>
    <cellStyle name="Separador de milhares 3 8 11 3 2" xfId="27181"/>
    <cellStyle name="Separador de milhares 3 8 11 3 3" xfId="21267"/>
    <cellStyle name="Separador de milhares 3 8 11 3 4" xfId="15353"/>
    <cellStyle name="Separador de milhares 3 8 11 4" xfId="5592"/>
    <cellStyle name="Separador de milhares 3 8 11 4 2" xfId="24224"/>
    <cellStyle name="Separador de milhares 3 8 11 5" xfId="18310"/>
    <cellStyle name="Separador de milhares 3 8 11 6" xfId="11979"/>
    <cellStyle name="Separador de milhares 3 8 12" xfId="3621"/>
    <cellStyle name="Separador de milhares 3 8 12 2" xfId="7438"/>
    <cellStyle name="Separador de milhares 3 8 12 2 2" xfId="10582"/>
    <cellStyle name="Separador de milhares 3 8 12 2 2 2" xfId="28796"/>
    <cellStyle name="Separador de milhares 3 8 12 2 2 3" xfId="22882"/>
    <cellStyle name="Separador de milhares 3 8 12 2 2 4" xfId="16968"/>
    <cellStyle name="Separador de milhares 3 8 12 2 3" xfId="25839"/>
    <cellStyle name="Separador de milhares 3 8 12 2 4" xfId="19925"/>
    <cellStyle name="Separador de milhares 3 8 12 2 5" xfId="13827"/>
    <cellStyle name="Separador de milhares 3 8 12 3" xfId="9114"/>
    <cellStyle name="Separador de milhares 3 8 12 3 2" xfId="27328"/>
    <cellStyle name="Separador de milhares 3 8 12 3 3" xfId="21414"/>
    <cellStyle name="Separador de milhares 3 8 12 3 4" xfId="15500"/>
    <cellStyle name="Separador de milhares 3 8 12 4" xfId="5739"/>
    <cellStyle name="Separador de milhares 3 8 12 4 2" xfId="24371"/>
    <cellStyle name="Separador de milhares 3 8 12 5" xfId="18457"/>
    <cellStyle name="Separador de milhares 3 8 12 6" xfId="12126"/>
    <cellStyle name="Separador de milhares 3 8 13" xfId="6422"/>
    <cellStyle name="Separador de milhares 3 8 13 2" xfId="9578"/>
    <cellStyle name="Separador de milhares 3 8 13 2 2" xfId="27792"/>
    <cellStyle name="Separador de milhares 3 8 13 2 3" xfId="21878"/>
    <cellStyle name="Separador de milhares 3 8 13 2 4" xfId="15964"/>
    <cellStyle name="Separador de milhares 3 8 13 3" xfId="24835"/>
    <cellStyle name="Separador de milhares 3 8 13 4" xfId="18921"/>
    <cellStyle name="Separador de milhares 3 8 13 5" xfId="12811"/>
    <cellStyle name="Separador de milhares 3 8 14" xfId="8107"/>
    <cellStyle name="Separador de milhares 3 8 14 2" xfId="26321"/>
    <cellStyle name="Separador de milhares 3 8 14 3" xfId="20407"/>
    <cellStyle name="Separador de milhares 3 8 14 4" xfId="14496"/>
    <cellStyle name="Separador de milhares 3 8 15" xfId="4720"/>
    <cellStyle name="Separador de milhares 3 8 15 2" xfId="23364"/>
    <cellStyle name="Separador de milhares 3 8 16" xfId="17450"/>
    <cellStyle name="Separador de milhares 3 8 17" xfId="11110"/>
    <cellStyle name="Separador de milhares 3 8 2" xfId="158"/>
    <cellStyle name="Separador de milhares 3 8 2 10" xfId="6451"/>
    <cellStyle name="Separador de milhares 3 8 2 10 2" xfId="9605"/>
    <cellStyle name="Separador de milhares 3 8 2 10 2 2" xfId="27819"/>
    <cellStyle name="Separador de milhares 3 8 2 10 2 3" xfId="21905"/>
    <cellStyle name="Separador de milhares 3 8 2 10 2 4" xfId="15991"/>
    <cellStyle name="Separador de milhares 3 8 2 10 3" xfId="24862"/>
    <cellStyle name="Separador de milhares 3 8 2 10 4" xfId="18948"/>
    <cellStyle name="Separador de milhares 3 8 2 10 5" xfId="12840"/>
    <cellStyle name="Separador de milhares 3 8 2 11" xfId="8134"/>
    <cellStyle name="Separador de milhares 3 8 2 11 2" xfId="26348"/>
    <cellStyle name="Separador de milhares 3 8 2 11 3" xfId="20434"/>
    <cellStyle name="Separador de milhares 3 8 2 11 4" xfId="14523"/>
    <cellStyle name="Separador de milhares 3 8 2 12" xfId="4750"/>
    <cellStyle name="Separador de milhares 3 8 2 12 2" xfId="23391"/>
    <cellStyle name="Separador de milhares 3 8 2 13" xfId="17477"/>
    <cellStyle name="Separador de milhares 3 8 2 14" xfId="11139"/>
    <cellStyle name="Separador de milhares 3 8 2 2" xfId="431"/>
    <cellStyle name="Separador de milhares 3 8 2 2 10" xfId="17551"/>
    <cellStyle name="Separador de milhares 3 8 2 2 11" xfId="11220"/>
    <cellStyle name="Separador de milhares 3 8 2 2 2" xfId="1950"/>
    <cellStyle name="Separador de milhares 3 8 2 2 2 2" xfId="6970"/>
    <cellStyle name="Separador de milhares 3 8 2 2 2 2 2" xfId="10117"/>
    <cellStyle name="Separador de milhares 3 8 2 2 2 2 2 2" xfId="28331"/>
    <cellStyle name="Separador de milhares 3 8 2 2 2 2 2 3" xfId="22417"/>
    <cellStyle name="Separador de milhares 3 8 2 2 2 2 2 4" xfId="16503"/>
    <cellStyle name="Separador de milhares 3 8 2 2 2 2 3" xfId="25374"/>
    <cellStyle name="Separador de milhares 3 8 2 2 2 2 4" xfId="19460"/>
    <cellStyle name="Separador de milhares 3 8 2 2 2 2 5" xfId="13359"/>
    <cellStyle name="Separador de milhares 3 8 2 2 2 3" xfId="8649"/>
    <cellStyle name="Separador de milhares 3 8 2 2 2 3 2" xfId="26863"/>
    <cellStyle name="Separador de milhares 3 8 2 2 2 3 3" xfId="20949"/>
    <cellStyle name="Separador de milhares 3 8 2 2 2 3 4" xfId="15035"/>
    <cellStyle name="Separador de milhares 3 8 2 2 2 4" xfId="5271"/>
    <cellStyle name="Separador de milhares 3 8 2 2 2 4 2" xfId="23906"/>
    <cellStyle name="Separador de milhares 3 8 2 2 2 5" xfId="17992"/>
    <cellStyle name="Separador de milhares 3 8 2 2 2 6" xfId="11658"/>
    <cellStyle name="Separador de milhares 3 8 2 2 3" xfId="2480"/>
    <cellStyle name="Separador de milhares 3 8 2 2 3 2" xfId="7120"/>
    <cellStyle name="Separador de milhares 3 8 2 2 3 2 2" xfId="10264"/>
    <cellStyle name="Separador de milhares 3 8 2 2 3 2 2 2" xfId="28478"/>
    <cellStyle name="Separador de milhares 3 8 2 2 3 2 2 3" xfId="22564"/>
    <cellStyle name="Separador de milhares 3 8 2 2 3 2 2 4" xfId="16650"/>
    <cellStyle name="Separador de milhares 3 8 2 2 3 2 3" xfId="25521"/>
    <cellStyle name="Separador de milhares 3 8 2 2 3 2 4" xfId="19607"/>
    <cellStyle name="Separador de milhares 3 8 2 2 3 2 5" xfId="13509"/>
    <cellStyle name="Separador de milhares 3 8 2 2 3 3" xfId="8796"/>
    <cellStyle name="Separador de milhares 3 8 2 2 3 3 2" xfId="27010"/>
    <cellStyle name="Separador de milhares 3 8 2 2 3 3 3" xfId="21096"/>
    <cellStyle name="Separador de milhares 3 8 2 2 3 3 4" xfId="15182"/>
    <cellStyle name="Separador de milhares 3 8 2 2 3 4" xfId="5421"/>
    <cellStyle name="Separador de milhares 3 8 2 2 3 4 2" xfId="24053"/>
    <cellStyle name="Separador de milhares 3 8 2 2 3 5" xfId="18139"/>
    <cellStyle name="Separador de milhares 3 8 2 2 3 6" xfId="11808"/>
    <cellStyle name="Separador de milhares 3 8 2 2 4" xfId="3007"/>
    <cellStyle name="Separador de milhares 3 8 2 2 4 2" xfId="7267"/>
    <cellStyle name="Separador de milhares 3 8 2 2 4 2 2" xfId="10411"/>
    <cellStyle name="Separador de milhares 3 8 2 2 4 2 2 2" xfId="28625"/>
    <cellStyle name="Separador de milhares 3 8 2 2 4 2 2 3" xfId="22711"/>
    <cellStyle name="Separador de milhares 3 8 2 2 4 2 2 4" xfId="16797"/>
    <cellStyle name="Separador de milhares 3 8 2 2 4 2 3" xfId="25668"/>
    <cellStyle name="Separador de milhares 3 8 2 2 4 2 4" xfId="19754"/>
    <cellStyle name="Separador de milhares 3 8 2 2 4 2 5" xfId="13656"/>
    <cellStyle name="Separador de milhares 3 8 2 2 4 3" xfId="8943"/>
    <cellStyle name="Separador de milhares 3 8 2 2 4 3 2" xfId="27157"/>
    <cellStyle name="Separador de milhares 3 8 2 2 4 3 3" xfId="21243"/>
    <cellStyle name="Separador de milhares 3 8 2 2 4 3 4" xfId="15329"/>
    <cellStyle name="Separador de milhares 3 8 2 2 4 4" xfId="5568"/>
    <cellStyle name="Separador de milhares 3 8 2 2 4 4 2" xfId="24200"/>
    <cellStyle name="Separador de milhares 3 8 2 2 4 5" xfId="18286"/>
    <cellStyle name="Separador de milhares 3 8 2 2 4 6" xfId="11955"/>
    <cellStyle name="Separador de milhares 3 8 2 2 5" xfId="3534"/>
    <cellStyle name="Separador de milhares 3 8 2 2 5 2" xfId="7414"/>
    <cellStyle name="Separador de milhares 3 8 2 2 5 2 2" xfId="10558"/>
    <cellStyle name="Separador de milhares 3 8 2 2 5 2 2 2" xfId="28772"/>
    <cellStyle name="Separador de milhares 3 8 2 2 5 2 2 3" xfId="22858"/>
    <cellStyle name="Separador de milhares 3 8 2 2 5 2 2 4" xfId="16944"/>
    <cellStyle name="Separador de milhares 3 8 2 2 5 2 3" xfId="25815"/>
    <cellStyle name="Separador de milhares 3 8 2 2 5 2 4" xfId="19901"/>
    <cellStyle name="Separador de milhares 3 8 2 2 5 2 5" xfId="13803"/>
    <cellStyle name="Separador de milhares 3 8 2 2 5 3" xfId="9090"/>
    <cellStyle name="Separador de milhares 3 8 2 2 5 3 2" xfId="27304"/>
    <cellStyle name="Separador de milhares 3 8 2 2 5 3 3" xfId="21390"/>
    <cellStyle name="Separador de milhares 3 8 2 2 5 3 4" xfId="15476"/>
    <cellStyle name="Separador de milhares 3 8 2 2 5 4" xfId="5715"/>
    <cellStyle name="Separador de milhares 3 8 2 2 5 4 2" xfId="24347"/>
    <cellStyle name="Separador de milhares 3 8 2 2 5 5" xfId="18433"/>
    <cellStyle name="Separador de milhares 3 8 2 2 5 6" xfId="12102"/>
    <cellStyle name="Separador de milhares 3 8 2 2 6" xfId="4061"/>
    <cellStyle name="Separador de milhares 3 8 2 2 6 2" xfId="7561"/>
    <cellStyle name="Separador de milhares 3 8 2 2 6 2 2" xfId="10705"/>
    <cellStyle name="Separador de milhares 3 8 2 2 6 2 2 2" xfId="28919"/>
    <cellStyle name="Separador de milhares 3 8 2 2 6 2 2 3" xfId="23005"/>
    <cellStyle name="Separador de milhares 3 8 2 2 6 2 2 4" xfId="17091"/>
    <cellStyle name="Separador de milhares 3 8 2 2 6 2 3" xfId="25962"/>
    <cellStyle name="Separador de milhares 3 8 2 2 6 2 4" xfId="20048"/>
    <cellStyle name="Separador de milhares 3 8 2 2 6 2 5" xfId="13950"/>
    <cellStyle name="Separador de milhares 3 8 2 2 6 3" xfId="9237"/>
    <cellStyle name="Separador de milhares 3 8 2 2 6 3 2" xfId="27451"/>
    <cellStyle name="Separador de milhares 3 8 2 2 6 3 3" xfId="21537"/>
    <cellStyle name="Separador de milhares 3 8 2 2 6 3 4" xfId="15623"/>
    <cellStyle name="Separador de milhares 3 8 2 2 6 4" xfId="5862"/>
    <cellStyle name="Separador de milhares 3 8 2 2 6 4 2" xfId="24494"/>
    <cellStyle name="Separador de milhares 3 8 2 2 6 5" xfId="18580"/>
    <cellStyle name="Separador de milhares 3 8 2 2 6 6" xfId="12249"/>
    <cellStyle name="Separador de milhares 3 8 2 2 7" xfId="6532"/>
    <cellStyle name="Separador de milhares 3 8 2 2 7 2" xfId="9679"/>
    <cellStyle name="Separador de milhares 3 8 2 2 7 2 2" xfId="27893"/>
    <cellStyle name="Separador de milhares 3 8 2 2 7 2 3" xfId="21979"/>
    <cellStyle name="Separador de milhares 3 8 2 2 7 2 4" xfId="16065"/>
    <cellStyle name="Separador de milhares 3 8 2 2 7 3" xfId="24936"/>
    <cellStyle name="Separador de milhares 3 8 2 2 7 4" xfId="19022"/>
    <cellStyle name="Separador de milhares 3 8 2 2 7 5" xfId="12921"/>
    <cellStyle name="Separador de milhares 3 8 2 2 8" xfId="8208"/>
    <cellStyle name="Separador de milhares 3 8 2 2 8 2" xfId="26422"/>
    <cellStyle name="Separador de milhares 3 8 2 2 8 3" xfId="20508"/>
    <cellStyle name="Separador de milhares 3 8 2 2 8 4" xfId="14597"/>
    <cellStyle name="Separador de milhares 3 8 2 2 9" xfId="4831"/>
    <cellStyle name="Separador de milhares 3 8 2 2 9 2" xfId="23465"/>
    <cellStyle name="Separador de milhares 3 8 2 3" xfId="904"/>
    <cellStyle name="Separador de milhares 3 8 2 3 2" xfId="6683"/>
    <cellStyle name="Separador de milhares 3 8 2 3 2 2" xfId="9830"/>
    <cellStyle name="Separador de milhares 3 8 2 3 2 2 2" xfId="28044"/>
    <cellStyle name="Separador de milhares 3 8 2 3 2 2 3" xfId="22130"/>
    <cellStyle name="Separador de milhares 3 8 2 3 2 2 4" xfId="16216"/>
    <cellStyle name="Separador de milhares 3 8 2 3 2 3" xfId="25087"/>
    <cellStyle name="Separador de milhares 3 8 2 3 2 4" xfId="19173"/>
    <cellStyle name="Separador de milhares 3 8 2 3 2 5" xfId="13072"/>
    <cellStyle name="Separador de milhares 3 8 2 3 3" xfId="8362"/>
    <cellStyle name="Separador de milhares 3 8 2 3 3 2" xfId="26576"/>
    <cellStyle name="Separador de milhares 3 8 2 3 3 3" xfId="20662"/>
    <cellStyle name="Separador de milhares 3 8 2 3 3 4" xfId="14748"/>
    <cellStyle name="Separador de milhares 3 8 2 3 4" xfId="4984"/>
    <cellStyle name="Separador de milhares 3 8 2 3 4 2" xfId="23619"/>
    <cellStyle name="Separador de milhares 3 8 2 3 5" xfId="17705"/>
    <cellStyle name="Separador de milhares 3 8 2 3 6" xfId="11371"/>
    <cellStyle name="Separador de milhares 3 8 2 4" xfId="1255"/>
    <cellStyle name="Separador de milhares 3 8 2 4 2" xfId="6781"/>
    <cellStyle name="Separador de milhares 3 8 2 4 2 2" xfId="9928"/>
    <cellStyle name="Separador de milhares 3 8 2 4 2 2 2" xfId="28142"/>
    <cellStyle name="Separador de milhares 3 8 2 4 2 2 3" xfId="22228"/>
    <cellStyle name="Separador de milhares 3 8 2 4 2 2 4" xfId="16314"/>
    <cellStyle name="Separador de milhares 3 8 2 4 2 3" xfId="25185"/>
    <cellStyle name="Separador de milhares 3 8 2 4 2 4" xfId="19271"/>
    <cellStyle name="Separador de milhares 3 8 2 4 2 5" xfId="13170"/>
    <cellStyle name="Separador de milhares 3 8 2 4 3" xfId="8460"/>
    <cellStyle name="Separador de milhares 3 8 2 4 3 2" xfId="26674"/>
    <cellStyle name="Separador de milhares 3 8 2 4 3 3" xfId="20760"/>
    <cellStyle name="Separador de milhares 3 8 2 4 3 4" xfId="14846"/>
    <cellStyle name="Separador de milhares 3 8 2 4 4" xfId="5082"/>
    <cellStyle name="Separador de milhares 3 8 2 4 4 2" xfId="23717"/>
    <cellStyle name="Separador de milhares 3 8 2 4 5" xfId="17803"/>
    <cellStyle name="Separador de milhares 3 8 2 4 6" xfId="11469"/>
    <cellStyle name="Separador de milhares 3 8 2 5" xfId="1690"/>
    <cellStyle name="Separador de milhares 3 8 2 5 2" xfId="6900"/>
    <cellStyle name="Separador de milhares 3 8 2 5 2 2" xfId="10047"/>
    <cellStyle name="Separador de milhares 3 8 2 5 2 2 2" xfId="28261"/>
    <cellStyle name="Separador de milhares 3 8 2 5 2 2 3" xfId="22347"/>
    <cellStyle name="Separador de milhares 3 8 2 5 2 2 4" xfId="16433"/>
    <cellStyle name="Separador de milhares 3 8 2 5 2 3" xfId="25304"/>
    <cellStyle name="Separador de milhares 3 8 2 5 2 4" xfId="19390"/>
    <cellStyle name="Separador de milhares 3 8 2 5 2 5" xfId="13289"/>
    <cellStyle name="Separador de milhares 3 8 2 5 3" xfId="8579"/>
    <cellStyle name="Separador de milhares 3 8 2 5 3 2" xfId="26793"/>
    <cellStyle name="Separador de milhares 3 8 2 5 3 3" xfId="20879"/>
    <cellStyle name="Separador de milhares 3 8 2 5 3 4" xfId="14965"/>
    <cellStyle name="Separador de milhares 3 8 2 5 4" xfId="5201"/>
    <cellStyle name="Separador de milhares 3 8 2 5 4 2" xfId="23836"/>
    <cellStyle name="Separador de milhares 3 8 2 5 5" xfId="17922"/>
    <cellStyle name="Separador de milhares 3 8 2 5 6" xfId="11588"/>
    <cellStyle name="Separador de milhares 3 8 2 6" xfId="2220"/>
    <cellStyle name="Separador de milhares 3 8 2 6 2" xfId="7050"/>
    <cellStyle name="Separador de milhares 3 8 2 6 2 2" xfId="10194"/>
    <cellStyle name="Separador de milhares 3 8 2 6 2 2 2" xfId="28408"/>
    <cellStyle name="Separador de milhares 3 8 2 6 2 2 3" xfId="22494"/>
    <cellStyle name="Separador de milhares 3 8 2 6 2 2 4" xfId="16580"/>
    <cellStyle name="Separador de milhares 3 8 2 6 2 3" xfId="25451"/>
    <cellStyle name="Separador de milhares 3 8 2 6 2 4" xfId="19537"/>
    <cellStyle name="Separador de milhares 3 8 2 6 2 5" xfId="13439"/>
    <cellStyle name="Separador de milhares 3 8 2 6 3" xfId="8726"/>
    <cellStyle name="Separador de milhares 3 8 2 6 3 2" xfId="26940"/>
    <cellStyle name="Separador de milhares 3 8 2 6 3 3" xfId="21026"/>
    <cellStyle name="Separador de milhares 3 8 2 6 3 4" xfId="15112"/>
    <cellStyle name="Separador de milhares 3 8 2 6 4" xfId="5351"/>
    <cellStyle name="Separador de milhares 3 8 2 6 4 2" xfId="23983"/>
    <cellStyle name="Separador de milhares 3 8 2 6 5" xfId="18069"/>
    <cellStyle name="Separador de milhares 3 8 2 6 6" xfId="11738"/>
    <cellStyle name="Separador de milhares 3 8 2 7" xfId="2747"/>
    <cellStyle name="Separador de milhares 3 8 2 7 2" xfId="7197"/>
    <cellStyle name="Separador de milhares 3 8 2 7 2 2" xfId="10341"/>
    <cellStyle name="Separador de milhares 3 8 2 7 2 2 2" xfId="28555"/>
    <cellStyle name="Separador de milhares 3 8 2 7 2 2 3" xfId="22641"/>
    <cellStyle name="Separador de milhares 3 8 2 7 2 2 4" xfId="16727"/>
    <cellStyle name="Separador de milhares 3 8 2 7 2 3" xfId="25598"/>
    <cellStyle name="Separador de milhares 3 8 2 7 2 4" xfId="19684"/>
    <cellStyle name="Separador de milhares 3 8 2 7 2 5" xfId="13586"/>
    <cellStyle name="Separador de milhares 3 8 2 7 3" xfId="8873"/>
    <cellStyle name="Separador de milhares 3 8 2 7 3 2" xfId="27087"/>
    <cellStyle name="Separador de milhares 3 8 2 7 3 3" xfId="21173"/>
    <cellStyle name="Separador de milhares 3 8 2 7 3 4" xfId="15259"/>
    <cellStyle name="Separador de milhares 3 8 2 7 4" xfId="5498"/>
    <cellStyle name="Separador de milhares 3 8 2 7 4 2" xfId="24130"/>
    <cellStyle name="Separador de milhares 3 8 2 7 5" xfId="18216"/>
    <cellStyle name="Separador de milhares 3 8 2 7 6" xfId="11885"/>
    <cellStyle name="Separador de milhares 3 8 2 8" xfId="3274"/>
    <cellStyle name="Separador de milhares 3 8 2 8 2" xfId="7344"/>
    <cellStyle name="Separador de milhares 3 8 2 8 2 2" xfId="10488"/>
    <cellStyle name="Separador de milhares 3 8 2 8 2 2 2" xfId="28702"/>
    <cellStyle name="Separador de milhares 3 8 2 8 2 2 3" xfId="22788"/>
    <cellStyle name="Separador de milhares 3 8 2 8 2 2 4" xfId="16874"/>
    <cellStyle name="Separador de milhares 3 8 2 8 2 3" xfId="25745"/>
    <cellStyle name="Separador de milhares 3 8 2 8 2 4" xfId="19831"/>
    <cellStyle name="Separador de milhares 3 8 2 8 2 5" xfId="13733"/>
    <cellStyle name="Separador de milhares 3 8 2 8 3" xfId="9020"/>
    <cellStyle name="Separador de milhares 3 8 2 8 3 2" xfId="27234"/>
    <cellStyle name="Separador de milhares 3 8 2 8 3 3" xfId="21320"/>
    <cellStyle name="Separador de milhares 3 8 2 8 3 4" xfId="15406"/>
    <cellStyle name="Separador de milhares 3 8 2 8 4" xfId="5645"/>
    <cellStyle name="Separador de milhares 3 8 2 8 4 2" xfId="24277"/>
    <cellStyle name="Separador de milhares 3 8 2 8 5" xfId="18363"/>
    <cellStyle name="Separador de milhares 3 8 2 8 6" xfId="12032"/>
    <cellStyle name="Separador de milhares 3 8 2 9" xfId="3801"/>
    <cellStyle name="Separador de milhares 3 8 2 9 2" xfId="7491"/>
    <cellStyle name="Separador de milhares 3 8 2 9 2 2" xfId="10635"/>
    <cellStyle name="Separador de milhares 3 8 2 9 2 2 2" xfId="28849"/>
    <cellStyle name="Separador de milhares 3 8 2 9 2 2 3" xfId="22935"/>
    <cellStyle name="Separador de milhares 3 8 2 9 2 2 4" xfId="17021"/>
    <cellStyle name="Separador de milhares 3 8 2 9 2 3" xfId="25892"/>
    <cellStyle name="Separador de milhares 3 8 2 9 2 4" xfId="19978"/>
    <cellStyle name="Separador de milhares 3 8 2 9 2 5" xfId="13880"/>
    <cellStyle name="Separador de milhares 3 8 2 9 3" xfId="9167"/>
    <cellStyle name="Separador de milhares 3 8 2 9 3 2" xfId="27381"/>
    <cellStyle name="Separador de milhares 3 8 2 9 3 3" xfId="21467"/>
    <cellStyle name="Separador de milhares 3 8 2 9 3 4" xfId="15553"/>
    <cellStyle name="Separador de milhares 3 8 2 9 4" xfId="5792"/>
    <cellStyle name="Separador de milhares 3 8 2 9 4 2" xfId="24424"/>
    <cellStyle name="Separador de milhares 3 8 2 9 5" xfId="18510"/>
    <cellStyle name="Separador de milhares 3 8 2 9 6" xfId="12179"/>
    <cellStyle name="Separador de milhares 3 8 3" xfId="253"/>
    <cellStyle name="Separador de milhares 3 8 3 10" xfId="6482"/>
    <cellStyle name="Separador de milhares 3 8 3 10 2" xfId="9633"/>
    <cellStyle name="Separador de milhares 3 8 3 10 2 2" xfId="27847"/>
    <cellStyle name="Separador de milhares 3 8 3 10 2 3" xfId="21933"/>
    <cellStyle name="Separador de milhares 3 8 3 10 2 4" xfId="16019"/>
    <cellStyle name="Separador de milhares 3 8 3 10 3" xfId="24890"/>
    <cellStyle name="Separador de milhares 3 8 3 10 4" xfId="18976"/>
    <cellStyle name="Separador de milhares 3 8 3 10 5" xfId="12871"/>
    <cellStyle name="Separador de milhares 3 8 3 11" xfId="8162"/>
    <cellStyle name="Separador de milhares 3 8 3 11 2" xfId="26376"/>
    <cellStyle name="Separador de milhares 3 8 3 11 3" xfId="20462"/>
    <cellStyle name="Separador de milhares 3 8 3 11 4" xfId="14551"/>
    <cellStyle name="Separador de milhares 3 8 3 12" xfId="4781"/>
    <cellStyle name="Separador de milhares 3 8 3 12 2" xfId="23419"/>
    <cellStyle name="Separador de milhares 3 8 3 13" xfId="17505"/>
    <cellStyle name="Separador de milhares 3 8 3 14" xfId="11170"/>
    <cellStyle name="Separador de milhares 3 8 3 2" xfId="516"/>
    <cellStyle name="Separador de milhares 3 8 3 2 2" xfId="6553"/>
    <cellStyle name="Separador de milhares 3 8 3 2 2 2" xfId="9700"/>
    <cellStyle name="Separador de milhares 3 8 3 2 2 2 2" xfId="27914"/>
    <cellStyle name="Separador de milhares 3 8 3 2 2 2 3" xfId="22000"/>
    <cellStyle name="Separador de milhares 3 8 3 2 2 2 4" xfId="16086"/>
    <cellStyle name="Separador de milhares 3 8 3 2 2 3" xfId="24957"/>
    <cellStyle name="Separador de milhares 3 8 3 2 2 4" xfId="19043"/>
    <cellStyle name="Separador de milhares 3 8 3 2 2 5" xfId="12942"/>
    <cellStyle name="Separador de milhares 3 8 3 2 3" xfId="8229"/>
    <cellStyle name="Separador de milhares 3 8 3 2 3 2" xfId="26443"/>
    <cellStyle name="Separador de milhares 3 8 3 2 3 3" xfId="20529"/>
    <cellStyle name="Separador de milhares 3 8 3 2 3 4" xfId="14618"/>
    <cellStyle name="Separador de milhares 3 8 3 2 4" xfId="4852"/>
    <cellStyle name="Separador de milhares 3 8 3 2 4 2" xfId="23486"/>
    <cellStyle name="Separador de milhares 3 8 3 2 5" xfId="17572"/>
    <cellStyle name="Separador de milhares 3 8 3 2 6" xfId="11241"/>
    <cellStyle name="Separador de milhares 3 8 3 3" xfId="813"/>
    <cellStyle name="Separador de milhares 3 8 3 3 2" xfId="6655"/>
    <cellStyle name="Separador de milhares 3 8 3 3 2 2" xfId="9802"/>
    <cellStyle name="Separador de milhares 3 8 3 3 2 2 2" xfId="28016"/>
    <cellStyle name="Separador de milhares 3 8 3 3 2 2 3" xfId="22102"/>
    <cellStyle name="Separador de milhares 3 8 3 3 2 2 4" xfId="16188"/>
    <cellStyle name="Separador de milhares 3 8 3 3 2 3" xfId="25059"/>
    <cellStyle name="Separador de milhares 3 8 3 3 2 4" xfId="19145"/>
    <cellStyle name="Separador de milhares 3 8 3 3 2 5" xfId="13044"/>
    <cellStyle name="Separador de milhares 3 8 3 3 3" xfId="8334"/>
    <cellStyle name="Separador de milhares 3 8 3 3 3 2" xfId="26548"/>
    <cellStyle name="Separador de milhares 3 8 3 3 3 3" xfId="20634"/>
    <cellStyle name="Separador de milhares 3 8 3 3 3 4" xfId="14720"/>
    <cellStyle name="Separador de milhares 3 8 3 3 4" xfId="4956"/>
    <cellStyle name="Separador de milhares 3 8 3 3 4 2" xfId="23591"/>
    <cellStyle name="Separador de milhares 3 8 3 3 5" xfId="17677"/>
    <cellStyle name="Separador de milhares 3 8 3 3 6" xfId="11343"/>
    <cellStyle name="Separador de milhares 3 8 3 4" xfId="1164"/>
    <cellStyle name="Separador de milhares 3 8 3 4 2" xfId="6753"/>
    <cellStyle name="Separador de milhares 3 8 3 4 2 2" xfId="9900"/>
    <cellStyle name="Separador de milhares 3 8 3 4 2 2 2" xfId="28114"/>
    <cellStyle name="Separador de milhares 3 8 3 4 2 2 3" xfId="22200"/>
    <cellStyle name="Separador de milhares 3 8 3 4 2 2 4" xfId="16286"/>
    <cellStyle name="Separador de milhares 3 8 3 4 2 3" xfId="25157"/>
    <cellStyle name="Separador de milhares 3 8 3 4 2 4" xfId="19243"/>
    <cellStyle name="Separador de milhares 3 8 3 4 2 5" xfId="13142"/>
    <cellStyle name="Separador de milhares 3 8 3 4 3" xfId="8432"/>
    <cellStyle name="Separador de milhares 3 8 3 4 3 2" xfId="26646"/>
    <cellStyle name="Separador de milhares 3 8 3 4 3 3" xfId="20732"/>
    <cellStyle name="Separador de milhares 3 8 3 4 3 4" xfId="14818"/>
    <cellStyle name="Separador de milhares 3 8 3 4 4" xfId="5054"/>
    <cellStyle name="Separador de milhares 3 8 3 4 4 2" xfId="23689"/>
    <cellStyle name="Separador de milhares 3 8 3 4 5" xfId="17775"/>
    <cellStyle name="Separador de milhares 3 8 3 4 6" xfId="11441"/>
    <cellStyle name="Separador de milhares 3 8 3 5" xfId="1599"/>
    <cellStyle name="Separador de milhares 3 8 3 5 2" xfId="6872"/>
    <cellStyle name="Separador de milhares 3 8 3 5 2 2" xfId="10019"/>
    <cellStyle name="Separador de milhares 3 8 3 5 2 2 2" xfId="28233"/>
    <cellStyle name="Separador de milhares 3 8 3 5 2 2 3" xfId="22319"/>
    <cellStyle name="Separador de milhares 3 8 3 5 2 2 4" xfId="16405"/>
    <cellStyle name="Separador de milhares 3 8 3 5 2 3" xfId="25276"/>
    <cellStyle name="Separador de milhares 3 8 3 5 2 4" xfId="19362"/>
    <cellStyle name="Separador de milhares 3 8 3 5 2 5" xfId="13261"/>
    <cellStyle name="Separador de milhares 3 8 3 5 3" xfId="8551"/>
    <cellStyle name="Separador de milhares 3 8 3 5 3 2" xfId="26765"/>
    <cellStyle name="Separador de milhares 3 8 3 5 3 3" xfId="20851"/>
    <cellStyle name="Separador de milhares 3 8 3 5 3 4" xfId="14937"/>
    <cellStyle name="Separador de milhares 3 8 3 5 4" xfId="5173"/>
    <cellStyle name="Separador de milhares 3 8 3 5 4 2" xfId="23808"/>
    <cellStyle name="Separador de milhares 3 8 3 5 5" xfId="17894"/>
    <cellStyle name="Separador de milhares 3 8 3 5 6" xfId="11560"/>
    <cellStyle name="Separador de milhares 3 8 3 6" xfId="2129"/>
    <cellStyle name="Separador de milhares 3 8 3 6 2" xfId="7022"/>
    <cellStyle name="Separador de milhares 3 8 3 6 2 2" xfId="10166"/>
    <cellStyle name="Separador de milhares 3 8 3 6 2 2 2" xfId="28380"/>
    <cellStyle name="Separador de milhares 3 8 3 6 2 2 3" xfId="22466"/>
    <cellStyle name="Separador de milhares 3 8 3 6 2 2 4" xfId="16552"/>
    <cellStyle name="Separador de milhares 3 8 3 6 2 3" xfId="25423"/>
    <cellStyle name="Separador de milhares 3 8 3 6 2 4" xfId="19509"/>
    <cellStyle name="Separador de milhares 3 8 3 6 2 5" xfId="13411"/>
    <cellStyle name="Separador de milhares 3 8 3 6 3" xfId="8698"/>
    <cellStyle name="Separador de milhares 3 8 3 6 3 2" xfId="26912"/>
    <cellStyle name="Separador de milhares 3 8 3 6 3 3" xfId="20998"/>
    <cellStyle name="Separador de milhares 3 8 3 6 3 4" xfId="15084"/>
    <cellStyle name="Separador de milhares 3 8 3 6 4" xfId="5323"/>
    <cellStyle name="Separador de milhares 3 8 3 6 4 2" xfId="23955"/>
    <cellStyle name="Separador de milhares 3 8 3 6 5" xfId="18041"/>
    <cellStyle name="Separador de milhares 3 8 3 6 6" xfId="11710"/>
    <cellStyle name="Separador de milhares 3 8 3 7" xfId="2656"/>
    <cellStyle name="Separador de milhares 3 8 3 7 2" xfId="7169"/>
    <cellStyle name="Separador de milhares 3 8 3 7 2 2" xfId="10313"/>
    <cellStyle name="Separador de milhares 3 8 3 7 2 2 2" xfId="28527"/>
    <cellStyle name="Separador de milhares 3 8 3 7 2 2 3" xfId="22613"/>
    <cellStyle name="Separador de milhares 3 8 3 7 2 2 4" xfId="16699"/>
    <cellStyle name="Separador de milhares 3 8 3 7 2 3" xfId="25570"/>
    <cellStyle name="Separador de milhares 3 8 3 7 2 4" xfId="19656"/>
    <cellStyle name="Separador de milhares 3 8 3 7 2 5" xfId="13558"/>
    <cellStyle name="Separador de milhares 3 8 3 7 3" xfId="8845"/>
    <cellStyle name="Separador de milhares 3 8 3 7 3 2" xfId="27059"/>
    <cellStyle name="Separador de milhares 3 8 3 7 3 3" xfId="21145"/>
    <cellStyle name="Separador de milhares 3 8 3 7 3 4" xfId="15231"/>
    <cellStyle name="Separador de milhares 3 8 3 7 4" xfId="5470"/>
    <cellStyle name="Separador de milhares 3 8 3 7 4 2" xfId="24102"/>
    <cellStyle name="Separador de milhares 3 8 3 7 5" xfId="18188"/>
    <cellStyle name="Separador de milhares 3 8 3 7 6" xfId="11857"/>
    <cellStyle name="Separador de milhares 3 8 3 8" xfId="3183"/>
    <cellStyle name="Separador de milhares 3 8 3 8 2" xfId="7316"/>
    <cellStyle name="Separador de milhares 3 8 3 8 2 2" xfId="10460"/>
    <cellStyle name="Separador de milhares 3 8 3 8 2 2 2" xfId="28674"/>
    <cellStyle name="Separador de milhares 3 8 3 8 2 2 3" xfId="22760"/>
    <cellStyle name="Separador de milhares 3 8 3 8 2 2 4" xfId="16846"/>
    <cellStyle name="Separador de milhares 3 8 3 8 2 3" xfId="25717"/>
    <cellStyle name="Separador de milhares 3 8 3 8 2 4" xfId="19803"/>
    <cellStyle name="Separador de milhares 3 8 3 8 2 5" xfId="13705"/>
    <cellStyle name="Separador de milhares 3 8 3 8 3" xfId="8992"/>
    <cellStyle name="Separador de milhares 3 8 3 8 3 2" xfId="27206"/>
    <cellStyle name="Separador de milhares 3 8 3 8 3 3" xfId="21292"/>
    <cellStyle name="Separador de milhares 3 8 3 8 3 4" xfId="15378"/>
    <cellStyle name="Separador de milhares 3 8 3 8 4" xfId="5617"/>
    <cellStyle name="Separador de milhares 3 8 3 8 4 2" xfId="24249"/>
    <cellStyle name="Separador de milhares 3 8 3 8 5" xfId="18335"/>
    <cellStyle name="Separador de milhares 3 8 3 8 6" xfId="12004"/>
    <cellStyle name="Separador de milhares 3 8 3 9" xfId="3710"/>
    <cellStyle name="Separador de milhares 3 8 3 9 2" xfId="7463"/>
    <cellStyle name="Separador de milhares 3 8 3 9 2 2" xfId="10607"/>
    <cellStyle name="Separador de milhares 3 8 3 9 2 2 2" xfId="28821"/>
    <cellStyle name="Separador de milhares 3 8 3 9 2 2 3" xfId="22907"/>
    <cellStyle name="Separador de milhares 3 8 3 9 2 2 4" xfId="16993"/>
    <cellStyle name="Separador de milhares 3 8 3 9 2 3" xfId="25864"/>
    <cellStyle name="Separador de milhares 3 8 3 9 2 4" xfId="19950"/>
    <cellStyle name="Separador de milhares 3 8 3 9 2 5" xfId="13852"/>
    <cellStyle name="Separador de milhares 3 8 3 9 3" xfId="9139"/>
    <cellStyle name="Separador de milhares 3 8 3 9 3 2" xfId="27353"/>
    <cellStyle name="Separador de milhares 3 8 3 9 3 3" xfId="21439"/>
    <cellStyle name="Separador de milhares 3 8 3 9 3 4" xfId="15525"/>
    <cellStyle name="Separador de milhares 3 8 3 9 4" xfId="5764"/>
    <cellStyle name="Separador de milhares 3 8 3 9 4 2" xfId="24396"/>
    <cellStyle name="Separador de milhares 3 8 3 9 5" xfId="18482"/>
    <cellStyle name="Separador de milhares 3 8 3 9 6" xfId="12151"/>
    <cellStyle name="Separador de milhares 3 8 4" xfId="346"/>
    <cellStyle name="Separador de milhares 3 8 4 10" xfId="6510"/>
    <cellStyle name="Separador de milhares 3 8 4 10 2" xfId="9658"/>
    <cellStyle name="Separador de milhares 3 8 4 10 2 2" xfId="27872"/>
    <cellStyle name="Separador de milhares 3 8 4 10 2 3" xfId="21958"/>
    <cellStyle name="Separador de milhares 3 8 4 10 2 4" xfId="16044"/>
    <cellStyle name="Separador de milhares 3 8 4 10 3" xfId="24915"/>
    <cellStyle name="Separador de milhares 3 8 4 10 4" xfId="19001"/>
    <cellStyle name="Separador de milhares 3 8 4 10 5" xfId="12899"/>
    <cellStyle name="Separador de milhares 3 8 4 11" xfId="8187"/>
    <cellStyle name="Separador de milhares 3 8 4 11 2" xfId="26401"/>
    <cellStyle name="Separador de milhares 3 8 4 11 3" xfId="20487"/>
    <cellStyle name="Separador de milhares 3 8 4 11 4" xfId="14576"/>
    <cellStyle name="Separador de milhares 3 8 4 12" xfId="4809"/>
    <cellStyle name="Separador de milhares 3 8 4 12 2" xfId="23444"/>
    <cellStyle name="Separador de milhares 3 8 4 13" xfId="17530"/>
    <cellStyle name="Separador de milhares 3 8 4 14" xfId="11198"/>
    <cellStyle name="Separador de milhares 3 8 4 2" xfId="991"/>
    <cellStyle name="Separador de milhares 3 8 4 2 2" xfId="6707"/>
    <cellStyle name="Separador de milhares 3 8 4 2 2 2" xfId="9854"/>
    <cellStyle name="Separador de milhares 3 8 4 2 2 2 2" xfId="28068"/>
    <cellStyle name="Separador de milhares 3 8 4 2 2 2 3" xfId="22154"/>
    <cellStyle name="Separador de milhares 3 8 4 2 2 2 4" xfId="16240"/>
    <cellStyle name="Separador de milhares 3 8 4 2 2 3" xfId="25111"/>
    <cellStyle name="Separador de milhares 3 8 4 2 2 4" xfId="19197"/>
    <cellStyle name="Separador de milhares 3 8 4 2 2 5" xfId="13096"/>
    <cellStyle name="Separador de milhares 3 8 4 2 3" xfId="8386"/>
    <cellStyle name="Separador de milhares 3 8 4 2 3 2" xfId="26600"/>
    <cellStyle name="Separador de milhares 3 8 4 2 3 3" xfId="20686"/>
    <cellStyle name="Separador de milhares 3 8 4 2 3 4" xfId="14772"/>
    <cellStyle name="Separador de milhares 3 8 4 2 4" xfId="5008"/>
    <cellStyle name="Separador de milhares 3 8 4 2 4 2" xfId="23643"/>
    <cellStyle name="Separador de milhares 3 8 4 2 5" xfId="17729"/>
    <cellStyle name="Separador de milhares 3 8 4 2 6" xfId="11395"/>
    <cellStyle name="Separador de milhares 3 8 4 3" xfId="1342"/>
    <cellStyle name="Separador de milhares 3 8 4 3 2" xfId="6805"/>
    <cellStyle name="Separador de milhares 3 8 4 3 2 2" xfId="9952"/>
    <cellStyle name="Separador de milhares 3 8 4 3 2 2 2" xfId="28166"/>
    <cellStyle name="Separador de milhares 3 8 4 3 2 2 3" xfId="22252"/>
    <cellStyle name="Separador de milhares 3 8 4 3 2 2 4" xfId="16338"/>
    <cellStyle name="Separador de milhares 3 8 4 3 2 3" xfId="25209"/>
    <cellStyle name="Separador de milhares 3 8 4 3 2 4" xfId="19295"/>
    <cellStyle name="Separador de milhares 3 8 4 3 2 5" xfId="13194"/>
    <cellStyle name="Separador de milhares 3 8 4 3 3" xfId="8484"/>
    <cellStyle name="Separador de milhares 3 8 4 3 3 2" xfId="26698"/>
    <cellStyle name="Separador de milhares 3 8 4 3 3 3" xfId="20784"/>
    <cellStyle name="Separador de milhares 3 8 4 3 3 4" xfId="14870"/>
    <cellStyle name="Separador de milhares 3 8 4 3 4" xfId="5106"/>
    <cellStyle name="Separador de milhares 3 8 4 3 4 2" xfId="23741"/>
    <cellStyle name="Separador de milhares 3 8 4 3 5" xfId="17827"/>
    <cellStyle name="Separador de milhares 3 8 4 3 6" xfId="11493"/>
    <cellStyle name="Separador de milhares 3 8 4 4" xfId="1777"/>
    <cellStyle name="Separador de milhares 3 8 4 4 2" xfId="6924"/>
    <cellStyle name="Separador de milhares 3 8 4 4 2 2" xfId="10071"/>
    <cellStyle name="Separador de milhares 3 8 4 4 2 2 2" xfId="28285"/>
    <cellStyle name="Separador de milhares 3 8 4 4 2 2 3" xfId="22371"/>
    <cellStyle name="Separador de milhares 3 8 4 4 2 2 4" xfId="16457"/>
    <cellStyle name="Separador de milhares 3 8 4 4 2 3" xfId="25328"/>
    <cellStyle name="Separador de milhares 3 8 4 4 2 4" xfId="19414"/>
    <cellStyle name="Separador de milhares 3 8 4 4 2 5" xfId="13313"/>
    <cellStyle name="Separador de milhares 3 8 4 4 3" xfId="8603"/>
    <cellStyle name="Separador de milhares 3 8 4 4 3 2" xfId="26817"/>
    <cellStyle name="Separador de milhares 3 8 4 4 3 3" xfId="20903"/>
    <cellStyle name="Separador de milhares 3 8 4 4 3 4" xfId="14989"/>
    <cellStyle name="Separador de milhares 3 8 4 4 4" xfId="5225"/>
    <cellStyle name="Separador de milhares 3 8 4 4 4 2" xfId="23860"/>
    <cellStyle name="Separador de milhares 3 8 4 4 5" xfId="17946"/>
    <cellStyle name="Separador de milhares 3 8 4 4 6" xfId="11612"/>
    <cellStyle name="Separador de milhares 3 8 4 5" xfId="2307"/>
    <cellStyle name="Separador de milhares 3 8 4 5 2" xfId="7074"/>
    <cellStyle name="Separador de milhares 3 8 4 5 2 2" xfId="10218"/>
    <cellStyle name="Separador de milhares 3 8 4 5 2 2 2" xfId="28432"/>
    <cellStyle name="Separador de milhares 3 8 4 5 2 2 3" xfId="22518"/>
    <cellStyle name="Separador de milhares 3 8 4 5 2 2 4" xfId="16604"/>
    <cellStyle name="Separador de milhares 3 8 4 5 2 3" xfId="25475"/>
    <cellStyle name="Separador de milhares 3 8 4 5 2 4" xfId="19561"/>
    <cellStyle name="Separador de milhares 3 8 4 5 2 5" xfId="13463"/>
    <cellStyle name="Separador de milhares 3 8 4 5 3" xfId="8750"/>
    <cellStyle name="Separador de milhares 3 8 4 5 3 2" xfId="26964"/>
    <cellStyle name="Separador de milhares 3 8 4 5 3 3" xfId="21050"/>
    <cellStyle name="Separador de milhares 3 8 4 5 3 4" xfId="15136"/>
    <cellStyle name="Separador de milhares 3 8 4 5 4" xfId="5375"/>
    <cellStyle name="Separador de milhares 3 8 4 5 4 2" xfId="24007"/>
    <cellStyle name="Separador de milhares 3 8 4 5 5" xfId="18093"/>
    <cellStyle name="Separador de milhares 3 8 4 5 6" xfId="11762"/>
    <cellStyle name="Separador de milhares 3 8 4 6" xfId="2834"/>
    <cellStyle name="Separador de milhares 3 8 4 6 2" xfId="7221"/>
    <cellStyle name="Separador de milhares 3 8 4 6 2 2" xfId="10365"/>
    <cellStyle name="Separador de milhares 3 8 4 6 2 2 2" xfId="28579"/>
    <cellStyle name="Separador de milhares 3 8 4 6 2 2 3" xfId="22665"/>
    <cellStyle name="Separador de milhares 3 8 4 6 2 2 4" xfId="16751"/>
    <cellStyle name="Separador de milhares 3 8 4 6 2 3" xfId="25622"/>
    <cellStyle name="Separador de milhares 3 8 4 6 2 4" xfId="19708"/>
    <cellStyle name="Separador de milhares 3 8 4 6 2 5" xfId="13610"/>
    <cellStyle name="Separador de milhares 3 8 4 6 3" xfId="8897"/>
    <cellStyle name="Separador de milhares 3 8 4 6 3 2" xfId="27111"/>
    <cellStyle name="Separador de milhares 3 8 4 6 3 3" xfId="21197"/>
    <cellStyle name="Separador de milhares 3 8 4 6 3 4" xfId="15283"/>
    <cellStyle name="Separador de milhares 3 8 4 6 4" xfId="5522"/>
    <cellStyle name="Separador de milhares 3 8 4 6 4 2" xfId="24154"/>
    <cellStyle name="Separador de milhares 3 8 4 6 5" xfId="18240"/>
    <cellStyle name="Separador de milhares 3 8 4 6 6" xfId="11909"/>
    <cellStyle name="Separador de milhares 3 8 4 7" xfId="3361"/>
    <cellStyle name="Separador de milhares 3 8 4 7 2" xfId="7368"/>
    <cellStyle name="Separador de milhares 3 8 4 7 2 2" xfId="10512"/>
    <cellStyle name="Separador de milhares 3 8 4 7 2 2 2" xfId="28726"/>
    <cellStyle name="Separador de milhares 3 8 4 7 2 2 3" xfId="22812"/>
    <cellStyle name="Separador de milhares 3 8 4 7 2 2 4" xfId="16898"/>
    <cellStyle name="Separador de milhares 3 8 4 7 2 3" xfId="25769"/>
    <cellStyle name="Separador de milhares 3 8 4 7 2 4" xfId="19855"/>
    <cellStyle name="Separador de milhares 3 8 4 7 2 5" xfId="13757"/>
    <cellStyle name="Separador de milhares 3 8 4 7 3" xfId="9044"/>
    <cellStyle name="Separador de milhares 3 8 4 7 3 2" xfId="27258"/>
    <cellStyle name="Separador de milhares 3 8 4 7 3 3" xfId="21344"/>
    <cellStyle name="Separador de milhares 3 8 4 7 3 4" xfId="15430"/>
    <cellStyle name="Separador de milhares 3 8 4 7 4" xfId="5669"/>
    <cellStyle name="Separador de milhares 3 8 4 7 4 2" xfId="24301"/>
    <cellStyle name="Separador de milhares 3 8 4 7 5" xfId="18387"/>
    <cellStyle name="Separador de milhares 3 8 4 7 6" xfId="12056"/>
    <cellStyle name="Separador de milhares 3 8 4 8" xfId="3888"/>
    <cellStyle name="Separador de milhares 3 8 4 8 2" xfId="7515"/>
    <cellStyle name="Separador de milhares 3 8 4 8 2 2" xfId="10659"/>
    <cellStyle name="Separador de milhares 3 8 4 8 2 2 2" xfId="28873"/>
    <cellStyle name="Separador de milhares 3 8 4 8 2 2 3" xfId="22959"/>
    <cellStyle name="Separador de milhares 3 8 4 8 2 2 4" xfId="17045"/>
    <cellStyle name="Separador de milhares 3 8 4 8 2 3" xfId="25916"/>
    <cellStyle name="Separador de milhares 3 8 4 8 2 4" xfId="20002"/>
    <cellStyle name="Separador de milhares 3 8 4 8 2 5" xfId="13904"/>
    <cellStyle name="Separador de milhares 3 8 4 8 3" xfId="9191"/>
    <cellStyle name="Separador de milhares 3 8 4 8 3 2" xfId="27405"/>
    <cellStyle name="Separador de milhares 3 8 4 8 3 3" xfId="21491"/>
    <cellStyle name="Separador de milhares 3 8 4 8 3 4" xfId="15577"/>
    <cellStyle name="Separador de milhares 3 8 4 8 4" xfId="5816"/>
    <cellStyle name="Separador de milhares 3 8 4 8 4 2" xfId="24448"/>
    <cellStyle name="Separador de milhares 3 8 4 8 5" xfId="18534"/>
    <cellStyle name="Separador de milhares 3 8 4 8 6" xfId="12203"/>
    <cellStyle name="Separador de milhares 3 8 4 9" xfId="674"/>
    <cellStyle name="Separador de milhares 3 8 4 9 2" xfId="6609"/>
    <cellStyle name="Separador de milhares 3 8 4 9 2 2" xfId="9756"/>
    <cellStyle name="Separador de milhares 3 8 4 9 2 2 2" xfId="27970"/>
    <cellStyle name="Separador de milhares 3 8 4 9 2 2 3" xfId="22056"/>
    <cellStyle name="Separador de milhares 3 8 4 9 2 2 4" xfId="16142"/>
    <cellStyle name="Separador de milhares 3 8 4 9 2 3" xfId="25013"/>
    <cellStyle name="Separador de milhares 3 8 4 9 2 4" xfId="19099"/>
    <cellStyle name="Separador de milhares 3 8 4 9 2 5" xfId="12998"/>
    <cellStyle name="Separador de milhares 3 8 4 9 3" xfId="8288"/>
    <cellStyle name="Separador de milhares 3 8 4 9 3 2" xfId="26502"/>
    <cellStyle name="Separador de milhares 3 8 4 9 3 3" xfId="20588"/>
    <cellStyle name="Separador de milhares 3 8 4 9 3 4" xfId="14674"/>
    <cellStyle name="Separador de milhares 3 8 4 9 4" xfId="4910"/>
    <cellStyle name="Separador de milhares 3 8 4 9 4 2" xfId="23545"/>
    <cellStyle name="Separador de milhares 3 8 4 9 5" xfId="17631"/>
    <cellStyle name="Separador de milhares 3 8 4 9 6" xfId="11297"/>
    <cellStyle name="Separador de milhares 3 8 5" xfId="603"/>
    <cellStyle name="Separador de milhares 3 8 5 10" xfId="4874"/>
    <cellStyle name="Separador de milhares 3 8 5 10 2" xfId="23508"/>
    <cellStyle name="Separador de milhares 3 8 5 11" xfId="17594"/>
    <cellStyle name="Separador de milhares 3 8 5 12" xfId="11263"/>
    <cellStyle name="Separador de milhares 3 8 5 2" xfId="1426"/>
    <cellStyle name="Separador de milhares 3 8 5 2 2" xfId="6826"/>
    <cellStyle name="Separador de milhares 3 8 5 2 2 2" xfId="9973"/>
    <cellStyle name="Separador de milhares 3 8 5 2 2 2 2" xfId="28187"/>
    <cellStyle name="Separador de milhares 3 8 5 2 2 2 3" xfId="22273"/>
    <cellStyle name="Separador de milhares 3 8 5 2 2 2 4" xfId="16359"/>
    <cellStyle name="Separador de milhares 3 8 5 2 2 3" xfId="25230"/>
    <cellStyle name="Separador de milhares 3 8 5 2 2 4" xfId="19316"/>
    <cellStyle name="Separador de milhares 3 8 5 2 2 5" xfId="13215"/>
    <cellStyle name="Separador de milhares 3 8 5 2 3" xfId="8505"/>
    <cellStyle name="Separador de milhares 3 8 5 2 3 2" xfId="26719"/>
    <cellStyle name="Separador de milhares 3 8 5 2 3 3" xfId="20805"/>
    <cellStyle name="Separador de milhares 3 8 5 2 3 4" xfId="14891"/>
    <cellStyle name="Separador de milhares 3 8 5 2 4" xfId="5127"/>
    <cellStyle name="Separador de milhares 3 8 5 2 4 2" xfId="23762"/>
    <cellStyle name="Separador de milhares 3 8 5 2 5" xfId="17848"/>
    <cellStyle name="Separador de milhares 3 8 5 2 6" xfId="11514"/>
    <cellStyle name="Separador de milhares 3 8 5 3" xfId="1861"/>
    <cellStyle name="Separador de milhares 3 8 5 3 2" xfId="6945"/>
    <cellStyle name="Separador de milhares 3 8 5 3 2 2" xfId="10092"/>
    <cellStyle name="Separador de milhares 3 8 5 3 2 2 2" xfId="28306"/>
    <cellStyle name="Separador de milhares 3 8 5 3 2 2 3" xfId="22392"/>
    <cellStyle name="Separador de milhares 3 8 5 3 2 2 4" xfId="16478"/>
    <cellStyle name="Separador de milhares 3 8 5 3 2 3" xfId="25349"/>
    <cellStyle name="Separador de milhares 3 8 5 3 2 4" xfId="19435"/>
    <cellStyle name="Separador de milhares 3 8 5 3 2 5" xfId="13334"/>
    <cellStyle name="Separador de milhares 3 8 5 3 3" xfId="8624"/>
    <cellStyle name="Separador de milhares 3 8 5 3 3 2" xfId="26838"/>
    <cellStyle name="Separador de milhares 3 8 5 3 3 3" xfId="20924"/>
    <cellStyle name="Separador de milhares 3 8 5 3 3 4" xfId="15010"/>
    <cellStyle name="Separador de milhares 3 8 5 3 4" xfId="5246"/>
    <cellStyle name="Separador de milhares 3 8 5 3 4 2" xfId="23881"/>
    <cellStyle name="Separador de milhares 3 8 5 3 5" xfId="17967"/>
    <cellStyle name="Separador de milhares 3 8 5 3 6" xfId="11633"/>
    <cellStyle name="Separador de milhares 3 8 5 4" xfId="2391"/>
    <cellStyle name="Separador de milhares 3 8 5 4 2" xfId="7095"/>
    <cellStyle name="Separador de milhares 3 8 5 4 2 2" xfId="10239"/>
    <cellStyle name="Separador de milhares 3 8 5 4 2 2 2" xfId="28453"/>
    <cellStyle name="Separador de milhares 3 8 5 4 2 2 3" xfId="22539"/>
    <cellStyle name="Separador de milhares 3 8 5 4 2 2 4" xfId="16625"/>
    <cellStyle name="Separador de milhares 3 8 5 4 2 3" xfId="25496"/>
    <cellStyle name="Separador de milhares 3 8 5 4 2 4" xfId="19582"/>
    <cellStyle name="Separador de milhares 3 8 5 4 2 5" xfId="13484"/>
    <cellStyle name="Separador de milhares 3 8 5 4 3" xfId="8771"/>
    <cellStyle name="Separador de milhares 3 8 5 4 3 2" xfId="26985"/>
    <cellStyle name="Separador de milhares 3 8 5 4 3 3" xfId="21071"/>
    <cellStyle name="Separador de milhares 3 8 5 4 3 4" xfId="15157"/>
    <cellStyle name="Separador de milhares 3 8 5 4 4" xfId="5396"/>
    <cellStyle name="Separador de milhares 3 8 5 4 4 2" xfId="24028"/>
    <cellStyle name="Separador de milhares 3 8 5 4 5" xfId="18114"/>
    <cellStyle name="Separador de milhares 3 8 5 4 6" xfId="11783"/>
    <cellStyle name="Separador de milhares 3 8 5 5" xfId="2918"/>
    <cellStyle name="Separador de milhares 3 8 5 5 2" xfId="7242"/>
    <cellStyle name="Separador de milhares 3 8 5 5 2 2" xfId="10386"/>
    <cellStyle name="Separador de milhares 3 8 5 5 2 2 2" xfId="28600"/>
    <cellStyle name="Separador de milhares 3 8 5 5 2 2 3" xfId="22686"/>
    <cellStyle name="Separador de milhares 3 8 5 5 2 2 4" xfId="16772"/>
    <cellStyle name="Separador de milhares 3 8 5 5 2 3" xfId="25643"/>
    <cellStyle name="Separador de milhares 3 8 5 5 2 4" xfId="19729"/>
    <cellStyle name="Separador de milhares 3 8 5 5 2 5" xfId="13631"/>
    <cellStyle name="Separador de milhares 3 8 5 5 3" xfId="8918"/>
    <cellStyle name="Separador de milhares 3 8 5 5 3 2" xfId="27132"/>
    <cellStyle name="Separador de milhares 3 8 5 5 3 3" xfId="21218"/>
    <cellStyle name="Separador de milhares 3 8 5 5 3 4" xfId="15304"/>
    <cellStyle name="Separador de milhares 3 8 5 5 4" xfId="5543"/>
    <cellStyle name="Separador de milhares 3 8 5 5 4 2" xfId="24175"/>
    <cellStyle name="Separador de milhares 3 8 5 5 5" xfId="18261"/>
    <cellStyle name="Separador de milhares 3 8 5 5 6" xfId="11930"/>
    <cellStyle name="Separador de milhares 3 8 5 6" xfId="3445"/>
    <cellStyle name="Separador de milhares 3 8 5 6 2" xfId="7389"/>
    <cellStyle name="Separador de milhares 3 8 5 6 2 2" xfId="10533"/>
    <cellStyle name="Separador de milhares 3 8 5 6 2 2 2" xfId="28747"/>
    <cellStyle name="Separador de milhares 3 8 5 6 2 2 3" xfId="22833"/>
    <cellStyle name="Separador de milhares 3 8 5 6 2 2 4" xfId="16919"/>
    <cellStyle name="Separador de milhares 3 8 5 6 2 3" xfId="25790"/>
    <cellStyle name="Separador de milhares 3 8 5 6 2 4" xfId="19876"/>
    <cellStyle name="Separador de milhares 3 8 5 6 2 5" xfId="13778"/>
    <cellStyle name="Separador de milhares 3 8 5 6 3" xfId="9065"/>
    <cellStyle name="Separador de milhares 3 8 5 6 3 2" xfId="27279"/>
    <cellStyle name="Separador de milhares 3 8 5 6 3 3" xfId="21365"/>
    <cellStyle name="Separador de milhares 3 8 5 6 3 4" xfId="15451"/>
    <cellStyle name="Separador de milhares 3 8 5 6 4" xfId="5690"/>
    <cellStyle name="Separador de milhares 3 8 5 6 4 2" xfId="24322"/>
    <cellStyle name="Separador de milhares 3 8 5 6 5" xfId="18408"/>
    <cellStyle name="Separador de milhares 3 8 5 6 6" xfId="12077"/>
    <cellStyle name="Separador de milhares 3 8 5 7" xfId="3972"/>
    <cellStyle name="Separador de milhares 3 8 5 7 2" xfId="7536"/>
    <cellStyle name="Separador de milhares 3 8 5 7 2 2" xfId="10680"/>
    <cellStyle name="Separador de milhares 3 8 5 7 2 2 2" xfId="28894"/>
    <cellStyle name="Separador de milhares 3 8 5 7 2 2 3" xfId="22980"/>
    <cellStyle name="Separador de milhares 3 8 5 7 2 2 4" xfId="17066"/>
    <cellStyle name="Separador de milhares 3 8 5 7 2 3" xfId="25937"/>
    <cellStyle name="Separador de milhares 3 8 5 7 2 4" xfId="20023"/>
    <cellStyle name="Separador de milhares 3 8 5 7 2 5" xfId="13925"/>
    <cellStyle name="Separador de milhares 3 8 5 7 3" xfId="9212"/>
    <cellStyle name="Separador de milhares 3 8 5 7 3 2" xfId="27426"/>
    <cellStyle name="Separador de milhares 3 8 5 7 3 3" xfId="21512"/>
    <cellStyle name="Separador de milhares 3 8 5 7 3 4" xfId="15598"/>
    <cellStyle name="Separador de milhares 3 8 5 7 4" xfId="5837"/>
    <cellStyle name="Separador de milhares 3 8 5 7 4 2" xfId="24469"/>
    <cellStyle name="Separador de milhares 3 8 5 7 5" xfId="18555"/>
    <cellStyle name="Separador de milhares 3 8 5 7 6" xfId="12224"/>
    <cellStyle name="Separador de milhares 3 8 5 8" xfId="6575"/>
    <cellStyle name="Separador de milhares 3 8 5 8 2" xfId="9722"/>
    <cellStyle name="Separador de milhares 3 8 5 8 2 2" xfId="27936"/>
    <cellStyle name="Separador de milhares 3 8 5 8 2 3" xfId="22022"/>
    <cellStyle name="Separador de milhares 3 8 5 8 2 4" xfId="16108"/>
    <cellStyle name="Separador de milhares 3 8 5 8 3" xfId="24979"/>
    <cellStyle name="Separador de milhares 3 8 5 8 4" xfId="19065"/>
    <cellStyle name="Separador de milhares 3 8 5 8 5" xfId="12964"/>
    <cellStyle name="Separador de milhares 3 8 5 9" xfId="8251"/>
    <cellStyle name="Separador de milhares 3 8 5 9 2" xfId="26465"/>
    <cellStyle name="Separador de milhares 3 8 5 9 3" xfId="20551"/>
    <cellStyle name="Separador de milhares 3 8 5 9 4" xfId="14640"/>
    <cellStyle name="Separador de milhares 3 8 6" xfId="724"/>
    <cellStyle name="Separador de milhares 3 8 6 2" xfId="4148"/>
    <cellStyle name="Separador de milhares 3 8 6 2 2" xfId="7585"/>
    <cellStyle name="Separador de milhares 3 8 6 2 2 2" xfId="10729"/>
    <cellStyle name="Separador de milhares 3 8 6 2 2 2 2" xfId="28943"/>
    <cellStyle name="Separador de milhares 3 8 6 2 2 2 3" xfId="23029"/>
    <cellStyle name="Separador de milhares 3 8 6 2 2 2 4" xfId="17115"/>
    <cellStyle name="Separador de milhares 3 8 6 2 2 3" xfId="25986"/>
    <cellStyle name="Separador de milhares 3 8 6 2 2 4" xfId="20072"/>
    <cellStyle name="Separador de milhares 3 8 6 2 2 5" xfId="13974"/>
    <cellStyle name="Separador de milhares 3 8 6 2 3" xfId="9261"/>
    <cellStyle name="Separador de milhares 3 8 6 2 3 2" xfId="27475"/>
    <cellStyle name="Separador de milhares 3 8 6 2 3 3" xfId="21561"/>
    <cellStyle name="Separador de milhares 3 8 6 2 3 4" xfId="15647"/>
    <cellStyle name="Separador de milhares 3 8 6 2 4" xfId="5886"/>
    <cellStyle name="Separador de milhares 3 8 6 2 4 2" xfId="24518"/>
    <cellStyle name="Separador de milhares 3 8 6 2 5" xfId="18604"/>
    <cellStyle name="Separador de milhares 3 8 6 2 6" xfId="12273"/>
    <cellStyle name="Separador de milhares 3 8 6 3" xfId="6630"/>
    <cellStyle name="Separador de milhares 3 8 6 3 2" xfId="9777"/>
    <cellStyle name="Separador de milhares 3 8 6 3 2 2" xfId="27991"/>
    <cellStyle name="Separador de milhares 3 8 6 3 2 3" xfId="22077"/>
    <cellStyle name="Separador de milhares 3 8 6 3 2 4" xfId="16163"/>
    <cellStyle name="Separador de milhares 3 8 6 3 3" xfId="25034"/>
    <cellStyle name="Separador de milhares 3 8 6 3 4" xfId="19120"/>
    <cellStyle name="Separador de milhares 3 8 6 3 5" xfId="13019"/>
    <cellStyle name="Separador de milhares 3 8 6 4" xfId="8309"/>
    <cellStyle name="Separador de milhares 3 8 6 4 2" xfId="26523"/>
    <cellStyle name="Separador de milhares 3 8 6 4 3" xfId="20609"/>
    <cellStyle name="Separador de milhares 3 8 6 4 4" xfId="14695"/>
    <cellStyle name="Separador de milhares 3 8 6 5" xfId="4931"/>
    <cellStyle name="Separador de milhares 3 8 6 5 2" xfId="23566"/>
    <cellStyle name="Separador de milhares 3 8 6 6" xfId="17652"/>
    <cellStyle name="Separador de milhares 3 8 6 7" xfId="11318"/>
    <cellStyle name="Separador de milhares 3 8 7" xfId="1075"/>
    <cellStyle name="Separador de milhares 3 8 7 2" xfId="6728"/>
    <cellStyle name="Separador de milhares 3 8 7 2 2" xfId="9875"/>
    <cellStyle name="Separador de milhares 3 8 7 2 2 2" xfId="28089"/>
    <cellStyle name="Separador de milhares 3 8 7 2 2 3" xfId="22175"/>
    <cellStyle name="Separador de milhares 3 8 7 2 2 4" xfId="16261"/>
    <cellStyle name="Separador de milhares 3 8 7 2 3" xfId="25132"/>
    <cellStyle name="Separador de milhares 3 8 7 2 4" xfId="19218"/>
    <cellStyle name="Separador de milhares 3 8 7 2 5" xfId="13117"/>
    <cellStyle name="Separador de milhares 3 8 7 3" xfId="8407"/>
    <cellStyle name="Separador de milhares 3 8 7 3 2" xfId="26621"/>
    <cellStyle name="Separador de milhares 3 8 7 3 3" xfId="20707"/>
    <cellStyle name="Separador de milhares 3 8 7 3 4" xfId="14793"/>
    <cellStyle name="Separador de milhares 3 8 7 4" xfId="5029"/>
    <cellStyle name="Separador de milhares 3 8 7 4 2" xfId="23664"/>
    <cellStyle name="Separador de milhares 3 8 7 5" xfId="17750"/>
    <cellStyle name="Separador de milhares 3 8 7 6" xfId="11416"/>
    <cellStyle name="Separador de milhares 3 8 8" xfId="1510"/>
    <cellStyle name="Separador de milhares 3 8 8 2" xfId="6847"/>
    <cellStyle name="Separador de milhares 3 8 8 2 2" xfId="9994"/>
    <cellStyle name="Separador de milhares 3 8 8 2 2 2" xfId="28208"/>
    <cellStyle name="Separador de milhares 3 8 8 2 2 3" xfId="22294"/>
    <cellStyle name="Separador de milhares 3 8 8 2 2 4" xfId="16380"/>
    <cellStyle name="Separador de milhares 3 8 8 2 3" xfId="25251"/>
    <cellStyle name="Separador de milhares 3 8 8 2 4" xfId="19337"/>
    <cellStyle name="Separador de milhares 3 8 8 2 5" xfId="13236"/>
    <cellStyle name="Separador de milhares 3 8 8 3" xfId="8526"/>
    <cellStyle name="Separador de milhares 3 8 8 3 2" xfId="26740"/>
    <cellStyle name="Separador de milhares 3 8 8 3 3" xfId="20826"/>
    <cellStyle name="Separador de milhares 3 8 8 3 4" xfId="14912"/>
    <cellStyle name="Separador de milhares 3 8 8 4" xfId="5148"/>
    <cellStyle name="Separador de milhares 3 8 8 4 2" xfId="23783"/>
    <cellStyle name="Separador de milhares 3 8 8 5" xfId="17869"/>
    <cellStyle name="Separador de milhares 3 8 8 6" xfId="11535"/>
    <cellStyle name="Separador de milhares 3 8 9" xfId="2040"/>
    <cellStyle name="Separador de milhares 3 8 9 2" xfId="6997"/>
    <cellStyle name="Separador de milhares 3 8 9 2 2" xfId="10141"/>
    <cellStyle name="Separador de milhares 3 8 9 2 2 2" xfId="28355"/>
    <cellStyle name="Separador de milhares 3 8 9 2 2 3" xfId="22441"/>
    <cellStyle name="Separador de milhares 3 8 9 2 2 4" xfId="16527"/>
    <cellStyle name="Separador de milhares 3 8 9 2 3" xfId="25398"/>
    <cellStyle name="Separador de milhares 3 8 9 2 4" xfId="19484"/>
    <cellStyle name="Separador de milhares 3 8 9 2 5" xfId="13386"/>
    <cellStyle name="Separador de milhares 3 8 9 3" xfId="8673"/>
    <cellStyle name="Separador de milhares 3 8 9 3 2" xfId="26887"/>
    <cellStyle name="Separador de milhares 3 8 9 3 3" xfId="20973"/>
    <cellStyle name="Separador de milhares 3 8 9 3 4" xfId="15059"/>
    <cellStyle name="Separador de milhares 3 8 9 4" xfId="5298"/>
    <cellStyle name="Separador de milhares 3 8 9 4 2" xfId="23930"/>
    <cellStyle name="Separador de milhares 3 8 9 5" xfId="18016"/>
    <cellStyle name="Separador de milhares 3 8 9 6" xfId="11685"/>
    <cellStyle name="Separador de milhares 3 9" xfId="72"/>
    <cellStyle name="Separador de milhares 3 9 10" xfId="2575"/>
    <cellStyle name="Separador de milhares 3 9 10 2" xfId="7146"/>
    <cellStyle name="Separador de milhares 3 9 10 2 2" xfId="10290"/>
    <cellStyle name="Separador de milhares 3 9 10 2 2 2" xfId="28504"/>
    <cellStyle name="Separador de milhares 3 9 10 2 2 3" xfId="22590"/>
    <cellStyle name="Separador de milhares 3 9 10 2 2 4" xfId="16676"/>
    <cellStyle name="Separador de milhares 3 9 10 2 3" xfId="25547"/>
    <cellStyle name="Separador de milhares 3 9 10 2 4" xfId="19633"/>
    <cellStyle name="Separador de milhares 3 9 10 2 5" xfId="13535"/>
    <cellStyle name="Separador de milhares 3 9 10 3" xfId="8822"/>
    <cellStyle name="Separador de milhares 3 9 10 3 2" xfId="27036"/>
    <cellStyle name="Separador de milhares 3 9 10 3 3" xfId="21122"/>
    <cellStyle name="Separador de milhares 3 9 10 3 4" xfId="15208"/>
    <cellStyle name="Separador de milhares 3 9 10 4" xfId="5447"/>
    <cellStyle name="Separador de milhares 3 9 10 4 2" xfId="24079"/>
    <cellStyle name="Separador de milhares 3 9 10 5" xfId="18165"/>
    <cellStyle name="Separador de milhares 3 9 10 6" xfId="11834"/>
    <cellStyle name="Separador de milhares 3 9 11" xfId="3102"/>
    <cellStyle name="Separador de milhares 3 9 11 2" xfId="7293"/>
    <cellStyle name="Separador de milhares 3 9 11 2 2" xfId="10437"/>
    <cellStyle name="Separador de milhares 3 9 11 2 2 2" xfId="28651"/>
    <cellStyle name="Separador de milhares 3 9 11 2 2 3" xfId="22737"/>
    <cellStyle name="Separador de milhares 3 9 11 2 2 4" xfId="16823"/>
    <cellStyle name="Separador de milhares 3 9 11 2 3" xfId="25694"/>
    <cellStyle name="Separador de milhares 3 9 11 2 4" xfId="19780"/>
    <cellStyle name="Separador de milhares 3 9 11 2 5" xfId="13682"/>
    <cellStyle name="Separador de milhares 3 9 11 3" xfId="8969"/>
    <cellStyle name="Separador de milhares 3 9 11 3 2" xfId="27183"/>
    <cellStyle name="Separador de milhares 3 9 11 3 3" xfId="21269"/>
    <cellStyle name="Separador de milhares 3 9 11 3 4" xfId="15355"/>
    <cellStyle name="Separador de milhares 3 9 11 4" xfId="5594"/>
    <cellStyle name="Separador de milhares 3 9 11 4 2" xfId="24226"/>
    <cellStyle name="Separador de milhares 3 9 11 5" xfId="18312"/>
    <cellStyle name="Separador de milhares 3 9 11 6" xfId="11981"/>
    <cellStyle name="Separador de milhares 3 9 12" xfId="3629"/>
    <cellStyle name="Separador de milhares 3 9 12 2" xfId="7440"/>
    <cellStyle name="Separador de milhares 3 9 12 2 2" xfId="10584"/>
    <cellStyle name="Separador de milhares 3 9 12 2 2 2" xfId="28798"/>
    <cellStyle name="Separador de milhares 3 9 12 2 2 3" xfId="22884"/>
    <cellStyle name="Separador de milhares 3 9 12 2 2 4" xfId="16970"/>
    <cellStyle name="Separador de milhares 3 9 12 2 3" xfId="25841"/>
    <cellStyle name="Separador de milhares 3 9 12 2 4" xfId="19927"/>
    <cellStyle name="Separador de milhares 3 9 12 2 5" xfId="13829"/>
    <cellStyle name="Separador de milhares 3 9 12 3" xfId="9116"/>
    <cellStyle name="Separador de milhares 3 9 12 3 2" xfId="27330"/>
    <cellStyle name="Separador de milhares 3 9 12 3 3" xfId="21416"/>
    <cellStyle name="Separador de milhares 3 9 12 3 4" xfId="15502"/>
    <cellStyle name="Separador de milhares 3 9 12 4" xfId="5741"/>
    <cellStyle name="Separador de milhares 3 9 12 4 2" xfId="24373"/>
    <cellStyle name="Separador de milhares 3 9 12 5" xfId="18459"/>
    <cellStyle name="Separador de milhares 3 9 12 6" xfId="12128"/>
    <cellStyle name="Separador de milhares 3 9 13" xfId="6424"/>
    <cellStyle name="Separador de milhares 3 9 13 2" xfId="9580"/>
    <cellStyle name="Separador de milhares 3 9 13 2 2" xfId="27794"/>
    <cellStyle name="Separador de milhares 3 9 13 2 3" xfId="21880"/>
    <cellStyle name="Separador de milhares 3 9 13 2 4" xfId="15966"/>
    <cellStyle name="Separador de milhares 3 9 13 3" xfId="24837"/>
    <cellStyle name="Separador de milhares 3 9 13 4" xfId="18923"/>
    <cellStyle name="Separador de milhares 3 9 13 5" xfId="12813"/>
    <cellStyle name="Separador de milhares 3 9 14" xfId="8109"/>
    <cellStyle name="Separador de milhares 3 9 14 2" xfId="26323"/>
    <cellStyle name="Separador de milhares 3 9 14 3" xfId="20409"/>
    <cellStyle name="Separador de milhares 3 9 14 4" xfId="14498"/>
    <cellStyle name="Separador de milhares 3 9 15" xfId="4722"/>
    <cellStyle name="Separador de milhares 3 9 15 2" xfId="23366"/>
    <cellStyle name="Separador de milhares 3 9 16" xfId="17452"/>
    <cellStyle name="Separador de milhares 3 9 17" xfId="11112"/>
    <cellStyle name="Separador de milhares 3 9 2" xfId="166"/>
    <cellStyle name="Separador de milhares 3 9 2 10" xfId="6453"/>
    <cellStyle name="Separador de milhares 3 9 2 10 2" xfId="9607"/>
    <cellStyle name="Separador de milhares 3 9 2 10 2 2" xfId="27821"/>
    <cellStyle name="Separador de milhares 3 9 2 10 2 3" xfId="21907"/>
    <cellStyle name="Separador de milhares 3 9 2 10 2 4" xfId="15993"/>
    <cellStyle name="Separador de milhares 3 9 2 10 3" xfId="24864"/>
    <cellStyle name="Separador de milhares 3 9 2 10 4" xfId="18950"/>
    <cellStyle name="Separador de milhares 3 9 2 10 5" xfId="12842"/>
    <cellStyle name="Separador de milhares 3 9 2 11" xfId="8136"/>
    <cellStyle name="Separador de milhares 3 9 2 11 2" xfId="26350"/>
    <cellStyle name="Separador de milhares 3 9 2 11 3" xfId="20436"/>
    <cellStyle name="Separador de milhares 3 9 2 11 4" xfId="14525"/>
    <cellStyle name="Separador de milhares 3 9 2 12" xfId="4752"/>
    <cellStyle name="Separador de milhares 3 9 2 12 2" xfId="23393"/>
    <cellStyle name="Separador de milhares 3 9 2 13" xfId="17479"/>
    <cellStyle name="Separador de milhares 3 9 2 14" xfId="11141"/>
    <cellStyle name="Separador de milhares 3 9 2 2" xfId="439"/>
    <cellStyle name="Separador de milhares 3 9 2 2 10" xfId="17553"/>
    <cellStyle name="Separador de milhares 3 9 2 2 11" xfId="11222"/>
    <cellStyle name="Separador de milhares 3 9 2 2 2" xfId="1958"/>
    <cellStyle name="Separador de milhares 3 9 2 2 2 2" xfId="6972"/>
    <cellStyle name="Separador de milhares 3 9 2 2 2 2 2" xfId="10119"/>
    <cellStyle name="Separador de milhares 3 9 2 2 2 2 2 2" xfId="28333"/>
    <cellStyle name="Separador de milhares 3 9 2 2 2 2 2 3" xfId="22419"/>
    <cellStyle name="Separador de milhares 3 9 2 2 2 2 2 4" xfId="16505"/>
    <cellStyle name="Separador de milhares 3 9 2 2 2 2 3" xfId="25376"/>
    <cellStyle name="Separador de milhares 3 9 2 2 2 2 4" xfId="19462"/>
    <cellStyle name="Separador de milhares 3 9 2 2 2 2 5" xfId="13361"/>
    <cellStyle name="Separador de milhares 3 9 2 2 2 3" xfId="8651"/>
    <cellStyle name="Separador de milhares 3 9 2 2 2 3 2" xfId="26865"/>
    <cellStyle name="Separador de milhares 3 9 2 2 2 3 3" xfId="20951"/>
    <cellStyle name="Separador de milhares 3 9 2 2 2 3 4" xfId="15037"/>
    <cellStyle name="Separador de milhares 3 9 2 2 2 4" xfId="5273"/>
    <cellStyle name="Separador de milhares 3 9 2 2 2 4 2" xfId="23908"/>
    <cellStyle name="Separador de milhares 3 9 2 2 2 5" xfId="17994"/>
    <cellStyle name="Separador de milhares 3 9 2 2 2 6" xfId="11660"/>
    <cellStyle name="Separador de milhares 3 9 2 2 3" xfId="2488"/>
    <cellStyle name="Separador de milhares 3 9 2 2 3 2" xfId="7122"/>
    <cellStyle name="Separador de milhares 3 9 2 2 3 2 2" xfId="10266"/>
    <cellStyle name="Separador de milhares 3 9 2 2 3 2 2 2" xfId="28480"/>
    <cellStyle name="Separador de milhares 3 9 2 2 3 2 2 3" xfId="22566"/>
    <cellStyle name="Separador de milhares 3 9 2 2 3 2 2 4" xfId="16652"/>
    <cellStyle name="Separador de milhares 3 9 2 2 3 2 3" xfId="25523"/>
    <cellStyle name="Separador de milhares 3 9 2 2 3 2 4" xfId="19609"/>
    <cellStyle name="Separador de milhares 3 9 2 2 3 2 5" xfId="13511"/>
    <cellStyle name="Separador de milhares 3 9 2 2 3 3" xfId="8798"/>
    <cellStyle name="Separador de milhares 3 9 2 2 3 3 2" xfId="27012"/>
    <cellStyle name="Separador de milhares 3 9 2 2 3 3 3" xfId="21098"/>
    <cellStyle name="Separador de milhares 3 9 2 2 3 3 4" xfId="15184"/>
    <cellStyle name="Separador de milhares 3 9 2 2 3 4" xfId="5423"/>
    <cellStyle name="Separador de milhares 3 9 2 2 3 4 2" xfId="24055"/>
    <cellStyle name="Separador de milhares 3 9 2 2 3 5" xfId="18141"/>
    <cellStyle name="Separador de milhares 3 9 2 2 3 6" xfId="11810"/>
    <cellStyle name="Separador de milhares 3 9 2 2 4" xfId="3015"/>
    <cellStyle name="Separador de milhares 3 9 2 2 4 2" xfId="7269"/>
    <cellStyle name="Separador de milhares 3 9 2 2 4 2 2" xfId="10413"/>
    <cellStyle name="Separador de milhares 3 9 2 2 4 2 2 2" xfId="28627"/>
    <cellStyle name="Separador de milhares 3 9 2 2 4 2 2 3" xfId="22713"/>
    <cellStyle name="Separador de milhares 3 9 2 2 4 2 2 4" xfId="16799"/>
    <cellStyle name="Separador de milhares 3 9 2 2 4 2 3" xfId="25670"/>
    <cellStyle name="Separador de milhares 3 9 2 2 4 2 4" xfId="19756"/>
    <cellStyle name="Separador de milhares 3 9 2 2 4 2 5" xfId="13658"/>
    <cellStyle name="Separador de milhares 3 9 2 2 4 3" xfId="8945"/>
    <cellStyle name="Separador de milhares 3 9 2 2 4 3 2" xfId="27159"/>
    <cellStyle name="Separador de milhares 3 9 2 2 4 3 3" xfId="21245"/>
    <cellStyle name="Separador de milhares 3 9 2 2 4 3 4" xfId="15331"/>
    <cellStyle name="Separador de milhares 3 9 2 2 4 4" xfId="5570"/>
    <cellStyle name="Separador de milhares 3 9 2 2 4 4 2" xfId="24202"/>
    <cellStyle name="Separador de milhares 3 9 2 2 4 5" xfId="18288"/>
    <cellStyle name="Separador de milhares 3 9 2 2 4 6" xfId="11957"/>
    <cellStyle name="Separador de milhares 3 9 2 2 5" xfId="3542"/>
    <cellStyle name="Separador de milhares 3 9 2 2 5 2" xfId="7416"/>
    <cellStyle name="Separador de milhares 3 9 2 2 5 2 2" xfId="10560"/>
    <cellStyle name="Separador de milhares 3 9 2 2 5 2 2 2" xfId="28774"/>
    <cellStyle name="Separador de milhares 3 9 2 2 5 2 2 3" xfId="22860"/>
    <cellStyle name="Separador de milhares 3 9 2 2 5 2 2 4" xfId="16946"/>
    <cellStyle name="Separador de milhares 3 9 2 2 5 2 3" xfId="25817"/>
    <cellStyle name="Separador de milhares 3 9 2 2 5 2 4" xfId="19903"/>
    <cellStyle name="Separador de milhares 3 9 2 2 5 2 5" xfId="13805"/>
    <cellStyle name="Separador de milhares 3 9 2 2 5 3" xfId="9092"/>
    <cellStyle name="Separador de milhares 3 9 2 2 5 3 2" xfId="27306"/>
    <cellStyle name="Separador de milhares 3 9 2 2 5 3 3" xfId="21392"/>
    <cellStyle name="Separador de milhares 3 9 2 2 5 3 4" xfId="15478"/>
    <cellStyle name="Separador de milhares 3 9 2 2 5 4" xfId="5717"/>
    <cellStyle name="Separador de milhares 3 9 2 2 5 4 2" xfId="24349"/>
    <cellStyle name="Separador de milhares 3 9 2 2 5 5" xfId="18435"/>
    <cellStyle name="Separador de milhares 3 9 2 2 5 6" xfId="12104"/>
    <cellStyle name="Separador de milhares 3 9 2 2 6" xfId="4069"/>
    <cellStyle name="Separador de milhares 3 9 2 2 6 2" xfId="7563"/>
    <cellStyle name="Separador de milhares 3 9 2 2 6 2 2" xfId="10707"/>
    <cellStyle name="Separador de milhares 3 9 2 2 6 2 2 2" xfId="28921"/>
    <cellStyle name="Separador de milhares 3 9 2 2 6 2 2 3" xfId="23007"/>
    <cellStyle name="Separador de milhares 3 9 2 2 6 2 2 4" xfId="17093"/>
    <cellStyle name="Separador de milhares 3 9 2 2 6 2 3" xfId="25964"/>
    <cellStyle name="Separador de milhares 3 9 2 2 6 2 4" xfId="20050"/>
    <cellStyle name="Separador de milhares 3 9 2 2 6 2 5" xfId="13952"/>
    <cellStyle name="Separador de milhares 3 9 2 2 6 3" xfId="9239"/>
    <cellStyle name="Separador de milhares 3 9 2 2 6 3 2" xfId="27453"/>
    <cellStyle name="Separador de milhares 3 9 2 2 6 3 3" xfId="21539"/>
    <cellStyle name="Separador de milhares 3 9 2 2 6 3 4" xfId="15625"/>
    <cellStyle name="Separador de milhares 3 9 2 2 6 4" xfId="5864"/>
    <cellStyle name="Separador de milhares 3 9 2 2 6 4 2" xfId="24496"/>
    <cellStyle name="Separador de milhares 3 9 2 2 6 5" xfId="18582"/>
    <cellStyle name="Separador de milhares 3 9 2 2 6 6" xfId="12251"/>
    <cellStyle name="Separador de milhares 3 9 2 2 7" xfId="6534"/>
    <cellStyle name="Separador de milhares 3 9 2 2 7 2" xfId="9681"/>
    <cellStyle name="Separador de milhares 3 9 2 2 7 2 2" xfId="27895"/>
    <cellStyle name="Separador de milhares 3 9 2 2 7 2 3" xfId="21981"/>
    <cellStyle name="Separador de milhares 3 9 2 2 7 2 4" xfId="16067"/>
    <cellStyle name="Separador de milhares 3 9 2 2 7 3" xfId="24938"/>
    <cellStyle name="Separador de milhares 3 9 2 2 7 4" xfId="19024"/>
    <cellStyle name="Separador de milhares 3 9 2 2 7 5" xfId="12923"/>
    <cellStyle name="Separador de milhares 3 9 2 2 8" xfId="8210"/>
    <cellStyle name="Separador de milhares 3 9 2 2 8 2" xfId="26424"/>
    <cellStyle name="Separador de milhares 3 9 2 2 8 3" xfId="20510"/>
    <cellStyle name="Separador de milhares 3 9 2 2 8 4" xfId="14599"/>
    <cellStyle name="Separador de milhares 3 9 2 2 9" xfId="4833"/>
    <cellStyle name="Separador de milhares 3 9 2 2 9 2" xfId="23467"/>
    <cellStyle name="Separador de milhares 3 9 2 3" xfId="912"/>
    <cellStyle name="Separador de milhares 3 9 2 3 2" xfId="6685"/>
    <cellStyle name="Separador de milhares 3 9 2 3 2 2" xfId="9832"/>
    <cellStyle name="Separador de milhares 3 9 2 3 2 2 2" xfId="28046"/>
    <cellStyle name="Separador de milhares 3 9 2 3 2 2 3" xfId="22132"/>
    <cellStyle name="Separador de milhares 3 9 2 3 2 2 4" xfId="16218"/>
    <cellStyle name="Separador de milhares 3 9 2 3 2 3" xfId="25089"/>
    <cellStyle name="Separador de milhares 3 9 2 3 2 4" xfId="19175"/>
    <cellStyle name="Separador de milhares 3 9 2 3 2 5" xfId="13074"/>
    <cellStyle name="Separador de milhares 3 9 2 3 3" xfId="8364"/>
    <cellStyle name="Separador de milhares 3 9 2 3 3 2" xfId="26578"/>
    <cellStyle name="Separador de milhares 3 9 2 3 3 3" xfId="20664"/>
    <cellStyle name="Separador de milhares 3 9 2 3 3 4" xfId="14750"/>
    <cellStyle name="Separador de milhares 3 9 2 3 4" xfId="4986"/>
    <cellStyle name="Separador de milhares 3 9 2 3 4 2" xfId="23621"/>
    <cellStyle name="Separador de milhares 3 9 2 3 5" xfId="17707"/>
    <cellStyle name="Separador de milhares 3 9 2 3 6" xfId="11373"/>
    <cellStyle name="Separador de milhares 3 9 2 4" xfId="1263"/>
    <cellStyle name="Separador de milhares 3 9 2 4 2" xfId="6783"/>
    <cellStyle name="Separador de milhares 3 9 2 4 2 2" xfId="9930"/>
    <cellStyle name="Separador de milhares 3 9 2 4 2 2 2" xfId="28144"/>
    <cellStyle name="Separador de milhares 3 9 2 4 2 2 3" xfId="22230"/>
    <cellStyle name="Separador de milhares 3 9 2 4 2 2 4" xfId="16316"/>
    <cellStyle name="Separador de milhares 3 9 2 4 2 3" xfId="25187"/>
    <cellStyle name="Separador de milhares 3 9 2 4 2 4" xfId="19273"/>
    <cellStyle name="Separador de milhares 3 9 2 4 2 5" xfId="13172"/>
    <cellStyle name="Separador de milhares 3 9 2 4 3" xfId="8462"/>
    <cellStyle name="Separador de milhares 3 9 2 4 3 2" xfId="26676"/>
    <cellStyle name="Separador de milhares 3 9 2 4 3 3" xfId="20762"/>
    <cellStyle name="Separador de milhares 3 9 2 4 3 4" xfId="14848"/>
    <cellStyle name="Separador de milhares 3 9 2 4 4" xfId="5084"/>
    <cellStyle name="Separador de milhares 3 9 2 4 4 2" xfId="23719"/>
    <cellStyle name="Separador de milhares 3 9 2 4 5" xfId="17805"/>
    <cellStyle name="Separador de milhares 3 9 2 4 6" xfId="11471"/>
    <cellStyle name="Separador de milhares 3 9 2 5" xfId="1698"/>
    <cellStyle name="Separador de milhares 3 9 2 5 2" xfId="6902"/>
    <cellStyle name="Separador de milhares 3 9 2 5 2 2" xfId="10049"/>
    <cellStyle name="Separador de milhares 3 9 2 5 2 2 2" xfId="28263"/>
    <cellStyle name="Separador de milhares 3 9 2 5 2 2 3" xfId="22349"/>
    <cellStyle name="Separador de milhares 3 9 2 5 2 2 4" xfId="16435"/>
    <cellStyle name="Separador de milhares 3 9 2 5 2 3" xfId="25306"/>
    <cellStyle name="Separador de milhares 3 9 2 5 2 4" xfId="19392"/>
    <cellStyle name="Separador de milhares 3 9 2 5 2 5" xfId="13291"/>
    <cellStyle name="Separador de milhares 3 9 2 5 3" xfId="8581"/>
    <cellStyle name="Separador de milhares 3 9 2 5 3 2" xfId="26795"/>
    <cellStyle name="Separador de milhares 3 9 2 5 3 3" xfId="20881"/>
    <cellStyle name="Separador de milhares 3 9 2 5 3 4" xfId="14967"/>
    <cellStyle name="Separador de milhares 3 9 2 5 4" xfId="5203"/>
    <cellStyle name="Separador de milhares 3 9 2 5 4 2" xfId="23838"/>
    <cellStyle name="Separador de milhares 3 9 2 5 5" xfId="17924"/>
    <cellStyle name="Separador de milhares 3 9 2 5 6" xfId="11590"/>
    <cellStyle name="Separador de milhares 3 9 2 6" xfId="2228"/>
    <cellStyle name="Separador de milhares 3 9 2 6 2" xfId="7052"/>
    <cellStyle name="Separador de milhares 3 9 2 6 2 2" xfId="10196"/>
    <cellStyle name="Separador de milhares 3 9 2 6 2 2 2" xfId="28410"/>
    <cellStyle name="Separador de milhares 3 9 2 6 2 2 3" xfId="22496"/>
    <cellStyle name="Separador de milhares 3 9 2 6 2 2 4" xfId="16582"/>
    <cellStyle name="Separador de milhares 3 9 2 6 2 3" xfId="25453"/>
    <cellStyle name="Separador de milhares 3 9 2 6 2 4" xfId="19539"/>
    <cellStyle name="Separador de milhares 3 9 2 6 2 5" xfId="13441"/>
    <cellStyle name="Separador de milhares 3 9 2 6 3" xfId="8728"/>
    <cellStyle name="Separador de milhares 3 9 2 6 3 2" xfId="26942"/>
    <cellStyle name="Separador de milhares 3 9 2 6 3 3" xfId="21028"/>
    <cellStyle name="Separador de milhares 3 9 2 6 3 4" xfId="15114"/>
    <cellStyle name="Separador de milhares 3 9 2 6 4" xfId="5353"/>
    <cellStyle name="Separador de milhares 3 9 2 6 4 2" xfId="23985"/>
    <cellStyle name="Separador de milhares 3 9 2 6 5" xfId="18071"/>
    <cellStyle name="Separador de milhares 3 9 2 6 6" xfId="11740"/>
    <cellStyle name="Separador de milhares 3 9 2 7" xfId="2755"/>
    <cellStyle name="Separador de milhares 3 9 2 7 2" xfId="7199"/>
    <cellStyle name="Separador de milhares 3 9 2 7 2 2" xfId="10343"/>
    <cellStyle name="Separador de milhares 3 9 2 7 2 2 2" xfId="28557"/>
    <cellStyle name="Separador de milhares 3 9 2 7 2 2 3" xfId="22643"/>
    <cellStyle name="Separador de milhares 3 9 2 7 2 2 4" xfId="16729"/>
    <cellStyle name="Separador de milhares 3 9 2 7 2 3" xfId="25600"/>
    <cellStyle name="Separador de milhares 3 9 2 7 2 4" xfId="19686"/>
    <cellStyle name="Separador de milhares 3 9 2 7 2 5" xfId="13588"/>
    <cellStyle name="Separador de milhares 3 9 2 7 3" xfId="8875"/>
    <cellStyle name="Separador de milhares 3 9 2 7 3 2" xfId="27089"/>
    <cellStyle name="Separador de milhares 3 9 2 7 3 3" xfId="21175"/>
    <cellStyle name="Separador de milhares 3 9 2 7 3 4" xfId="15261"/>
    <cellStyle name="Separador de milhares 3 9 2 7 4" xfId="5500"/>
    <cellStyle name="Separador de milhares 3 9 2 7 4 2" xfId="24132"/>
    <cellStyle name="Separador de milhares 3 9 2 7 5" xfId="18218"/>
    <cellStyle name="Separador de milhares 3 9 2 7 6" xfId="11887"/>
    <cellStyle name="Separador de milhares 3 9 2 8" xfId="3282"/>
    <cellStyle name="Separador de milhares 3 9 2 8 2" xfId="7346"/>
    <cellStyle name="Separador de milhares 3 9 2 8 2 2" xfId="10490"/>
    <cellStyle name="Separador de milhares 3 9 2 8 2 2 2" xfId="28704"/>
    <cellStyle name="Separador de milhares 3 9 2 8 2 2 3" xfId="22790"/>
    <cellStyle name="Separador de milhares 3 9 2 8 2 2 4" xfId="16876"/>
    <cellStyle name="Separador de milhares 3 9 2 8 2 3" xfId="25747"/>
    <cellStyle name="Separador de milhares 3 9 2 8 2 4" xfId="19833"/>
    <cellStyle name="Separador de milhares 3 9 2 8 2 5" xfId="13735"/>
    <cellStyle name="Separador de milhares 3 9 2 8 3" xfId="9022"/>
    <cellStyle name="Separador de milhares 3 9 2 8 3 2" xfId="27236"/>
    <cellStyle name="Separador de milhares 3 9 2 8 3 3" xfId="21322"/>
    <cellStyle name="Separador de milhares 3 9 2 8 3 4" xfId="15408"/>
    <cellStyle name="Separador de milhares 3 9 2 8 4" xfId="5647"/>
    <cellStyle name="Separador de milhares 3 9 2 8 4 2" xfId="24279"/>
    <cellStyle name="Separador de milhares 3 9 2 8 5" xfId="18365"/>
    <cellStyle name="Separador de milhares 3 9 2 8 6" xfId="12034"/>
    <cellStyle name="Separador de milhares 3 9 2 9" xfId="3809"/>
    <cellStyle name="Separador de milhares 3 9 2 9 2" xfId="7493"/>
    <cellStyle name="Separador de milhares 3 9 2 9 2 2" xfId="10637"/>
    <cellStyle name="Separador de milhares 3 9 2 9 2 2 2" xfId="28851"/>
    <cellStyle name="Separador de milhares 3 9 2 9 2 2 3" xfId="22937"/>
    <cellStyle name="Separador de milhares 3 9 2 9 2 2 4" xfId="17023"/>
    <cellStyle name="Separador de milhares 3 9 2 9 2 3" xfId="25894"/>
    <cellStyle name="Separador de milhares 3 9 2 9 2 4" xfId="19980"/>
    <cellStyle name="Separador de milhares 3 9 2 9 2 5" xfId="13882"/>
    <cellStyle name="Separador de milhares 3 9 2 9 3" xfId="9169"/>
    <cellStyle name="Separador de milhares 3 9 2 9 3 2" xfId="27383"/>
    <cellStyle name="Separador de milhares 3 9 2 9 3 3" xfId="21469"/>
    <cellStyle name="Separador de milhares 3 9 2 9 3 4" xfId="15555"/>
    <cellStyle name="Separador de milhares 3 9 2 9 4" xfId="5794"/>
    <cellStyle name="Separador de milhares 3 9 2 9 4 2" xfId="24426"/>
    <cellStyle name="Separador de milhares 3 9 2 9 5" xfId="18512"/>
    <cellStyle name="Separador de milhares 3 9 2 9 6" xfId="12181"/>
    <cellStyle name="Separador de milhares 3 9 3" xfId="261"/>
    <cellStyle name="Separador de milhares 3 9 3 10" xfId="6484"/>
    <cellStyle name="Separador de milhares 3 9 3 10 2" xfId="9635"/>
    <cellStyle name="Separador de milhares 3 9 3 10 2 2" xfId="27849"/>
    <cellStyle name="Separador de milhares 3 9 3 10 2 3" xfId="21935"/>
    <cellStyle name="Separador de milhares 3 9 3 10 2 4" xfId="16021"/>
    <cellStyle name="Separador de milhares 3 9 3 10 3" xfId="24892"/>
    <cellStyle name="Separador de milhares 3 9 3 10 4" xfId="18978"/>
    <cellStyle name="Separador de milhares 3 9 3 10 5" xfId="12873"/>
    <cellStyle name="Separador de milhares 3 9 3 11" xfId="8164"/>
    <cellStyle name="Separador de milhares 3 9 3 11 2" xfId="26378"/>
    <cellStyle name="Separador de milhares 3 9 3 11 3" xfId="20464"/>
    <cellStyle name="Separador de milhares 3 9 3 11 4" xfId="14553"/>
    <cellStyle name="Separador de milhares 3 9 3 12" xfId="4783"/>
    <cellStyle name="Separador de milhares 3 9 3 12 2" xfId="23421"/>
    <cellStyle name="Separador de milhares 3 9 3 13" xfId="17507"/>
    <cellStyle name="Separador de milhares 3 9 3 14" xfId="11172"/>
    <cellStyle name="Separador de milhares 3 9 3 2" xfId="524"/>
    <cellStyle name="Separador de milhares 3 9 3 2 2" xfId="6555"/>
    <cellStyle name="Separador de milhares 3 9 3 2 2 2" xfId="9702"/>
    <cellStyle name="Separador de milhares 3 9 3 2 2 2 2" xfId="27916"/>
    <cellStyle name="Separador de milhares 3 9 3 2 2 2 3" xfId="22002"/>
    <cellStyle name="Separador de milhares 3 9 3 2 2 2 4" xfId="16088"/>
    <cellStyle name="Separador de milhares 3 9 3 2 2 3" xfId="24959"/>
    <cellStyle name="Separador de milhares 3 9 3 2 2 4" xfId="19045"/>
    <cellStyle name="Separador de milhares 3 9 3 2 2 5" xfId="12944"/>
    <cellStyle name="Separador de milhares 3 9 3 2 3" xfId="8231"/>
    <cellStyle name="Separador de milhares 3 9 3 2 3 2" xfId="26445"/>
    <cellStyle name="Separador de milhares 3 9 3 2 3 3" xfId="20531"/>
    <cellStyle name="Separador de milhares 3 9 3 2 3 4" xfId="14620"/>
    <cellStyle name="Separador de milhares 3 9 3 2 4" xfId="4854"/>
    <cellStyle name="Separador de milhares 3 9 3 2 4 2" xfId="23488"/>
    <cellStyle name="Separador de milhares 3 9 3 2 5" xfId="17574"/>
    <cellStyle name="Separador de milhares 3 9 3 2 6" xfId="11243"/>
    <cellStyle name="Separador de milhares 3 9 3 3" xfId="821"/>
    <cellStyle name="Separador de milhares 3 9 3 3 2" xfId="6657"/>
    <cellStyle name="Separador de milhares 3 9 3 3 2 2" xfId="9804"/>
    <cellStyle name="Separador de milhares 3 9 3 3 2 2 2" xfId="28018"/>
    <cellStyle name="Separador de milhares 3 9 3 3 2 2 3" xfId="22104"/>
    <cellStyle name="Separador de milhares 3 9 3 3 2 2 4" xfId="16190"/>
    <cellStyle name="Separador de milhares 3 9 3 3 2 3" xfId="25061"/>
    <cellStyle name="Separador de milhares 3 9 3 3 2 4" xfId="19147"/>
    <cellStyle name="Separador de milhares 3 9 3 3 2 5" xfId="13046"/>
    <cellStyle name="Separador de milhares 3 9 3 3 3" xfId="8336"/>
    <cellStyle name="Separador de milhares 3 9 3 3 3 2" xfId="26550"/>
    <cellStyle name="Separador de milhares 3 9 3 3 3 3" xfId="20636"/>
    <cellStyle name="Separador de milhares 3 9 3 3 3 4" xfId="14722"/>
    <cellStyle name="Separador de milhares 3 9 3 3 4" xfId="4958"/>
    <cellStyle name="Separador de milhares 3 9 3 3 4 2" xfId="23593"/>
    <cellStyle name="Separador de milhares 3 9 3 3 5" xfId="17679"/>
    <cellStyle name="Separador de milhares 3 9 3 3 6" xfId="11345"/>
    <cellStyle name="Separador de milhares 3 9 3 4" xfId="1172"/>
    <cellStyle name="Separador de milhares 3 9 3 4 2" xfId="6755"/>
    <cellStyle name="Separador de milhares 3 9 3 4 2 2" xfId="9902"/>
    <cellStyle name="Separador de milhares 3 9 3 4 2 2 2" xfId="28116"/>
    <cellStyle name="Separador de milhares 3 9 3 4 2 2 3" xfId="22202"/>
    <cellStyle name="Separador de milhares 3 9 3 4 2 2 4" xfId="16288"/>
    <cellStyle name="Separador de milhares 3 9 3 4 2 3" xfId="25159"/>
    <cellStyle name="Separador de milhares 3 9 3 4 2 4" xfId="19245"/>
    <cellStyle name="Separador de milhares 3 9 3 4 2 5" xfId="13144"/>
    <cellStyle name="Separador de milhares 3 9 3 4 3" xfId="8434"/>
    <cellStyle name="Separador de milhares 3 9 3 4 3 2" xfId="26648"/>
    <cellStyle name="Separador de milhares 3 9 3 4 3 3" xfId="20734"/>
    <cellStyle name="Separador de milhares 3 9 3 4 3 4" xfId="14820"/>
    <cellStyle name="Separador de milhares 3 9 3 4 4" xfId="5056"/>
    <cellStyle name="Separador de milhares 3 9 3 4 4 2" xfId="23691"/>
    <cellStyle name="Separador de milhares 3 9 3 4 5" xfId="17777"/>
    <cellStyle name="Separador de milhares 3 9 3 4 6" xfId="11443"/>
    <cellStyle name="Separador de milhares 3 9 3 5" xfId="1607"/>
    <cellStyle name="Separador de milhares 3 9 3 5 2" xfId="6874"/>
    <cellStyle name="Separador de milhares 3 9 3 5 2 2" xfId="10021"/>
    <cellStyle name="Separador de milhares 3 9 3 5 2 2 2" xfId="28235"/>
    <cellStyle name="Separador de milhares 3 9 3 5 2 2 3" xfId="22321"/>
    <cellStyle name="Separador de milhares 3 9 3 5 2 2 4" xfId="16407"/>
    <cellStyle name="Separador de milhares 3 9 3 5 2 3" xfId="25278"/>
    <cellStyle name="Separador de milhares 3 9 3 5 2 4" xfId="19364"/>
    <cellStyle name="Separador de milhares 3 9 3 5 2 5" xfId="13263"/>
    <cellStyle name="Separador de milhares 3 9 3 5 3" xfId="8553"/>
    <cellStyle name="Separador de milhares 3 9 3 5 3 2" xfId="26767"/>
    <cellStyle name="Separador de milhares 3 9 3 5 3 3" xfId="20853"/>
    <cellStyle name="Separador de milhares 3 9 3 5 3 4" xfId="14939"/>
    <cellStyle name="Separador de milhares 3 9 3 5 4" xfId="5175"/>
    <cellStyle name="Separador de milhares 3 9 3 5 4 2" xfId="23810"/>
    <cellStyle name="Separador de milhares 3 9 3 5 5" xfId="17896"/>
    <cellStyle name="Separador de milhares 3 9 3 5 6" xfId="11562"/>
    <cellStyle name="Separador de milhares 3 9 3 6" xfId="2137"/>
    <cellStyle name="Separador de milhares 3 9 3 6 2" xfId="7024"/>
    <cellStyle name="Separador de milhares 3 9 3 6 2 2" xfId="10168"/>
    <cellStyle name="Separador de milhares 3 9 3 6 2 2 2" xfId="28382"/>
    <cellStyle name="Separador de milhares 3 9 3 6 2 2 3" xfId="22468"/>
    <cellStyle name="Separador de milhares 3 9 3 6 2 2 4" xfId="16554"/>
    <cellStyle name="Separador de milhares 3 9 3 6 2 3" xfId="25425"/>
    <cellStyle name="Separador de milhares 3 9 3 6 2 4" xfId="19511"/>
    <cellStyle name="Separador de milhares 3 9 3 6 2 5" xfId="13413"/>
    <cellStyle name="Separador de milhares 3 9 3 6 3" xfId="8700"/>
    <cellStyle name="Separador de milhares 3 9 3 6 3 2" xfId="26914"/>
    <cellStyle name="Separador de milhares 3 9 3 6 3 3" xfId="21000"/>
    <cellStyle name="Separador de milhares 3 9 3 6 3 4" xfId="15086"/>
    <cellStyle name="Separador de milhares 3 9 3 6 4" xfId="5325"/>
    <cellStyle name="Separador de milhares 3 9 3 6 4 2" xfId="23957"/>
    <cellStyle name="Separador de milhares 3 9 3 6 5" xfId="18043"/>
    <cellStyle name="Separador de milhares 3 9 3 6 6" xfId="11712"/>
    <cellStyle name="Separador de milhares 3 9 3 7" xfId="2664"/>
    <cellStyle name="Separador de milhares 3 9 3 7 2" xfId="7171"/>
    <cellStyle name="Separador de milhares 3 9 3 7 2 2" xfId="10315"/>
    <cellStyle name="Separador de milhares 3 9 3 7 2 2 2" xfId="28529"/>
    <cellStyle name="Separador de milhares 3 9 3 7 2 2 3" xfId="22615"/>
    <cellStyle name="Separador de milhares 3 9 3 7 2 2 4" xfId="16701"/>
    <cellStyle name="Separador de milhares 3 9 3 7 2 3" xfId="25572"/>
    <cellStyle name="Separador de milhares 3 9 3 7 2 4" xfId="19658"/>
    <cellStyle name="Separador de milhares 3 9 3 7 2 5" xfId="13560"/>
    <cellStyle name="Separador de milhares 3 9 3 7 3" xfId="8847"/>
    <cellStyle name="Separador de milhares 3 9 3 7 3 2" xfId="27061"/>
    <cellStyle name="Separador de milhares 3 9 3 7 3 3" xfId="21147"/>
    <cellStyle name="Separador de milhares 3 9 3 7 3 4" xfId="15233"/>
    <cellStyle name="Separador de milhares 3 9 3 7 4" xfId="5472"/>
    <cellStyle name="Separador de milhares 3 9 3 7 4 2" xfId="24104"/>
    <cellStyle name="Separador de milhares 3 9 3 7 5" xfId="18190"/>
    <cellStyle name="Separador de milhares 3 9 3 7 6" xfId="11859"/>
    <cellStyle name="Separador de milhares 3 9 3 8" xfId="3191"/>
    <cellStyle name="Separador de milhares 3 9 3 8 2" xfId="7318"/>
    <cellStyle name="Separador de milhares 3 9 3 8 2 2" xfId="10462"/>
    <cellStyle name="Separador de milhares 3 9 3 8 2 2 2" xfId="28676"/>
    <cellStyle name="Separador de milhares 3 9 3 8 2 2 3" xfId="22762"/>
    <cellStyle name="Separador de milhares 3 9 3 8 2 2 4" xfId="16848"/>
    <cellStyle name="Separador de milhares 3 9 3 8 2 3" xfId="25719"/>
    <cellStyle name="Separador de milhares 3 9 3 8 2 4" xfId="19805"/>
    <cellStyle name="Separador de milhares 3 9 3 8 2 5" xfId="13707"/>
    <cellStyle name="Separador de milhares 3 9 3 8 3" xfId="8994"/>
    <cellStyle name="Separador de milhares 3 9 3 8 3 2" xfId="27208"/>
    <cellStyle name="Separador de milhares 3 9 3 8 3 3" xfId="21294"/>
    <cellStyle name="Separador de milhares 3 9 3 8 3 4" xfId="15380"/>
    <cellStyle name="Separador de milhares 3 9 3 8 4" xfId="5619"/>
    <cellStyle name="Separador de milhares 3 9 3 8 4 2" xfId="24251"/>
    <cellStyle name="Separador de milhares 3 9 3 8 5" xfId="18337"/>
    <cellStyle name="Separador de milhares 3 9 3 8 6" xfId="12006"/>
    <cellStyle name="Separador de milhares 3 9 3 9" xfId="3718"/>
    <cellStyle name="Separador de milhares 3 9 3 9 2" xfId="7465"/>
    <cellStyle name="Separador de milhares 3 9 3 9 2 2" xfId="10609"/>
    <cellStyle name="Separador de milhares 3 9 3 9 2 2 2" xfId="28823"/>
    <cellStyle name="Separador de milhares 3 9 3 9 2 2 3" xfId="22909"/>
    <cellStyle name="Separador de milhares 3 9 3 9 2 2 4" xfId="16995"/>
    <cellStyle name="Separador de milhares 3 9 3 9 2 3" xfId="25866"/>
    <cellStyle name="Separador de milhares 3 9 3 9 2 4" xfId="19952"/>
    <cellStyle name="Separador de milhares 3 9 3 9 2 5" xfId="13854"/>
    <cellStyle name="Separador de milhares 3 9 3 9 3" xfId="9141"/>
    <cellStyle name="Separador de milhares 3 9 3 9 3 2" xfId="27355"/>
    <cellStyle name="Separador de milhares 3 9 3 9 3 3" xfId="21441"/>
    <cellStyle name="Separador de milhares 3 9 3 9 3 4" xfId="15527"/>
    <cellStyle name="Separador de milhares 3 9 3 9 4" xfId="5766"/>
    <cellStyle name="Separador de milhares 3 9 3 9 4 2" xfId="24398"/>
    <cellStyle name="Separador de milhares 3 9 3 9 5" xfId="18484"/>
    <cellStyle name="Separador de milhares 3 9 3 9 6" xfId="12153"/>
    <cellStyle name="Separador de milhares 3 9 4" xfId="354"/>
    <cellStyle name="Separador de milhares 3 9 4 10" xfId="6512"/>
    <cellStyle name="Separador de milhares 3 9 4 10 2" xfId="9660"/>
    <cellStyle name="Separador de milhares 3 9 4 10 2 2" xfId="27874"/>
    <cellStyle name="Separador de milhares 3 9 4 10 2 3" xfId="21960"/>
    <cellStyle name="Separador de milhares 3 9 4 10 2 4" xfId="16046"/>
    <cellStyle name="Separador de milhares 3 9 4 10 3" xfId="24917"/>
    <cellStyle name="Separador de milhares 3 9 4 10 4" xfId="19003"/>
    <cellStyle name="Separador de milhares 3 9 4 10 5" xfId="12901"/>
    <cellStyle name="Separador de milhares 3 9 4 11" xfId="8189"/>
    <cellStyle name="Separador de milhares 3 9 4 11 2" xfId="26403"/>
    <cellStyle name="Separador de milhares 3 9 4 11 3" xfId="20489"/>
    <cellStyle name="Separador de milhares 3 9 4 11 4" xfId="14578"/>
    <cellStyle name="Separador de milhares 3 9 4 12" xfId="4811"/>
    <cellStyle name="Separador de milhares 3 9 4 12 2" xfId="23446"/>
    <cellStyle name="Separador de milhares 3 9 4 13" xfId="17532"/>
    <cellStyle name="Separador de milhares 3 9 4 14" xfId="11200"/>
    <cellStyle name="Separador de milhares 3 9 4 2" xfId="999"/>
    <cellStyle name="Separador de milhares 3 9 4 2 2" xfId="6709"/>
    <cellStyle name="Separador de milhares 3 9 4 2 2 2" xfId="9856"/>
    <cellStyle name="Separador de milhares 3 9 4 2 2 2 2" xfId="28070"/>
    <cellStyle name="Separador de milhares 3 9 4 2 2 2 3" xfId="22156"/>
    <cellStyle name="Separador de milhares 3 9 4 2 2 2 4" xfId="16242"/>
    <cellStyle name="Separador de milhares 3 9 4 2 2 3" xfId="25113"/>
    <cellStyle name="Separador de milhares 3 9 4 2 2 4" xfId="19199"/>
    <cellStyle name="Separador de milhares 3 9 4 2 2 5" xfId="13098"/>
    <cellStyle name="Separador de milhares 3 9 4 2 3" xfId="8388"/>
    <cellStyle name="Separador de milhares 3 9 4 2 3 2" xfId="26602"/>
    <cellStyle name="Separador de milhares 3 9 4 2 3 3" xfId="20688"/>
    <cellStyle name="Separador de milhares 3 9 4 2 3 4" xfId="14774"/>
    <cellStyle name="Separador de milhares 3 9 4 2 4" xfId="5010"/>
    <cellStyle name="Separador de milhares 3 9 4 2 4 2" xfId="23645"/>
    <cellStyle name="Separador de milhares 3 9 4 2 5" xfId="17731"/>
    <cellStyle name="Separador de milhares 3 9 4 2 6" xfId="11397"/>
    <cellStyle name="Separador de milhares 3 9 4 3" xfId="1350"/>
    <cellStyle name="Separador de milhares 3 9 4 3 2" xfId="6807"/>
    <cellStyle name="Separador de milhares 3 9 4 3 2 2" xfId="9954"/>
    <cellStyle name="Separador de milhares 3 9 4 3 2 2 2" xfId="28168"/>
    <cellStyle name="Separador de milhares 3 9 4 3 2 2 3" xfId="22254"/>
    <cellStyle name="Separador de milhares 3 9 4 3 2 2 4" xfId="16340"/>
    <cellStyle name="Separador de milhares 3 9 4 3 2 3" xfId="25211"/>
    <cellStyle name="Separador de milhares 3 9 4 3 2 4" xfId="19297"/>
    <cellStyle name="Separador de milhares 3 9 4 3 2 5" xfId="13196"/>
    <cellStyle name="Separador de milhares 3 9 4 3 3" xfId="8486"/>
    <cellStyle name="Separador de milhares 3 9 4 3 3 2" xfId="26700"/>
    <cellStyle name="Separador de milhares 3 9 4 3 3 3" xfId="20786"/>
    <cellStyle name="Separador de milhares 3 9 4 3 3 4" xfId="14872"/>
    <cellStyle name="Separador de milhares 3 9 4 3 4" xfId="5108"/>
    <cellStyle name="Separador de milhares 3 9 4 3 4 2" xfId="23743"/>
    <cellStyle name="Separador de milhares 3 9 4 3 5" xfId="17829"/>
    <cellStyle name="Separador de milhares 3 9 4 3 6" xfId="11495"/>
    <cellStyle name="Separador de milhares 3 9 4 4" xfId="1785"/>
    <cellStyle name="Separador de milhares 3 9 4 4 2" xfId="6926"/>
    <cellStyle name="Separador de milhares 3 9 4 4 2 2" xfId="10073"/>
    <cellStyle name="Separador de milhares 3 9 4 4 2 2 2" xfId="28287"/>
    <cellStyle name="Separador de milhares 3 9 4 4 2 2 3" xfId="22373"/>
    <cellStyle name="Separador de milhares 3 9 4 4 2 2 4" xfId="16459"/>
    <cellStyle name="Separador de milhares 3 9 4 4 2 3" xfId="25330"/>
    <cellStyle name="Separador de milhares 3 9 4 4 2 4" xfId="19416"/>
    <cellStyle name="Separador de milhares 3 9 4 4 2 5" xfId="13315"/>
    <cellStyle name="Separador de milhares 3 9 4 4 3" xfId="8605"/>
    <cellStyle name="Separador de milhares 3 9 4 4 3 2" xfId="26819"/>
    <cellStyle name="Separador de milhares 3 9 4 4 3 3" xfId="20905"/>
    <cellStyle name="Separador de milhares 3 9 4 4 3 4" xfId="14991"/>
    <cellStyle name="Separador de milhares 3 9 4 4 4" xfId="5227"/>
    <cellStyle name="Separador de milhares 3 9 4 4 4 2" xfId="23862"/>
    <cellStyle name="Separador de milhares 3 9 4 4 5" xfId="17948"/>
    <cellStyle name="Separador de milhares 3 9 4 4 6" xfId="11614"/>
    <cellStyle name="Separador de milhares 3 9 4 5" xfId="2315"/>
    <cellStyle name="Separador de milhares 3 9 4 5 2" xfId="7076"/>
    <cellStyle name="Separador de milhares 3 9 4 5 2 2" xfId="10220"/>
    <cellStyle name="Separador de milhares 3 9 4 5 2 2 2" xfId="28434"/>
    <cellStyle name="Separador de milhares 3 9 4 5 2 2 3" xfId="22520"/>
    <cellStyle name="Separador de milhares 3 9 4 5 2 2 4" xfId="16606"/>
    <cellStyle name="Separador de milhares 3 9 4 5 2 3" xfId="25477"/>
    <cellStyle name="Separador de milhares 3 9 4 5 2 4" xfId="19563"/>
    <cellStyle name="Separador de milhares 3 9 4 5 2 5" xfId="13465"/>
    <cellStyle name="Separador de milhares 3 9 4 5 3" xfId="8752"/>
    <cellStyle name="Separador de milhares 3 9 4 5 3 2" xfId="26966"/>
    <cellStyle name="Separador de milhares 3 9 4 5 3 3" xfId="21052"/>
    <cellStyle name="Separador de milhares 3 9 4 5 3 4" xfId="15138"/>
    <cellStyle name="Separador de milhares 3 9 4 5 4" xfId="5377"/>
    <cellStyle name="Separador de milhares 3 9 4 5 4 2" xfId="24009"/>
    <cellStyle name="Separador de milhares 3 9 4 5 5" xfId="18095"/>
    <cellStyle name="Separador de milhares 3 9 4 5 6" xfId="11764"/>
    <cellStyle name="Separador de milhares 3 9 4 6" xfId="2842"/>
    <cellStyle name="Separador de milhares 3 9 4 6 2" xfId="7223"/>
    <cellStyle name="Separador de milhares 3 9 4 6 2 2" xfId="10367"/>
    <cellStyle name="Separador de milhares 3 9 4 6 2 2 2" xfId="28581"/>
    <cellStyle name="Separador de milhares 3 9 4 6 2 2 3" xfId="22667"/>
    <cellStyle name="Separador de milhares 3 9 4 6 2 2 4" xfId="16753"/>
    <cellStyle name="Separador de milhares 3 9 4 6 2 3" xfId="25624"/>
    <cellStyle name="Separador de milhares 3 9 4 6 2 4" xfId="19710"/>
    <cellStyle name="Separador de milhares 3 9 4 6 2 5" xfId="13612"/>
    <cellStyle name="Separador de milhares 3 9 4 6 3" xfId="8899"/>
    <cellStyle name="Separador de milhares 3 9 4 6 3 2" xfId="27113"/>
    <cellStyle name="Separador de milhares 3 9 4 6 3 3" xfId="21199"/>
    <cellStyle name="Separador de milhares 3 9 4 6 3 4" xfId="15285"/>
    <cellStyle name="Separador de milhares 3 9 4 6 4" xfId="5524"/>
    <cellStyle name="Separador de milhares 3 9 4 6 4 2" xfId="24156"/>
    <cellStyle name="Separador de milhares 3 9 4 6 5" xfId="18242"/>
    <cellStyle name="Separador de milhares 3 9 4 6 6" xfId="11911"/>
    <cellStyle name="Separador de milhares 3 9 4 7" xfId="3369"/>
    <cellStyle name="Separador de milhares 3 9 4 7 2" xfId="7370"/>
    <cellStyle name="Separador de milhares 3 9 4 7 2 2" xfId="10514"/>
    <cellStyle name="Separador de milhares 3 9 4 7 2 2 2" xfId="28728"/>
    <cellStyle name="Separador de milhares 3 9 4 7 2 2 3" xfId="22814"/>
    <cellStyle name="Separador de milhares 3 9 4 7 2 2 4" xfId="16900"/>
    <cellStyle name="Separador de milhares 3 9 4 7 2 3" xfId="25771"/>
    <cellStyle name="Separador de milhares 3 9 4 7 2 4" xfId="19857"/>
    <cellStyle name="Separador de milhares 3 9 4 7 2 5" xfId="13759"/>
    <cellStyle name="Separador de milhares 3 9 4 7 3" xfId="9046"/>
    <cellStyle name="Separador de milhares 3 9 4 7 3 2" xfId="27260"/>
    <cellStyle name="Separador de milhares 3 9 4 7 3 3" xfId="21346"/>
    <cellStyle name="Separador de milhares 3 9 4 7 3 4" xfId="15432"/>
    <cellStyle name="Separador de milhares 3 9 4 7 4" xfId="5671"/>
    <cellStyle name="Separador de milhares 3 9 4 7 4 2" xfId="24303"/>
    <cellStyle name="Separador de milhares 3 9 4 7 5" xfId="18389"/>
    <cellStyle name="Separador de milhares 3 9 4 7 6" xfId="12058"/>
    <cellStyle name="Separador de milhares 3 9 4 8" xfId="3896"/>
    <cellStyle name="Separador de milhares 3 9 4 8 2" xfId="7517"/>
    <cellStyle name="Separador de milhares 3 9 4 8 2 2" xfId="10661"/>
    <cellStyle name="Separador de milhares 3 9 4 8 2 2 2" xfId="28875"/>
    <cellStyle name="Separador de milhares 3 9 4 8 2 2 3" xfId="22961"/>
    <cellStyle name="Separador de milhares 3 9 4 8 2 2 4" xfId="17047"/>
    <cellStyle name="Separador de milhares 3 9 4 8 2 3" xfId="25918"/>
    <cellStyle name="Separador de milhares 3 9 4 8 2 4" xfId="20004"/>
    <cellStyle name="Separador de milhares 3 9 4 8 2 5" xfId="13906"/>
    <cellStyle name="Separador de milhares 3 9 4 8 3" xfId="9193"/>
    <cellStyle name="Separador de milhares 3 9 4 8 3 2" xfId="27407"/>
    <cellStyle name="Separador de milhares 3 9 4 8 3 3" xfId="21493"/>
    <cellStyle name="Separador de milhares 3 9 4 8 3 4" xfId="15579"/>
    <cellStyle name="Separador de milhares 3 9 4 8 4" xfId="5818"/>
    <cellStyle name="Separador de milhares 3 9 4 8 4 2" xfId="24450"/>
    <cellStyle name="Separador de milhares 3 9 4 8 5" xfId="18536"/>
    <cellStyle name="Separador de milhares 3 9 4 8 6" xfId="12205"/>
    <cellStyle name="Separador de milhares 3 9 4 9" xfId="676"/>
    <cellStyle name="Separador de milhares 3 9 4 9 2" xfId="6611"/>
    <cellStyle name="Separador de milhares 3 9 4 9 2 2" xfId="9758"/>
    <cellStyle name="Separador de milhares 3 9 4 9 2 2 2" xfId="27972"/>
    <cellStyle name="Separador de milhares 3 9 4 9 2 2 3" xfId="22058"/>
    <cellStyle name="Separador de milhares 3 9 4 9 2 2 4" xfId="16144"/>
    <cellStyle name="Separador de milhares 3 9 4 9 2 3" xfId="25015"/>
    <cellStyle name="Separador de milhares 3 9 4 9 2 4" xfId="19101"/>
    <cellStyle name="Separador de milhares 3 9 4 9 2 5" xfId="13000"/>
    <cellStyle name="Separador de milhares 3 9 4 9 3" xfId="8290"/>
    <cellStyle name="Separador de milhares 3 9 4 9 3 2" xfId="26504"/>
    <cellStyle name="Separador de milhares 3 9 4 9 3 3" xfId="20590"/>
    <cellStyle name="Separador de milhares 3 9 4 9 3 4" xfId="14676"/>
    <cellStyle name="Separador de milhares 3 9 4 9 4" xfId="4912"/>
    <cellStyle name="Separador de milhares 3 9 4 9 4 2" xfId="23547"/>
    <cellStyle name="Separador de milhares 3 9 4 9 5" xfId="17633"/>
    <cellStyle name="Separador de milhares 3 9 4 9 6" xfId="11299"/>
    <cellStyle name="Separador de milhares 3 9 5" xfId="611"/>
    <cellStyle name="Separador de milhares 3 9 5 10" xfId="4876"/>
    <cellStyle name="Separador de milhares 3 9 5 10 2" xfId="23510"/>
    <cellStyle name="Separador de milhares 3 9 5 11" xfId="17596"/>
    <cellStyle name="Separador de milhares 3 9 5 12" xfId="11265"/>
    <cellStyle name="Separador de milhares 3 9 5 2" xfId="1434"/>
    <cellStyle name="Separador de milhares 3 9 5 2 2" xfId="6828"/>
    <cellStyle name="Separador de milhares 3 9 5 2 2 2" xfId="9975"/>
    <cellStyle name="Separador de milhares 3 9 5 2 2 2 2" xfId="28189"/>
    <cellStyle name="Separador de milhares 3 9 5 2 2 2 3" xfId="22275"/>
    <cellStyle name="Separador de milhares 3 9 5 2 2 2 4" xfId="16361"/>
    <cellStyle name="Separador de milhares 3 9 5 2 2 3" xfId="25232"/>
    <cellStyle name="Separador de milhares 3 9 5 2 2 4" xfId="19318"/>
    <cellStyle name="Separador de milhares 3 9 5 2 2 5" xfId="13217"/>
    <cellStyle name="Separador de milhares 3 9 5 2 3" xfId="8507"/>
    <cellStyle name="Separador de milhares 3 9 5 2 3 2" xfId="26721"/>
    <cellStyle name="Separador de milhares 3 9 5 2 3 3" xfId="20807"/>
    <cellStyle name="Separador de milhares 3 9 5 2 3 4" xfId="14893"/>
    <cellStyle name="Separador de milhares 3 9 5 2 4" xfId="5129"/>
    <cellStyle name="Separador de milhares 3 9 5 2 4 2" xfId="23764"/>
    <cellStyle name="Separador de milhares 3 9 5 2 5" xfId="17850"/>
    <cellStyle name="Separador de milhares 3 9 5 2 6" xfId="11516"/>
    <cellStyle name="Separador de milhares 3 9 5 3" xfId="1869"/>
    <cellStyle name="Separador de milhares 3 9 5 3 2" xfId="6947"/>
    <cellStyle name="Separador de milhares 3 9 5 3 2 2" xfId="10094"/>
    <cellStyle name="Separador de milhares 3 9 5 3 2 2 2" xfId="28308"/>
    <cellStyle name="Separador de milhares 3 9 5 3 2 2 3" xfId="22394"/>
    <cellStyle name="Separador de milhares 3 9 5 3 2 2 4" xfId="16480"/>
    <cellStyle name="Separador de milhares 3 9 5 3 2 3" xfId="25351"/>
    <cellStyle name="Separador de milhares 3 9 5 3 2 4" xfId="19437"/>
    <cellStyle name="Separador de milhares 3 9 5 3 2 5" xfId="13336"/>
    <cellStyle name="Separador de milhares 3 9 5 3 3" xfId="8626"/>
    <cellStyle name="Separador de milhares 3 9 5 3 3 2" xfId="26840"/>
    <cellStyle name="Separador de milhares 3 9 5 3 3 3" xfId="20926"/>
    <cellStyle name="Separador de milhares 3 9 5 3 3 4" xfId="15012"/>
    <cellStyle name="Separador de milhares 3 9 5 3 4" xfId="5248"/>
    <cellStyle name="Separador de milhares 3 9 5 3 4 2" xfId="23883"/>
    <cellStyle name="Separador de milhares 3 9 5 3 5" xfId="17969"/>
    <cellStyle name="Separador de milhares 3 9 5 3 6" xfId="11635"/>
    <cellStyle name="Separador de milhares 3 9 5 4" xfId="2399"/>
    <cellStyle name="Separador de milhares 3 9 5 4 2" xfId="7097"/>
    <cellStyle name="Separador de milhares 3 9 5 4 2 2" xfId="10241"/>
    <cellStyle name="Separador de milhares 3 9 5 4 2 2 2" xfId="28455"/>
    <cellStyle name="Separador de milhares 3 9 5 4 2 2 3" xfId="22541"/>
    <cellStyle name="Separador de milhares 3 9 5 4 2 2 4" xfId="16627"/>
    <cellStyle name="Separador de milhares 3 9 5 4 2 3" xfId="25498"/>
    <cellStyle name="Separador de milhares 3 9 5 4 2 4" xfId="19584"/>
    <cellStyle name="Separador de milhares 3 9 5 4 2 5" xfId="13486"/>
    <cellStyle name="Separador de milhares 3 9 5 4 3" xfId="8773"/>
    <cellStyle name="Separador de milhares 3 9 5 4 3 2" xfId="26987"/>
    <cellStyle name="Separador de milhares 3 9 5 4 3 3" xfId="21073"/>
    <cellStyle name="Separador de milhares 3 9 5 4 3 4" xfId="15159"/>
    <cellStyle name="Separador de milhares 3 9 5 4 4" xfId="5398"/>
    <cellStyle name="Separador de milhares 3 9 5 4 4 2" xfId="24030"/>
    <cellStyle name="Separador de milhares 3 9 5 4 5" xfId="18116"/>
    <cellStyle name="Separador de milhares 3 9 5 4 6" xfId="11785"/>
    <cellStyle name="Separador de milhares 3 9 5 5" xfId="2926"/>
    <cellStyle name="Separador de milhares 3 9 5 5 2" xfId="7244"/>
    <cellStyle name="Separador de milhares 3 9 5 5 2 2" xfId="10388"/>
    <cellStyle name="Separador de milhares 3 9 5 5 2 2 2" xfId="28602"/>
    <cellStyle name="Separador de milhares 3 9 5 5 2 2 3" xfId="22688"/>
    <cellStyle name="Separador de milhares 3 9 5 5 2 2 4" xfId="16774"/>
    <cellStyle name="Separador de milhares 3 9 5 5 2 3" xfId="25645"/>
    <cellStyle name="Separador de milhares 3 9 5 5 2 4" xfId="19731"/>
    <cellStyle name="Separador de milhares 3 9 5 5 2 5" xfId="13633"/>
    <cellStyle name="Separador de milhares 3 9 5 5 3" xfId="8920"/>
    <cellStyle name="Separador de milhares 3 9 5 5 3 2" xfId="27134"/>
    <cellStyle name="Separador de milhares 3 9 5 5 3 3" xfId="21220"/>
    <cellStyle name="Separador de milhares 3 9 5 5 3 4" xfId="15306"/>
    <cellStyle name="Separador de milhares 3 9 5 5 4" xfId="5545"/>
    <cellStyle name="Separador de milhares 3 9 5 5 4 2" xfId="24177"/>
    <cellStyle name="Separador de milhares 3 9 5 5 5" xfId="18263"/>
    <cellStyle name="Separador de milhares 3 9 5 5 6" xfId="11932"/>
    <cellStyle name="Separador de milhares 3 9 5 6" xfId="3453"/>
    <cellStyle name="Separador de milhares 3 9 5 6 2" xfId="7391"/>
    <cellStyle name="Separador de milhares 3 9 5 6 2 2" xfId="10535"/>
    <cellStyle name="Separador de milhares 3 9 5 6 2 2 2" xfId="28749"/>
    <cellStyle name="Separador de milhares 3 9 5 6 2 2 3" xfId="22835"/>
    <cellStyle name="Separador de milhares 3 9 5 6 2 2 4" xfId="16921"/>
    <cellStyle name="Separador de milhares 3 9 5 6 2 3" xfId="25792"/>
    <cellStyle name="Separador de milhares 3 9 5 6 2 4" xfId="19878"/>
    <cellStyle name="Separador de milhares 3 9 5 6 2 5" xfId="13780"/>
    <cellStyle name="Separador de milhares 3 9 5 6 3" xfId="9067"/>
    <cellStyle name="Separador de milhares 3 9 5 6 3 2" xfId="27281"/>
    <cellStyle name="Separador de milhares 3 9 5 6 3 3" xfId="21367"/>
    <cellStyle name="Separador de milhares 3 9 5 6 3 4" xfId="15453"/>
    <cellStyle name="Separador de milhares 3 9 5 6 4" xfId="5692"/>
    <cellStyle name="Separador de milhares 3 9 5 6 4 2" xfId="24324"/>
    <cellStyle name="Separador de milhares 3 9 5 6 5" xfId="18410"/>
    <cellStyle name="Separador de milhares 3 9 5 6 6" xfId="12079"/>
    <cellStyle name="Separador de milhares 3 9 5 7" xfId="3980"/>
    <cellStyle name="Separador de milhares 3 9 5 7 2" xfId="7538"/>
    <cellStyle name="Separador de milhares 3 9 5 7 2 2" xfId="10682"/>
    <cellStyle name="Separador de milhares 3 9 5 7 2 2 2" xfId="28896"/>
    <cellStyle name="Separador de milhares 3 9 5 7 2 2 3" xfId="22982"/>
    <cellStyle name="Separador de milhares 3 9 5 7 2 2 4" xfId="17068"/>
    <cellStyle name="Separador de milhares 3 9 5 7 2 3" xfId="25939"/>
    <cellStyle name="Separador de milhares 3 9 5 7 2 4" xfId="20025"/>
    <cellStyle name="Separador de milhares 3 9 5 7 2 5" xfId="13927"/>
    <cellStyle name="Separador de milhares 3 9 5 7 3" xfId="9214"/>
    <cellStyle name="Separador de milhares 3 9 5 7 3 2" xfId="27428"/>
    <cellStyle name="Separador de milhares 3 9 5 7 3 3" xfId="21514"/>
    <cellStyle name="Separador de milhares 3 9 5 7 3 4" xfId="15600"/>
    <cellStyle name="Separador de milhares 3 9 5 7 4" xfId="5839"/>
    <cellStyle name="Separador de milhares 3 9 5 7 4 2" xfId="24471"/>
    <cellStyle name="Separador de milhares 3 9 5 7 5" xfId="18557"/>
    <cellStyle name="Separador de milhares 3 9 5 7 6" xfId="12226"/>
    <cellStyle name="Separador de milhares 3 9 5 8" xfId="6577"/>
    <cellStyle name="Separador de milhares 3 9 5 8 2" xfId="9724"/>
    <cellStyle name="Separador de milhares 3 9 5 8 2 2" xfId="27938"/>
    <cellStyle name="Separador de milhares 3 9 5 8 2 3" xfId="22024"/>
    <cellStyle name="Separador de milhares 3 9 5 8 2 4" xfId="16110"/>
    <cellStyle name="Separador de milhares 3 9 5 8 3" xfId="24981"/>
    <cellStyle name="Separador de milhares 3 9 5 8 4" xfId="19067"/>
    <cellStyle name="Separador de milhares 3 9 5 8 5" xfId="12966"/>
    <cellStyle name="Separador de milhares 3 9 5 9" xfId="8253"/>
    <cellStyle name="Separador de milhares 3 9 5 9 2" xfId="26467"/>
    <cellStyle name="Separador de milhares 3 9 5 9 3" xfId="20553"/>
    <cellStyle name="Separador de milhares 3 9 5 9 4" xfId="14642"/>
    <cellStyle name="Separador de milhares 3 9 6" xfId="732"/>
    <cellStyle name="Separador de milhares 3 9 6 2" xfId="4156"/>
    <cellStyle name="Separador de milhares 3 9 6 2 2" xfId="7587"/>
    <cellStyle name="Separador de milhares 3 9 6 2 2 2" xfId="10731"/>
    <cellStyle name="Separador de milhares 3 9 6 2 2 2 2" xfId="28945"/>
    <cellStyle name="Separador de milhares 3 9 6 2 2 2 3" xfId="23031"/>
    <cellStyle name="Separador de milhares 3 9 6 2 2 2 4" xfId="17117"/>
    <cellStyle name="Separador de milhares 3 9 6 2 2 3" xfId="25988"/>
    <cellStyle name="Separador de milhares 3 9 6 2 2 4" xfId="20074"/>
    <cellStyle name="Separador de milhares 3 9 6 2 2 5" xfId="13976"/>
    <cellStyle name="Separador de milhares 3 9 6 2 3" xfId="9263"/>
    <cellStyle name="Separador de milhares 3 9 6 2 3 2" xfId="27477"/>
    <cellStyle name="Separador de milhares 3 9 6 2 3 3" xfId="21563"/>
    <cellStyle name="Separador de milhares 3 9 6 2 3 4" xfId="15649"/>
    <cellStyle name="Separador de milhares 3 9 6 2 4" xfId="5888"/>
    <cellStyle name="Separador de milhares 3 9 6 2 4 2" xfId="24520"/>
    <cellStyle name="Separador de milhares 3 9 6 2 5" xfId="18606"/>
    <cellStyle name="Separador de milhares 3 9 6 2 6" xfId="12275"/>
    <cellStyle name="Separador de milhares 3 9 6 3" xfId="6632"/>
    <cellStyle name="Separador de milhares 3 9 6 3 2" xfId="9779"/>
    <cellStyle name="Separador de milhares 3 9 6 3 2 2" xfId="27993"/>
    <cellStyle name="Separador de milhares 3 9 6 3 2 3" xfId="22079"/>
    <cellStyle name="Separador de milhares 3 9 6 3 2 4" xfId="16165"/>
    <cellStyle name="Separador de milhares 3 9 6 3 3" xfId="25036"/>
    <cellStyle name="Separador de milhares 3 9 6 3 4" xfId="19122"/>
    <cellStyle name="Separador de milhares 3 9 6 3 5" xfId="13021"/>
    <cellStyle name="Separador de milhares 3 9 6 4" xfId="8311"/>
    <cellStyle name="Separador de milhares 3 9 6 4 2" xfId="26525"/>
    <cellStyle name="Separador de milhares 3 9 6 4 3" xfId="20611"/>
    <cellStyle name="Separador de milhares 3 9 6 4 4" xfId="14697"/>
    <cellStyle name="Separador de milhares 3 9 6 5" xfId="4933"/>
    <cellStyle name="Separador de milhares 3 9 6 5 2" xfId="23568"/>
    <cellStyle name="Separador de milhares 3 9 6 6" xfId="17654"/>
    <cellStyle name="Separador de milhares 3 9 6 7" xfId="11320"/>
    <cellStyle name="Separador de milhares 3 9 7" xfId="1083"/>
    <cellStyle name="Separador de milhares 3 9 7 2" xfId="6730"/>
    <cellStyle name="Separador de milhares 3 9 7 2 2" xfId="9877"/>
    <cellStyle name="Separador de milhares 3 9 7 2 2 2" xfId="28091"/>
    <cellStyle name="Separador de milhares 3 9 7 2 2 3" xfId="22177"/>
    <cellStyle name="Separador de milhares 3 9 7 2 2 4" xfId="16263"/>
    <cellStyle name="Separador de milhares 3 9 7 2 3" xfId="25134"/>
    <cellStyle name="Separador de milhares 3 9 7 2 4" xfId="19220"/>
    <cellStyle name="Separador de milhares 3 9 7 2 5" xfId="13119"/>
    <cellStyle name="Separador de milhares 3 9 7 3" xfId="8409"/>
    <cellStyle name="Separador de milhares 3 9 7 3 2" xfId="26623"/>
    <cellStyle name="Separador de milhares 3 9 7 3 3" xfId="20709"/>
    <cellStyle name="Separador de milhares 3 9 7 3 4" xfId="14795"/>
    <cellStyle name="Separador de milhares 3 9 7 4" xfId="5031"/>
    <cellStyle name="Separador de milhares 3 9 7 4 2" xfId="23666"/>
    <cellStyle name="Separador de milhares 3 9 7 5" xfId="17752"/>
    <cellStyle name="Separador de milhares 3 9 7 6" xfId="11418"/>
    <cellStyle name="Separador de milhares 3 9 8" xfId="1518"/>
    <cellStyle name="Separador de milhares 3 9 8 2" xfId="6849"/>
    <cellStyle name="Separador de milhares 3 9 8 2 2" xfId="9996"/>
    <cellStyle name="Separador de milhares 3 9 8 2 2 2" xfId="28210"/>
    <cellStyle name="Separador de milhares 3 9 8 2 2 3" xfId="22296"/>
    <cellStyle name="Separador de milhares 3 9 8 2 2 4" xfId="16382"/>
    <cellStyle name="Separador de milhares 3 9 8 2 3" xfId="25253"/>
    <cellStyle name="Separador de milhares 3 9 8 2 4" xfId="19339"/>
    <cellStyle name="Separador de milhares 3 9 8 2 5" xfId="13238"/>
    <cellStyle name="Separador de milhares 3 9 8 3" xfId="8528"/>
    <cellStyle name="Separador de milhares 3 9 8 3 2" xfId="26742"/>
    <cellStyle name="Separador de milhares 3 9 8 3 3" xfId="20828"/>
    <cellStyle name="Separador de milhares 3 9 8 3 4" xfId="14914"/>
    <cellStyle name="Separador de milhares 3 9 8 4" xfId="5150"/>
    <cellStyle name="Separador de milhares 3 9 8 4 2" xfId="23785"/>
    <cellStyle name="Separador de milhares 3 9 8 5" xfId="17871"/>
    <cellStyle name="Separador de milhares 3 9 8 6" xfId="11537"/>
    <cellStyle name="Separador de milhares 3 9 9" xfId="2048"/>
    <cellStyle name="Separador de milhares 3 9 9 2" xfId="6999"/>
    <cellStyle name="Separador de milhares 3 9 9 2 2" xfId="10143"/>
    <cellStyle name="Separador de milhares 3 9 9 2 2 2" xfId="28357"/>
    <cellStyle name="Separador de milhares 3 9 9 2 2 3" xfId="22443"/>
    <cellStyle name="Separador de milhares 3 9 9 2 2 4" xfId="16529"/>
    <cellStyle name="Separador de milhares 3 9 9 2 3" xfId="25400"/>
    <cellStyle name="Separador de milhares 3 9 9 2 4" xfId="19486"/>
    <cellStyle name="Separador de milhares 3 9 9 2 5" xfId="13388"/>
    <cellStyle name="Separador de milhares 3 9 9 3" xfId="8675"/>
    <cellStyle name="Separador de milhares 3 9 9 3 2" xfId="26889"/>
    <cellStyle name="Separador de milhares 3 9 9 3 3" xfId="20975"/>
    <cellStyle name="Separador de milhares 3 9 9 3 4" xfId="15061"/>
    <cellStyle name="Separador de milhares 3 9 9 4" xfId="5300"/>
    <cellStyle name="Separador de milhares 3 9 9 4 2" xfId="23932"/>
    <cellStyle name="Separador de milhares 3 9 9 5" xfId="18018"/>
    <cellStyle name="Separador de milhares 3 9 9 6" xfId="11687"/>
    <cellStyle name="Separador de milhares 4" xfId="114"/>
    <cellStyle name="Separador de milhares 4 2" xfId="207"/>
    <cellStyle name="Separador de milhares 4 2 10" xfId="6467"/>
    <cellStyle name="Separador de milhares 4 2 10 2" xfId="9619"/>
    <cellStyle name="Separador de milhares 4 2 10 2 2" xfId="27833"/>
    <cellStyle name="Separador de milhares 4 2 10 2 3" xfId="21919"/>
    <cellStyle name="Separador de milhares 4 2 10 2 4" xfId="16005"/>
    <cellStyle name="Separador de milhares 4 2 10 3" xfId="24876"/>
    <cellStyle name="Separador de milhares 4 2 10 4" xfId="18962"/>
    <cellStyle name="Separador de milhares 4 2 10 5" xfId="12856"/>
    <cellStyle name="Separador de milhares 4 2 11" xfId="8148"/>
    <cellStyle name="Separador de milhares 4 2 11 2" xfId="26362"/>
    <cellStyle name="Separador de milhares 4 2 11 3" xfId="20448"/>
    <cellStyle name="Separador de milhares 4 2 11 4" xfId="14537"/>
    <cellStyle name="Separador de milhares 4 2 12" xfId="4766"/>
    <cellStyle name="Separador de milhares 4 2 12 2" xfId="23405"/>
    <cellStyle name="Separador de milhares 4 2 13" xfId="17491"/>
    <cellStyle name="Separador de milhares 4 2 14" xfId="11155"/>
    <cellStyle name="Separador de milhares 4 2 2" xfId="664"/>
    <cellStyle name="Separador de milhares 4 2 2 10" xfId="17621"/>
    <cellStyle name="Separador de milhares 4 2 2 11" xfId="11287"/>
    <cellStyle name="Separador de milhares 4 2 2 2" xfId="2000"/>
    <cellStyle name="Separador de milhares 4 2 2 2 2" xfId="6986"/>
    <cellStyle name="Separador de milhares 4 2 2 2 2 2" xfId="10131"/>
    <cellStyle name="Separador de milhares 4 2 2 2 2 2 2" xfId="28345"/>
    <cellStyle name="Separador de milhares 4 2 2 2 2 2 3" xfId="22431"/>
    <cellStyle name="Separador de milhares 4 2 2 2 2 2 4" xfId="16517"/>
    <cellStyle name="Separador de milhares 4 2 2 2 2 3" xfId="25388"/>
    <cellStyle name="Separador de milhares 4 2 2 2 2 4" xfId="19474"/>
    <cellStyle name="Separador de milhares 4 2 2 2 2 5" xfId="13375"/>
    <cellStyle name="Separador de milhares 4 2 2 2 3" xfId="8663"/>
    <cellStyle name="Separador de milhares 4 2 2 2 3 2" xfId="26877"/>
    <cellStyle name="Separador de milhares 4 2 2 2 3 3" xfId="20963"/>
    <cellStyle name="Separador de milhares 4 2 2 2 3 4" xfId="15049"/>
    <cellStyle name="Separador de milhares 4 2 2 2 4" xfId="5287"/>
    <cellStyle name="Separador de milhares 4 2 2 2 4 2" xfId="23920"/>
    <cellStyle name="Separador de milhares 4 2 2 2 5" xfId="18006"/>
    <cellStyle name="Separador de milhares 4 2 2 2 6" xfId="11674"/>
    <cellStyle name="Separador de milhares 4 2 2 3" xfId="2528"/>
    <cellStyle name="Separador de milhares 4 2 2 3 2" xfId="7134"/>
    <cellStyle name="Separador de milhares 4 2 2 3 2 2" xfId="10278"/>
    <cellStyle name="Separador de milhares 4 2 2 3 2 2 2" xfId="28492"/>
    <cellStyle name="Separador de milhares 4 2 2 3 2 2 3" xfId="22578"/>
    <cellStyle name="Separador de milhares 4 2 2 3 2 2 4" xfId="16664"/>
    <cellStyle name="Separador de milhares 4 2 2 3 2 3" xfId="25535"/>
    <cellStyle name="Separador de milhares 4 2 2 3 2 4" xfId="19621"/>
    <cellStyle name="Separador de milhares 4 2 2 3 2 5" xfId="13523"/>
    <cellStyle name="Separador de milhares 4 2 2 3 3" xfId="8810"/>
    <cellStyle name="Separador de milhares 4 2 2 3 3 2" xfId="27024"/>
    <cellStyle name="Separador de milhares 4 2 2 3 3 3" xfId="21110"/>
    <cellStyle name="Separador de milhares 4 2 2 3 3 4" xfId="15196"/>
    <cellStyle name="Separador de milhares 4 2 2 3 4" xfId="5435"/>
    <cellStyle name="Separador de milhares 4 2 2 3 4 2" xfId="24067"/>
    <cellStyle name="Separador de milhares 4 2 2 3 5" xfId="18153"/>
    <cellStyle name="Separador de milhares 4 2 2 3 6" xfId="11822"/>
    <cellStyle name="Separador de milhares 4 2 2 4" xfId="3055"/>
    <cellStyle name="Separador de milhares 4 2 2 4 2" xfId="7281"/>
    <cellStyle name="Separador de milhares 4 2 2 4 2 2" xfId="10425"/>
    <cellStyle name="Separador de milhares 4 2 2 4 2 2 2" xfId="28639"/>
    <cellStyle name="Separador de milhares 4 2 2 4 2 2 3" xfId="22725"/>
    <cellStyle name="Separador de milhares 4 2 2 4 2 2 4" xfId="16811"/>
    <cellStyle name="Separador de milhares 4 2 2 4 2 3" xfId="25682"/>
    <cellStyle name="Separador de milhares 4 2 2 4 2 4" xfId="19768"/>
    <cellStyle name="Separador de milhares 4 2 2 4 2 5" xfId="13670"/>
    <cellStyle name="Separador de milhares 4 2 2 4 3" xfId="8957"/>
    <cellStyle name="Separador de milhares 4 2 2 4 3 2" xfId="27171"/>
    <cellStyle name="Separador de milhares 4 2 2 4 3 3" xfId="21257"/>
    <cellStyle name="Separador de milhares 4 2 2 4 3 4" xfId="15343"/>
    <cellStyle name="Separador de milhares 4 2 2 4 4" xfId="5582"/>
    <cellStyle name="Separador de milhares 4 2 2 4 4 2" xfId="24214"/>
    <cellStyle name="Separador de milhares 4 2 2 4 5" xfId="18300"/>
    <cellStyle name="Separador de milhares 4 2 2 4 6" xfId="11969"/>
    <cellStyle name="Separador de milhares 4 2 2 5" xfId="3582"/>
    <cellStyle name="Separador de milhares 4 2 2 5 2" xfId="7428"/>
    <cellStyle name="Separador de milhares 4 2 2 5 2 2" xfId="10572"/>
    <cellStyle name="Separador de milhares 4 2 2 5 2 2 2" xfId="28786"/>
    <cellStyle name="Separador de milhares 4 2 2 5 2 2 3" xfId="22872"/>
    <cellStyle name="Separador de milhares 4 2 2 5 2 2 4" xfId="16958"/>
    <cellStyle name="Separador de milhares 4 2 2 5 2 3" xfId="25829"/>
    <cellStyle name="Separador de milhares 4 2 2 5 2 4" xfId="19915"/>
    <cellStyle name="Separador de milhares 4 2 2 5 2 5" xfId="13817"/>
    <cellStyle name="Separador de milhares 4 2 2 5 3" xfId="9104"/>
    <cellStyle name="Separador de milhares 4 2 2 5 3 2" xfId="27318"/>
    <cellStyle name="Separador de milhares 4 2 2 5 3 3" xfId="21404"/>
    <cellStyle name="Separador de milhares 4 2 2 5 3 4" xfId="15490"/>
    <cellStyle name="Separador de milhares 4 2 2 5 4" xfId="5729"/>
    <cellStyle name="Separador de milhares 4 2 2 5 4 2" xfId="24361"/>
    <cellStyle name="Separador de milhares 4 2 2 5 5" xfId="18447"/>
    <cellStyle name="Separador de milhares 4 2 2 5 6" xfId="12116"/>
    <cellStyle name="Separador de milhares 4 2 2 6" xfId="4109"/>
    <cellStyle name="Separador de milhares 4 2 2 6 2" xfId="7575"/>
    <cellStyle name="Separador de milhares 4 2 2 6 2 2" xfId="10719"/>
    <cellStyle name="Separador de milhares 4 2 2 6 2 2 2" xfId="28933"/>
    <cellStyle name="Separador de milhares 4 2 2 6 2 2 3" xfId="23019"/>
    <cellStyle name="Separador de milhares 4 2 2 6 2 2 4" xfId="17105"/>
    <cellStyle name="Separador de milhares 4 2 2 6 2 3" xfId="25976"/>
    <cellStyle name="Separador de milhares 4 2 2 6 2 4" xfId="20062"/>
    <cellStyle name="Separador de milhares 4 2 2 6 2 5" xfId="13964"/>
    <cellStyle name="Separador de milhares 4 2 2 6 3" xfId="9251"/>
    <cellStyle name="Separador de milhares 4 2 2 6 3 2" xfId="27465"/>
    <cellStyle name="Separador de milhares 4 2 2 6 3 3" xfId="21551"/>
    <cellStyle name="Separador de milhares 4 2 2 6 3 4" xfId="15637"/>
    <cellStyle name="Separador de milhares 4 2 2 6 4" xfId="5876"/>
    <cellStyle name="Separador de milhares 4 2 2 6 4 2" xfId="24508"/>
    <cellStyle name="Separador de milhares 4 2 2 6 5" xfId="18594"/>
    <cellStyle name="Separador de milhares 4 2 2 6 6" xfId="12263"/>
    <cellStyle name="Separador de milhares 4 2 2 7" xfId="6599"/>
    <cellStyle name="Separador de milhares 4 2 2 7 2" xfId="9746"/>
    <cellStyle name="Separador de milhares 4 2 2 7 2 2" xfId="27960"/>
    <cellStyle name="Separador de milhares 4 2 2 7 2 3" xfId="22046"/>
    <cellStyle name="Separador de milhares 4 2 2 7 2 4" xfId="16132"/>
    <cellStyle name="Separador de milhares 4 2 2 7 3" xfId="25003"/>
    <cellStyle name="Separador de milhares 4 2 2 7 4" xfId="19089"/>
    <cellStyle name="Separador de milhares 4 2 2 7 5" xfId="12988"/>
    <cellStyle name="Separador de milhares 4 2 2 8" xfId="8278"/>
    <cellStyle name="Separador de milhares 4 2 2 8 2" xfId="26492"/>
    <cellStyle name="Separador de milhares 4 2 2 8 3" xfId="20578"/>
    <cellStyle name="Separador de milhares 4 2 2 8 4" xfId="14664"/>
    <cellStyle name="Separador de milhares 4 2 2 9" xfId="4900"/>
    <cellStyle name="Separador de milhares 4 2 2 9 2" xfId="23535"/>
    <cellStyle name="Separador de milhares 4 2 3" xfId="952"/>
    <cellStyle name="Separador de milhares 4 2 3 2" xfId="6697"/>
    <cellStyle name="Separador de milhares 4 2 3 2 2" xfId="9844"/>
    <cellStyle name="Separador de milhares 4 2 3 2 2 2" xfId="28058"/>
    <cellStyle name="Separador de milhares 4 2 3 2 2 3" xfId="22144"/>
    <cellStyle name="Separador de milhares 4 2 3 2 2 4" xfId="16230"/>
    <cellStyle name="Separador de milhares 4 2 3 2 3" xfId="25101"/>
    <cellStyle name="Separador de milhares 4 2 3 2 4" xfId="19187"/>
    <cellStyle name="Separador de milhares 4 2 3 2 5" xfId="13086"/>
    <cellStyle name="Separador de milhares 4 2 3 3" xfId="8376"/>
    <cellStyle name="Separador de milhares 4 2 3 3 2" xfId="26590"/>
    <cellStyle name="Separador de milhares 4 2 3 3 3" xfId="20676"/>
    <cellStyle name="Separador de milhares 4 2 3 3 4" xfId="14762"/>
    <cellStyle name="Separador de milhares 4 2 3 4" xfId="4998"/>
    <cellStyle name="Separador de milhares 4 2 3 4 2" xfId="23633"/>
    <cellStyle name="Separador de milhares 4 2 3 5" xfId="17719"/>
    <cellStyle name="Separador de milhares 4 2 3 6" xfId="11385"/>
    <cellStyle name="Separador de milhares 4 2 4" xfId="1303"/>
    <cellStyle name="Separador de milhares 4 2 4 2" xfId="6795"/>
    <cellStyle name="Separador de milhares 4 2 4 2 2" xfId="9942"/>
    <cellStyle name="Separador de milhares 4 2 4 2 2 2" xfId="28156"/>
    <cellStyle name="Separador de milhares 4 2 4 2 2 3" xfId="22242"/>
    <cellStyle name="Separador de milhares 4 2 4 2 2 4" xfId="16328"/>
    <cellStyle name="Separador de milhares 4 2 4 2 3" xfId="25199"/>
    <cellStyle name="Separador de milhares 4 2 4 2 4" xfId="19285"/>
    <cellStyle name="Separador de milhares 4 2 4 2 5" xfId="13184"/>
    <cellStyle name="Separador de milhares 4 2 4 3" xfId="8474"/>
    <cellStyle name="Separador de milhares 4 2 4 3 2" xfId="26688"/>
    <cellStyle name="Separador de milhares 4 2 4 3 3" xfId="20774"/>
    <cellStyle name="Separador de milhares 4 2 4 3 4" xfId="14860"/>
    <cellStyle name="Separador de milhares 4 2 4 4" xfId="5096"/>
    <cellStyle name="Separador de milhares 4 2 4 4 2" xfId="23731"/>
    <cellStyle name="Separador de milhares 4 2 4 5" xfId="17817"/>
    <cellStyle name="Separador de milhares 4 2 4 6" xfId="11483"/>
    <cellStyle name="Separador de milhares 4 2 5" xfId="1738"/>
    <cellStyle name="Separador de milhares 4 2 5 2" xfId="6914"/>
    <cellStyle name="Separador de milhares 4 2 5 2 2" xfId="10061"/>
    <cellStyle name="Separador de milhares 4 2 5 2 2 2" xfId="28275"/>
    <cellStyle name="Separador de milhares 4 2 5 2 2 3" xfId="22361"/>
    <cellStyle name="Separador de milhares 4 2 5 2 2 4" xfId="16447"/>
    <cellStyle name="Separador de milhares 4 2 5 2 3" xfId="25318"/>
    <cellStyle name="Separador de milhares 4 2 5 2 4" xfId="19404"/>
    <cellStyle name="Separador de milhares 4 2 5 2 5" xfId="13303"/>
    <cellStyle name="Separador de milhares 4 2 5 3" xfId="8593"/>
    <cellStyle name="Separador de milhares 4 2 5 3 2" xfId="26807"/>
    <cellStyle name="Separador de milhares 4 2 5 3 3" xfId="20893"/>
    <cellStyle name="Separador de milhares 4 2 5 3 4" xfId="14979"/>
    <cellStyle name="Separador de milhares 4 2 5 4" xfId="5215"/>
    <cellStyle name="Separador de milhares 4 2 5 4 2" xfId="23850"/>
    <cellStyle name="Separador de milhares 4 2 5 5" xfId="17936"/>
    <cellStyle name="Separador de milhares 4 2 5 6" xfId="11602"/>
    <cellStyle name="Separador de milhares 4 2 6" xfId="2268"/>
    <cellStyle name="Separador de milhares 4 2 6 2" xfId="7064"/>
    <cellStyle name="Separador de milhares 4 2 6 2 2" xfId="10208"/>
    <cellStyle name="Separador de milhares 4 2 6 2 2 2" xfId="28422"/>
    <cellStyle name="Separador de milhares 4 2 6 2 2 3" xfId="22508"/>
    <cellStyle name="Separador de milhares 4 2 6 2 2 4" xfId="16594"/>
    <cellStyle name="Separador de milhares 4 2 6 2 3" xfId="25465"/>
    <cellStyle name="Separador de milhares 4 2 6 2 4" xfId="19551"/>
    <cellStyle name="Separador de milhares 4 2 6 2 5" xfId="13453"/>
    <cellStyle name="Separador de milhares 4 2 6 3" xfId="8740"/>
    <cellStyle name="Separador de milhares 4 2 6 3 2" xfId="26954"/>
    <cellStyle name="Separador de milhares 4 2 6 3 3" xfId="21040"/>
    <cellStyle name="Separador de milhares 4 2 6 3 4" xfId="15126"/>
    <cellStyle name="Separador de milhares 4 2 6 4" xfId="5365"/>
    <cellStyle name="Separador de milhares 4 2 6 4 2" xfId="23997"/>
    <cellStyle name="Separador de milhares 4 2 6 5" xfId="18083"/>
    <cellStyle name="Separador de milhares 4 2 6 6" xfId="11752"/>
    <cellStyle name="Separador de milhares 4 2 7" xfId="2795"/>
    <cellStyle name="Separador de milhares 4 2 7 2" xfId="7211"/>
    <cellStyle name="Separador de milhares 4 2 7 2 2" xfId="10355"/>
    <cellStyle name="Separador de milhares 4 2 7 2 2 2" xfId="28569"/>
    <cellStyle name="Separador de milhares 4 2 7 2 2 3" xfId="22655"/>
    <cellStyle name="Separador de milhares 4 2 7 2 2 4" xfId="16741"/>
    <cellStyle name="Separador de milhares 4 2 7 2 3" xfId="25612"/>
    <cellStyle name="Separador de milhares 4 2 7 2 4" xfId="19698"/>
    <cellStyle name="Separador de milhares 4 2 7 2 5" xfId="13600"/>
    <cellStyle name="Separador de milhares 4 2 7 3" xfId="8887"/>
    <cellStyle name="Separador de milhares 4 2 7 3 2" xfId="27101"/>
    <cellStyle name="Separador de milhares 4 2 7 3 3" xfId="21187"/>
    <cellStyle name="Separador de milhares 4 2 7 3 4" xfId="15273"/>
    <cellStyle name="Separador de milhares 4 2 7 4" xfId="5512"/>
    <cellStyle name="Separador de milhares 4 2 7 4 2" xfId="24144"/>
    <cellStyle name="Separador de milhares 4 2 7 5" xfId="18230"/>
    <cellStyle name="Separador de milhares 4 2 7 6" xfId="11899"/>
    <cellStyle name="Separador de milhares 4 2 8" xfId="3322"/>
    <cellStyle name="Separador de milhares 4 2 8 2" xfId="7358"/>
    <cellStyle name="Separador de milhares 4 2 8 2 2" xfId="10502"/>
    <cellStyle name="Separador de milhares 4 2 8 2 2 2" xfId="28716"/>
    <cellStyle name="Separador de milhares 4 2 8 2 2 3" xfId="22802"/>
    <cellStyle name="Separador de milhares 4 2 8 2 2 4" xfId="16888"/>
    <cellStyle name="Separador de milhares 4 2 8 2 3" xfId="25759"/>
    <cellStyle name="Separador de milhares 4 2 8 2 4" xfId="19845"/>
    <cellStyle name="Separador de milhares 4 2 8 2 5" xfId="13747"/>
    <cellStyle name="Separador de milhares 4 2 8 3" xfId="9034"/>
    <cellStyle name="Separador de milhares 4 2 8 3 2" xfId="27248"/>
    <cellStyle name="Separador de milhares 4 2 8 3 3" xfId="21334"/>
    <cellStyle name="Separador de milhares 4 2 8 3 4" xfId="15420"/>
    <cellStyle name="Separador de milhares 4 2 8 4" xfId="5659"/>
    <cellStyle name="Separador de milhares 4 2 8 4 2" xfId="24291"/>
    <cellStyle name="Separador de milhares 4 2 8 5" xfId="18377"/>
    <cellStyle name="Separador de milhares 4 2 8 6" xfId="12046"/>
    <cellStyle name="Separador de milhares 4 2 9" xfId="3849"/>
    <cellStyle name="Separador de milhares 4 2 9 2" xfId="7505"/>
    <cellStyle name="Separador de milhares 4 2 9 2 2" xfId="10649"/>
    <cellStyle name="Separador de milhares 4 2 9 2 2 2" xfId="28863"/>
    <cellStyle name="Separador de milhares 4 2 9 2 2 3" xfId="22949"/>
    <cellStyle name="Separador de milhares 4 2 9 2 2 4" xfId="17035"/>
    <cellStyle name="Separador de milhares 4 2 9 2 3" xfId="25906"/>
    <cellStyle name="Separador de milhares 4 2 9 2 4" xfId="19992"/>
    <cellStyle name="Separador de milhares 4 2 9 2 5" xfId="13894"/>
    <cellStyle name="Separador de milhares 4 2 9 3" xfId="9181"/>
    <cellStyle name="Separador de milhares 4 2 9 3 2" xfId="27395"/>
    <cellStyle name="Separador de milhares 4 2 9 3 3" xfId="21481"/>
    <cellStyle name="Separador de milhares 4 2 9 3 4" xfId="15567"/>
    <cellStyle name="Separador de milhares 4 2 9 4" xfId="5806"/>
    <cellStyle name="Separador de milhares 4 2 9 4 2" xfId="24438"/>
    <cellStyle name="Separador de milhares 4 2 9 5" xfId="18524"/>
    <cellStyle name="Separador de milhares 4 2 9 6" xfId="12193"/>
    <cellStyle name="Separador de milhares 4 3" xfId="303"/>
    <cellStyle name="Separador de milhares 4 3 10" xfId="6498"/>
    <cellStyle name="Separador de milhares 4 3 10 2" xfId="9647"/>
    <cellStyle name="Separador de milhares 4 3 10 2 2" xfId="27861"/>
    <cellStyle name="Separador de milhares 4 3 10 2 3" xfId="21947"/>
    <cellStyle name="Separador de milhares 4 3 10 2 4" xfId="16033"/>
    <cellStyle name="Separador de milhares 4 3 10 3" xfId="24904"/>
    <cellStyle name="Separador de milhares 4 3 10 4" xfId="18990"/>
    <cellStyle name="Separador de milhares 4 3 10 5" xfId="12887"/>
    <cellStyle name="Separador de milhares 4 3 11" xfId="8176"/>
    <cellStyle name="Separador de milhares 4 3 11 2" xfId="26390"/>
    <cellStyle name="Separador de milhares 4 3 11 3" xfId="20476"/>
    <cellStyle name="Separador de milhares 4 3 11 4" xfId="14565"/>
    <cellStyle name="Separador de milhares 4 3 12" xfId="4797"/>
    <cellStyle name="Separador de milhares 4 3 12 2" xfId="23433"/>
    <cellStyle name="Separador de milhares 4 3 13" xfId="17519"/>
    <cellStyle name="Separador de milhares 4 3 14" xfId="11186"/>
    <cellStyle name="Separador de milhares 4 3 2" xfId="657"/>
    <cellStyle name="Separador de milhares 4 3 2 2" xfId="6592"/>
    <cellStyle name="Separador de milhares 4 3 2 2 2" xfId="9739"/>
    <cellStyle name="Separador de milhares 4 3 2 2 2 2" xfId="27953"/>
    <cellStyle name="Separador de milhares 4 3 2 2 2 3" xfId="22039"/>
    <cellStyle name="Separador de milhares 4 3 2 2 2 4" xfId="16125"/>
    <cellStyle name="Separador de milhares 4 3 2 2 3" xfId="24996"/>
    <cellStyle name="Separador de milhares 4 3 2 2 4" xfId="19082"/>
    <cellStyle name="Separador de milhares 4 3 2 2 5" xfId="12981"/>
    <cellStyle name="Separador de milhares 4 3 2 3" xfId="8271"/>
    <cellStyle name="Separador de milhares 4 3 2 3 2" xfId="26485"/>
    <cellStyle name="Separador de milhares 4 3 2 3 3" xfId="20571"/>
    <cellStyle name="Separador de milhares 4 3 2 3 4" xfId="14657"/>
    <cellStyle name="Separador de milhares 4 3 2 4" xfId="4893"/>
    <cellStyle name="Separador de milhares 4 3 2 4 2" xfId="23528"/>
    <cellStyle name="Separador de milhares 4 3 2 5" xfId="17614"/>
    <cellStyle name="Separador de milhares 4 3 2 6" xfId="11280"/>
    <cellStyle name="Separador de milhares 4 3 3" xfId="861"/>
    <cellStyle name="Separador de milhares 4 3 3 2" xfId="6669"/>
    <cellStyle name="Separador de milhares 4 3 3 2 2" xfId="9816"/>
    <cellStyle name="Separador de milhares 4 3 3 2 2 2" xfId="28030"/>
    <cellStyle name="Separador de milhares 4 3 3 2 2 3" xfId="22116"/>
    <cellStyle name="Separador de milhares 4 3 3 2 2 4" xfId="16202"/>
    <cellStyle name="Separador de milhares 4 3 3 2 3" xfId="25073"/>
    <cellStyle name="Separador de milhares 4 3 3 2 4" xfId="19159"/>
    <cellStyle name="Separador de milhares 4 3 3 2 5" xfId="13058"/>
    <cellStyle name="Separador de milhares 4 3 3 3" xfId="8348"/>
    <cellStyle name="Separador de milhares 4 3 3 3 2" xfId="26562"/>
    <cellStyle name="Separador de milhares 4 3 3 3 3" xfId="20648"/>
    <cellStyle name="Separador de milhares 4 3 3 3 4" xfId="14734"/>
    <cellStyle name="Separador de milhares 4 3 3 4" xfId="4970"/>
    <cellStyle name="Separador de milhares 4 3 3 4 2" xfId="23605"/>
    <cellStyle name="Separador de milhares 4 3 3 5" xfId="17691"/>
    <cellStyle name="Separador de milhares 4 3 3 6" xfId="11357"/>
    <cellStyle name="Separador de milhares 4 3 4" xfId="1212"/>
    <cellStyle name="Separador de milhares 4 3 4 2" xfId="6767"/>
    <cellStyle name="Separador de milhares 4 3 4 2 2" xfId="9914"/>
    <cellStyle name="Separador de milhares 4 3 4 2 2 2" xfId="28128"/>
    <cellStyle name="Separador de milhares 4 3 4 2 2 3" xfId="22214"/>
    <cellStyle name="Separador de milhares 4 3 4 2 2 4" xfId="16300"/>
    <cellStyle name="Separador de milhares 4 3 4 2 3" xfId="25171"/>
    <cellStyle name="Separador de milhares 4 3 4 2 4" xfId="19257"/>
    <cellStyle name="Separador de milhares 4 3 4 2 5" xfId="13156"/>
    <cellStyle name="Separador de milhares 4 3 4 3" xfId="8446"/>
    <cellStyle name="Separador de milhares 4 3 4 3 2" xfId="26660"/>
    <cellStyle name="Separador de milhares 4 3 4 3 3" xfId="20746"/>
    <cellStyle name="Separador de milhares 4 3 4 3 4" xfId="14832"/>
    <cellStyle name="Separador de milhares 4 3 4 4" xfId="5068"/>
    <cellStyle name="Separador de milhares 4 3 4 4 2" xfId="23703"/>
    <cellStyle name="Separador de milhares 4 3 4 5" xfId="17789"/>
    <cellStyle name="Separador de milhares 4 3 4 6" xfId="11455"/>
    <cellStyle name="Separador de milhares 4 3 5" xfId="1647"/>
    <cellStyle name="Separador de milhares 4 3 5 2" xfId="6886"/>
    <cellStyle name="Separador de milhares 4 3 5 2 2" xfId="10033"/>
    <cellStyle name="Separador de milhares 4 3 5 2 2 2" xfId="28247"/>
    <cellStyle name="Separador de milhares 4 3 5 2 2 3" xfId="22333"/>
    <cellStyle name="Separador de milhares 4 3 5 2 2 4" xfId="16419"/>
    <cellStyle name="Separador de milhares 4 3 5 2 3" xfId="25290"/>
    <cellStyle name="Separador de milhares 4 3 5 2 4" xfId="19376"/>
    <cellStyle name="Separador de milhares 4 3 5 2 5" xfId="13275"/>
    <cellStyle name="Separador de milhares 4 3 5 3" xfId="8565"/>
    <cellStyle name="Separador de milhares 4 3 5 3 2" xfId="26779"/>
    <cellStyle name="Separador de milhares 4 3 5 3 3" xfId="20865"/>
    <cellStyle name="Separador de milhares 4 3 5 3 4" xfId="14951"/>
    <cellStyle name="Separador de milhares 4 3 5 4" xfId="5187"/>
    <cellStyle name="Separador de milhares 4 3 5 4 2" xfId="23822"/>
    <cellStyle name="Separador de milhares 4 3 5 5" xfId="17908"/>
    <cellStyle name="Separador de milhares 4 3 5 6" xfId="11574"/>
    <cellStyle name="Separador de milhares 4 3 6" xfId="2177"/>
    <cellStyle name="Separador de milhares 4 3 6 2" xfId="7036"/>
    <cellStyle name="Separador de milhares 4 3 6 2 2" xfId="10180"/>
    <cellStyle name="Separador de milhares 4 3 6 2 2 2" xfId="28394"/>
    <cellStyle name="Separador de milhares 4 3 6 2 2 3" xfId="22480"/>
    <cellStyle name="Separador de milhares 4 3 6 2 2 4" xfId="16566"/>
    <cellStyle name="Separador de milhares 4 3 6 2 3" xfId="25437"/>
    <cellStyle name="Separador de milhares 4 3 6 2 4" xfId="19523"/>
    <cellStyle name="Separador de milhares 4 3 6 2 5" xfId="13425"/>
    <cellStyle name="Separador de milhares 4 3 6 3" xfId="8712"/>
    <cellStyle name="Separador de milhares 4 3 6 3 2" xfId="26926"/>
    <cellStyle name="Separador de milhares 4 3 6 3 3" xfId="21012"/>
    <cellStyle name="Separador de milhares 4 3 6 3 4" xfId="15098"/>
    <cellStyle name="Separador de milhares 4 3 6 4" xfId="5337"/>
    <cellStyle name="Separador de milhares 4 3 6 4 2" xfId="23969"/>
    <cellStyle name="Separador de milhares 4 3 6 5" xfId="18055"/>
    <cellStyle name="Separador de milhares 4 3 6 6" xfId="11724"/>
    <cellStyle name="Separador de milhares 4 3 7" xfId="2704"/>
    <cellStyle name="Separador de milhares 4 3 7 2" xfId="7183"/>
    <cellStyle name="Separador de milhares 4 3 7 2 2" xfId="10327"/>
    <cellStyle name="Separador de milhares 4 3 7 2 2 2" xfId="28541"/>
    <cellStyle name="Separador de milhares 4 3 7 2 2 3" xfId="22627"/>
    <cellStyle name="Separador de milhares 4 3 7 2 2 4" xfId="16713"/>
    <cellStyle name="Separador de milhares 4 3 7 2 3" xfId="25584"/>
    <cellStyle name="Separador de milhares 4 3 7 2 4" xfId="19670"/>
    <cellStyle name="Separador de milhares 4 3 7 2 5" xfId="13572"/>
    <cellStyle name="Separador de milhares 4 3 7 3" xfId="8859"/>
    <cellStyle name="Separador de milhares 4 3 7 3 2" xfId="27073"/>
    <cellStyle name="Separador de milhares 4 3 7 3 3" xfId="21159"/>
    <cellStyle name="Separador de milhares 4 3 7 3 4" xfId="15245"/>
    <cellStyle name="Separador de milhares 4 3 7 4" xfId="5484"/>
    <cellStyle name="Separador de milhares 4 3 7 4 2" xfId="24116"/>
    <cellStyle name="Separador de milhares 4 3 7 5" xfId="18202"/>
    <cellStyle name="Separador de milhares 4 3 7 6" xfId="11871"/>
    <cellStyle name="Separador de milhares 4 3 8" xfId="3231"/>
    <cellStyle name="Separador de milhares 4 3 8 2" xfId="7330"/>
    <cellStyle name="Separador de milhares 4 3 8 2 2" xfId="10474"/>
    <cellStyle name="Separador de milhares 4 3 8 2 2 2" xfId="28688"/>
    <cellStyle name="Separador de milhares 4 3 8 2 2 3" xfId="22774"/>
    <cellStyle name="Separador de milhares 4 3 8 2 2 4" xfId="16860"/>
    <cellStyle name="Separador de milhares 4 3 8 2 3" xfId="25731"/>
    <cellStyle name="Separador de milhares 4 3 8 2 4" xfId="19817"/>
    <cellStyle name="Separador de milhares 4 3 8 2 5" xfId="13719"/>
    <cellStyle name="Separador de milhares 4 3 8 3" xfId="9006"/>
    <cellStyle name="Separador de milhares 4 3 8 3 2" xfId="27220"/>
    <cellStyle name="Separador de milhares 4 3 8 3 3" xfId="21306"/>
    <cellStyle name="Separador de milhares 4 3 8 3 4" xfId="15392"/>
    <cellStyle name="Separador de milhares 4 3 8 4" xfId="5631"/>
    <cellStyle name="Separador de milhares 4 3 8 4 2" xfId="24263"/>
    <cellStyle name="Separador de milhares 4 3 8 5" xfId="18349"/>
    <cellStyle name="Separador de milhares 4 3 8 6" xfId="12018"/>
    <cellStyle name="Separador de milhares 4 3 9" xfId="3758"/>
    <cellStyle name="Separador de milhares 4 3 9 2" xfId="7477"/>
    <cellStyle name="Separador de milhares 4 3 9 2 2" xfId="10621"/>
    <cellStyle name="Separador de milhares 4 3 9 2 2 2" xfId="28835"/>
    <cellStyle name="Separador de milhares 4 3 9 2 2 3" xfId="22921"/>
    <cellStyle name="Separador de milhares 4 3 9 2 2 4" xfId="17007"/>
    <cellStyle name="Separador de milhares 4 3 9 2 3" xfId="25878"/>
    <cellStyle name="Separador de milhares 4 3 9 2 4" xfId="19964"/>
    <cellStyle name="Separador de milhares 4 3 9 2 5" xfId="13866"/>
    <cellStyle name="Separador de milhares 4 3 9 3" xfId="9153"/>
    <cellStyle name="Separador de milhares 4 3 9 3 2" xfId="27367"/>
    <cellStyle name="Separador de milhares 4 3 9 3 3" xfId="21453"/>
    <cellStyle name="Separador de milhares 4 3 9 3 4" xfId="15539"/>
    <cellStyle name="Separador de milhares 4 3 9 4" xfId="5778"/>
    <cellStyle name="Separador de milhares 4 3 9 4 2" xfId="24410"/>
    <cellStyle name="Separador de milhares 4 3 9 5" xfId="18496"/>
    <cellStyle name="Separador de milhares 4 3 9 6" xfId="12165"/>
    <cellStyle name="Separador de milhares 4 4" xfId="6436"/>
    <cellStyle name="Separador de milhares 4 4 2" xfId="9591"/>
    <cellStyle name="Separador de milhares 4 4 2 2" xfId="27805"/>
    <cellStyle name="Separador de milhares 4 4 2 3" xfId="21891"/>
    <cellStyle name="Separador de milhares 4 4 2 4" xfId="15977"/>
    <cellStyle name="Separador de milhares 4 4 3" xfId="24848"/>
    <cellStyle name="Separador de milhares 4 4 4" xfId="18934"/>
    <cellStyle name="Separador de milhares 4 4 5" xfId="12825"/>
    <cellStyle name="Separador de milhares 4 5" xfId="8120"/>
    <cellStyle name="Separador de milhares 4 5 2" xfId="26334"/>
    <cellStyle name="Separador de milhares 4 5 3" xfId="20420"/>
    <cellStyle name="Separador de milhares 4 5 4" xfId="14509"/>
    <cellStyle name="Separador de milhares 4 6" xfId="4735"/>
    <cellStyle name="Separador de milhares 4 6 2" xfId="23377"/>
    <cellStyle name="Separador de milhares 4 7" xfId="17463"/>
    <cellStyle name="Separador de milhares 4 8" xfId="11124"/>
    <cellStyle name="Separador de milhares_MODELO CÂMARA" xfId="4"/>
    <cellStyle name="Vírgula" xfId="1" builtinId="3"/>
    <cellStyle name="Vírgula 10" xfId="4351"/>
    <cellStyle name="Vírgula 10 2" xfId="4459"/>
    <cellStyle name="Vírgula 10 2 2" xfId="7861"/>
    <cellStyle name="Vírgula 10 2 2 2" xfId="10890"/>
    <cellStyle name="Vírgula 10 2 2 2 2" xfId="29104"/>
    <cellStyle name="Vírgula 10 2 2 2 3" xfId="23190"/>
    <cellStyle name="Vírgula 10 2 2 2 4" xfId="17276"/>
    <cellStyle name="Vírgula 10 2 2 3" xfId="26147"/>
    <cellStyle name="Vírgula 10 2 2 4" xfId="20233"/>
    <cellStyle name="Vírgula 10 2 2 5" xfId="14250"/>
    <cellStyle name="Vírgula 10 2 3" xfId="9422"/>
    <cellStyle name="Vírgula 10 2 3 2" xfId="27636"/>
    <cellStyle name="Vírgula 10 2 3 3" xfId="21722"/>
    <cellStyle name="Vírgula 10 2 3 4" xfId="15808"/>
    <cellStyle name="Vírgula 10 2 4" xfId="6160"/>
    <cellStyle name="Vírgula 10 2 4 2" xfId="24679"/>
    <cellStyle name="Vírgula 10 2 5" xfId="18765"/>
    <cellStyle name="Vírgula 10 2 6" xfId="12549"/>
    <cellStyle name="Vírgula 10 3" xfId="4567"/>
    <cellStyle name="Vírgula 10 3 2" xfId="7969"/>
    <cellStyle name="Vírgula 10 3 2 2" xfId="10952"/>
    <cellStyle name="Vírgula 10 3 2 2 2" xfId="29166"/>
    <cellStyle name="Vírgula 10 3 2 2 3" xfId="23252"/>
    <cellStyle name="Vírgula 10 3 2 2 4" xfId="17338"/>
    <cellStyle name="Vírgula 10 3 2 3" xfId="26209"/>
    <cellStyle name="Vírgula 10 3 2 4" xfId="20295"/>
    <cellStyle name="Vírgula 10 3 2 5" xfId="14358"/>
    <cellStyle name="Vírgula 10 3 3" xfId="9484"/>
    <cellStyle name="Vírgula 10 3 3 2" xfId="27698"/>
    <cellStyle name="Vírgula 10 3 3 3" xfId="21784"/>
    <cellStyle name="Vírgula 10 3 3 4" xfId="15870"/>
    <cellStyle name="Vírgula 10 3 4" xfId="6268"/>
    <cellStyle name="Vírgula 10 3 4 2" xfId="24741"/>
    <cellStyle name="Vírgula 10 3 5" xfId="18827"/>
    <cellStyle name="Vírgula 10 3 6" xfId="12657"/>
    <cellStyle name="Vírgula 10 4" xfId="6052"/>
    <cellStyle name="Vírgula 10 4 2" xfId="7752"/>
    <cellStyle name="Vírgula 10 4 2 2" xfId="10828"/>
    <cellStyle name="Vírgula 10 4 2 2 2" xfId="29042"/>
    <cellStyle name="Vírgula 10 4 2 2 3" xfId="23128"/>
    <cellStyle name="Vírgula 10 4 2 2 4" xfId="17214"/>
    <cellStyle name="Vírgula 10 4 2 3" xfId="26085"/>
    <cellStyle name="Vírgula 10 4 2 4" xfId="20171"/>
    <cellStyle name="Vírgula 10 4 2 5" xfId="14141"/>
    <cellStyle name="Vírgula 10 4 3" xfId="9360"/>
    <cellStyle name="Vírgula 10 4 3 2" xfId="27574"/>
    <cellStyle name="Vírgula 10 4 3 3" xfId="21660"/>
    <cellStyle name="Vírgula 10 4 3 4" xfId="15746"/>
    <cellStyle name="Vírgula 10 4 4" xfId="24617"/>
    <cellStyle name="Vírgula 10 4 5" xfId="18703"/>
    <cellStyle name="Vírgula 10 4 6" xfId="12440"/>
    <cellStyle name="Vírgula 10 5" xfId="6377"/>
    <cellStyle name="Vírgula 10 5 2" xfId="9546"/>
    <cellStyle name="Vírgula 10 5 2 2" xfId="27760"/>
    <cellStyle name="Vírgula 10 5 2 3" xfId="21846"/>
    <cellStyle name="Vírgula 10 5 2 4" xfId="15932"/>
    <cellStyle name="Vírgula 10 5 3" xfId="24803"/>
    <cellStyle name="Vírgula 10 5 4" xfId="18889"/>
    <cellStyle name="Vírgula 10 5 5" xfId="12766"/>
    <cellStyle name="Vírgula 10 6" xfId="8075"/>
    <cellStyle name="Vírgula 10 6 2" xfId="26289"/>
    <cellStyle name="Vírgula 10 6 3" xfId="20375"/>
    <cellStyle name="Vírgula 10 6 4" xfId="14464"/>
    <cellStyle name="Vírgula 10 7" xfId="4674"/>
    <cellStyle name="Vírgula 10 7 2" xfId="23332"/>
    <cellStyle name="Vírgula 10 8" xfId="17418"/>
    <cellStyle name="Vírgula 10 9" xfId="11065"/>
    <cellStyle name="Vírgula 11" xfId="4381"/>
    <cellStyle name="Vírgula 11 2" xfId="4489"/>
    <cellStyle name="Vírgula 11 2 2" xfId="7891"/>
    <cellStyle name="Vírgula 11 2 2 2" xfId="10908"/>
    <cellStyle name="Vírgula 11 2 2 2 2" xfId="29122"/>
    <cellStyle name="Vírgula 11 2 2 2 3" xfId="23208"/>
    <cellStyle name="Vírgula 11 2 2 2 4" xfId="17294"/>
    <cellStyle name="Vírgula 11 2 2 3" xfId="26165"/>
    <cellStyle name="Vírgula 11 2 2 4" xfId="20251"/>
    <cellStyle name="Vírgula 11 2 2 5" xfId="14280"/>
    <cellStyle name="Vírgula 11 2 3" xfId="9440"/>
    <cellStyle name="Vírgula 11 2 3 2" xfId="27654"/>
    <cellStyle name="Vírgula 11 2 3 3" xfId="21740"/>
    <cellStyle name="Vírgula 11 2 3 4" xfId="15826"/>
    <cellStyle name="Vírgula 11 2 4" xfId="6190"/>
    <cellStyle name="Vírgula 11 2 4 2" xfId="24697"/>
    <cellStyle name="Vírgula 11 2 5" xfId="18783"/>
    <cellStyle name="Vírgula 11 2 6" xfId="12579"/>
    <cellStyle name="Vírgula 11 3" xfId="4597"/>
    <cellStyle name="Vírgula 11 3 2" xfId="8000"/>
    <cellStyle name="Vírgula 11 3 2 2" xfId="10970"/>
    <cellStyle name="Vírgula 11 3 2 2 2" xfId="29184"/>
    <cellStyle name="Vírgula 11 3 2 2 3" xfId="23270"/>
    <cellStyle name="Vírgula 11 3 2 2 4" xfId="17356"/>
    <cellStyle name="Vírgula 11 3 2 3" xfId="26227"/>
    <cellStyle name="Vírgula 11 3 2 4" xfId="20313"/>
    <cellStyle name="Vírgula 11 3 2 5" xfId="14389"/>
    <cellStyle name="Vírgula 11 3 3" xfId="9502"/>
    <cellStyle name="Vírgula 11 3 3 2" xfId="27716"/>
    <cellStyle name="Vírgula 11 3 3 3" xfId="21802"/>
    <cellStyle name="Vírgula 11 3 3 4" xfId="15888"/>
    <cellStyle name="Vírgula 11 3 4" xfId="6299"/>
    <cellStyle name="Vírgula 11 3 4 2" xfId="24759"/>
    <cellStyle name="Vírgula 11 3 5" xfId="18845"/>
    <cellStyle name="Vírgula 11 3 6" xfId="12688"/>
    <cellStyle name="Vírgula 11 4" xfId="6083"/>
    <cellStyle name="Vírgula 11 4 2" xfId="7783"/>
    <cellStyle name="Vírgula 11 4 2 2" xfId="10846"/>
    <cellStyle name="Vírgula 11 4 2 2 2" xfId="29060"/>
    <cellStyle name="Vírgula 11 4 2 2 3" xfId="23146"/>
    <cellStyle name="Vírgula 11 4 2 2 4" xfId="17232"/>
    <cellStyle name="Vírgula 11 4 2 3" xfId="26103"/>
    <cellStyle name="Vírgula 11 4 2 4" xfId="20189"/>
    <cellStyle name="Vírgula 11 4 2 5" xfId="14172"/>
    <cellStyle name="Vírgula 11 4 3" xfId="9378"/>
    <cellStyle name="Vírgula 11 4 3 2" xfId="27592"/>
    <cellStyle name="Vírgula 11 4 3 3" xfId="21678"/>
    <cellStyle name="Vírgula 11 4 3 4" xfId="15764"/>
    <cellStyle name="Vírgula 11 4 4" xfId="24635"/>
    <cellStyle name="Vírgula 11 4 5" xfId="18721"/>
    <cellStyle name="Vírgula 11 4 6" xfId="12471"/>
    <cellStyle name="Vírgula 11 5" xfId="6408"/>
    <cellStyle name="Vírgula 11 5 2" xfId="9564"/>
    <cellStyle name="Vírgula 11 5 2 2" xfId="27778"/>
    <cellStyle name="Vírgula 11 5 2 3" xfId="21864"/>
    <cellStyle name="Vírgula 11 5 2 4" xfId="15950"/>
    <cellStyle name="Vírgula 11 5 3" xfId="24821"/>
    <cellStyle name="Vírgula 11 5 4" xfId="18907"/>
    <cellStyle name="Vírgula 11 5 5" xfId="12797"/>
    <cellStyle name="Vírgula 11 6" xfId="8093"/>
    <cellStyle name="Vírgula 11 6 2" xfId="26307"/>
    <cellStyle name="Vírgula 11 6 3" xfId="20393"/>
    <cellStyle name="Vírgula 11 6 4" xfId="14482"/>
    <cellStyle name="Vírgula 11 7" xfId="4705"/>
    <cellStyle name="Vírgula 11 7 2" xfId="23350"/>
    <cellStyle name="Vírgula 11 8" xfId="17436"/>
    <cellStyle name="Vírgula 11 9" xfId="11096"/>
    <cellStyle name="Vírgula 12" xfId="8001"/>
    <cellStyle name="Vírgula 12 2" xfId="10971"/>
    <cellStyle name="Vírgula 12 2 2" xfId="29185"/>
    <cellStyle name="Vírgula 12 2 3" xfId="23271"/>
    <cellStyle name="Vírgula 12 2 4" xfId="17357"/>
    <cellStyle name="Vírgula 12 3" xfId="26228"/>
    <cellStyle name="Vírgula 12 4" xfId="20314"/>
    <cellStyle name="Vírgula 12 5" xfId="14390"/>
    <cellStyle name="Vírgula 13" xfId="29203"/>
    <cellStyle name="Vírgula 2" xfId="111"/>
    <cellStyle name="Vírgula 2 2" xfId="205"/>
    <cellStyle name="Vírgula 2 2 10" xfId="4211"/>
    <cellStyle name="Vírgula 2 2 10 2" xfId="7611"/>
    <cellStyle name="Vírgula 2 2 10 2 2" xfId="10748"/>
    <cellStyle name="Vírgula 2 2 10 2 2 2" xfId="28962"/>
    <cellStyle name="Vírgula 2 2 10 2 2 3" xfId="23048"/>
    <cellStyle name="Vírgula 2 2 10 2 2 4" xfId="17134"/>
    <cellStyle name="Vírgula 2 2 10 2 3" xfId="26005"/>
    <cellStyle name="Vírgula 2 2 10 2 4" xfId="20091"/>
    <cellStyle name="Vírgula 2 2 10 2 5" xfId="14000"/>
    <cellStyle name="Vírgula 2 2 10 3" xfId="9280"/>
    <cellStyle name="Vírgula 2 2 10 3 2" xfId="27494"/>
    <cellStyle name="Vírgula 2 2 10 3 3" xfId="21580"/>
    <cellStyle name="Vírgula 2 2 10 3 4" xfId="15666"/>
    <cellStyle name="Vírgula 2 2 10 4" xfId="5912"/>
    <cellStyle name="Vírgula 2 2 10 4 2" xfId="24537"/>
    <cellStyle name="Vírgula 2 2 10 5" xfId="18623"/>
    <cellStyle name="Vírgula 2 2 10 6" xfId="12299"/>
    <cellStyle name="Vírgula 2 2 11" xfId="4287"/>
    <cellStyle name="Vírgula 2 2 11 2" xfId="7688"/>
    <cellStyle name="Vírgula 2 2 11 2 2" xfId="10791"/>
    <cellStyle name="Vírgula 2 2 11 2 2 2" xfId="29005"/>
    <cellStyle name="Vírgula 2 2 11 2 2 3" xfId="23091"/>
    <cellStyle name="Vírgula 2 2 11 2 2 4" xfId="17177"/>
    <cellStyle name="Vírgula 2 2 11 2 3" xfId="26048"/>
    <cellStyle name="Vírgula 2 2 11 2 4" xfId="20134"/>
    <cellStyle name="Vírgula 2 2 11 2 5" xfId="14077"/>
    <cellStyle name="Vírgula 2 2 11 3" xfId="9323"/>
    <cellStyle name="Vírgula 2 2 11 3 2" xfId="27537"/>
    <cellStyle name="Vírgula 2 2 11 3 3" xfId="21623"/>
    <cellStyle name="Vírgula 2 2 11 3 4" xfId="15709"/>
    <cellStyle name="Vírgula 2 2 11 4" xfId="5988"/>
    <cellStyle name="Vírgula 2 2 11 4 2" xfId="24580"/>
    <cellStyle name="Vírgula 2 2 11 5" xfId="18666"/>
    <cellStyle name="Vírgula 2 2 11 6" xfId="12376"/>
    <cellStyle name="Vírgula 2 2 12" xfId="4395"/>
    <cellStyle name="Vírgula 2 2 12 2" xfId="7797"/>
    <cellStyle name="Vírgula 2 2 12 2 2" xfId="10853"/>
    <cellStyle name="Vírgula 2 2 12 2 2 2" xfId="29067"/>
    <cellStyle name="Vírgula 2 2 12 2 2 3" xfId="23153"/>
    <cellStyle name="Vírgula 2 2 12 2 2 4" xfId="17239"/>
    <cellStyle name="Vírgula 2 2 12 2 3" xfId="26110"/>
    <cellStyle name="Vírgula 2 2 12 2 4" xfId="20196"/>
    <cellStyle name="Vírgula 2 2 12 2 5" xfId="14186"/>
    <cellStyle name="Vírgula 2 2 12 3" xfId="9385"/>
    <cellStyle name="Vírgula 2 2 12 3 2" xfId="27599"/>
    <cellStyle name="Vírgula 2 2 12 3 3" xfId="21685"/>
    <cellStyle name="Vírgula 2 2 12 3 4" xfId="15771"/>
    <cellStyle name="Vírgula 2 2 12 4" xfId="6097"/>
    <cellStyle name="Vírgula 2 2 12 4 2" xfId="24642"/>
    <cellStyle name="Vírgula 2 2 12 5" xfId="18728"/>
    <cellStyle name="Vírgula 2 2 12 6" xfId="12485"/>
    <cellStyle name="Vírgula 2 2 13" xfId="4503"/>
    <cellStyle name="Vírgula 2 2 13 2" xfId="7905"/>
    <cellStyle name="Vírgula 2 2 13 2 2" xfId="10915"/>
    <cellStyle name="Vírgula 2 2 13 2 2 2" xfId="29129"/>
    <cellStyle name="Vírgula 2 2 13 2 2 3" xfId="23215"/>
    <cellStyle name="Vírgula 2 2 13 2 2 4" xfId="17301"/>
    <cellStyle name="Vírgula 2 2 13 2 3" xfId="26172"/>
    <cellStyle name="Vírgula 2 2 13 2 4" xfId="20258"/>
    <cellStyle name="Vírgula 2 2 13 2 5" xfId="14294"/>
    <cellStyle name="Vírgula 2 2 13 3" xfId="9447"/>
    <cellStyle name="Vírgula 2 2 13 3 2" xfId="27661"/>
    <cellStyle name="Vírgula 2 2 13 3 3" xfId="21747"/>
    <cellStyle name="Vírgula 2 2 13 3 4" xfId="15833"/>
    <cellStyle name="Vírgula 2 2 13 4" xfId="6204"/>
    <cellStyle name="Vírgula 2 2 13 4 2" xfId="24704"/>
    <cellStyle name="Vírgula 2 2 13 5" xfId="18790"/>
    <cellStyle name="Vírgula 2 2 13 6" xfId="12593"/>
    <cellStyle name="Vírgula 2 2 14" xfId="4763"/>
    <cellStyle name="Vírgula 2 2 14 2" xfId="6464"/>
    <cellStyle name="Vírgula 2 2 14 2 2" xfId="9617"/>
    <cellStyle name="Vírgula 2 2 14 2 2 2" xfId="27831"/>
    <cellStyle name="Vírgula 2 2 14 2 2 3" xfId="21917"/>
    <cellStyle name="Vírgula 2 2 14 2 2 4" xfId="16003"/>
    <cellStyle name="Vírgula 2 2 14 2 3" xfId="24874"/>
    <cellStyle name="Vírgula 2 2 14 2 4" xfId="18960"/>
    <cellStyle name="Vírgula 2 2 14 2 5" xfId="12853"/>
    <cellStyle name="Vírgula 2 2 14 3" xfId="8146"/>
    <cellStyle name="Vírgula 2 2 14 3 2" xfId="26360"/>
    <cellStyle name="Vírgula 2 2 14 3 3" xfId="20446"/>
    <cellStyle name="Vírgula 2 2 14 3 4" xfId="14535"/>
    <cellStyle name="Vírgula 2 2 14 4" xfId="23403"/>
    <cellStyle name="Vírgula 2 2 14 5" xfId="17489"/>
    <cellStyle name="Vírgula 2 2 14 6" xfId="11152"/>
    <cellStyle name="Vírgula 2 2 15" xfId="6313"/>
    <cellStyle name="Vírgula 2 2 15 2" xfId="9509"/>
    <cellStyle name="Vírgula 2 2 15 2 2" xfId="27723"/>
    <cellStyle name="Vírgula 2 2 15 2 3" xfId="21809"/>
    <cellStyle name="Vírgula 2 2 15 2 4" xfId="15895"/>
    <cellStyle name="Vírgula 2 2 15 3" xfId="24766"/>
    <cellStyle name="Vírgula 2 2 15 4" xfId="18852"/>
    <cellStyle name="Vírgula 2 2 15 5" xfId="12702"/>
    <cellStyle name="Vírgula 2 2 16" xfId="8005"/>
    <cellStyle name="Vírgula 2 2 16 2" xfId="10973"/>
    <cellStyle name="Vírgula 2 2 16 2 2" xfId="29187"/>
    <cellStyle name="Vírgula 2 2 16 2 3" xfId="23273"/>
    <cellStyle name="Vírgula 2 2 16 2 4" xfId="17359"/>
    <cellStyle name="Vírgula 2 2 16 3" xfId="26230"/>
    <cellStyle name="Vírgula 2 2 16 4" xfId="20316"/>
    <cellStyle name="Vírgula 2 2 16 5" xfId="14394"/>
    <cellStyle name="Vírgula 2 2 17" xfId="8038"/>
    <cellStyle name="Vírgula 2 2 17 2" xfId="26252"/>
    <cellStyle name="Vírgula 2 2 17 3" xfId="20338"/>
    <cellStyle name="Vírgula 2 2 17 4" xfId="14427"/>
    <cellStyle name="Vírgula 2 2 18" xfId="4611"/>
    <cellStyle name="Vírgula 2 2 18 2" xfId="23295"/>
    <cellStyle name="Vírgula 2 2 19" xfId="17381"/>
    <cellStyle name="Vírgula 2 2 2" xfId="662"/>
    <cellStyle name="Vírgula 2 2 2 10" xfId="4508"/>
    <cellStyle name="Vírgula 2 2 2 10 2" xfId="7910"/>
    <cellStyle name="Vírgula 2 2 2 10 2 2" xfId="10918"/>
    <cellStyle name="Vírgula 2 2 2 10 2 2 2" xfId="29132"/>
    <cellStyle name="Vírgula 2 2 2 10 2 2 3" xfId="23218"/>
    <cellStyle name="Vírgula 2 2 2 10 2 2 4" xfId="17304"/>
    <cellStyle name="Vírgula 2 2 2 10 2 3" xfId="26175"/>
    <cellStyle name="Vírgula 2 2 2 10 2 4" xfId="20261"/>
    <cellStyle name="Vírgula 2 2 2 10 2 5" xfId="14299"/>
    <cellStyle name="Vírgula 2 2 2 10 3" xfId="9450"/>
    <cellStyle name="Vírgula 2 2 2 10 3 2" xfId="27664"/>
    <cellStyle name="Vírgula 2 2 2 10 3 3" xfId="21750"/>
    <cellStyle name="Vírgula 2 2 2 10 3 4" xfId="15836"/>
    <cellStyle name="Vírgula 2 2 2 10 4" xfId="6209"/>
    <cellStyle name="Vírgula 2 2 2 10 4 2" xfId="24707"/>
    <cellStyle name="Vírgula 2 2 2 10 5" xfId="18793"/>
    <cellStyle name="Vírgula 2 2 2 10 6" xfId="12598"/>
    <cellStyle name="Vírgula 2 2 2 11" xfId="4898"/>
    <cellStyle name="Vírgula 2 2 2 11 2" xfId="6597"/>
    <cellStyle name="Vírgula 2 2 2 11 2 2" xfId="9744"/>
    <cellStyle name="Vírgula 2 2 2 11 2 2 2" xfId="27958"/>
    <cellStyle name="Vírgula 2 2 2 11 2 2 3" xfId="22044"/>
    <cellStyle name="Vírgula 2 2 2 11 2 2 4" xfId="16130"/>
    <cellStyle name="Vírgula 2 2 2 11 2 3" xfId="25001"/>
    <cellStyle name="Vírgula 2 2 2 11 2 4" xfId="19087"/>
    <cellStyle name="Vírgula 2 2 2 11 2 5" xfId="12986"/>
    <cellStyle name="Vírgula 2 2 2 11 3" xfId="8276"/>
    <cellStyle name="Vírgula 2 2 2 11 3 2" xfId="26490"/>
    <cellStyle name="Vírgula 2 2 2 11 3 3" xfId="20576"/>
    <cellStyle name="Vírgula 2 2 2 11 3 4" xfId="14662"/>
    <cellStyle name="Vírgula 2 2 2 11 4" xfId="23533"/>
    <cellStyle name="Vírgula 2 2 2 11 5" xfId="17619"/>
    <cellStyle name="Vírgula 2 2 2 11 6" xfId="11285"/>
    <cellStyle name="Vírgula 2 2 2 12" xfId="6318"/>
    <cellStyle name="Vírgula 2 2 2 12 2" xfId="9512"/>
    <cellStyle name="Vírgula 2 2 2 12 2 2" xfId="27726"/>
    <cellStyle name="Vírgula 2 2 2 12 2 3" xfId="21812"/>
    <cellStyle name="Vírgula 2 2 2 12 2 4" xfId="15898"/>
    <cellStyle name="Vírgula 2 2 2 12 3" xfId="24769"/>
    <cellStyle name="Vírgula 2 2 2 12 4" xfId="18855"/>
    <cellStyle name="Vírgula 2 2 2 12 5" xfId="12707"/>
    <cellStyle name="Vírgula 2 2 2 13" xfId="8010"/>
    <cellStyle name="Vírgula 2 2 2 13 2" xfId="10976"/>
    <cellStyle name="Vírgula 2 2 2 13 2 2" xfId="29190"/>
    <cellStyle name="Vírgula 2 2 2 13 2 3" xfId="23276"/>
    <cellStyle name="Vírgula 2 2 2 13 2 4" xfId="17362"/>
    <cellStyle name="Vírgula 2 2 2 13 3" xfId="26233"/>
    <cellStyle name="Vírgula 2 2 2 13 4" xfId="20319"/>
    <cellStyle name="Vírgula 2 2 2 13 5" xfId="14399"/>
    <cellStyle name="Vírgula 2 2 2 14" xfId="8041"/>
    <cellStyle name="Vírgula 2 2 2 14 2" xfId="26255"/>
    <cellStyle name="Vírgula 2 2 2 14 3" xfId="20341"/>
    <cellStyle name="Vírgula 2 2 2 14 4" xfId="14430"/>
    <cellStyle name="Vírgula 2 2 2 15" xfId="4616"/>
    <cellStyle name="Vírgula 2 2 2 15 2" xfId="23298"/>
    <cellStyle name="Vírgula 2 2 2 16" xfId="17384"/>
    <cellStyle name="Vírgula 2 2 2 17" xfId="11007"/>
    <cellStyle name="Vírgula 2 2 2 2" xfId="1997"/>
    <cellStyle name="Vírgula 2 2 2 2 10" xfId="8050"/>
    <cellStyle name="Vírgula 2 2 2 2 10 2" xfId="26264"/>
    <cellStyle name="Vírgula 2 2 2 2 10 3" xfId="20350"/>
    <cellStyle name="Vírgula 2 2 2 2 10 4" xfId="14439"/>
    <cellStyle name="Vírgula 2 2 2 2 11" xfId="4631"/>
    <cellStyle name="Vírgula 2 2 2 2 11 2" xfId="23307"/>
    <cellStyle name="Vírgula 2 2 2 2 12" xfId="17393"/>
    <cellStyle name="Vírgula 2 2 2 2 13" xfId="11022"/>
    <cellStyle name="Vírgula 2 2 2 2 2" xfId="4266"/>
    <cellStyle name="Vírgula 2 2 2 2 2 10" xfId="11057"/>
    <cellStyle name="Vírgula 2 2 2 2 2 2" xfId="4343"/>
    <cellStyle name="Vírgula 2 2 2 2 2 2 2" xfId="7744"/>
    <cellStyle name="Vírgula 2 2 2 2 2 2 2 2" xfId="10823"/>
    <cellStyle name="Vírgula 2 2 2 2 2 2 2 2 2" xfId="29037"/>
    <cellStyle name="Vírgula 2 2 2 2 2 2 2 2 3" xfId="23123"/>
    <cellStyle name="Vírgula 2 2 2 2 2 2 2 2 4" xfId="17209"/>
    <cellStyle name="Vírgula 2 2 2 2 2 2 2 3" xfId="26080"/>
    <cellStyle name="Vírgula 2 2 2 2 2 2 2 4" xfId="20166"/>
    <cellStyle name="Vírgula 2 2 2 2 2 2 2 5" xfId="14133"/>
    <cellStyle name="Vírgula 2 2 2 2 2 2 3" xfId="9355"/>
    <cellStyle name="Vírgula 2 2 2 2 2 2 3 2" xfId="27569"/>
    <cellStyle name="Vírgula 2 2 2 2 2 2 3 3" xfId="21655"/>
    <cellStyle name="Vírgula 2 2 2 2 2 2 3 4" xfId="15741"/>
    <cellStyle name="Vírgula 2 2 2 2 2 2 4" xfId="6044"/>
    <cellStyle name="Vírgula 2 2 2 2 2 2 4 2" xfId="24612"/>
    <cellStyle name="Vírgula 2 2 2 2 2 2 5" xfId="18698"/>
    <cellStyle name="Vírgula 2 2 2 2 2 2 6" xfId="12432"/>
    <cellStyle name="Vírgula 2 2 2 2 2 3" xfId="4451"/>
    <cellStyle name="Vírgula 2 2 2 2 2 3 2" xfId="7853"/>
    <cellStyle name="Vírgula 2 2 2 2 2 3 2 2" xfId="10885"/>
    <cellStyle name="Vírgula 2 2 2 2 2 3 2 2 2" xfId="29099"/>
    <cellStyle name="Vírgula 2 2 2 2 2 3 2 2 3" xfId="23185"/>
    <cellStyle name="Vírgula 2 2 2 2 2 3 2 2 4" xfId="17271"/>
    <cellStyle name="Vírgula 2 2 2 2 2 3 2 3" xfId="26142"/>
    <cellStyle name="Vírgula 2 2 2 2 2 3 2 4" xfId="20228"/>
    <cellStyle name="Vírgula 2 2 2 2 2 3 2 5" xfId="14242"/>
    <cellStyle name="Vírgula 2 2 2 2 2 3 3" xfId="9417"/>
    <cellStyle name="Vírgula 2 2 2 2 2 3 3 2" xfId="27631"/>
    <cellStyle name="Vírgula 2 2 2 2 2 3 3 3" xfId="21717"/>
    <cellStyle name="Vírgula 2 2 2 2 2 3 3 4" xfId="15803"/>
    <cellStyle name="Vírgula 2 2 2 2 2 3 4" xfId="6153"/>
    <cellStyle name="Vírgula 2 2 2 2 2 3 4 2" xfId="24674"/>
    <cellStyle name="Vírgula 2 2 2 2 2 3 5" xfId="18760"/>
    <cellStyle name="Vírgula 2 2 2 2 2 3 6" xfId="12541"/>
    <cellStyle name="Vírgula 2 2 2 2 2 4" xfId="4559"/>
    <cellStyle name="Vírgula 2 2 2 2 2 4 2" xfId="7961"/>
    <cellStyle name="Vírgula 2 2 2 2 2 4 2 2" xfId="10947"/>
    <cellStyle name="Vírgula 2 2 2 2 2 4 2 2 2" xfId="29161"/>
    <cellStyle name="Vírgula 2 2 2 2 2 4 2 2 3" xfId="23247"/>
    <cellStyle name="Vírgula 2 2 2 2 2 4 2 2 4" xfId="17333"/>
    <cellStyle name="Vírgula 2 2 2 2 2 4 2 3" xfId="26204"/>
    <cellStyle name="Vírgula 2 2 2 2 2 4 2 4" xfId="20290"/>
    <cellStyle name="Vírgula 2 2 2 2 2 4 2 5" xfId="14350"/>
    <cellStyle name="Vírgula 2 2 2 2 2 4 3" xfId="9479"/>
    <cellStyle name="Vírgula 2 2 2 2 2 4 3 2" xfId="27693"/>
    <cellStyle name="Vírgula 2 2 2 2 2 4 3 3" xfId="21779"/>
    <cellStyle name="Vírgula 2 2 2 2 2 4 3 4" xfId="15865"/>
    <cellStyle name="Vírgula 2 2 2 2 2 4 4" xfId="6260"/>
    <cellStyle name="Vírgula 2 2 2 2 2 4 4 2" xfId="24736"/>
    <cellStyle name="Vírgula 2 2 2 2 2 4 5" xfId="18822"/>
    <cellStyle name="Vírgula 2 2 2 2 2 4 6" xfId="12649"/>
    <cellStyle name="Vírgula 2 2 2 2 2 5" xfId="5967"/>
    <cellStyle name="Vírgula 2 2 2 2 2 5 2" xfId="7667"/>
    <cellStyle name="Vírgula 2 2 2 2 2 5 2 2" xfId="10780"/>
    <cellStyle name="Vírgula 2 2 2 2 2 5 2 2 2" xfId="28994"/>
    <cellStyle name="Vírgula 2 2 2 2 2 5 2 2 3" xfId="23080"/>
    <cellStyle name="Vírgula 2 2 2 2 2 5 2 2 4" xfId="17166"/>
    <cellStyle name="Vírgula 2 2 2 2 2 5 2 3" xfId="26037"/>
    <cellStyle name="Vírgula 2 2 2 2 2 5 2 4" xfId="20123"/>
    <cellStyle name="Vírgula 2 2 2 2 2 5 2 5" xfId="14056"/>
    <cellStyle name="Vírgula 2 2 2 2 2 5 3" xfId="9312"/>
    <cellStyle name="Vírgula 2 2 2 2 2 5 3 2" xfId="27526"/>
    <cellStyle name="Vírgula 2 2 2 2 2 5 3 3" xfId="21612"/>
    <cellStyle name="Vírgula 2 2 2 2 2 5 3 4" xfId="15698"/>
    <cellStyle name="Vírgula 2 2 2 2 2 5 4" xfId="24569"/>
    <cellStyle name="Vírgula 2 2 2 2 2 5 5" xfId="18655"/>
    <cellStyle name="Vírgula 2 2 2 2 2 5 6" xfId="12355"/>
    <cellStyle name="Vírgula 2 2 2 2 2 6" xfId="6369"/>
    <cellStyle name="Vírgula 2 2 2 2 2 6 2" xfId="9541"/>
    <cellStyle name="Vírgula 2 2 2 2 2 6 2 2" xfId="27755"/>
    <cellStyle name="Vírgula 2 2 2 2 2 6 2 3" xfId="21841"/>
    <cellStyle name="Vírgula 2 2 2 2 2 6 2 4" xfId="15927"/>
    <cellStyle name="Vírgula 2 2 2 2 2 6 3" xfId="24798"/>
    <cellStyle name="Vírgula 2 2 2 2 2 6 4" xfId="18884"/>
    <cellStyle name="Vírgula 2 2 2 2 2 6 5" xfId="12758"/>
    <cellStyle name="Vírgula 2 2 2 2 2 7" xfId="8070"/>
    <cellStyle name="Vírgula 2 2 2 2 2 7 2" xfId="26284"/>
    <cellStyle name="Vírgula 2 2 2 2 2 7 3" xfId="20370"/>
    <cellStyle name="Vírgula 2 2 2 2 2 7 4" xfId="14459"/>
    <cellStyle name="Vírgula 2 2 2 2 2 8" xfId="4666"/>
    <cellStyle name="Vírgula 2 2 2 2 2 8 2" xfId="23327"/>
    <cellStyle name="Vírgula 2 2 2 2 2 9" xfId="17413"/>
    <cellStyle name="Vírgula 2 2 2 2 3" xfId="4231"/>
    <cellStyle name="Vírgula 2 2 2 2 3 10" xfId="11090"/>
    <cellStyle name="Vírgula 2 2 2 2 3 2" xfId="4375"/>
    <cellStyle name="Vírgula 2 2 2 2 3 2 2" xfId="7777"/>
    <cellStyle name="Vírgula 2 2 2 2 3 2 2 2" xfId="10842"/>
    <cellStyle name="Vírgula 2 2 2 2 3 2 2 2 2" xfId="29056"/>
    <cellStyle name="Vírgula 2 2 2 2 3 2 2 2 3" xfId="23142"/>
    <cellStyle name="Vírgula 2 2 2 2 3 2 2 2 4" xfId="17228"/>
    <cellStyle name="Vírgula 2 2 2 2 3 2 2 3" xfId="26099"/>
    <cellStyle name="Vírgula 2 2 2 2 3 2 2 4" xfId="20185"/>
    <cellStyle name="Vírgula 2 2 2 2 3 2 2 5" xfId="14166"/>
    <cellStyle name="Vírgula 2 2 2 2 3 2 3" xfId="9374"/>
    <cellStyle name="Vírgula 2 2 2 2 3 2 3 2" xfId="27588"/>
    <cellStyle name="Vírgula 2 2 2 2 3 2 3 3" xfId="21674"/>
    <cellStyle name="Vírgula 2 2 2 2 3 2 3 4" xfId="15760"/>
    <cellStyle name="Vírgula 2 2 2 2 3 2 4" xfId="6077"/>
    <cellStyle name="Vírgula 2 2 2 2 3 2 4 2" xfId="24631"/>
    <cellStyle name="Vírgula 2 2 2 2 3 2 5" xfId="18717"/>
    <cellStyle name="Vírgula 2 2 2 2 3 2 6" xfId="12465"/>
    <cellStyle name="Vírgula 2 2 2 2 3 3" xfId="4483"/>
    <cellStyle name="Vírgula 2 2 2 2 3 3 2" xfId="7885"/>
    <cellStyle name="Vírgula 2 2 2 2 3 3 2 2" xfId="10904"/>
    <cellStyle name="Vírgula 2 2 2 2 3 3 2 2 2" xfId="29118"/>
    <cellStyle name="Vírgula 2 2 2 2 3 3 2 2 3" xfId="23204"/>
    <cellStyle name="Vírgula 2 2 2 2 3 3 2 2 4" xfId="17290"/>
    <cellStyle name="Vírgula 2 2 2 2 3 3 2 3" xfId="26161"/>
    <cellStyle name="Vírgula 2 2 2 2 3 3 2 4" xfId="20247"/>
    <cellStyle name="Vírgula 2 2 2 2 3 3 2 5" xfId="14274"/>
    <cellStyle name="Vírgula 2 2 2 2 3 3 3" xfId="9436"/>
    <cellStyle name="Vírgula 2 2 2 2 3 3 3 2" xfId="27650"/>
    <cellStyle name="Vírgula 2 2 2 2 3 3 3 3" xfId="21736"/>
    <cellStyle name="Vírgula 2 2 2 2 3 3 3 4" xfId="15822"/>
    <cellStyle name="Vírgula 2 2 2 2 3 3 4" xfId="6184"/>
    <cellStyle name="Vírgula 2 2 2 2 3 3 4 2" xfId="24693"/>
    <cellStyle name="Vírgula 2 2 2 2 3 3 5" xfId="18779"/>
    <cellStyle name="Vírgula 2 2 2 2 3 3 6" xfId="12573"/>
    <cellStyle name="Vírgula 2 2 2 2 3 4" xfId="4591"/>
    <cellStyle name="Vírgula 2 2 2 2 3 4 2" xfId="7994"/>
    <cellStyle name="Vírgula 2 2 2 2 3 4 2 2" xfId="10966"/>
    <cellStyle name="Vírgula 2 2 2 2 3 4 2 2 2" xfId="29180"/>
    <cellStyle name="Vírgula 2 2 2 2 3 4 2 2 3" xfId="23266"/>
    <cellStyle name="Vírgula 2 2 2 2 3 4 2 2 4" xfId="17352"/>
    <cellStyle name="Vírgula 2 2 2 2 3 4 2 3" xfId="26223"/>
    <cellStyle name="Vírgula 2 2 2 2 3 4 2 4" xfId="20309"/>
    <cellStyle name="Vírgula 2 2 2 2 3 4 2 5" xfId="14383"/>
    <cellStyle name="Vírgula 2 2 2 2 3 4 3" xfId="9498"/>
    <cellStyle name="Vírgula 2 2 2 2 3 4 3 2" xfId="27712"/>
    <cellStyle name="Vírgula 2 2 2 2 3 4 3 3" xfId="21798"/>
    <cellStyle name="Vírgula 2 2 2 2 3 4 3 4" xfId="15884"/>
    <cellStyle name="Vírgula 2 2 2 2 3 4 4" xfId="6293"/>
    <cellStyle name="Vírgula 2 2 2 2 3 4 4 2" xfId="24755"/>
    <cellStyle name="Vírgula 2 2 2 2 3 4 5" xfId="18841"/>
    <cellStyle name="Vírgula 2 2 2 2 3 4 6" xfId="12682"/>
    <cellStyle name="Vírgula 2 2 2 2 3 5" xfId="5932"/>
    <cellStyle name="Vírgula 2 2 2 2 3 5 2" xfId="7632"/>
    <cellStyle name="Vírgula 2 2 2 2 3 5 2 2" xfId="10760"/>
    <cellStyle name="Vírgula 2 2 2 2 3 5 2 2 2" xfId="28974"/>
    <cellStyle name="Vírgula 2 2 2 2 3 5 2 2 3" xfId="23060"/>
    <cellStyle name="Vírgula 2 2 2 2 3 5 2 2 4" xfId="17146"/>
    <cellStyle name="Vírgula 2 2 2 2 3 5 2 3" xfId="26017"/>
    <cellStyle name="Vírgula 2 2 2 2 3 5 2 4" xfId="20103"/>
    <cellStyle name="Vírgula 2 2 2 2 3 5 2 5" xfId="14021"/>
    <cellStyle name="Vírgula 2 2 2 2 3 5 3" xfId="9292"/>
    <cellStyle name="Vírgula 2 2 2 2 3 5 3 2" xfId="27506"/>
    <cellStyle name="Vírgula 2 2 2 2 3 5 3 3" xfId="21592"/>
    <cellStyle name="Vírgula 2 2 2 2 3 5 3 4" xfId="15678"/>
    <cellStyle name="Vírgula 2 2 2 2 3 5 4" xfId="24549"/>
    <cellStyle name="Vírgula 2 2 2 2 3 5 5" xfId="18635"/>
    <cellStyle name="Vírgula 2 2 2 2 3 5 6" xfId="12320"/>
    <cellStyle name="Vírgula 2 2 2 2 3 6" xfId="6402"/>
    <cellStyle name="Vírgula 2 2 2 2 3 6 2" xfId="9560"/>
    <cellStyle name="Vírgula 2 2 2 2 3 6 2 2" xfId="27774"/>
    <cellStyle name="Vírgula 2 2 2 2 3 6 2 3" xfId="21860"/>
    <cellStyle name="Vírgula 2 2 2 2 3 6 2 4" xfId="15946"/>
    <cellStyle name="Vírgula 2 2 2 2 3 6 3" xfId="24817"/>
    <cellStyle name="Vírgula 2 2 2 2 3 6 4" xfId="18903"/>
    <cellStyle name="Vírgula 2 2 2 2 3 6 5" xfId="12791"/>
    <cellStyle name="Vírgula 2 2 2 2 3 7" xfId="8089"/>
    <cellStyle name="Vírgula 2 2 2 2 3 7 2" xfId="26303"/>
    <cellStyle name="Vírgula 2 2 2 2 3 7 3" xfId="20389"/>
    <cellStyle name="Vírgula 2 2 2 2 3 7 4" xfId="14478"/>
    <cellStyle name="Vírgula 2 2 2 2 3 8" xfId="4699"/>
    <cellStyle name="Vírgula 2 2 2 2 3 8 2" xfId="23346"/>
    <cellStyle name="Vírgula 2 2 2 2 3 9" xfId="17432"/>
    <cellStyle name="Vírgula 2 2 2 2 4" xfId="4308"/>
    <cellStyle name="Vírgula 2 2 2 2 4 2" xfId="7709"/>
    <cellStyle name="Vírgula 2 2 2 2 4 2 2" xfId="10803"/>
    <cellStyle name="Vírgula 2 2 2 2 4 2 2 2" xfId="29017"/>
    <cellStyle name="Vírgula 2 2 2 2 4 2 2 3" xfId="23103"/>
    <cellStyle name="Vírgula 2 2 2 2 4 2 2 4" xfId="17189"/>
    <cellStyle name="Vírgula 2 2 2 2 4 2 3" xfId="26060"/>
    <cellStyle name="Vírgula 2 2 2 2 4 2 4" xfId="20146"/>
    <cellStyle name="Vírgula 2 2 2 2 4 2 5" xfId="14098"/>
    <cellStyle name="Vírgula 2 2 2 2 4 3" xfId="9335"/>
    <cellStyle name="Vírgula 2 2 2 2 4 3 2" xfId="27549"/>
    <cellStyle name="Vírgula 2 2 2 2 4 3 3" xfId="21635"/>
    <cellStyle name="Vírgula 2 2 2 2 4 3 4" xfId="15721"/>
    <cellStyle name="Vírgula 2 2 2 2 4 4" xfId="6009"/>
    <cellStyle name="Vírgula 2 2 2 2 4 4 2" xfId="24592"/>
    <cellStyle name="Vírgula 2 2 2 2 4 5" xfId="18678"/>
    <cellStyle name="Vírgula 2 2 2 2 4 6" xfId="12397"/>
    <cellStyle name="Vírgula 2 2 2 2 5" xfId="4416"/>
    <cellStyle name="Vírgula 2 2 2 2 5 2" xfId="7818"/>
    <cellStyle name="Vírgula 2 2 2 2 5 2 2" xfId="10865"/>
    <cellStyle name="Vírgula 2 2 2 2 5 2 2 2" xfId="29079"/>
    <cellStyle name="Vírgula 2 2 2 2 5 2 2 3" xfId="23165"/>
    <cellStyle name="Vírgula 2 2 2 2 5 2 2 4" xfId="17251"/>
    <cellStyle name="Vírgula 2 2 2 2 5 2 3" xfId="26122"/>
    <cellStyle name="Vírgula 2 2 2 2 5 2 4" xfId="20208"/>
    <cellStyle name="Vírgula 2 2 2 2 5 2 5" xfId="14207"/>
    <cellStyle name="Vírgula 2 2 2 2 5 3" xfId="9397"/>
    <cellStyle name="Vírgula 2 2 2 2 5 3 2" xfId="27611"/>
    <cellStyle name="Vírgula 2 2 2 2 5 3 3" xfId="21697"/>
    <cellStyle name="Vírgula 2 2 2 2 5 3 4" xfId="15783"/>
    <cellStyle name="Vírgula 2 2 2 2 5 4" xfId="6118"/>
    <cellStyle name="Vírgula 2 2 2 2 5 4 2" xfId="24654"/>
    <cellStyle name="Vírgula 2 2 2 2 5 5" xfId="18740"/>
    <cellStyle name="Vírgula 2 2 2 2 5 6" xfId="12506"/>
    <cellStyle name="Vírgula 2 2 2 2 6" xfId="4524"/>
    <cellStyle name="Vírgula 2 2 2 2 6 2" xfId="7926"/>
    <cellStyle name="Vírgula 2 2 2 2 6 2 2" xfId="10927"/>
    <cellStyle name="Vírgula 2 2 2 2 6 2 2 2" xfId="29141"/>
    <cellStyle name="Vírgula 2 2 2 2 6 2 2 3" xfId="23227"/>
    <cellStyle name="Vírgula 2 2 2 2 6 2 2 4" xfId="17313"/>
    <cellStyle name="Vírgula 2 2 2 2 6 2 3" xfId="26184"/>
    <cellStyle name="Vírgula 2 2 2 2 6 2 4" xfId="20270"/>
    <cellStyle name="Vírgula 2 2 2 2 6 2 5" xfId="14315"/>
    <cellStyle name="Vírgula 2 2 2 2 6 3" xfId="9459"/>
    <cellStyle name="Vírgula 2 2 2 2 6 3 2" xfId="27673"/>
    <cellStyle name="Vírgula 2 2 2 2 6 3 3" xfId="21759"/>
    <cellStyle name="Vírgula 2 2 2 2 6 3 4" xfId="15845"/>
    <cellStyle name="Vírgula 2 2 2 2 6 4" xfId="6225"/>
    <cellStyle name="Vírgula 2 2 2 2 6 4 2" xfId="24716"/>
    <cellStyle name="Vírgula 2 2 2 2 6 5" xfId="18802"/>
    <cellStyle name="Vírgula 2 2 2 2 6 6" xfId="12614"/>
    <cellStyle name="Vírgula 2 2 2 2 7" xfId="5284"/>
    <cellStyle name="Vírgula 2 2 2 2 7 2" xfId="6983"/>
    <cellStyle name="Vírgula 2 2 2 2 7 2 2" xfId="10129"/>
    <cellStyle name="Vírgula 2 2 2 2 7 2 2 2" xfId="28343"/>
    <cellStyle name="Vírgula 2 2 2 2 7 2 2 3" xfId="22429"/>
    <cellStyle name="Vírgula 2 2 2 2 7 2 2 4" xfId="16515"/>
    <cellStyle name="Vírgula 2 2 2 2 7 2 3" xfId="25386"/>
    <cellStyle name="Vírgula 2 2 2 2 7 2 4" xfId="19472"/>
    <cellStyle name="Vírgula 2 2 2 2 7 2 5" xfId="13372"/>
    <cellStyle name="Vírgula 2 2 2 2 7 3" xfId="8661"/>
    <cellStyle name="Vírgula 2 2 2 2 7 3 2" xfId="26875"/>
    <cellStyle name="Vírgula 2 2 2 2 7 3 3" xfId="20961"/>
    <cellStyle name="Vírgula 2 2 2 2 7 3 4" xfId="15047"/>
    <cellStyle name="Vírgula 2 2 2 2 7 4" xfId="23918"/>
    <cellStyle name="Vírgula 2 2 2 2 7 5" xfId="18004"/>
    <cellStyle name="Vírgula 2 2 2 2 7 6" xfId="11671"/>
    <cellStyle name="Vírgula 2 2 2 2 8" xfId="6334"/>
    <cellStyle name="Vírgula 2 2 2 2 8 2" xfId="9521"/>
    <cellStyle name="Vírgula 2 2 2 2 8 2 2" xfId="27735"/>
    <cellStyle name="Vírgula 2 2 2 2 8 2 3" xfId="21821"/>
    <cellStyle name="Vírgula 2 2 2 2 8 2 4" xfId="15907"/>
    <cellStyle name="Vírgula 2 2 2 2 8 3" xfId="24778"/>
    <cellStyle name="Vírgula 2 2 2 2 8 4" xfId="18864"/>
    <cellStyle name="Vírgula 2 2 2 2 8 5" xfId="12723"/>
    <cellStyle name="Vírgula 2 2 2 2 9" xfId="8026"/>
    <cellStyle name="Vírgula 2 2 2 2 9 2" xfId="10985"/>
    <cellStyle name="Vírgula 2 2 2 2 9 2 2" xfId="29199"/>
    <cellStyle name="Vírgula 2 2 2 2 9 2 3" xfId="23285"/>
    <cellStyle name="Vírgula 2 2 2 2 9 2 4" xfId="17371"/>
    <cellStyle name="Vírgula 2 2 2 2 9 3" xfId="26242"/>
    <cellStyle name="Vírgula 2 2 2 2 9 4" xfId="20328"/>
    <cellStyle name="Vírgula 2 2 2 2 9 5" xfId="14415"/>
    <cellStyle name="Vírgula 2 2 2 3" xfId="2526"/>
    <cellStyle name="Vírgula 2 2 2 3 10" xfId="17404"/>
    <cellStyle name="Vírgula 2 2 2 3 11" xfId="11042"/>
    <cellStyle name="Vírgula 2 2 2 3 2" xfId="4251"/>
    <cellStyle name="Vírgula 2 2 2 3 2 2" xfId="7652"/>
    <cellStyle name="Vírgula 2 2 2 3 2 2 2" xfId="10771"/>
    <cellStyle name="Vírgula 2 2 2 3 2 2 2 2" xfId="28985"/>
    <cellStyle name="Vírgula 2 2 2 3 2 2 2 3" xfId="23071"/>
    <cellStyle name="Vírgula 2 2 2 3 2 2 2 4" xfId="17157"/>
    <cellStyle name="Vírgula 2 2 2 3 2 2 3" xfId="26028"/>
    <cellStyle name="Vírgula 2 2 2 3 2 2 4" xfId="20114"/>
    <cellStyle name="Vírgula 2 2 2 3 2 2 5" xfId="14041"/>
    <cellStyle name="Vírgula 2 2 2 3 2 3" xfId="9303"/>
    <cellStyle name="Vírgula 2 2 2 3 2 3 2" xfId="27517"/>
    <cellStyle name="Vírgula 2 2 2 3 2 3 3" xfId="21603"/>
    <cellStyle name="Vírgula 2 2 2 3 2 3 4" xfId="15689"/>
    <cellStyle name="Vírgula 2 2 2 3 2 4" xfId="5952"/>
    <cellStyle name="Vírgula 2 2 2 3 2 4 2" xfId="24560"/>
    <cellStyle name="Vírgula 2 2 2 3 2 5" xfId="18646"/>
    <cellStyle name="Vírgula 2 2 2 3 2 6" xfId="12340"/>
    <cellStyle name="Vírgula 2 2 2 3 3" xfId="4328"/>
    <cellStyle name="Vírgula 2 2 2 3 3 2" xfId="7729"/>
    <cellStyle name="Vírgula 2 2 2 3 3 2 2" xfId="10814"/>
    <cellStyle name="Vírgula 2 2 2 3 3 2 2 2" xfId="29028"/>
    <cellStyle name="Vírgula 2 2 2 3 3 2 2 3" xfId="23114"/>
    <cellStyle name="Vírgula 2 2 2 3 3 2 2 4" xfId="17200"/>
    <cellStyle name="Vírgula 2 2 2 3 3 2 3" xfId="26071"/>
    <cellStyle name="Vírgula 2 2 2 3 3 2 4" xfId="20157"/>
    <cellStyle name="Vírgula 2 2 2 3 3 2 5" xfId="14118"/>
    <cellStyle name="Vírgula 2 2 2 3 3 3" xfId="9346"/>
    <cellStyle name="Vírgula 2 2 2 3 3 3 2" xfId="27560"/>
    <cellStyle name="Vírgula 2 2 2 3 3 3 3" xfId="21646"/>
    <cellStyle name="Vírgula 2 2 2 3 3 3 4" xfId="15732"/>
    <cellStyle name="Vírgula 2 2 2 3 3 4" xfId="6029"/>
    <cellStyle name="Vírgula 2 2 2 3 3 4 2" xfId="24603"/>
    <cellStyle name="Vírgula 2 2 2 3 3 5" xfId="18689"/>
    <cellStyle name="Vírgula 2 2 2 3 3 6" xfId="12417"/>
    <cellStyle name="Vírgula 2 2 2 3 4" xfId="4436"/>
    <cellStyle name="Vírgula 2 2 2 3 4 2" xfId="7838"/>
    <cellStyle name="Vírgula 2 2 2 3 4 2 2" xfId="10876"/>
    <cellStyle name="Vírgula 2 2 2 3 4 2 2 2" xfId="29090"/>
    <cellStyle name="Vírgula 2 2 2 3 4 2 2 3" xfId="23176"/>
    <cellStyle name="Vírgula 2 2 2 3 4 2 2 4" xfId="17262"/>
    <cellStyle name="Vírgula 2 2 2 3 4 2 3" xfId="26133"/>
    <cellStyle name="Vírgula 2 2 2 3 4 2 4" xfId="20219"/>
    <cellStyle name="Vírgula 2 2 2 3 4 2 5" xfId="14227"/>
    <cellStyle name="Vírgula 2 2 2 3 4 3" xfId="9408"/>
    <cellStyle name="Vírgula 2 2 2 3 4 3 2" xfId="27622"/>
    <cellStyle name="Vírgula 2 2 2 3 4 3 3" xfId="21708"/>
    <cellStyle name="Vírgula 2 2 2 3 4 3 4" xfId="15794"/>
    <cellStyle name="Vírgula 2 2 2 3 4 4" xfId="6138"/>
    <cellStyle name="Vírgula 2 2 2 3 4 4 2" xfId="24665"/>
    <cellStyle name="Vírgula 2 2 2 3 4 5" xfId="18751"/>
    <cellStyle name="Vírgula 2 2 2 3 4 6" xfId="12526"/>
    <cellStyle name="Vírgula 2 2 2 3 5" xfId="4544"/>
    <cellStyle name="Vírgula 2 2 2 3 5 2" xfId="7946"/>
    <cellStyle name="Vírgula 2 2 2 3 5 2 2" xfId="10938"/>
    <cellStyle name="Vírgula 2 2 2 3 5 2 2 2" xfId="29152"/>
    <cellStyle name="Vírgula 2 2 2 3 5 2 2 3" xfId="23238"/>
    <cellStyle name="Vírgula 2 2 2 3 5 2 2 4" xfId="17324"/>
    <cellStyle name="Vírgula 2 2 2 3 5 2 3" xfId="26195"/>
    <cellStyle name="Vírgula 2 2 2 3 5 2 4" xfId="20281"/>
    <cellStyle name="Vírgula 2 2 2 3 5 2 5" xfId="14335"/>
    <cellStyle name="Vírgula 2 2 2 3 5 3" xfId="9470"/>
    <cellStyle name="Vírgula 2 2 2 3 5 3 2" xfId="27684"/>
    <cellStyle name="Vírgula 2 2 2 3 5 3 3" xfId="21770"/>
    <cellStyle name="Vírgula 2 2 2 3 5 3 4" xfId="15856"/>
    <cellStyle name="Vírgula 2 2 2 3 5 4" xfId="6245"/>
    <cellStyle name="Vírgula 2 2 2 3 5 4 2" xfId="24727"/>
    <cellStyle name="Vírgula 2 2 2 3 5 5" xfId="18813"/>
    <cellStyle name="Vírgula 2 2 2 3 5 6" xfId="12634"/>
    <cellStyle name="Vírgula 2 2 2 3 6" xfId="5433"/>
    <cellStyle name="Vírgula 2 2 2 3 6 2" xfId="7132"/>
    <cellStyle name="Vírgula 2 2 2 3 6 2 2" xfId="10276"/>
    <cellStyle name="Vírgula 2 2 2 3 6 2 2 2" xfId="28490"/>
    <cellStyle name="Vírgula 2 2 2 3 6 2 2 3" xfId="22576"/>
    <cellStyle name="Vírgula 2 2 2 3 6 2 2 4" xfId="16662"/>
    <cellStyle name="Vírgula 2 2 2 3 6 2 3" xfId="25533"/>
    <cellStyle name="Vírgula 2 2 2 3 6 2 4" xfId="19619"/>
    <cellStyle name="Vírgula 2 2 2 3 6 2 5" xfId="13521"/>
    <cellStyle name="Vírgula 2 2 2 3 6 3" xfId="8808"/>
    <cellStyle name="Vírgula 2 2 2 3 6 3 2" xfId="27022"/>
    <cellStyle name="Vírgula 2 2 2 3 6 3 3" xfId="21108"/>
    <cellStyle name="Vírgula 2 2 2 3 6 3 4" xfId="15194"/>
    <cellStyle name="Vírgula 2 2 2 3 6 4" xfId="24065"/>
    <cellStyle name="Vírgula 2 2 2 3 6 5" xfId="18151"/>
    <cellStyle name="Vírgula 2 2 2 3 6 6" xfId="11820"/>
    <cellStyle name="Vírgula 2 2 2 3 7" xfId="6354"/>
    <cellStyle name="Vírgula 2 2 2 3 7 2" xfId="9532"/>
    <cellStyle name="Vírgula 2 2 2 3 7 2 2" xfId="27746"/>
    <cellStyle name="Vírgula 2 2 2 3 7 2 3" xfId="21832"/>
    <cellStyle name="Vírgula 2 2 2 3 7 2 4" xfId="15918"/>
    <cellStyle name="Vírgula 2 2 2 3 7 3" xfId="24789"/>
    <cellStyle name="Vírgula 2 2 2 3 7 4" xfId="18875"/>
    <cellStyle name="Vírgula 2 2 2 3 7 5" xfId="12743"/>
    <cellStyle name="Vírgula 2 2 2 3 8" xfId="8061"/>
    <cellStyle name="Vírgula 2 2 2 3 8 2" xfId="26275"/>
    <cellStyle name="Vírgula 2 2 2 3 8 3" xfId="20361"/>
    <cellStyle name="Vírgula 2 2 2 3 8 4" xfId="14450"/>
    <cellStyle name="Vírgula 2 2 2 3 9" xfId="4651"/>
    <cellStyle name="Vírgula 2 2 2 3 9 2" xfId="23318"/>
    <cellStyle name="Vírgula 2 2 2 4" xfId="3053"/>
    <cellStyle name="Vírgula 2 2 2 4 10" xfId="11074"/>
    <cellStyle name="Vírgula 2 2 2 4 2" xfId="4360"/>
    <cellStyle name="Vírgula 2 2 2 4 2 2" xfId="7761"/>
    <cellStyle name="Vírgula 2 2 2 4 2 2 2" xfId="10833"/>
    <cellStyle name="Vírgula 2 2 2 4 2 2 2 2" xfId="29047"/>
    <cellStyle name="Vírgula 2 2 2 4 2 2 2 3" xfId="23133"/>
    <cellStyle name="Vírgula 2 2 2 4 2 2 2 4" xfId="17219"/>
    <cellStyle name="Vírgula 2 2 2 4 2 2 3" xfId="26090"/>
    <cellStyle name="Vírgula 2 2 2 4 2 2 4" xfId="20176"/>
    <cellStyle name="Vírgula 2 2 2 4 2 2 5" xfId="14150"/>
    <cellStyle name="Vírgula 2 2 2 4 2 3" xfId="9365"/>
    <cellStyle name="Vírgula 2 2 2 4 2 3 2" xfId="27579"/>
    <cellStyle name="Vírgula 2 2 2 4 2 3 3" xfId="21665"/>
    <cellStyle name="Vírgula 2 2 2 4 2 3 4" xfId="15751"/>
    <cellStyle name="Vírgula 2 2 2 4 2 4" xfId="6061"/>
    <cellStyle name="Vírgula 2 2 2 4 2 4 2" xfId="24622"/>
    <cellStyle name="Vírgula 2 2 2 4 2 5" xfId="18708"/>
    <cellStyle name="Vírgula 2 2 2 4 2 6" xfId="12449"/>
    <cellStyle name="Vírgula 2 2 2 4 3" xfId="4468"/>
    <cellStyle name="Vírgula 2 2 2 4 3 2" xfId="7870"/>
    <cellStyle name="Vírgula 2 2 2 4 3 2 2" xfId="10895"/>
    <cellStyle name="Vírgula 2 2 2 4 3 2 2 2" xfId="29109"/>
    <cellStyle name="Vírgula 2 2 2 4 3 2 2 3" xfId="23195"/>
    <cellStyle name="Vírgula 2 2 2 4 3 2 2 4" xfId="17281"/>
    <cellStyle name="Vírgula 2 2 2 4 3 2 3" xfId="26152"/>
    <cellStyle name="Vírgula 2 2 2 4 3 2 4" xfId="20238"/>
    <cellStyle name="Vírgula 2 2 2 4 3 2 5" xfId="14259"/>
    <cellStyle name="Vírgula 2 2 2 4 3 3" xfId="9427"/>
    <cellStyle name="Vírgula 2 2 2 4 3 3 2" xfId="27641"/>
    <cellStyle name="Vírgula 2 2 2 4 3 3 3" xfId="21727"/>
    <cellStyle name="Vírgula 2 2 2 4 3 3 4" xfId="15813"/>
    <cellStyle name="Vírgula 2 2 2 4 3 4" xfId="6169"/>
    <cellStyle name="Vírgula 2 2 2 4 3 4 2" xfId="24684"/>
    <cellStyle name="Vírgula 2 2 2 4 3 5" xfId="18770"/>
    <cellStyle name="Vírgula 2 2 2 4 3 6" xfId="12558"/>
    <cellStyle name="Vírgula 2 2 2 4 4" xfId="4576"/>
    <cellStyle name="Vírgula 2 2 2 4 4 2" xfId="7978"/>
    <cellStyle name="Vírgula 2 2 2 4 4 2 2" xfId="10957"/>
    <cellStyle name="Vírgula 2 2 2 4 4 2 2 2" xfId="29171"/>
    <cellStyle name="Vírgula 2 2 2 4 4 2 2 3" xfId="23257"/>
    <cellStyle name="Vírgula 2 2 2 4 4 2 2 4" xfId="17343"/>
    <cellStyle name="Vírgula 2 2 2 4 4 2 3" xfId="26214"/>
    <cellStyle name="Vírgula 2 2 2 4 4 2 4" xfId="20300"/>
    <cellStyle name="Vírgula 2 2 2 4 4 2 5" xfId="14367"/>
    <cellStyle name="Vírgula 2 2 2 4 4 3" xfId="9489"/>
    <cellStyle name="Vírgula 2 2 2 4 4 3 2" xfId="27703"/>
    <cellStyle name="Vírgula 2 2 2 4 4 3 3" xfId="21789"/>
    <cellStyle name="Vírgula 2 2 2 4 4 3 4" xfId="15875"/>
    <cellStyle name="Vírgula 2 2 2 4 4 4" xfId="6277"/>
    <cellStyle name="Vírgula 2 2 2 4 4 4 2" xfId="24746"/>
    <cellStyle name="Vírgula 2 2 2 4 4 5" xfId="18832"/>
    <cellStyle name="Vírgula 2 2 2 4 4 6" xfId="12666"/>
    <cellStyle name="Vírgula 2 2 2 4 5" xfId="5580"/>
    <cellStyle name="Vírgula 2 2 2 4 5 2" xfId="7279"/>
    <cellStyle name="Vírgula 2 2 2 4 5 2 2" xfId="10423"/>
    <cellStyle name="Vírgula 2 2 2 4 5 2 2 2" xfId="28637"/>
    <cellStyle name="Vírgula 2 2 2 4 5 2 2 3" xfId="22723"/>
    <cellStyle name="Vírgula 2 2 2 4 5 2 2 4" xfId="16809"/>
    <cellStyle name="Vírgula 2 2 2 4 5 2 3" xfId="25680"/>
    <cellStyle name="Vírgula 2 2 2 4 5 2 4" xfId="19766"/>
    <cellStyle name="Vírgula 2 2 2 4 5 2 5" xfId="13668"/>
    <cellStyle name="Vírgula 2 2 2 4 5 3" xfId="8955"/>
    <cellStyle name="Vírgula 2 2 2 4 5 3 2" xfId="27169"/>
    <cellStyle name="Vírgula 2 2 2 4 5 3 3" xfId="21255"/>
    <cellStyle name="Vírgula 2 2 2 4 5 3 4" xfId="15341"/>
    <cellStyle name="Vírgula 2 2 2 4 5 4" xfId="24212"/>
    <cellStyle name="Vírgula 2 2 2 4 5 5" xfId="18298"/>
    <cellStyle name="Vírgula 2 2 2 4 5 6" xfId="11967"/>
    <cellStyle name="Vírgula 2 2 2 4 6" xfId="6386"/>
    <cellStyle name="Vírgula 2 2 2 4 6 2" xfId="9551"/>
    <cellStyle name="Vírgula 2 2 2 4 6 2 2" xfId="27765"/>
    <cellStyle name="Vírgula 2 2 2 4 6 2 3" xfId="21851"/>
    <cellStyle name="Vírgula 2 2 2 4 6 2 4" xfId="15937"/>
    <cellStyle name="Vírgula 2 2 2 4 6 3" xfId="24808"/>
    <cellStyle name="Vírgula 2 2 2 4 6 4" xfId="18894"/>
    <cellStyle name="Vírgula 2 2 2 4 6 5" xfId="12775"/>
    <cellStyle name="Vírgula 2 2 2 4 7" xfId="8080"/>
    <cellStyle name="Vírgula 2 2 2 4 7 2" xfId="26294"/>
    <cellStyle name="Vírgula 2 2 2 4 7 3" xfId="20380"/>
    <cellStyle name="Vírgula 2 2 2 4 7 4" xfId="14469"/>
    <cellStyle name="Vírgula 2 2 2 4 8" xfId="4683"/>
    <cellStyle name="Vírgula 2 2 2 4 8 2" xfId="23337"/>
    <cellStyle name="Vírgula 2 2 2 4 9" xfId="17423"/>
    <cellStyle name="Vírgula 2 2 2 5" xfId="3580"/>
    <cellStyle name="Vírgula 2 2 2 5 2" xfId="7426"/>
    <cellStyle name="Vírgula 2 2 2 5 2 2" xfId="10570"/>
    <cellStyle name="Vírgula 2 2 2 5 2 2 2" xfId="28784"/>
    <cellStyle name="Vírgula 2 2 2 5 2 2 3" xfId="22870"/>
    <cellStyle name="Vírgula 2 2 2 5 2 2 4" xfId="16956"/>
    <cellStyle name="Vírgula 2 2 2 5 2 3" xfId="25827"/>
    <cellStyle name="Vírgula 2 2 2 5 2 4" xfId="19913"/>
    <cellStyle name="Vírgula 2 2 2 5 2 5" xfId="13815"/>
    <cellStyle name="Vírgula 2 2 2 5 3" xfId="9102"/>
    <cellStyle name="Vírgula 2 2 2 5 3 2" xfId="27316"/>
    <cellStyle name="Vírgula 2 2 2 5 3 3" xfId="21402"/>
    <cellStyle name="Vírgula 2 2 2 5 3 4" xfId="15488"/>
    <cellStyle name="Vírgula 2 2 2 5 4" xfId="5727"/>
    <cellStyle name="Vírgula 2 2 2 5 4 2" xfId="24359"/>
    <cellStyle name="Vírgula 2 2 2 5 5" xfId="18445"/>
    <cellStyle name="Vírgula 2 2 2 5 6" xfId="12114"/>
    <cellStyle name="Vírgula 2 2 2 6" xfId="4107"/>
    <cellStyle name="Vírgula 2 2 2 6 2" xfId="7573"/>
    <cellStyle name="Vírgula 2 2 2 6 2 2" xfId="10717"/>
    <cellStyle name="Vírgula 2 2 2 6 2 2 2" xfId="28931"/>
    <cellStyle name="Vírgula 2 2 2 6 2 2 3" xfId="23017"/>
    <cellStyle name="Vírgula 2 2 2 6 2 2 4" xfId="17103"/>
    <cellStyle name="Vírgula 2 2 2 6 2 3" xfId="25974"/>
    <cellStyle name="Vírgula 2 2 2 6 2 4" xfId="20060"/>
    <cellStyle name="Vírgula 2 2 2 6 2 5" xfId="13962"/>
    <cellStyle name="Vírgula 2 2 2 6 3" xfId="9249"/>
    <cellStyle name="Vírgula 2 2 2 6 3 2" xfId="27463"/>
    <cellStyle name="Vírgula 2 2 2 6 3 3" xfId="21549"/>
    <cellStyle name="Vírgula 2 2 2 6 3 4" xfId="15635"/>
    <cellStyle name="Vírgula 2 2 2 6 4" xfId="5874"/>
    <cellStyle name="Vírgula 2 2 2 6 4 2" xfId="24506"/>
    <cellStyle name="Vírgula 2 2 2 6 5" xfId="18592"/>
    <cellStyle name="Vírgula 2 2 2 6 6" xfId="12261"/>
    <cellStyle name="Vírgula 2 2 2 7" xfId="4216"/>
    <cellStyle name="Vírgula 2 2 2 7 2" xfId="7616"/>
    <cellStyle name="Vírgula 2 2 2 7 2 2" xfId="10751"/>
    <cellStyle name="Vírgula 2 2 2 7 2 2 2" xfId="28965"/>
    <cellStyle name="Vírgula 2 2 2 7 2 2 3" xfId="23051"/>
    <cellStyle name="Vírgula 2 2 2 7 2 2 4" xfId="17137"/>
    <cellStyle name="Vírgula 2 2 2 7 2 3" xfId="26008"/>
    <cellStyle name="Vírgula 2 2 2 7 2 4" xfId="20094"/>
    <cellStyle name="Vírgula 2 2 2 7 2 5" xfId="14005"/>
    <cellStyle name="Vírgula 2 2 2 7 3" xfId="9283"/>
    <cellStyle name="Vírgula 2 2 2 7 3 2" xfId="27497"/>
    <cellStyle name="Vírgula 2 2 2 7 3 3" xfId="21583"/>
    <cellStyle name="Vírgula 2 2 2 7 3 4" xfId="15669"/>
    <cellStyle name="Vírgula 2 2 2 7 4" xfId="5916"/>
    <cellStyle name="Vírgula 2 2 2 7 4 2" xfId="24540"/>
    <cellStyle name="Vírgula 2 2 2 7 5" xfId="18626"/>
    <cellStyle name="Vírgula 2 2 2 7 6" xfId="12304"/>
    <cellStyle name="Vírgula 2 2 2 8" xfId="4292"/>
    <cellStyle name="Vírgula 2 2 2 8 2" xfId="7693"/>
    <cellStyle name="Vírgula 2 2 2 8 2 2" xfId="10794"/>
    <cellStyle name="Vírgula 2 2 2 8 2 2 2" xfId="29008"/>
    <cellStyle name="Vírgula 2 2 2 8 2 2 3" xfId="23094"/>
    <cellStyle name="Vírgula 2 2 2 8 2 2 4" xfId="17180"/>
    <cellStyle name="Vírgula 2 2 2 8 2 3" xfId="26051"/>
    <cellStyle name="Vírgula 2 2 2 8 2 4" xfId="20137"/>
    <cellStyle name="Vírgula 2 2 2 8 2 5" xfId="14082"/>
    <cellStyle name="Vírgula 2 2 2 8 3" xfId="9326"/>
    <cellStyle name="Vírgula 2 2 2 8 3 2" xfId="27540"/>
    <cellStyle name="Vírgula 2 2 2 8 3 3" xfId="21626"/>
    <cellStyle name="Vírgula 2 2 2 8 3 4" xfId="15712"/>
    <cellStyle name="Vírgula 2 2 2 8 4" xfId="5993"/>
    <cellStyle name="Vírgula 2 2 2 8 4 2" xfId="24583"/>
    <cellStyle name="Vírgula 2 2 2 8 5" xfId="18669"/>
    <cellStyle name="Vírgula 2 2 2 8 6" xfId="12381"/>
    <cellStyle name="Vírgula 2 2 2 9" xfId="4400"/>
    <cellStyle name="Vírgula 2 2 2 9 2" xfId="7802"/>
    <cellStyle name="Vírgula 2 2 2 9 2 2" xfId="10856"/>
    <cellStyle name="Vírgula 2 2 2 9 2 2 2" xfId="29070"/>
    <cellStyle name="Vírgula 2 2 2 9 2 2 3" xfId="23156"/>
    <cellStyle name="Vírgula 2 2 2 9 2 2 4" xfId="17242"/>
    <cellStyle name="Vírgula 2 2 2 9 2 3" xfId="26113"/>
    <cellStyle name="Vírgula 2 2 2 9 2 4" xfId="20199"/>
    <cellStyle name="Vírgula 2 2 2 9 2 5" xfId="14191"/>
    <cellStyle name="Vírgula 2 2 2 9 3" xfId="9388"/>
    <cellStyle name="Vírgula 2 2 2 9 3 2" xfId="27602"/>
    <cellStyle name="Vírgula 2 2 2 9 3 3" xfId="21688"/>
    <cellStyle name="Vírgula 2 2 2 9 3 4" xfId="15774"/>
    <cellStyle name="Vírgula 2 2 2 9 4" xfId="6102"/>
    <cellStyle name="Vírgula 2 2 2 9 4 2" xfId="24645"/>
    <cellStyle name="Vírgula 2 2 2 9 5" xfId="18731"/>
    <cellStyle name="Vírgula 2 2 2 9 6" xfId="12490"/>
    <cellStyle name="Vírgula 2 2 20" xfId="11002"/>
    <cellStyle name="Vírgula 2 2 3" xfId="950"/>
    <cellStyle name="Vírgula 2 2 3 10" xfId="8015"/>
    <cellStyle name="Vírgula 2 2 3 10 2" xfId="10979"/>
    <cellStyle name="Vírgula 2 2 3 10 2 2" xfId="29193"/>
    <cellStyle name="Vírgula 2 2 3 10 2 3" xfId="23279"/>
    <cellStyle name="Vírgula 2 2 3 10 2 4" xfId="17365"/>
    <cellStyle name="Vírgula 2 2 3 10 3" xfId="26236"/>
    <cellStyle name="Vírgula 2 2 3 10 4" xfId="20322"/>
    <cellStyle name="Vírgula 2 2 3 10 5" xfId="14404"/>
    <cellStyle name="Vírgula 2 2 3 11" xfId="8044"/>
    <cellStyle name="Vírgula 2 2 3 11 2" xfId="26258"/>
    <cellStyle name="Vírgula 2 2 3 11 3" xfId="20344"/>
    <cellStyle name="Vírgula 2 2 3 11 4" xfId="14433"/>
    <cellStyle name="Vírgula 2 2 3 12" xfId="4621"/>
    <cellStyle name="Vírgula 2 2 3 12 2" xfId="23301"/>
    <cellStyle name="Vírgula 2 2 3 13" xfId="17387"/>
    <cellStyle name="Vírgula 2 2 3 14" xfId="11012"/>
    <cellStyle name="Vírgula 2 2 3 2" xfId="4236"/>
    <cellStyle name="Vírgula 2 2 3 2 10" xfId="8053"/>
    <cellStyle name="Vírgula 2 2 3 2 10 2" xfId="26267"/>
    <cellStyle name="Vírgula 2 2 3 2 10 3" xfId="20353"/>
    <cellStyle name="Vírgula 2 2 3 2 10 4" xfId="14442"/>
    <cellStyle name="Vírgula 2 2 3 2 11" xfId="4636"/>
    <cellStyle name="Vírgula 2 2 3 2 11 2" xfId="23310"/>
    <cellStyle name="Vírgula 2 2 3 2 12" xfId="17396"/>
    <cellStyle name="Vírgula 2 2 3 2 13" xfId="11027"/>
    <cellStyle name="Vírgula 2 2 3 2 2" xfId="4271"/>
    <cellStyle name="Vírgula 2 2 3 2 2 10" xfId="11062"/>
    <cellStyle name="Vírgula 2 2 3 2 2 2" xfId="4348"/>
    <cellStyle name="Vírgula 2 2 3 2 2 2 2" xfId="7749"/>
    <cellStyle name="Vírgula 2 2 3 2 2 2 2 2" xfId="10826"/>
    <cellStyle name="Vírgula 2 2 3 2 2 2 2 2 2" xfId="29040"/>
    <cellStyle name="Vírgula 2 2 3 2 2 2 2 2 3" xfId="23126"/>
    <cellStyle name="Vírgula 2 2 3 2 2 2 2 2 4" xfId="17212"/>
    <cellStyle name="Vírgula 2 2 3 2 2 2 2 3" xfId="26083"/>
    <cellStyle name="Vírgula 2 2 3 2 2 2 2 4" xfId="20169"/>
    <cellStyle name="Vírgula 2 2 3 2 2 2 2 5" xfId="14138"/>
    <cellStyle name="Vírgula 2 2 3 2 2 2 3" xfId="9358"/>
    <cellStyle name="Vírgula 2 2 3 2 2 2 3 2" xfId="27572"/>
    <cellStyle name="Vírgula 2 2 3 2 2 2 3 3" xfId="21658"/>
    <cellStyle name="Vírgula 2 2 3 2 2 2 3 4" xfId="15744"/>
    <cellStyle name="Vírgula 2 2 3 2 2 2 4" xfId="6049"/>
    <cellStyle name="Vírgula 2 2 3 2 2 2 4 2" xfId="24615"/>
    <cellStyle name="Vírgula 2 2 3 2 2 2 5" xfId="18701"/>
    <cellStyle name="Vírgula 2 2 3 2 2 2 6" xfId="12437"/>
    <cellStyle name="Vírgula 2 2 3 2 2 3" xfId="4456"/>
    <cellStyle name="Vírgula 2 2 3 2 2 3 2" xfId="7858"/>
    <cellStyle name="Vírgula 2 2 3 2 2 3 2 2" xfId="10888"/>
    <cellStyle name="Vírgula 2 2 3 2 2 3 2 2 2" xfId="29102"/>
    <cellStyle name="Vírgula 2 2 3 2 2 3 2 2 3" xfId="23188"/>
    <cellStyle name="Vírgula 2 2 3 2 2 3 2 2 4" xfId="17274"/>
    <cellStyle name="Vírgula 2 2 3 2 2 3 2 3" xfId="26145"/>
    <cellStyle name="Vírgula 2 2 3 2 2 3 2 4" xfId="20231"/>
    <cellStyle name="Vírgula 2 2 3 2 2 3 2 5" xfId="14247"/>
    <cellStyle name="Vírgula 2 2 3 2 2 3 3" xfId="9420"/>
    <cellStyle name="Vírgula 2 2 3 2 2 3 3 2" xfId="27634"/>
    <cellStyle name="Vírgula 2 2 3 2 2 3 3 3" xfId="21720"/>
    <cellStyle name="Vírgula 2 2 3 2 2 3 3 4" xfId="15806"/>
    <cellStyle name="Vírgula 2 2 3 2 2 3 4" xfId="6157"/>
    <cellStyle name="Vírgula 2 2 3 2 2 3 4 2" xfId="24677"/>
    <cellStyle name="Vírgula 2 2 3 2 2 3 5" xfId="18763"/>
    <cellStyle name="Vírgula 2 2 3 2 2 3 6" xfId="12546"/>
    <cellStyle name="Vírgula 2 2 3 2 2 4" xfId="4564"/>
    <cellStyle name="Vírgula 2 2 3 2 2 4 2" xfId="7966"/>
    <cellStyle name="Vírgula 2 2 3 2 2 4 2 2" xfId="10950"/>
    <cellStyle name="Vírgula 2 2 3 2 2 4 2 2 2" xfId="29164"/>
    <cellStyle name="Vírgula 2 2 3 2 2 4 2 2 3" xfId="23250"/>
    <cellStyle name="Vírgula 2 2 3 2 2 4 2 2 4" xfId="17336"/>
    <cellStyle name="Vírgula 2 2 3 2 2 4 2 3" xfId="26207"/>
    <cellStyle name="Vírgula 2 2 3 2 2 4 2 4" xfId="20293"/>
    <cellStyle name="Vírgula 2 2 3 2 2 4 2 5" xfId="14355"/>
    <cellStyle name="Vírgula 2 2 3 2 2 4 3" xfId="9482"/>
    <cellStyle name="Vírgula 2 2 3 2 2 4 3 2" xfId="27696"/>
    <cellStyle name="Vírgula 2 2 3 2 2 4 3 3" xfId="21782"/>
    <cellStyle name="Vírgula 2 2 3 2 2 4 3 4" xfId="15868"/>
    <cellStyle name="Vírgula 2 2 3 2 2 4 4" xfId="6265"/>
    <cellStyle name="Vírgula 2 2 3 2 2 4 4 2" xfId="24739"/>
    <cellStyle name="Vírgula 2 2 3 2 2 4 5" xfId="18825"/>
    <cellStyle name="Vírgula 2 2 3 2 2 4 6" xfId="12654"/>
    <cellStyle name="Vírgula 2 2 3 2 2 5" xfId="5972"/>
    <cellStyle name="Vírgula 2 2 3 2 2 5 2" xfId="7672"/>
    <cellStyle name="Vírgula 2 2 3 2 2 5 2 2" xfId="10783"/>
    <cellStyle name="Vírgula 2 2 3 2 2 5 2 2 2" xfId="28997"/>
    <cellStyle name="Vírgula 2 2 3 2 2 5 2 2 3" xfId="23083"/>
    <cellStyle name="Vírgula 2 2 3 2 2 5 2 2 4" xfId="17169"/>
    <cellStyle name="Vírgula 2 2 3 2 2 5 2 3" xfId="26040"/>
    <cellStyle name="Vírgula 2 2 3 2 2 5 2 4" xfId="20126"/>
    <cellStyle name="Vírgula 2 2 3 2 2 5 2 5" xfId="14061"/>
    <cellStyle name="Vírgula 2 2 3 2 2 5 3" xfId="9315"/>
    <cellStyle name="Vírgula 2 2 3 2 2 5 3 2" xfId="27529"/>
    <cellStyle name="Vírgula 2 2 3 2 2 5 3 3" xfId="21615"/>
    <cellStyle name="Vírgula 2 2 3 2 2 5 3 4" xfId="15701"/>
    <cellStyle name="Vírgula 2 2 3 2 2 5 4" xfId="24572"/>
    <cellStyle name="Vírgula 2 2 3 2 2 5 5" xfId="18658"/>
    <cellStyle name="Vírgula 2 2 3 2 2 5 6" xfId="12360"/>
    <cellStyle name="Vírgula 2 2 3 2 2 6" xfId="6374"/>
    <cellStyle name="Vírgula 2 2 3 2 2 6 2" xfId="9544"/>
    <cellStyle name="Vírgula 2 2 3 2 2 6 2 2" xfId="27758"/>
    <cellStyle name="Vírgula 2 2 3 2 2 6 2 3" xfId="21844"/>
    <cellStyle name="Vírgula 2 2 3 2 2 6 2 4" xfId="15930"/>
    <cellStyle name="Vírgula 2 2 3 2 2 6 3" xfId="24801"/>
    <cellStyle name="Vírgula 2 2 3 2 2 6 4" xfId="18887"/>
    <cellStyle name="Vírgula 2 2 3 2 2 6 5" xfId="12763"/>
    <cellStyle name="Vírgula 2 2 3 2 2 7" xfId="8073"/>
    <cellStyle name="Vírgula 2 2 3 2 2 7 2" xfId="26287"/>
    <cellStyle name="Vírgula 2 2 3 2 2 7 3" xfId="20373"/>
    <cellStyle name="Vírgula 2 2 3 2 2 7 4" xfId="14462"/>
    <cellStyle name="Vírgula 2 2 3 2 2 8" xfId="4671"/>
    <cellStyle name="Vírgula 2 2 3 2 2 8 2" xfId="23330"/>
    <cellStyle name="Vírgula 2 2 3 2 2 9" xfId="17416"/>
    <cellStyle name="Vírgula 2 2 3 2 3" xfId="4380"/>
    <cellStyle name="Vírgula 2 2 3 2 3 2" xfId="4488"/>
    <cellStyle name="Vírgula 2 2 3 2 3 2 2" xfId="7890"/>
    <cellStyle name="Vírgula 2 2 3 2 3 2 2 2" xfId="10907"/>
    <cellStyle name="Vírgula 2 2 3 2 3 2 2 2 2" xfId="29121"/>
    <cellStyle name="Vírgula 2 2 3 2 3 2 2 2 3" xfId="23207"/>
    <cellStyle name="Vírgula 2 2 3 2 3 2 2 2 4" xfId="17293"/>
    <cellStyle name="Vírgula 2 2 3 2 3 2 2 3" xfId="26164"/>
    <cellStyle name="Vírgula 2 2 3 2 3 2 2 4" xfId="20250"/>
    <cellStyle name="Vírgula 2 2 3 2 3 2 2 5" xfId="14279"/>
    <cellStyle name="Vírgula 2 2 3 2 3 2 3" xfId="9439"/>
    <cellStyle name="Vírgula 2 2 3 2 3 2 3 2" xfId="27653"/>
    <cellStyle name="Vírgula 2 2 3 2 3 2 3 3" xfId="21739"/>
    <cellStyle name="Vírgula 2 2 3 2 3 2 3 4" xfId="15825"/>
    <cellStyle name="Vírgula 2 2 3 2 3 2 4" xfId="6189"/>
    <cellStyle name="Vírgula 2 2 3 2 3 2 4 2" xfId="24696"/>
    <cellStyle name="Vírgula 2 2 3 2 3 2 5" xfId="18782"/>
    <cellStyle name="Vírgula 2 2 3 2 3 2 6" xfId="12578"/>
    <cellStyle name="Vírgula 2 2 3 2 3 3" xfId="4596"/>
    <cellStyle name="Vírgula 2 2 3 2 3 3 2" xfId="7999"/>
    <cellStyle name="Vírgula 2 2 3 2 3 3 2 2" xfId="10969"/>
    <cellStyle name="Vírgula 2 2 3 2 3 3 2 2 2" xfId="29183"/>
    <cellStyle name="Vírgula 2 2 3 2 3 3 2 2 3" xfId="23269"/>
    <cellStyle name="Vírgula 2 2 3 2 3 3 2 2 4" xfId="17355"/>
    <cellStyle name="Vírgula 2 2 3 2 3 3 2 3" xfId="26226"/>
    <cellStyle name="Vírgula 2 2 3 2 3 3 2 4" xfId="20312"/>
    <cellStyle name="Vírgula 2 2 3 2 3 3 2 5" xfId="14388"/>
    <cellStyle name="Vírgula 2 2 3 2 3 3 3" xfId="9501"/>
    <cellStyle name="Vírgula 2 2 3 2 3 3 3 2" xfId="27715"/>
    <cellStyle name="Vírgula 2 2 3 2 3 3 3 3" xfId="21801"/>
    <cellStyle name="Vírgula 2 2 3 2 3 3 3 4" xfId="15887"/>
    <cellStyle name="Vírgula 2 2 3 2 3 3 4" xfId="6298"/>
    <cellStyle name="Vírgula 2 2 3 2 3 3 4 2" xfId="24758"/>
    <cellStyle name="Vírgula 2 2 3 2 3 3 5" xfId="18844"/>
    <cellStyle name="Vírgula 2 2 3 2 3 3 6" xfId="12687"/>
    <cellStyle name="Vírgula 2 2 3 2 3 4" xfId="6082"/>
    <cellStyle name="Vírgula 2 2 3 2 3 4 2" xfId="7782"/>
    <cellStyle name="Vírgula 2 2 3 2 3 4 2 2" xfId="10845"/>
    <cellStyle name="Vírgula 2 2 3 2 3 4 2 2 2" xfId="29059"/>
    <cellStyle name="Vírgula 2 2 3 2 3 4 2 2 3" xfId="23145"/>
    <cellStyle name="Vírgula 2 2 3 2 3 4 2 2 4" xfId="17231"/>
    <cellStyle name="Vírgula 2 2 3 2 3 4 2 3" xfId="26102"/>
    <cellStyle name="Vírgula 2 2 3 2 3 4 2 4" xfId="20188"/>
    <cellStyle name="Vírgula 2 2 3 2 3 4 2 5" xfId="14171"/>
    <cellStyle name="Vírgula 2 2 3 2 3 4 3" xfId="9377"/>
    <cellStyle name="Vírgula 2 2 3 2 3 4 3 2" xfId="27591"/>
    <cellStyle name="Vírgula 2 2 3 2 3 4 3 3" xfId="21677"/>
    <cellStyle name="Vírgula 2 2 3 2 3 4 3 4" xfId="15763"/>
    <cellStyle name="Vírgula 2 2 3 2 3 4 4" xfId="24634"/>
    <cellStyle name="Vírgula 2 2 3 2 3 4 5" xfId="18720"/>
    <cellStyle name="Vírgula 2 2 3 2 3 4 6" xfId="12470"/>
    <cellStyle name="Vírgula 2 2 3 2 3 5" xfId="6407"/>
    <cellStyle name="Vírgula 2 2 3 2 3 5 2" xfId="9563"/>
    <cellStyle name="Vírgula 2 2 3 2 3 5 2 2" xfId="27777"/>
    <cellStyle name="Vírgula 2 2 3 2 3 5 2 3" xfId="21863"/>
    <cellStyle name="Vírgula 2 2 3 2 3 5 2 4" xfId="15949"/>
    <cellStyle name="Vírgula 2 2 3 2 3 5 3" xfId="24820"/>
    <cellStyle name="Vírgula 2 2 3 2 3 5 4" xfId="18906"/>
    <cellStyle name="Vírgula 2 2 3 2 3 5 5" xfId="12796"/>
    <cellStyle name="Vírgula 2 2 3 2 3 6" xfId="8092"/>
    <cellStyle name="Vírgula 2 2 3 2 3 6 2" xfId="26306"/>
    <cellStyle name="Vírgula 2 2 3 2 3 6 3" xfId="20392"/>
    <cellStyle name="Vírgula 2 2 3 2 3 6 4" xfId="14481"/>
    <cellStyle name="Vírgula 2 2 3 2 3 7" xfId="4704"/>
    <cellStyle name="Vírgula 2 2 3 2 3 7 2" xfId="23349"/>
    <cellStyle name="Vírgula 2 2 3 2 3 8" xfId="17435"/>
    <cellStyle name="Vírgula 2 2 3 2 3 9" xfId="11095"/>
    <cellStyle name="Vírgula 2 2 3 2 4" xfId="4313"/>
    <cellStyle name="Vírgula 2 2 3 2 4 2" xfId="7714"/>
    <cellStyle name="Vírgula 2 2 3 2 4 2 2" xfId="10806"/>
    <cellStyle name="Vírgula 2 2 3 2 4 2 2 2" xfId="29020"/>
    <cellStyle name="Vírgula 2 2 3 2 4 2 2 3" xfId="23106"/>
    <cellStyle name="Vírgula 2 2 3 2 4 2 2 4" xfId="17192"/>
    <cellStyle name="Vírgula 2 2 3 2 4 2 3" xfId="26063"/>
    <cellStyle name="Vírgula 2 2 3 2 4 2 4" xfId="20149"/>
    <cellStyle name="Vírgula 2 2 3 2 4 2 5" xfId="14103"/>
    <cellStyle name="Vírgula 2 2 3 2 4 3" xfId="9338"/>
    <cellStyle name="Vírgula 2 2 3 2 4 3 2" xfId="27552"/>
    <cellStyle name="Vírgula 2 2 3 2 4 3 3" xfId="21638"/>
    <cellStyle name="Vírgula 2 2 3 2 4 3 4" xfId="15724"/>
    <cellStyle name="Vírgula 2 2 3 2 4 4" xfId="6014"/>
    <cellStyle name="Vírgula 2 2 3 2 4 4 2" xfId="24595"/>
    <cellStyle name="Vírgula 2 2 3 2 4 5" xfId="18681"/>
    <cellStyle name="Vírgula 2 2 3 2 4 6" xfId="12402"/>
    <cellStyle name="Vírgula 2 2 3 2 5" xfId="4421"/>
    <cellStyle name="Vírgula 2 2 3 2 5 2" xfId="7823"/>
    <cellStyle name="Vírgula 2 2 3 2 5 2 2" xfId="10868"/>
    <cellStyle name="Vírgula 2 2 3 2 5 2 2 2" xfId="29082"/>
    <cellStyle name="Vírgula 2 2 3 2 5 2 2 3" xfId="23168"/>
    <cellStyle name="Vírgula 2 2 3 2 5 2 2 4" xfId="17254"/>
    <cellStyle name="Vírgula 2 2 3 2 5 2 3" xfId="26125"/>
    <cellStyle name="Vírgula 2 2 3 2 5 2 4" xfId="20211"/>
    <cellStyle name="Vírgula 2 2 3 2 5 2 5" xfId="14212"/>
    <cellStyle name="Vírgula 2 2 3 2 5 3" xfId="9400"/>
    <cellStyle name="Vírgula 2 2 3 2 5 3 2" xfId="27614"/>
    <cellStyle name="Vírgula 2 2 3 2 5 3 3" xfId="21700"/>
    <cellStyle name="Vírgula 2 2 3 2 5 3 4" xfId="15786"/>
    <cellStyle name="Vírgula 2 2 3 2 5 4" xfId="6123"/>
    <cellStyle name="Vírgula 2 2 3 2 5 4 2" xfId="24657"/>
    <cellStyle name="Vírgula 2 2 3 2 5 5" xfId="18743"/>
    <cellStyle name="Vírgula 2 2 3 2 5 6" xfId="12511"/>
    <cellStyle name="Vírgula 2 2 3 2 6" xfId="4529"/>
    <cellStyle name="Vírgula 2 2 3 2 6 2" xfId="7931"/>
    <cellStyle name="Vírgula 2 2 3 2 6 2 2" xfId="10930"/>
    <cellStyle name="Vírgula 2 2 3 2 6 2 2 2" xfId="29144"/>
    <cellStyle name="Vírgula 2 2 3 2 6 2 2 3" xfId="23230"/>
    <cellStyle name="Vírgula 2 2 3 2 6 2 2 4" xfId="17316"/>
    <cellStyle name="Vírgula 2 2 3 2 6 2 3" xfId="26187"/>
    <cellStyle name="Vírgula 2 2 3 2 6 2 4" xfId="20273"/>
    <cellStyle name="Vírgula 2 2 3 2 6 2 5" xfId="14320"/>
    <cellStyle name="Vírgula 2 2 3 2 6 3" xfId="9462"/>
    <cellStyle name="Vírgula 2 2 3 2 6 3 2" xfId="27676"/>
    <cellStyle name="Vírgula 2 2 3 2 6 3 3" xfId="21762"/>
    <cellStyle name="Vírgula 2 2 3 2 6 3 4" xfId="15848"/>
    <cellStyle name="Vírgula 2 2 3 2 6 4" xfId="6230"/>
    <cellStyle name="Vírgula 2 2 3 2 6 4 2" xfId="24719"/>
    <cellStyle name="Vírgula 2 2 3 2 6 5" xfId="18805"/>
    <cellStyle name="Vírgula 2 2 3 2 6 6" xfId="12619"/>
    <cellStyle name="Vírgula 2 2 3 2 7" xfId="5937"/>
    <cellStyle name="Vírgula 2 2 3 2 7 2" xfId="7637"/>
    <cellStyle name="Vírgula 2 2 3 2 7 2 2" xfId="10763"/>
    <cellStyle name="Vírgula 2 2 3 2 7 2 2 2" xfId="28977"/>
    <cellStyle name="Vírgula 2 2 3 2 7 2 2 3" xfId="23063"/>
    <cellStyle name="Vírgula 2 2 3 2 7 2 2 4" xfId="17149"/>
    <cellStyle name="Vírgula 2 2 3 2 7 2 3" xfId="26020"/>
    <cellStyle name="Vírgula 2 2 3 2 7 2 4" xfId="20106"/>
    <cellStyle name="Vírgula 2 2 3 2 7 2 5" xfId="14026"/>
    <cellStyle name="Vírgula 2 2 3 2 7 3" xfId="9295"/>
    <cellStyle name="Vírgula 2 2 3 2 7 3 2" xfId="27509"/>
    <cellStyle name="Vírgula 2 2 3 2 7 3 3" xfId="21595"/>
    <cellStyle name="Vírgula 2 2 3 2 7 3 4" xfId="15681"/>
    <cellStyle name="Vírgula 2 2 3 2 7 4" xfId="24552"/>
    <cellStyle name="Vírgula 2 2 3 2 7 5" xfId="18638"/>
    <cellStyle name="Vírgula 2 2 3 2 7 6" xfId="12325"/>
    <cellStyle name="Vírgula 2 2 3 2 8" xfId="6339"/>
    <cellStyle name="Vírgula 2 2 3 2 8 2" xfId="9524"/>
    <cellStyle name="Vírgula 2 2 3 2 8 2 2" xfId="27738"/>
    <cellStyle name="Vírgula 2 2 3 2 8 2 3" xfId="21824"/>
    <cellStyle name="Vírgula 2 2 3 2 8 2 4" xfId="15910"/>
    <cellStyle name="Vírgula 2 2 3 2 8 3" xfId="24781"/>
    <cellStyle name="Vírgula 2 2 3 2 8 4" xfId="18867"/>
    <cellStyle name="Vírgula 2 2 3 2 8 5" xfId="12728"/>
    <cellStyle name="Vírgula 2 2 3 2 9" xfId="8031"/>
    <cellStyle name="Vírgula 2 2 3 2 9 2" xfId="10988"/>
    <cellStyle name="Vírgula 2 2 3 2 9 2 2" xfId="29202"/>
    <cellStyle name="Vírgula 2 2 3 2 9 2 3" xfId="23288"/>
    <cellStyle name="Vírgula 2 2 3 2 9 2 4" xfId="17374"/>
    <cellStyle name="Vírgula 2 2 3 2 9 3" xfId="26245"/>
    <cellStyle name="Vírgula 2 2 3 2 9 4" xfId="20331"/>
    <cellStyle name="Vírgula 2 2 3 2 9 5" xfId="14420"/>
    <cellStyle name="Vírgula 2 2 3 3" xfId="4256"/>
    <cellStyle name="Vírgula 2 2 3 3 10" xfId="11047"/>
    <cellStyle name="Vírgula 2 2 3 3 2" xfId="4333"/>
    <cellStyle name="Vírgula 2 2 3 3 2 2" xfId="7734"/>
    <cellStyle name="Vírgula 2 2 3 3 2 2 2" xfId="10817"/>
    <cellStyle name="Vírgula 2 2 3 3 2 2 2 2" xfId="29031"/>
    <cellStyle name="Vírgula 2 2 3 3 2 2 2 3" xfId="23117"/>
    <cellStyle name="Vírgula 2 2 3 3 2 2 2 4" xfId="17203"/>
    <cellStyle name="Vírgula 2 2 3 3 2 2 3" xfId="26074"/>
    <cellStyle name="Vírgula 2 2 3 3 2 2 4" xfId="20160"/>
    <cellStyle name="Vírgula 2 2 3 3 2 2 5" xfId="14123"/>
    <cellStyle name="Vírgula 2 2 3 3 2 3" xfId="9349"/>
    <cellStyle name="Vírgula 2 2 3 3 2 3 2" xfId="27563"/>
    <cellStyle name="Vírgula 2 2 3 3 2 3 3" xfId="21649"/>
    <cellStyle name="Vírgula 2 2 3 3 2 3 4" xfId="15735"/>
    <cellStyle name="Vírgula 2 2 3 3 2 4" xfId="6034"/>
    <cellStyle name="Vírgula 2 2 3 3 2 4 2" xfId="24606"/>
    <cellStyle name="Vírgula 2 2 3 3 2 5" xfId="18692"/>
    <cellStyle name="Vírgula 2 2 3 3 2 6" xfId="12422"/>
    <cellStyle name="Vírgula 2 2 3 3 3" xfId="4441"/>
    <cellStyle name="Vírgula 2 2 3 3 3 2" xfId="7843"/>
    <cellStyle name="Vírgula 2 2 3 3 3 2 2" xfId="10879"/>
    <cellStyle name="Vírgula 2 2 3 3 3 2 2 2" xfId="29093"/>
    <cellStyle name="Vírgula 2 2 3 3 3 2 2 3" xfId="23179"/>
    <cellStyle name="Vírgula 2 2 3 3 3 2 2 4" xfId="17265"/>
    <cellStyle name="Vírgula 2 2 3 3 3 2 3" xfId="26136"/>
    <cellStyle name="Vírgula 2 2 3 3 3 2 4" xfId="20222"/>
    <cellStyle name="Vírgula 2 2 3 3 3 2 5" xfId="14232"/>
    <cellStyle name="Vírgula 2 2 3 3 3 3" xfId="9411"/>
    <cellStyle name="Vírgula 2 2 3 3 3 3 2" xfId="27625"/>
    <cellStyle name="Vírgula 2 2 3 3 3 3 3" xfId="21711"/>
    <cellStyle name="Vírgula 2 2 3 3 3 3 4" xfId="15797"/>
    <cellStyle name="Vírgula 2 2 3 3 3 4" xfId="6143"/>
    <cellStyle name="Vírgula 2 2 3 3 3 4 2" xfId="24668"/>
    <cellStyle name="Vírgula 2 2 3 3 3 5" xfId="18754"/>
    <cellStyle name="Vírgula 2 2 3 3 3 6" xfId="12531"/>
    <cellStyle name="Vírgula 2 2 3 3 4" xfId="4549"/>
    <cellStyle name="Vírgula 2 2 3 3 4 2" xfId="7951"/>
    <cellStyle name="Vírgula 2 2 3 3 4 2 2" xfId="10941"/>
    <cellStyle name="Vírgula 2 2 3 3 4 2 2 2" xfId="29155"/>
    <cellStyle name="Vírgula 2 2 3 3 4 2 2 3" xfId="23241"/>
    <cellStyle name="Vírgula 2 2 3 3 4 2 2 4" xfId="17327"/>
    <cellStyle name="Vírgula 2 2 3 3 4 2 3" xfId="26198"/>
    <cellStyle name="Vírgula 2 2 3 3 4 2 4" xfId="20284"/>
    <cellStyle name="Vírgula 2 2 3 3 4 2 5" xfId="14340"/>
    <cellStyle name="Vírgula 2 2 3 3 4 3" xfId="9473"/>
    <cellStyle name="Vírgula 2 2 3 3 4 3 2" xfId="27687"/>
    <cellStyle name="Vírgula 2 2 3 3 4 3 3" xfId="21773"/>
    <cellStyle name="Vírgula 2 2 3 3 4 3 4" xfId="15859"/>
    <cellStyle name="Vírgula 2 2 3 3 4 4" xfId="6250"/>
    <cellStyle name="Vírgula 2 2 3 3 4 4 2" xfId="24730"/>
    <cellStyle name="Vírgula 2 2 3 3 4 5" xfId="18816"/>
    <cellStyle name="Vírgula 2 2 3 3 4 6" xfId="12639"/>
    <cellStyle name="Vírgula 2 2 3 3 5" xfId="5957"/>
    <cellStyle name="Vírgula 2 2 3 3 5 2" xfId="7657"/>
    <cellStyle name="Vírgula 2 2 3 3 5 2 2" xfId="10774"/>
    <cellStyle name="Vírgula 2 2 3 3 5 2 2 2" xfId="28988"/>
    <cellStyle name="Vírgula 2 2 3 3 5 2 2 3" xfId="23074"/>
    <cellStyle name="Vírgula 2 2 3 3 5 2 2 4" xfId="17160"/>
    <cellStyle name="Vírgula 2 2 3 3 5 2 3" xfId="26031"/>
    <cellStyle name="Vírgula 2 2 3 3 5 2 4" xfId="20117"/>
    <cellStyle name="Vírgula 2 2 3 3 5 2 5" xfId="14046"/>
    <cellStyle name="Vírgula 2 2 3 3 5 3" xfId="9306"/>
    <cellStyle name="Vírgula 2 2 3 3 5 3 2" xfId="27520"/>
    <cellStyle name="Vírgula 2 2 3 3 5 3 3" xfId="21606"/>
    <cellStyle name="Vírgula 2 2 3 3 5 3 4" xfId="15692"/>
    <cellStyle name="Vírgula 2 2 3 3 5 4" xfId="24563"/>
    <cellStyle name="Vírgula 2 2 3 3 5 5" xfId="18649"/>
    <cellStyle name="Vírgula 2 2 3 3 5 6" xfId="12345"/>
    <cellStyle name="Vírgula 2 2 3 3 6" xfId="6359"/>
    <cellStyle name="Vírgula 2 2 3 3 6 2" xfId="9535"/>
    <cellStyle name="Vírgula 2 2 3 3 6 2 2" xfId="27749"/>
    <cellStyle name="Vírgula 2 2 3 3 6 2 3" xfId="21835"/>
    <cellStyle name="Vírgula 2 2 3 3 6 2 4" xfId="15921"/>
    <cellStyle name="Vírgula 2 2 3 3 6 3" xfId="24792"/>
    <cellStyle name="Vírgula 2 2 3 3 6 4" xfId="18878"/>
    <cellStyle name="Vírgula 2 2 3 3 6 5" xfId="12748"/>
    <cellStyle name="Vírgula 2 2 3 3 7" xfId="8064"/>
    <cellStyle name="Vírgula 2 2 3 3 7 2" xfId="26278"/>
    <cellStyle name="Vírgula 2 2 3 3 7 3" xfId="20364"/>
    <cellStyle name="Vírgula 2 2 3 3 7 4" xfId="14453"/>
    <cellStyle name="Vírgula 2 2 3 3 8" xfId="4656"/>
    <cellStyle name="Vírgula 2 2 3 3 8 2" xfId="23321"/>
    <cellStyle name="Vírgula 2 2 3 3 9" xfId="17407"/>
    <cellStyle name="Vírgula 2 2 3 4" xfId="4221"/>
    <cellStyle name="Vírgula 2 2 3 4 10" xfId="11079"/>
    <cellStyle name="Vírgula 2 2 3 4 2" xfId="4365"/>
    <cellStyle name="Vírgula 2 2 3 4 2 2" xfId="7766"/>
    <cellStyle name="Vírgula 2 2 3 4 2 2 2" xfId="10836"/>
    <cellStyle name="Vírgula 2 2 3 4 2 2 2 2" xfId="29050"/>
    <cellStyle name="Vírgula 2 2 3 4 2 2 2 3" xfId="23136"/>
    <cellStyle name="Vírgula 2 2 3 4 2 2 2 4" xfId="17222"/>
    <cellStyle name="Vírgula 2 2 3 4 2 2 3" xfId="26093"/>
    <cellStyle name="Vírgula 2 2 3 4 2 2 4" xfId="20179"/>
    <cellStyle name="Vírgula 2 2 3 4 2 2 5" xfId="14155"/>
    <cellStyle name="Vírgula 2 2 3 4 2 3" xfId="9368"/>
    <cellStyle name="Vírgula 2 2 3 4 2 3 2" xfId="27582"/>
    <cellStyle name="Vírgula 2 2 3 4 2 3 3" xfId="21668"/>
    <cellStyle name="Vírgula 2 2 3 4 2 3 4" xfId="15754"/>
    <cellStyle name="Vírgula 2 2 3 4 2 4" xfId="6066"/>
    <cellStyle name="Vírgula 2 2 3 4 2 4 2" xfId="24625"/>
    <cellStyle name="Vírgula 2 2 3 4 2 5" xfId="18711"/>
    <cellStyle name="Vírgula 2 2 3 4 2 6" xfId="12454"/>
    <cellStyle name="Vírgula 2 2 3 4 3" xfId="4473"/>
    <cellStyle name="Vírgula 2 2 3 4 3 2" xfId="7875"/>
    <cellStyle name="Vírgula 2 2 3 4 3 2 2" xfId="10898"/>
    <cellStyle name="Vírgula 2 2 3 4 3 2 2 2" xfId="29112"/>
    <cellStyle name="Vírgula 2 2 3 4 3 2 2 3" xfId="23198"/>
    <cellStyle name="Vírgula 2 2 3 4 3 2 2 4" xfId="17284"/>
    <cellStyle name="Vírgula 2 2 3 4 3 2 3" xfId="26155"/>
    <cellStyle name="Vírgula 2 2 3 4 3 2 4" xfId="20241"/>
    <cellStyle name="Vírgula 2 2 3 4 3 2 5" xfId="14264"/>
    <cellStyle name="Vírgula 2 2 3 4 3 3" xfId="9430"/>
    <cellStyle name="Vírgula 2 2 3 4 3 3 2" xfId="27644"/>
    <cellStyle name="Vírgula 2 2 3 4 3 3 3" xfId="21730"/>
    <cellStyle name="Vírgula 2 2 3 4 3 3 4" xfId="15816"/>
    <cellStyle name="Vírgula 2 2 3 4 3 4" xfId="6174"/>
    <cellStyle name="Vírgula 2 2 3 4 3 4 2" xfId="24687"/>
    <cellStyle name="Vírgula 2 2 3 4 3 5" xfId="18773"/>
    <cellStyle name="Vírgula 2 2 3 4 3 6" xfId="12563"/>
    <cellStyle name="Vírgula 2 2 3 4 4" xfId="4581"/>
    <cellStyle name="Vírgula 2 2 3 4 4 2" xfId="7983"/>
    <cellStyle name="Vírgula 2 2 3 4 4 2 2" xfId="10960"/>
    <cellStyle name="Vírgula 2 2 3 4 4 2 2 2" xfId="29174"/>
    <cellStyle name="Vírgula 2 2 3 4 4 2 2 3" xfId="23260"/>
    <cellStyle name="Vírgula 2 2 3 4 4 2 2 4" xfId="17346"/>
    <cellStyle name="Vírgula 2 2 3 4 4 2 3" xfId="26217"/>
    <cellStyle name="Vírgula 2 2 3 4 4 2 4" xfId="20303"/>
    <cellStyle name="Vírgula 2 2 3 4 4 2 5" xfId="14372"/>
    <cellStyle name="Vírgula 2 2 3 4 4 3" xfId="9492"/>
    <cellStyle name="Vírgula 2 2 3 4 4 3 2" xfId="27706"/>
    <cellStyle name="Vírgula 2 2 3 4 4 3 3" xfId="21792"/>
    <cellStyle name="Vírgula 2 2 3 4 4 3 4" xfId="15878"/>
    <cellStyle name="Vírgula 2 2 3 4 4 4" xfId="6282"/>
    <cellStyle name="Vírgula 2 2 3 4 4 4 2" xfId="24749"/>
    <cellStyle name="Vírgula 2 2 3 4 4 5" xfId="18835"/>
    <cellStyle name="Vírgula 2 2 3 4 4 6" xfId="12671"/>
    <cellStyle name="Vírgula 2 2 3 4 5" xfId="5921"/>
    <cellStyle name="Vírgula 2 2 3 4 5 2" xfId="7621"/>
    <cellStyle name="Vírgula 2 2 3 4 5 2 2" xfId="10754"/>
    <cellStyle name="Vírgula 2 2 3 4 5 2 2 2" xfId="28968"/>
    <cellStyle name="Vírgula 2 2 3 4 5 2 2 3" xfId="23054"/>
    <cellStyle name="Vírgula 2 2 3 4 5 2 2 4" xfId="17140"/>
    <cellStyle name="Vírgula 2 2 3 4 5 2 3" xfId="26011"/>
    <cellStyle name="Vírgula 2 2 3 4 5 2 4" xfId="20097"/>
    <cellStyle name="Vírgula 2 2 3 4 5 2 5" xfId="14010"/>
    <cellStyle name="Vírgula 2 2 3 4 5 3" xfId="9286"/>
    <cellStyle name="Vírgula 2 2 3 4 5 3 2" xfId="27500"/>
    <cellStyle name="Vírgula 2 2 3 4 5 3 3" xfId="21586"/>
    <cellStyle name="Vírgula 2 2 3 4 5 3 4" xfId="15672"/>
    <cellStyle name="Vírgula 2 2 3 4 5 4" xfId="24543"/>
    <cellStyle name="Vírgula 2 2 3 4 5 5" xfId="18629"/>
    <cellStyle name="Vírgula 2 2 3 4 5 6" xfId="12309"/>
    <cellStyle name="Vírgula 2 2 3 4 6" xfId="6391"/>
    <cellStyle name="Vírgula 2 2 3 4 6 2" xfId="9554"/>
    <cellStyle name="Vírgula 2 2 3 4 6 2 2" xfId="27768"/>
    <cellStyle name="Vírgula 2 2 3 4 6 2 3" xfId="21854"/>
    <cellStyle name="Vírgula 2 2 3 4 6 2 4" xfId="15940"/>
    <cellStyle name="Vírgula 2 2 3 4 6 3" xfId="24811"/>
    <cellStyle name="Vírgula 2 2 3 4 6 4" xfId="18897"/>
    <cellStyle name="Vírgula 2 2 3 4 6 5" xfId="12780"/>
    <cellStyle name="Vírgula 2 2 3 4 7" xfId="8083"/>
    <cellStyle name="Vírgula 2 2 3 4 7 2" xfId="26297"/>
    <cellStyle name="Vírgula 2 2 3 4 7 3" xfId="20383"/>
    <cellStyle name="Vírgula 2 2 3 4 7 4" xfId="14472"/>
    <cellStyle name="Vírgula 2 2 3 4 8" xfId="4688"/>
    <cellStyle name="Vírgula 2 2 3 4 8 2" xfId="23340"/>
    <cellStyle name="Vírgula 2 2 3 4 9" xfId="17426"/>
    <cellStyle name="Vírgula 2 2 3 5" xfId="4297"/>
    <cellStyle name="Vírgula 2 2 3 5 2" xfId="7698"/>
    <cellStyle name="Vírgula 2 2 3 5 2 2" xfId="10797"/>
    <cellStyle name="Vírgula 2 2 3 5 2 2 2" xfId="29011"/>
    <cellStyle name="Vírgula 2 2 3 5 2 2 3" xfId="23097"/>
    <cellStyle name="Vírgula 2 2 3 5 2 2 4" xfId="17183"/>
    <cellStyle name="Vírgula 2 2 3 5 2 3" xfId="26054"/>
    <cellStyle name="Vírgula 2 2 3 5 2 4" xfId="20140"/>
    <cellStyle name="Vírgula 2 2 3 5 2 5" xfId="14087"/>
    <cellStyle name="Vírgula 2 2 3 5 3" xfId="9329"/>
    <cellStyle name="Vírgula 2 2 3 5 3 2" xfId="27543"/>
    <cellStyle name="Vírgula 2 2 3 5 3 3" xfId="21629"/>
    <cellStyle name="Vírgula 2 2 3 5 3 4" xfId="15715"/>
    <cellStyle name="Vírgula 2 2 3 5 4" xfId="5998"/>
    <cellStyle name="Vírgula 2 2 3 5 4 2" xfId="24586"/>
    <cellStyle name="Vírgula 2 2 3 5 5" xfId="18672"/>
    <cellStyle name="Vírgula 2 2 3 5 6" xfId="12386"/>
    <cellStyle name="Vírgula 2 2 3 6" xfId="4405"/>
    <cellStyle name="Vírgula 2 2 3 6 2" xfId="7807"/>
    <cellStyle name="Vírgula 2 2 3 6 2 2" xfId="10859"/>
    <cellStyle name="Vírgula 2 2 3 6 2 2 2" xfId="29073"/>
    <cellStyle name="Vírgula 2 2 3 6 2 2 3" xfId="23159"/>
    <cellStyle name="Vírgula 2 2 3 6 2 2 4" xfId="17245"/>
    <cellStyle name="Vírgula 2 2 3 6 2 3" xfId="26116"/>
    <cellStyle name="Vírgula 2 2 3 6 2 4" xfId="20202"/>
    <cellStyle name="Vírgula 2 2 3 6 2 5" xfId="14196"/>
    <cellStyle name="Vírgula 2 2 3 6 3" xfId="9391"/>
    <cellStyle name="Vírgula 2 2 3 6 3 2" xfId="27605"/>
    <cellStyle name="Vírgula 2 2 3 6 3 3" xfId="21691"/>
    <cellStyle name="Vírgula 2 2 3 6 3 4" xfId="15777"/>
    <cellStyle name="Vírgula 2 2 3 6 4" xfId="6107"/>
    <cellStyle name="Vírgula 2 2 3 6 4 2" xfId="24648"/>
    <cellStyle name="Vírgula 2 2 3 6 5" xfId="18734"/>
    <cellStyle name="Vírgula 2 2 3 6 6" xfId="12495"/>
    <cellStyle name="Vírgula 2 2 3 7" xfId="4513"/>
    <cellStyle name="Vírgula 2 2 3 7 2" xfId="7915"/>
    <cellStyle name="Vírgula 2 2 3 7 2 2" xfId="10921"/>
    <cellStyle name="Vírgula 2 2 3 7 2 2 2" xfId="29135"/>
    <cellStyle name="Vírgula 2 2 3 7 2 2 3" xfId="23221"/>
    <cellStyle name="Vírgula 2 2 3 7 2 2 4" xfId="17307"/>
    <cellStyle name="Vírgula 2 2 3 7 2 3" xfId="26178"/>
    <cellStyle name="Vírgula 2 2 3 7 2 4" xfId="20264"/>
    <cellStyle name="Vírgula 2 2 3 7 2 5" xfId="14304"/>
    <cellStyle name="Vírgula 2 2 3 7 3" xfId="9453"/>
    <cellStyle name="Vírgula 2 2 3 7 3 2" xfId="27667"/>
    <cellStyle name="Vírgula 2 2 3 7 3 3" xfId="21753"/>
    <cellStyle name="Vírgula 2 2 3 7 3 4" xfId="15839"/>
    <cellStyle name="Vírgula 2 2 3 7 4" xfId="6214"/>
    <cellStyle name="Vírgula 2 2 3 7 4 2" xfId="24710"/>
    <cellStyle name="Vírgula 2 2 3 7 5" xfId="18796"/>
    <cellStyle name="Vírgula 2 2 3 7 6" xfId="12603"/>
    <cellStyle name="Vírgula 2 2 3 8" xfId="4996"/>
    <cellStyle name="Vírgula 2 2 3 8 2" xfId="6695"/>
    <cellStyle name="Vírgula 2 2 3 8 2 2" xfId="9842"/>
    <cellStyle name="Vírgula 2 2 3 8 2 2 2" xfId="28056"/>
    <cellStyle name="Vírgula 2 2 3 8 2 2 3" xfId="22142"/>
    <cellStyle name="Vírgula 2 2 3 8 2 2 4" xfId="16228"/>
    <cellStyle name="Vírgula 2 2 3 8 2 3" xfId="25099"/>
    <cellStyle name="Vírgula 2 2 3 8 2 4" xfId="19185"/>
    <cellStyle name="Vírgula 2 2 3 8 2 5" xfId="13084"/>
    <cellStyle name="Vírgula 2 2 3 8 3" xfId="8374"/>
    <cellStyle name="Vírgula 2 2 3 8 3 2" xfId="26588"/>
    <cellStyle name="Vírgula 2 2 3 8 3 3" xfId="20674"/>
    <cellStyle name="Vírgula 2 2 3 8 3 4" xfId="14760"/>
    <cellStyle name="Vírgula 2 2 3 8 4" xfId="23631"/>
    <cellStyle name="Vírgula 2 2 3 8 5" xfId="17717"/>
    <cellStyle name="Vírgula 2 2 3 8 6" xfId="11383"/>
    <cellStyle name="Vírgula 2 2 3 9" xfId="6323"/>
    <cellStyle name="Vírgula 2 2 3 9 2" xfId="9515"/>
    <cellStyle name="Vírgula 2 2 3 9 2 2" xfId="27729"/>
    <cellStyle name="Vírgula 2 2 3 9 2 3" xfId="21815"/>
    <cellStyle name="Vírgula 2 2 3 9 2 4" xfId="15901"/>
    <cellStyle name="Vírgula 2 2 3 9 3" xfId="24772"/>
    <cellStyle name="Vírgula 2 2 3 9 4" xfId="18858"/>
    <cellStyle name="Vírgula 2 2 3 9 5" xfId="12712"/>
    <cellStyle name="Vírgula 2 2 4" xfId="1301"/>
    <cellStyle name="Vírgula 2 2 4 10" xfId="8047"/>
    <cellStyle name="Vírgula 2 2 4 10 2" xfId="26261"/>
    <cellStyle name="Vírgula 2 2 4 10 3" xfId="20347"/>
    <cellStyle name="Vírgula 2 2 4 10 4" xfId="14436"/>
    <cellStyle name="Vírgula 2 2 4 11" xfId="4626"/>
    <cellStyle name="Vírgula 2 2 4 11 2" xfId="23304"/>
    <cellStyle name="Vírgula 2 2 4 12" xfId="17390"/>
    <cellStyle name="Vírgula 2 2 4 13" xfId="11017"/>
    <cellStyle name="Vírgula 2 2 4 2" xfId="4261"/>
    <cellStyle name="Vírgula 2 2 4 2 10" xfId="11052"/>
    <cellStyle name="Vírgula 2 2 4 2 2" xfId="4338"/>
    <cellStyle name="Vírgula 2 2 4 2 2 2" xfId="7739"/>
    <cellStyle name="Vírgula 2 2 4 2 2 2 2" xfId="10820"/>
    <cellStyle name="Vírgula 2 2 4 2 2 2 2 2" xfId="29034"/>
    <cellStyle name="Vírgula 2 2 4 2 2 2 2 3" xfId="23120"/>
    <cellStyle name="Vírgula 2 2 4 2 2 2 2 4" xfId="17206"/>
    <cellStyle name="Vírgula 2 2 4 2 2 2 3" xfId="26077"/>
    <cellStyle name="Vírgula 2 2 4 2 2 2 4" xfId="20163"/>
    <cellStyle name="Vírgula 2 2 4 2 2 2 5" xfId="14128"/>
    <cellStyle name="Vírgula 2 2 4 2 2 3" xfId="9352"/>
    <cellStyle name="Vírgula 2 2 4 2 2 3 2" xfId="27566"/>
    <cellStyle name="Vírgula 2 2 4 2 2 3 3" xfId="21652"/>
    <cellStyle name="Vírgula 2 2 4 2 2 3 4" xfId="15738"/>
    <cellStyle name="Vírgula 2 2 4 2 2 4" xfId="6039"/>
    <cellStyle name="Vírgula 2 2 4 2 2 4 2" xfId="24609"/>
    <cellStyle name="Vírgula 2 2 4 2 2 5" xfId="18695"/>
    <cellStyle name="Vírgula 2 2 4 2 2 6" xfId="12427"/>
    <cellStyle name="Vírgula 2 2 4 2 3" xfId="4446"/>
    <cellStyle name="Vírgula 2 2 4 2 3 2" xfId="7848"/>
    <cellStyle name="Vírgula 2 2 4 2 3 2 2" xfId="10882"/>
    <cellStyle name="Vírgula 2 2 4 2 3 2 2 2" xfId="29096"/>
    <cellStyle name="Vírgula 2 2 4 2 3 2 2 3" xfId="23182"/>
    <cellStyle name="Vírgula 2 2 4 2 3 2 2 4" xfId="17268"/>
    <cellStyle name="Vírgula 2 2 4 2 3 2 3" xfId="26139"/>
    <cellStyle name="Vírgula 2 2 4 2 3 2 4" xfId="20225"/>
    <cellStyle name="Vírgula 2 2 4 2 3 2 5" xfId="14237"/>
    <cellStyle name="Vírgula 2 2 4 2 3 3" xfId="9414"/>
    <cellStyle name="Vírgula 2 2 4 2 3 3 2" xfId="27628"/>
    <cellStyle name="Vírgula 2 2 4 2 3 3 3" xfId="21714"/>
    <cellStyle name="Vírgula 2 2 4 2 3 3 4" xfId="15800"/>
    <cellStyle name="Vírgula 2 2 4 2 3 4" xfId="6148"/>
    <cellStyle name="Vírgula 2 2 4 2 3 4 2" xfId="24671"/>
    <cellStyle name="Vírgula 2 2 4 2 3 5" xfId="18757"/>
    <cellStyle name="Vírgula 2 2 4 2 3 6" xfId="12536"/>
    <cellStyle name="Vírgula 2 2 4 2 4" xfId="4554"/>
    <cellStyle name="Vírgula 2 2 4 2 4 2" xfId="7956"/>
    <cellStyle name="Vírgula 2 2 4 2 4 2 2" xfId="10944"/>
    <cellStyle name="Vírgula 2 2 4 2 4 2 2 2" xfId="29158"/>
    <cellStyle name="Vírgula 2 2 4 2 4 2 2 3" xfId="23244"/>
    <cellStyle name="Vírgula 2 2 4 2 4 2 2 4" xfId="17330"/>
    <cellStyle name="Vírgula 2 2 4 2 4 2 3" xfId="26201"/>
    <cellStyle name="Vírgula 2 2 4 2 4 2 4" xfId="20287"/>
    <cellStyle name="Vírgula 2 2 4 2 4 2 5" xfId="14345"/>
    <cellStyle name="Vírgula 2 2 4 2 4 3" xfId="9476"/>
    <cellStyle name="Vírgula 2 2 4 2 4 3 2" xfId="27690"/>
    <cellStyle name="Vírgula 2 2 4 2 4 3 3" xfId="21776"/>
    <cellStyle name="Vírgula 2 2 4 2 4 3 4" xfId="15862"/>
    <cellStyle name="Vírgula 2 2 4 2 4 4" xfId="6255"/>
    <cellStyle name="Vírgula 2 2 4 2 4 4 2" xfId="24733"/>
    <cellStyle name="Vírgula 2 2 4 2 4 5" xfId="18819"/>
    <cellStyle name="Vírgula 2 2 4 2 4 6" xfId="12644"/>
    <cellStyle name="Vírgula 2 2 4 2 5" xfId="5962"/>
    <cellStyle name="Vírgula 2 2 4 2 5 2" xfId="7662"/>
    <cellStyle name="Vírgula 2 2 4 2 5 2 2" xfId="10777"/>
    <cellStyle name="Vírgula 2 2 4 2 5 2 2 2" xfId="28991"/>
    <cellStyle name="Vírgula 2 2 4 2 5 2 2 3" xfId="23077"/>
    <cellStyle name="Vírgula 2 2 4 2 5 2 2 4" xfId="17163"/>
    <cellStyle name="Vírgula 2 2 4 2 5 2 3" xfId="26034"/>
    <cellStyle name="Vírgula 2 2 4 2 5 2 4" xfId="20120"/>
    <cellStyle name="Vírgula 2 2 4 2 5 2 5" xfId="14051"/>
    <cellStyle name="Vírgula 2 2 4 2 5 3" xfId="9309"/>
    <cellStyle name="Vírgula 2 2 4 2 5 3 2" xfId="27523"/>
    <cellStyle name="Vírgula 2 2 4 2 5 3 3" xfId="21609"/>
    <cellStyle name="Vírgula 2 2 4 2 5 3 4" xfId="15695"/>
    <cellStyle name="Vírgula 2 2 4 2 5 4" xfId="24566"/>
    <cellStyle name="Vírgula 2 2 4 2 5 5" xfId="18652"/>
    <cellStyle name="Vírgula 2 2 4 2 5 6" xfId="12350"/>
    <cellStyle name="Vírgula 2 2 4 2 6" xfId="6364"/>
    <cellStyle name="Vírgula 2 2 4 2 6 2" xfId="9538"/>
    <cellStyle name="Vírgula 2 2 4 2 6 2 2" xfId="27752"/>
    <cellStyle name="Vírgula 2 2 4 2 6 2 3" xfId="21838"/>
    <cellStyle name="Vírgula 2 2 4 2 6 2 4" xfId="15924"/>
    <cellStyle name="Vírgula 2 2 4 2 6 3" xfId="24795"/>
    <cellStyle name="Vírgula 2 2 4 2 6 4" xfId="18881"/>
    <cellStyle name="Vírgula 2 2 4 2 6 5" xfId="12753"/>
    <cellStyle name="Vírgula 2 2 4 2 7" xfId="8067"/>
    <cellStyle name="Vírgula 2 2 4 2 7 2" xfId="26281"/>
    <cellStyle name="Vírgula 2 2 4 2 7 3" xfId="20367"/>
    <cellStyle name="Vírgula 2 2 4 2 7 4" xfId="14456"/>
    <cellStyle name="Vírgula 2 2 4 2 8" xfId="4661"/>
    <cellStyle name="Vírgula 2 2 4 2 8 2" xfId="23324"/>
    <cellStyle name="Vírgula 2 2 4 2 9" xfId="17410"/>
    <cellStyle name="Vírgula 2 2 4 3" xfId="4226"/>
    <cellStyle name="Vírgula 2 2 4 3 10" xfId="11085"/>
    <cellStyle name="Vírgula 2 2 4 3 2" xfId="4370"/>
    <cellStyle name="Vírgula 2 2 4 3 2 2" xfId="7772"/>
    <cellStyle name="Vírgula 2 2 4 3 2 2 2" xfId="10839"/>
    <cellStyle name="Vírgula 2 2 4 3 2 2 2 2" xfId="29053"/>
    <cellStyle name="Vírgula 2 2 4 3 2 2 2 3" xfId="23139"/>
    <cellStyle name="Vírgula 2 2 4 3 2 2 2 4" xfId="17225"/>
    <cellStyle name="Vírgula 2 2 4 3 2 2 3" xfId="26096"/>
    <cellStyle name="Vírgula 2 2 4 3 2 2 4" xfId="20182"/>
    <cellStyle name="Vírgula 2 2 4 3 2 2 5" xfId="14161"/>
    <cellStyle name="Vírgula 2 2 4 3 2 3" xfId="9371"/>
    <cellStyle name="Vírgula 2 2 4 3 2 3 2" xfId="27585"/>
    <cellStyle name="Vírgula 2 2 4 3 2 3 3" xfId="21671"/>
    <cellStyle name="Vírgula 2 2 4 3 2 3 4" xfId="15757"/>
    <cellStyle name="Vírgula 2 2 4 3 2 4" xfId="6072"/>
    <cellStyle name="Vírgula 2 2 4 3 2 4 2" xfId="24628"/>
    <cellStyle name="Vírgula 2 2 4 3 2 5" xfId="18714"/>
    <cellStyle name="Vírgula 2 2 4 3 2 6" xfId="12460"/>
    <cellStyle name="Vírgula 2 2 4 3 3" xfId="4478"/>
    <cellStyle name="Vírgula 2 2 4 3 3 2" xfId="7880"/>
    <cellStyle name="Vírgula 2 2 4 3 3 2 2" xfId="10901"/>
    <cellStyle name="Vírgula 2 2 4 3 3 2 2 2" xfId="29115"/>
    <cellStyle name="Vírgula 2 2 4 3 3 2 2 3" xfId="23201"/>
    <cellStyle name="Vírgula 2 2 4 3 3 2 2 4" xfId="17287"/>
    <cellStyle name="Vírgula 2 2 4 3 3 2 3" xfId="26158"/>
    <cellStyle name="Vírgula 2 2 4 3 3 2 4" xfId="20244"/>
    <cellStyle name="Vírgula 2 2 4 3 3 2 5" xfId="14269"/>
    <cellStyle name="Vírgula 2 2 4 3 3 3" xfId="9433"/>
    <cellStyle name="Vírgula 2 2 4 3 3 3 2" xfId="27647"/>
    <cellStyle name="Vírgula 2 2 4 3 3 3 3" xfId="21733"/>
    <cellStyle name="Vírgula 2 2 4 3 3 3 4" xfId="15819"/>
    <cellStyle name="Vírgula 2 2 4 3 3 4" xfId="6179"/>
    <cellStyle name="Vírgula 2 2 4 3 3 4 2" xfId="24690"/>
    <cellStyle name="Vírgula 2 2 4 3 3 5" xfId="18776"/>
    <cellStyle name="Vírgula 2 2 4 3 3 6" xfId="12568"/>
    <cellStyle name="Vírgula 2 2 4 3 4" xfId="4586"/>
    <cellStyle name="Vírgula 2 2 4 3 4 2" xfId="7989"/>
    <cellStyle name="Vírgula 2 2 4 3 4 2 2" xfId="10963"/>
    <cellStyle name="Vírgula 2 2 4 3 4 2 2 2" xfId="29177"/>
    <cellStyle name="Vírgula 2 2 4 3 4 2 2 3" xfId="23263"/>
    <cellStyle name="Vírgula 2 2 4 3 4 2 2 4" xfId="17349"/>
    <cellStyle name="Vírgula 2 2 4 3 4 2 3" xfId="26220"/>
    <cellStyle name="Vírgula 2 2 4 3 4 2 4" xfId="20306"/>
    <cellStyle name="Vírgula 2 2 4 3 4 2 5" xfId="14378"/>
    <cellStyle name="Vírgula 2 2 4 3 4 3" xfId="9495"/>
    <cellStyle name="Vírgula 2 2 4 3 4 3 2" xfId="27709"/>
    <cellStyle name="Vírgula 2 2 4 3 4 3 3" xfId="21795"/>
    <cellStyle name="Vírgula 2 2 4 3 4 3 4" xfId="15881"/>
    <cellStyle name="Vírgula 2 2 4 3 4 4" xfId="6288"/>
    <cellStyle name="Vírgula 2 2 4 3 4 4 2" xfId="24752"/>
    <cellStyle name="Vírgula 2 2 4 3 4 5" xfId="18838"/>
    <cellStyle name="Vírgula 2 2 4 3 4 6" xfId="12677"/>
    <cellStyle name="Vírgula 2 2 4 3 5" xfId="5927"/>
    <cellStyle name="Vírgula 2 2 4 3 5 2" xfId="7627"/>
    <cellStyle name="Vírgula 2 2 4 3 5 2 2" xfId="10757"/>
    <cellStyle name="Vírgula 2 2 4 3 5 2 2 2" xfId="28971"/>
    <cellStyle name="Vírgula 2 2 4 3 5 2 2 3" xfId="23057"/>
    <cellStyle name="Vírgula 2 2 4 3 5 2 2 4" xfId="17143"/>
    <cellStyle name="Vírgula 2 2 4 3 5 2 3" xfId="26014"/>
    <cellStyle name="Vírgula 2 2 4 3 5 2 4" xfId="20100"/>
    <cellStyle name="Vírgula 2 2 4 3 5 2 5" xfId="14016"/>
    <cellStyle name="Vírgula 2 2 4 3 5 3" xfId="9289"/>
    <cellStyle name="Vírgula 2 2 4 3 5 3 2" xfId="27503"/>
    <cellStyle name="Vírgula 2 2 4 3 5 3 3" xfId="21589"/>
    <cellStyle name="Vírgula 2 2 4 3 5 3 4" xfId="15675"/>
    <cellStyle name="Vírgula 2 2 4 3 5 4" xfId="24546"/>
    <cellStyle name="Vírgula 2 2 4 3 5 5" xfId="18632"/>
    <cellStyle name="Vírgula 2 2 4 3 5 6" xfId="12315"/>
    <cellStyle name="Vírgula 2 2 4 3 6" xfId="6397"/>
    <cellStyle name="Vírgula 2 2 4 3 6 2" xfId="9557"/>
    <cellStyle name="Vírgula 2 2 4 3 6 2 2" xfId="27771"/>
    <cellStyle name="Vírgula 2 2 4 3 6 2 3" xfId="21857"/>
    <cellStyle name="Vírgula 2 2 4 3 6 2 4" xfId="15943"/>
    <cellStyle name="Vírgula 2 2 4 3 6 3" xfId="24814"/>
    <cellStyle name="Vírgula 2 2 4 3 6 4" xfId="18900"/>
    <cellStyle name="Vírgula 2 2 4 3 6 5" xfId="12786"/>
    <cellStyle name="Vírgula 2 2 4 3 7" xfId="8086"/>
    <cellStyle name="Vírgula 2 2 4 3 7 2" xfId="26300"/>
    <cellStyle name="Vírgula 2 2 4 3 7 3" xfId="20386"/>
    <cellStyle name="Vírgula 2 2 4 3 7 4" xfId="14475"/>
    <cellStyle name="Vírgula 2 2 4 3 8" xfId="4694"/>
    <cellStyle name="Vírgula 2 2 4 3 8 2" xfId="23343"/>
    <cellStyle name="Vírgula 2 2 4 3 9" xfId="17429"/>
    <cellStyle name="Vírgula 2 2 4 4" xfId="4303"/>
    <cellStyle name="Vírgula 2 2 4 4 2" xfId="7704"/>
    <cellStyle name="Vírgula 2 2 4 4 2 2" xfId="10800"/>
    <cellStyle name="Vírgula 2 2 4 4 2 2 2" xfId="29014"/>
    <cellStyle name="Vírgula 2 2 4 4 2 2 3" xfId="23100"/>
    <cellStyle name="Vírgula 2 2 4 4 2 2 4" xfId="17186"/>
    <cellStyle name="Vírgula 2 2 4 4 2 3" xfId="26057"/>
    <cellStyle name="Vírgula 2 2 4 4 2 4" xfId="20143"/>
    <cellStyle name="Vírgula 2 2 4 4 2 5" xfId="14093"/>
    <cellStyle name="Vírgula 2 2 4 4 3" xfId="9332"/>
    <cellStyle name="Vírgula 2 2 4 4 3 2" xfId="27546"/>
    <cellStyle name="Vírgula 2 2 4 4 3 3" xfId="21632"/>
    <cellStyle name="Vírgula 2 2 4 4 3 4" xfId="15718"/>
    <cellStyle name="Vírgula 2 2 4 4 4" xfId="6004"/>
    <cellStyle name="Vírgula 2 2 4 4 4 2" xfId="24589"/>
    <cellStyle name="Vírgula 2 2 4 4 5" xfId="18675"/>
    <cellStyle name="Vírgula 2 2 4 4 6" xfId="12392"/>
    <cellStyle name="Vírgula 2 2 4 5" xfId="4411"/>
    <cellStyle name="Vírgula 2 2 4 5 2" xfId="7813"/>
    <cellStyle name="Vírgula 2 2 4 5 2 2" xfId="10862"/>
    <cellStyle name="Vírgula 2 2 4 5 2 2 2" xfId="29076"/>
    <cellStyle name="Vírgula 2 2 4 5 2 2 3" xfId="23162"/>
    <cellStyle name="Vírgula 2 2 4 5 2 2 4" xfId="17248"/>
    <cellStyle name="Vírgula 2 2 4 5 2 3" xfId="26119"/>
    <cellStyle name="Vírgula 2 2 4 5 2 4" xfId="20205"/>
    <cellStyle name="Vírgula 2 2 4 5 2 5" xfId="14202"/>
    <cellStyle name="Vírgula 2 2 4 5 3" xfId="9394"/>
    <cellStyle name="Vírgula 2 2 4 5 3 2" xfId="27608"/>
    <cellStyle name="Vírgula 2 2 4 5 3 3" xfId="21694"/>
    <cellStyle name="Vírgula 2 2 4 5 3 4" xfId="15780"/>
    <cellStyle name="Vírgula 2 2 4 5 4" xfId="6113"/>
    <cellStyle name="Vírgula 2 2 4 5 4 2" xfId="24651"/>
    <cellStyle name="Vírgula 2 2 4 5 5" xfId="18737"/>
    <cellStyle name="Vírgula 2 2 4 5 6" xfId="12501"/>
    <cellStyle name="Vírgula 2 2 4 6" xfId="4519"/>
    <cellStyle name="Vírgula 2 2 4 6 2" xfId="7921"/>
    <cellStyle name="Vírgula 2 2 4 6 2 2" xfId="10924"/>
    <cellStyle name="Vírgula 2 2 4 6 2 2 2" xfId="29138"/>
    <cellStyle name="Vírgula 2 2 4 6 2 2 3" xfId="23224"/>
    <cellStyle name="Vírgula 2 2 4 6 2 2 4" xfId="17310"/>
    <cellStyle name="Vírgula 2 2 4 6 2 3" xfId="26181"/>
    <cellStyle name="Vírgula 2 2 4 6 2 4" xfId="20267"/>
    <cellStyle name="Vírgula 2 2 4 6 2 5" xfId="14310"/>
    <cellStyle name="Vírgula 2 2 4 6 3" xfId="9456"/>
    <cellStyle name="Vírgula 2 2 4 6 3 2" xfId="27670"/>
    <cellStyle name="Vírgula 2 2 4 6 3 3" xfId="21756"/>
    <cellStyle name="Vírgula 2 2 4 6 3 4" xfId="15842"/>
    <cellStyle name="Vírgula 2 2 4 6 4" xfId="6220"/>
    <cellStyle name="Vírgula 2 2 4 6 4 2" xfId="24713"/>
    <cellStyle name="Vírgula 2 2 4 6 5" xfId="18799"/>
    <cellStyle name="Vírgula 2 2 4 6 6" xfId="12609"/>
    <cellStyle name="Vírgula 2 2 4 7" xfId="5094"/>
    <cellStyle name="Vírgula 2 2 4 7 2" xfId="6793"/>
    <cellStyle name="Vírgula 2 2 4 7 2 2" xfId="9940"/>
    <cellStyle name="Vírgula 2 2 4 7 2 2 2" xfId="28154"/>
    <cellStyle name="Vírgula 2 2 4 7 2 2 3" xfId="22240"/>
    <cellStyle name="Vírgula 2 2 4 7 2 2 4" xfId="16326"/>
    <cellStyle name="Vírgula 2 2 4 7 2 3" xfId="25197"/>
    <cellStyle name="Vírgula 2 2 4 7 2 4" xfId="19283"/>
    <cellStyle name="Vírgula 2 2 4 7 2 5" xfId="13182"/>
    <cellStyle name="Vírgula 2 2 4 7 3" xfId="8472"/>
    <cellStyle name="Vírgula 2 2 4 7 3 2" xfId="26686"/>
    <cellStyle name="Vírgula 2 2 4 7 3 3" xfId="20772"/>
    <cellStyle name="Vírgula 2 2 4 7 3 4" xfId="14858"/>
    <cellStyle name="Vírgula 2 2 4 7 4" xfId="23729"/>
    <cellStyle name="Vírgula 2 2 4 7 5" xfId="17815"/>
    <cellStyle name="Vírgula 2 2 4 7 6" xfId="11481"/>
    <cellStyle name="Vírgula 2 2 4 8" xfId="6329"/>
    <cellStyle name="Vírgula 2 2 4 8 2" xfId="9518"/>
    <cellStyle name="Vírgula 2 2 4 8 2 2" xfId="27732"/>
    <cellStyle name="Vírgula 2 2 4 8 2 3" xfId="21818"/>
    <cellStyle name="Vírgula 2 2 4 8 2 4" xfId="15904"/>
    <cellStyle name="Vírgula 2 2 4 8 3" xfId="24775"/>
    <cellStyle name="Vírgula 2 2 4 8 4" xfId="18861"/>
    <cellStyle name="Vírgula 2 2 4 8 5" xfId="12718"/>
    <cellStyle name="Vírgula 2 2 4 9" xfId="8021"/>
    <cellStyle name="Vírgula 2 2 4 9 2" xfId="10982"/>
    <cellStyle name="Vírgula 2 2 4 9 2 2" xfId="29196"/>
    <cellStyle name="Vírgula 2 2 4 9 2 3" xfId="23282"/>
    <cellStyle name="Vírgula 2 2 4 9 2 4" xfId="17368"/>
    <cellStyle name="Vírgula 2 2 4 9 3" xfId="26239"/>
    <cellStyle name="Vírgula 2 2 4 9 4" xfId="20325"/>
    <cellStyle name="Vírgula 2 2 4 9 5" xfId="14410"/>
    <cellStyle name="Vírgula 2 2 5" xfId="1736"/>
    <cellStyle name="Vírgula 2 2 5 10" xfId="17401"/>
    <cellStyle name="Vírgula 2 2 5 11" xfId="11037"/>
    <cellStyle name="Vírgula 2 2 5 2" xfId="4246"/>
    <cellStyle name="Vírgula 2 2 5 2 2" xfId="7647"/>
    <cellStyle name="Vírgula 2 2 5 2 2 2" xfId="10768"/>
    <cellStyle name="Vírgula 2 2 5 2 2 2 2" xfId="28982"/>
    <cellStyle name="Vírgula 2 2 5 2 2 2 3" xfId="23068"/>
    <cellStyle name="Vírgula 2 2 5 2 2 2 4" xfId="17154"/>
    <cellStyle name="Vírgula 2 2 5 2 2 3" xfId="26025"/>
    <cellStyle name="Vírgula 2 2 5 2 2 4" xfId="20111"/>
    <cellStyle name="Vírgula 2 2 5 2 2 5" xfId="14036"/>
    <cellStyle name="Vírgula 2 2 5 2 3" xfId="9300"/>
    <cellStyle name="Vírgula 2 2 5 2 3 2" xfId="27514"/>
    <cellStyle name="Vírgula 2 2 5 2 3 3" xfId="21600"/>
    <cellStyle name="Vírgula 2 2 5 2 3 4" xfId="15686"/>
    <cellStyle name="Vírgula 2 2 5 2 4" xfId="5947"/>
    <cellStyle name="Vírgula 2 2 5 2 4 2" xfId="24557"/>
    <cellStyle name="Vírgula 2 2 5 2 5" xfId="18643"/>
    <cellStyle name="Vírgula 2 2 5 2 6" xfId="12335"/>
    <cellStyle name="Vírgula 2 2 5 3" xfId="4323"/>
    <cellStyle name="Vírgula 2 2 5 3 2" xfId="7724"/>
    <cellStyle name="Vírgula 2 2 5 3 2 2" xfId="10811"/>
    <cellStyle name="Vírgula 2 2 5 3 2 2 2" xfId="29025"/>
    <cellStyle name="Vírgula 2 2 5 3 2 2 3" xfId="23111"/>
    <cellStyle name="Vírgula 2 2 5 3 2 2 4" xfId="17197"/>
    <cellStyle name="Vírgula 2 2 5 3 2 3" xfId="26068"/>
    <cellStyle name="Vírgula 2 2 5 3 2 4" xfId="20154"/>
    <cellStyle name="Vírgula 2 2 5 3 2 5" xfId="14113"/>
    <cellStyle name="Vírgula 2 2 5 3 3" xfId="9343"/>
    <cellStyle name="Vírgula 2 2 5 3 3 2" xfId="27557"/>
    <cellStyle name="Vírgula 2 2 5 3 3 3" xfId="21643"/>
    <cellStyle name="Vírgula 2 2 5 3 3 4" xfId="15729"/>
    <cellStyle name="Vírgula 2 2 5 3 4" xfId="6024"/>
    <cellStyle name="Vírgula 2 2 5 3 4 2" xfId="24600"/>
    <cellStyle name="Vírgula 2 2 5 3 5" xfId="18686"/>
    <cellStyle name="Vírgula 2 2 5 3 6" xfId="12412"/>
    <cellStyle name="Vírgula 2 2 5 4" xfId="4431"/>
    <cellStyle name="Vírgula 2 2 5 4 2" xfId="7833"/>
    <cellStyle name="Vírgula 2 2 5 4 2 2" xfId="10873"/>
    <cellStyle name="Vírgula 2 2 5 4 2 2 2" xfId="29087"/>
    <cellStyle name="Vírgula 2 2 5 4 2 2 3" xfId="23173"/>
    <cellStyle name="Vírgula 2 2 5 4 2 2 4" xfId="17259"/>
    <cellStyle name="Vírgula 2 2 5 4 2 3" xfId="26130"/>
    <cellStyle name="Vírgula 2 2 5 4 2 4" xfId="20216"/>
    <cellStyle name="Vírgula 2 2 5 4 2 5" xfId="14222"/>
    <cellStyle name="Vírgula 2 2 5 4 3" xfId="9405"/>
    <cellStyle name="Vírgula 2 2 5 4 3 2" xfId="27619"/>
    <cellStyle name="Vírgula 2 2 5 4 3 3" xfId="21705"/>
    <cellStyle name="Vírgula 2 2 5 4 3 4" xfId="15791"/>
    <cellStyle name="Vírgula 2 2 5 4 4" xfId="6133"/>
    <cellStyle name="Vírgula 2 2 5 4 4 2" xfId="24662"/>
    <cellStyle name="Vírgula 2 2 5 4 5" xfId="18748"/>
    <cellStyle name="Vírgula 2 2 5 4 6" xfId="12521"/>
    <cellStyle name="Vírgula 2 2 5 5" xfId="4539"/>
    <cellStyle name="Vírgula 2 2 5 5 2" xfId="7941"/>
    <cellStyle name="Vírgula 2 2 5 5 2 2" xfId="10935"/>
    <cellStyle name="Vírgula 2 2 5 5 2 2 2" xfId="29149"/>
    <cellStyle name="Vírgula 2 2 5 5 2 2 3" xfId="23235"/>
    <cellStyle name="Vírgula 2 2 5 5 2 2 4" xfId="17321"/>
    <cellStyle name="Vírgula 2 2 5 5 2 3" xfId="26192"/>
    <cellStyle name="Vírgula 2 2 5 5 2 4" xfId="20278"/>
    <cellStyle name="Vírgula 2 2 5 5 2 5" xfId="14330"/>
    <cellStyle name="Vírgula 2 2 5 5 3" xfId="9467"/>
    <cellStyle name="Vírgula 2 2 5 5 3 2" xfId="27681"/>
    <cellStyle name="Vírgula 2 2 5 5 3 3" xfId="21767"/>
    <cellStyle name="Vírgula 2 2 5 5 3 4" xfId="15853"/>
    <cellStyle name="Vírgula 2 2 5 5 4" xfId="6240"/>
    <cellStyle name="Vírgula 2 2 5 5 4 2" xfId="24724"/>
    <cellStyle name="Vírgula 2 2 5 5 5" xfId="18810"/>
    <cellStyle name="Vírgula 2 2 5 5 6" xfId="12629"/>
    <cellStyle name="Vírgula 2 2 5 6" xfId="5213"/>
    <cellStyle name="Vírgula 2 2 5 6 2" xfId="6912"/>
    <cellStyle name="Vírgula 2 2 5 6 2 2" xfId="10059"/>
    <cellStyle name="Vírgula 2 2 5 6 2 2 2" xfId="28273"/>
    <cellStyle name="Vírgula 2 2 5 6 2 2 3" xfId="22359"/>
    <cellStyle name="Vírgula 2 2 5 6 2 2 4" xfId="16445"/>
    <cellStyle name="Vírgula 2 2 5 6 2 3" xfId="25316"/>
    <cellStyle name="Vírgula 2 2 5 6 2 4" xfId="19402"/>
    <cellStyle name="Vírgula 2 2 5 6 2 5" xfId="13301"/>
    <cellStyle name="Vírgula 2 2 5 6 3" xfId="8591"/>
    <cellStyle name="Vírgula 2 2 5 6 3 2" xfId="26805"/>
    <cellStyle name="Vírgula 2 2 5 6 3 3" xfId="20891"/>
    <cellStyle name="Vírgula 2 2 5 6 3 4" xfId="14977"/>
    <cellStyle name="Vírgula 2 2 5 6 4" xfId="23848"/>
    <cellStyle name="Vírgula 2 2 5 6 5" xfId="17934"/>
    <cellStyle name="Vírgula 2 2 5 6 6" xfId="11600"/>
    <cellStyle name="Vírgula 2 2 5 7" xfId="6349"/>
    <cellStyle name="Vírgula 2 2 5 7 2" xfId="9529"/>
    <cellStyle name="Vírgula 2 2 5 7 2 2" xfId="27743"/>
    <cellStyle name="Vírgula 2 2 5 7 2 3" xfId="21829"/>
    <cellStyle name="Vírgula 2 2 5 7 2 4" xfId="15915"/>
    <cellStyle name="Vírgula 2 2 5 7 3" xfId="24786"/>
    <cellStyle name="Vírgula 2 2 5 7 4" xfId="18872"/>
    <cellStyle name="Vírgula 2 2 5 7 5" xfId="12738"/>
    <cellStyle name="Vírgula 2 2 5 8" xfId="8058"/>
    <cellStyle name="Vírgula 2 2 5 8 2" xfId="26272"/>
    <cellStyle name="Vírgula 2 2 5 8 3" xfId="20358"/>
    <cellStyle name="Vírgula 2 2 5 8 4" xfId="14447"/>
    <cellStyle name="Vírgula 2 2 5 9" xfId="4646"/>
    <cellStyle name="Vírgula 2 2 5 9 2" xfId="23315"/>
    <cellStyle name="Vírgula 2 2 6" xfId="2266"/>
    <cellStyle name="Vírgula 2 2 6 10" xfId="11069"/>
    <cellStyle name="Vírgula 2 2 6 2" xfId="4355"/>
    <cellStyle name="Vírgula 2 2 6 2 2" xfId="7756"/>
    <cellStyle name="Vírgula 2 2 6 2 2 2" xfId="10830"/>
    <cellStyle name="Vírgula 2 2 6 2 2 2 2" xfId="29044"/>
    <cellStyle name="Vírgula 2 2 6 2 2 2 3" xfId="23130"/>
    <cellStyle name="Vírgula 2 2 6 2 2 2 4" xfId="17216"/>
    <cellStyle name="Vírgula 2 2 6 2 2 3" xfId="26087"/>
    <cellStyle name="Vírgula 2 2 6 2 2 4" xfId="20173"/>
    <cellStyle name="Vírgula 2 2 6 2 2 5" xfId="14145"/>
    <cellStyle name="Vírgula 2 2 6 2 3" xfId="9362"/>
    <cellStyle name="Vírgula 2 2 6 2 3 2" xfId="27576"/>
    <cellStyle name="Vírgula 2 2 6 2 3 3" xfId="21662"/>
    <cellStyle name="Vírgula 2 2 6 2 3 4" xfId="15748"/>
    <cellStyle name="Vírgula 2 2 6 2 4" xfId="6056"/>
    <cellStyle name="Vírgula 2 2 6 2 4 2" xfId="24619"/>
    <cellStyle name="Vírgula 2 2 6 2 5" xfId="18705"/>
    <cellStyle name="Vírgula 2 2 6 2 6" xfId="12444"/>
    <cellStyle name="Vírgula 2 2 6 3" xfId="4463"/>
    <cellStyle name="Vírgula 2 2 6 3 2" xfId="7865"/>
    <cellStyle name="Vírgula 2 2 6 3 2 2" xfId="10892"/>
    <cellStyle name="Vírgula 2 2 6 3 2 2 2" xfId="29106"/>
    <cellStyle name="Vírgula 2 2 6 3 2 2 3" xfId="23192"/>
    <cellStyle name="Vírgula 2 2 6 3 2 2 4" xfId="17278"/>
    <cellStyle name="Vírgula 2 2 6 3 2 3" xfId="26149"/>
    <cellStyle name="Vírgula 2 2 6 3 2 4" xfId="20235"/>
    <cellStyle name="Vírgula 2 2 6 3 2 5" xfId="14254"/>
    <cellStyle name="Vírgula 2 2 6 3 3" xfId="9424"/>
    <cellStyle name="Vírgula 2 2 6 3 3 2" xfId="27638"/>
    <cellStyle name="Vírgula 2 2 6 3 3 3" xfId="21724"/>
    <cellStyle name="Vírgula 2 2 6 3 3 4" xfId="15810"/>
    <cellStyle name="Vírgula 2 2 6 3 4" xfId="6164"/>
    <cellStyle name="Vírgula 2 2 6 3 4 2" xfId="24681"/>
    <cellStyle name="Vírgula 2 2 6 3 5" xfId="18767"/>
    <cellStyle name="Vírgula 2 2 6 3 6" xfId="12553"/>
    <cellStyle name="Vírgula 2 2 6 4" xfId="4571"/>
    <cellStyle name="Vírgula 2 2 6 4 2" xfId="7973"/>
    <cellStyle name="Vírgula 2 2 6 4 2 2" xfId="10954"/>
    <cellStyle name="Vírgula 2 2 6 4 2 2 2" xfId="29168"/>
    <cellStyle name="Vírgula 2 2 6 4 2 2 3" xfId="23254"/>
    <cellStyle name="Vírgula 2 2 6 4 2 2 4" xfId="17340"/>
    <cellStyle name="Vírgula 2 2 6 4 2 3" xfId="26211"/>
    <cellStyle name="Vírgula 2 2 6 4 2 4" xfId="20297"/>
    <cellStyle name="Vírgula 2 2 6 4 2 5" xfId="14362"/>
    <cellStyle name="Vírgula 2 2 6 4 3" xfId="9486"/>
    <cellStyle name="Vírgula 2 2 6 4 3 2" xfId="27700"/>
    <cellStyle name="Vírgula 2 2 6 4 3 3" xfId="21786"/>
    <cellStyle name="Vírgula 2 2 6 4 3 4" xfId="15872"/>
    <cellStyle name="Vírgula 2 2 6 4 4" xfId="6272"/>
    <cellStyle name="Vírgula 2 2 6 4 4 2" xfId="24743"/>
    <cellStyle name="Vírgula 2 2 6 4 5" xfId="18829"/>
    <cellStyle name="Vírgula 2 2 6 4 6" xfId="12661"/>
    <cellStyle name="Vírgula 2 2 6 5" xfId="5363"/>
    <cellStyle name="Vírgula 2 2 6 5 2" xfId="7062"/>
    <cellStyle name="Vírgula 2 2 6 5 2 2" xfId="10206"/>
    <cellStyle name="Vírgula 2 2 6 5 2 2 2" xfId="28420"/>
    <cellStyle name="Vírgula 2 2 6 5 2 2 3" xfId="22506"/>
    <cellStyle name="Vírgula 2 2 6 5 2 2 4" xfId="16592"/>
    <cellStyle name="Vírgula 2 2 6 5 2 3" xfId="25463"/>
    <cellStyle name="Vírgula 2 2 6 5 2 4" xfId="19549"/>
    <cellStyle name="Vírgula 2 2 6 5 2 5" xfId="13451"/>
    <cellStyle name="Vírgula 2 2 6 5 3" xfId="8738"/>
    <cellStyle name="Vírgula 2 2 6 5 3 2" xfId="26952"/>
    <cellStyle name="Vírgula 2 2 6 5 3 3" xfId="21038"/>
    <cellStyle name="Vírgula 2 2 6 5 3 4" xfId="15124"/>
    <cellStyle name="Vírgula 2 2 6 5 4" xfId="23995"/>
    <cellStyle name="Vírgula 2 2 6 5 5" xfId="18081"/>
    <cellStyle name="Vírgula 2 2 6 5 6" xfId="11750"/>
    <cellStyle name="Vírgula 2 2 6 6" xfId="6381"/>
    <cellStyle name="Vírgula 2 2 6 6 2" xfId="9548"/>
    <cellStyle name="Vírgula 2 2 6 6 2 2" xfId="27762"/>
    <cellStyle name="Vírgula 2 2 6 6 2 3" xfId="21848"/>
    <cellStyle name="Vírgula 2 2 6 6 2 4" xfId="15934"/>
    <cellStyle name="Vírgula 2 2 6 6 3" xfId="24805"/>
    <cellStyle name="Vírgula 2 2 6 6 4" xfId="18891"/>
    <cellStyle name="Vírgula 2 2 6 6 5" xfId="12770"/>
    <cellStyle name="Vírgula 2 2 6 7" xfId="8077"/>
    <cellStyle name="Vírgula 2 2 6 7 2" xfId="26291"/>
    <cellStyle name="Vírgula 2 2 6 7 3" xfId="20377"/>
    <cellStyle name="Vírgula 2 2 6 7 4" xfId="14466"/>
    <cellStyle name="Vírgula 2 2 6 8" xfId="4678"/>
    <cellStyle name="Vírgula 2 2 6 8 2" xfId="23334"/>
    <cellStyle name="Vírgula 2 2 6 9" xfId="17420"/>
    <cellStyle name="Vírgula 2 2 7" xfId="2793"/>
    <cellStyle name="Vírgula 2 2 7 2" xfId="7209"/>
    <cellStyle name="Vírgula 2 2 7 2 2" xfId="10353"/>
    <cellStyle name="Vírgula 2 2 7 2 2 2" xfId="28567"/>
    <cellStyle name="Vírgula 2 2 7 2 2 3" xfId="22653"/>
    <cellStyle name="Vírgula 2 2 7 2 2 4" xfId="16739"/>
    <cellStyle name="Vírgula 2 2 7 2 3" xfId="25610"/>
    <cellStyle name="Vírgula 2 2 7 2 4" xfId="19696"/>
    <cellStyle name="Vírgula 2 2 7 2 5" xfId="13598"/>
    <cellStyle name="Vírgula 2 2 7 3" xfId="8885"/>
    <cellStyle name="Vírgula 2 2 7 3 2" xfId="27099"/>
    <cellStyle name="Vírgula 2 2 7 3 3" xfId="21185"/>
    <cellStyle name="Vírgula 2 2 7 3 4" xfId="15271"/>
    <cellStyle name="Vírgula 2 2 7 4" xfId="5510"/>
    <cellStyle name="Vírgula 2 2 7 4 2" xfId="24142"/>
    <cellStyle name="Vírgula 2 2 7 5" xfId="18228"/>
    <cellStyle name="Vírgula 2 2 7 6" xfId="11897"/>
    <cellStyle name="Vírgula 2 2 8" xfId="3320"/>
    <cellStyle name="Vírgula 2 2 8 2" xfId="7356"/>
    <cellStyle name="Vírgula 2 2 8 2 2" xfId="10500"/>
    <cellStyle name="Vírgula 2 2 8 2 2 2" xfId="28714"/>
    <cellStyle name="Vírgula 2 2 8 2 2 3" xfId="22800"/>
    <cellStyle name="Vírgula 2 2 8 2 2 4" xfId="16886"/>
    <cellStyle name="Vírgula 2 2 8 2 3" xfId="25757"/>
    <cellStyle name="Vírgula 2 2 8 2 4" xfId="19843"/>
    <cellStyle name="Vírgula 2 2 8 2 5" xfId="13745"/>
    <cellStyle name="Vírgula 2 2 8 3" xfId="9032"/>
    <cellStyle name="Vírgula 2 2 8 3 2" xfId="27246"/>
    <cellStyle name="Vírgula 2 2 8 3 3" xfId="21332"/>
    <cellStyle name="Vírgula 2 2 8 3 4" xfId="15418"/>
    <cellStyle name="Vírgula 2 2 8 4" xfId="5657"/>
    <cellStyle name="Vírgula 2 2 8 4 2" xfId="24289"/>
    <cellStyle name="Vírgula 2 2 8 5" xfId="18375"/>
    <cellStyle name="Vírgula 2 2 8 6" xfId="12044"/>
    <cellStyle name="Vírgula 2 2 9" xfId="3847"/>
    <cellStyle name="Vírgula 2 2 9 2" xfId="7503"/>
    <cellStyle name="Vírgula 2 2 9 2 2" xfId="10647"/>
    <cellStyle name="Vírgula 2 2 9 2 2 2" xfId="28861"/>
    <cellStyle name="Vírgula 2 2 9 2 2 3" xfId="22947"/>
    <cellStyle name="Vírgula 2 2 9 2 2 4" xfId="17033"/>
    <cellStyle name="Vírgula 2 2 9 2 3" xfId="25904"/>
    <cellStyle name="Vírgula 2 2 9 2 4" xfId="19990"/>
    <cellStyle name="Vírgula 2 2 9 2 5" xfId="13892"/>
    <cellStyle name="Vírgula 2 2 9 3" xfId="9179"/>
    <cellStyle name="Vírgula 2 2 9 3 2" xfId="27393"/>
    <cellStyle name="Vírgula 2 2 9 3 3" xfId="21479"/>
    <cellStyle name="Vírgula 2 2 9 3 4" xfId="15565"/>
    <cellStyle name="Vírgula 2 2 9 4" xfId="5804"/>
    <cellStyle name="Vírgula 2 2 9 4 2" xfId="24436"/>
    <cellStyle name="Vírgula 2 2 9 5" xfId="18522"/>
    <cellStyle name="Vírgula 2 2 9 6" xfId="12191"/>
    <cellStyle name="Vírgula 2 3" xfId="300"/>
    <cellStyle name="Vírgula 2 3 10" xfId="4207"/>
    <cellStyle name="Vírgula 2 3 10 2" xfId="7607"/>
    <cellStyle name="Vírgula 2 3 10 2 2" xfId="10746"/>
    <cellStyle name="Vírgula 2 3 10 2 2 2" xfId="28960"/>
    <cellStyle name="Vírgula 2 3 10 2 2 3" xfId="23046"/>
    <cellStyle name="Vírgula 2 3 10 2 2 4" xfId="17132"/>
    <cellStyle name="Vírgula 2 3 10 2 3" xfId="26003"/>
    <cellStyle name="Vírgula 2 3 10 2 4" xfId="20089"/>
    <cellStyle name="Vírgula 2 3 10 2 5" xfId="13996"/>
    <cellStyle name="Vírgula 2 3 10 3" xfId="9278"/>
    <cellStyle name="Vírgula 2 3 10 3 2" xfId="27492"/>
    <cellStyle name="Vírgula 2 3 10 3 3" xfId="21578"/>
    <cellStyle name="Vírgula 2 3 10 3 4" xfId="15664"/>
    <cellStyle name="Vírgula 2 3 10 4" xfId="5908"/>
    <cellStyle name="Vírgula 2 3 10 4 2" xfId="24535"/>
    <cellStyle name="Vírgula 2 3 10 5" xfId="18621"/>
    <cellStyle name="Vírgula 2 3 10 6" xfId="12295"/>
    <cellStyle name="Vírgula 2 3 11" xfId="4283"/>
    <cellStyle name="Vírgula 2 3 11 2" xfId="7684"/>
    <cellStyle name="Vírgula 2 3 11 2 2" xfId="10789"/>
    <cellStyle name="Vírgula 2 3 11 2 2 2" xfId="29003"/>
    <cellStyle name="Vírgula 2 3 11 2 2 3" xfId="23089"/>
    <cellStyle name="Vírgula 2 3 11 2 2 4" xfId="17175"/>
    <cellStyle name="Vírgula 2 3 11 2 3" xfId="26046"/>
    <cellStyle name="Vírgula 2 3 11 2 4" xfId="20132"/>
    <cellStyle name="Vírgula 2 3 11 2 5" xfId="14073"/>
    <cellStyle name="Vírgula 2 3 11 3" xfId="9321"/>
    <cellStyle name="Vírgula 2 3 11 3 2" xfId="27535"/>
    <cellStyle name="Vírgula 2 3 11 3 3" xfId="21621"/>
    <cellStyle name="Vírgula 2 3 11 3 4" xfId="15707"/>
    <cellStyle name="Vírgula 2 3 11 4" xfId="5984"/>
    <cellStyle name="Vírgula 2 3 11 4 2" xfId="24578"/>
    <cellStyle name="Vírgula 2 3 11 5" xfId="18664"/>
    <cellStyle name="Vírgula 2 3 11 6" xfId="12372"/>
    <cellStyle name="Vírgula 2 3 12" xfId="4391"/>
    <cellStyle name="Vírgula 2 3 12 2" xfId="7793"/>
    <cellStyle name="Vírgula 2 3 12 2 2" xfId="10851"/>
    <cellStyle name="Vírgula 2 3 12 2 2 2" xfId="29065"/>
    <cellStyle name="Vírgula 2 3 12 2 2 3" xfId="23151"/>
    <cellStyle name="Vírgula 2 3 12 2 2 4" xfId="17237"/>
    <cellStyle name="Vírgula 2 3 12 2 3" xfId="26108"/>
    <cellStyle name="Vírgula 2 3 12 2 4" xfId="20194"/>
    <cellStyle name="Vírgula 2 3 12 2 5" xfId="14182"/>
    <cellStyle name="Vírgula 2 3 12 3" xfId="9383"/>
    <cellStyle name="Vírgula 2 3 12 3 2" xfId="27597"/>
    <cellStyle name="Vírgula 2 3 12 3 3" xfId="21683"/>
    <cellStyle name="Vírgula 2 3 12 3 4" xfId="15769"/>
    <cellStyle name="Vírgula 2 3 12 4" xfId="6093"/>
    <cellStyle name="Vírgula 2 3 12 4 2" xfId="24640"/>
    <cellStyle name="Vírgula 2 3 12 5" xfId="18726"/>
    <cellStyle name="Vírgula 2 3 12 6" xfId="12481"/>
    <cellStyle name="Vírgula 2 3 13" xfId="4499"/>
    <cellStyle name="Vírgula 2 3 13 2" xfId="7901"/>
    <cellStyle name="Vírgula 2 3 13 2 2" xfId="10913"/>
    <cellStyle name="Vírgula 2 3 13 2 2 2" xfId="29127"/>
    <cellStyle name="Vírgula 2 3 13 2 2 3" xfId="23213"/>
    <cellStyle name="Vírgula 2 3 13 2 2 4" xfId="17299"/>
    <cellStyle name="Vírgula 2 3 13 2 3" xfId="26170"/>
    <cellStyle name="Vírgula 2 3 13 2 4" xfId="20256"/>
    <cellStyle name="Vírgula 2 3 13 2 5" xfId="14290"/>
    <cellStyle name="Vírgula 2 3 13 3" xfId="9445"/>
    <cellStyle name="Vírgula 2 3 13 3 2" xfId="27659"/>
    <cellStyle name="Vírgula 2 3 13 3 3" xfId="21745"/>
    <cellStyle name="Vírgula 2 3 13 3 4" xfId="15831"/>
    <cellStyle name="Vírgula 2 3 13 4" xfId="6200"/>
    <cellStyle name="Vírgula 2 3 13 4 2" xfId="24702"/>
    <cellStyle name="Vírgula 2 3 13 5" xfId="18788"/>
    <cellStyle name="Vírgula 2 3 13 6" xfId="12589"/>
    <cellStyle name="Vírgula 2 3 14" xfId="4794"/>
    <cellStyle name="Vírgula 2 3 14 2" xfId="6495"/>
    <cellStyle name="Vírgula 2 3 14 2 2" xfId="9645"/>
    <cellStyle name="Vírgula 2 3 14 2 2 2" xfId="27859"/>
    <cellStyle name="Vírgula 2 3 14 2 2 3" xfId="21945"/>
    <cellStyle name="Vírgula 2 3 14 2 2 4" xfId="16031"/>
    <cellStyle name="Vírgula 2 3 14 2 3" xfId="24902"/>
    <cellStyle name="Vírgula 2 3 14 2 4" xfId="18988"/>
    <cellStyle name="Vírgula 2 3 14 2 5" xfId="12884"/>
    <cellStyle name="Vírgula 2 3 14 3" xfId="8174"/>
    <cellStyle name="Vírgula 2 3 14 3 2" xfId="26388"/>
    <cellStyle name="Vírgula 2 3 14 3 3" xfId="20474"/>
    <cellStyle name="Vírgula 2 3 14 3 4" xfId="14563"/>
    <cellStyle name="Vírgula 2 3 14 4" xfId="23431"/>
    <cellStyle name="Vírgula 2 3 14 5" xfId="17517"/>
    <cellStyle name="Vírgula 2 3 14 6" xfId="11183"/>
    <cellStyle name="Vírgula 2 3 15" xfId="6309"/>
    <cellStyle name="Vírgula 2 3 15 2" xfId="9507"/>
    <cellStyle name="Vírgula 2 3 15 2 2" xfId="27721"/>
    <cellStyle name="Vírgula 2 3 15 2 3" xfId="21807"/>
    <cellStyle name="Vírgula 2 3 15 2 4" xfId="15893"/>
    <cellStyle name="Vírgula 2 3 15 3" xfId="24764"/>
    <cellStyle name="Vírgula 2 3 15 4" xfId="18850"/>
    <cellStyle name="Vírgula 2 3 15 5" xfId="12698"/>
    <cellStyle name="Vírgula 2 3 16" xfId="8036"/>
    <cellStyle name="Vírgula 2 3 16 2" xfId="26250"/>
    <cellStyle name="Vírgula 2 3 16 3" xfId="20336"/>
    <cellStyle name="Vírgula 2 3 16 4" xfId="14425"/>
    <cellStyle name="Vírgula 2 3 17" xfId="4607"/>
    <cellStyle name="Vírgula 2 3 17 2" xfId="23293"/>
    <cellStyle name="Vírgula 2 3 18" xfId="17379"/>
    <cellStyle name="Vírgula 2 3 19" xfId="10998"/>
    <cellStyle name="Vírgula 2 3 2" xfId="655"/>
    <cellStyle name="Vírgula 2 3 2 2" xfId="6590"/>
    <cellStyle name="Vírgula 2 3 2 2 2" xfId="9737"/>
    <cellStyle name="Vírgula 2 3 2 2 2 2" xfId="27951"/>
    <cellStyle name="Vírgula 2 3 2 2 2 3" xfId="22037"/>
    <cellStyle name="Vírgula 2 3 2 2 2 4" xfId="16123"/>
    <cellStyle name="Vírgula 2 3 2 2 3" xfId="24994"/>
    <cellStyle name="Vírgula 2 3 2 2 4" xfId="19080"/>
    <cellStyle name="Vírgula 2 3 2 2 5" xfId="12979"/>
    <cellStyle name="Vírgula 2 3 2 3" xfId="8269"/>
    <cellStyle name="Vírgula 2 3 2 3 2" xfId="26483"/>
    <cellStyle name="Vírgula 2 3 2 3 3" xfId="20569"/>
    <cellStyle name="Vírgula 2 3 2 3 4" xfId="14655"/>
    <cellStyle name="Vírgula 2 3 2 4" xfId="4891"/>
    <cellStyle name="Vírgula 2 3 2 4 2" xfId="23526"/>
    <cellStyle name="Vírgula 2 3 2 5" xfId="17612"/>
    <cellStyle name="Vírgula 2 3 2 6" xfId="11278"/>
    <cellStyle name="Vírgula 2 3 3" xfId="859"/>
    <cellStyle name="Vírgula 2 3 3 2" xfId="6667"/>
    <cellStyle name="Vírgula 2 3 3 2 2" xfId="9814"/>
    <cellStyle name="Vírgula 2 3 3 2 2 2" xfId="28028"/>
    <cellStyle name="Vírgula 2 3 3 2 2 3" xfId="22114"/>
    <cellStyle name="Vírgula 2 3 3 2 2 4" xfId="16200"/>
    <cellStyle name="Vírgula 2 3 3 2 3" xfId="25071"/>
    <cellStyle name="Vírgula 2 3 3 2 4" xfId="19157"/>
    <cellStyle name="Vírgula 2 3 3 2 5" xfId="13056"/>
    <cellStyle name="Vírgula 2 3 3 3" xfId="8346"/>
    <cellStyle name="Vírgula 2 3 3 3 2" xfId="26560"/>
    <cellStyle name="Vírgula 2 3 3 3 3" xfId="20646"/>
    <cellStyle name="Vírgula 2 3 3 3 4" xfId="14732"/>
    <cellStyle name="Vírgula 2 3 3 4" xfId="4968"/>
    <cellStyle name="Vírgula 2 3 3 4 2" xfId="23603"/>
    <cellStyle name="Vírgula 2 3 3 5" xfId="17689"/>
    <cellStyle name="Vírgula 2 3 3 6" xfId="11355"/>
    <cellStyle name="Vírgula 2 3 4" xfId="1210"/>
    <cellStyle name="Vírgula 2 3 4 2" xfId="6765"/>
    <cellStyle name="Vírgula 2 3 4 2 2" xfId="9912"/>
    <cellStyle name="Vírgula 2 3 4 2 2 2" xfId="28126"/>
    <cellStyle name="Vírgula 2 3 4 2 2 3" xfId="22212"/>
    <cellStyle name="Vírgula 2 3 4 2 2 4" xfId="16298"/>
    <cellStyle name="Vírgula 2 3 4 2 3" xfId="25169"/>
    <cellStyle name="Vírgula 2 3 4 2 4" xfId="19255"/>
    <cellStyle name="Vírgula 2 3 4 2 5" xfId="13154"/>
    <cellStyle name="Vírgula 2 3 4 3" xfId="8444"/>
    <cellStyle name="Vírgula 2 3 4 3 2" xfId="26658"/>
    <cellStyle name="Vírgula 2 3 4 3 3" xfId="20744"/>
    <cellStyle name="Vírgula 2 3 4 3 4" xfId="14830"/>
    <cellStyle name="Vírgula 2 3 4 4" xfId="5066"/>
    <cellStyle name="Vírgula 2 3 4 4 2" xfId="23701"/>
    <cellStyle name="Vírgula 2 3 4 5" xfId="17787"/>
    <cellStyle name="Vírgula 2 3 4 6" xfId="11453"/>
    <cellStyle name="Vírgula 2 3 5" xfId="1645"/>
    <cellStyle name="Vírgula 2 3 5 2" xfId="6884"/>
    <cellStyle name="Vírgula 2 3 5 2 2" xfId="10031"/>
    <cellStyle name="Vírgula 2 3 5 2 2 2" xfId="28245"/>
    <cellStyle name="Vírgula 2 3 5 2 2 3" xfId="22331"/>
    <cellStyle name="Vírgula 2 3 5 2 2 4" xfId="16417"/>
    <cellStyle name="Vírgula 2 3 5 2 3" xfId="25288"/>
    <cellStyle name="Vírgula 2 3 5 2 4" xfId="19374"/>
    <cellStyle name="Vírgula 2 3 5 2 5" xfId="13273"/>
    <cellStyle name="Vírgula 2 3 5 3" xfId="8563"/>
    <cellStyle name="Vírgula 2 3 5 3 2" xfId="26777"/>
    <cellStyle name="Vírgula 2 3 5 3 3" xfId="20863"/>
    <cellStyle name="Vírgula 2 3 5 3 4" xfId="14949"/>
    <cellStyle name="Vírgula 2 3 5 4" xfId="5185"/>
    <cellStyle name="Vírgula 2 3 5 4 2" xfId="23820"/>
    <cellStyle name="Vírgula 2 3 5 5" xfId="17906"/>
    <cellStyle name="Vírgula 2 3 5 6" xfId="11572"/>
    <cellStyle name="Vírgula 2 3 6" xfId="2175"/>
    <cellStyle name="Vírgula 2 3 6 2" xfId="7034"/>
    <cellStyle name="Vírgula 2 3 6 2 2" xfId="10178"/>
    <cellStyle name="Vírgula 2 3 6 2 2 2" xfId="28392"/>
    <cellStyle name="Vírgula 2 3 6 2 2 3" xfId="22478"/>
    <cellStyle name="Vírgula 2 3 6 2 2 4" xfId="16564"/>
    <cellStyle name="Vírgula 2 3 6 2 3" xfId="25435"/>
    <cellStyle name="Vírgula 2 3 6 2 4" xfId="19521"/>
    <cellStyle name="Vírgula 2 3 6 2 5" xfId="13423"/>
    <cellStyle name="Vírgula 2 3 6 3" xfId="8710"/>
    <cellStyle name="Vírgula 2 3 6 3 2" xfId="26924"/>
    <cellStyle name="Vírgula 2 3 6 3 3" xfId="21010"/>
    <cellStyle name="Vírgula 2 3 6 3 4" xfId="15096"/>
    <cellStyle name="Vírgula 2 3 6 4" xfId="5335"/>
    <cellStyle name="Vírgula 2 3 6 4 2" xfId="23967"/>
    <cellStyle name="Vírgula 2 3 6 5" xfId="18053"/>
    <cellStyle name="Vírgula 2 3 6 6" xfId="11722"/>
    <cellStyle name="Vírgula 2 3 7" xfId="2702"/>
    <cellStyle name="Vírgula 2 3 7 2" xfId="7181"/>
    <cellStyle name="Vírgula 2 3 7 2 2" xfId="10325"/>
    <cellStyle name="Vírgula 2 3 7 2 2 2" xfId="28539"/>
    <cellStyle name="Vírgula 2 3 7 2 2 3" xfId="22625"/>
    <cellStyle name="Vírgula 2 3 7 2 2 4" xfId="16711"/>
    <cellStyle name="Vírgula 2 3 7 2 3" xfId="25582"/>
    <cellStyle name="Vírgula 2 3 7 2 4" xfId="19668"/>
    <cellStyle name="Vírgula 2 3 7 2 5" xfId="13570"/>
    <cellStyle name="Vírgula 2 3 7 3" xfId="8857"/>
    <cellStyle name="Vírgula 2 3 7 3 2" xfId="27071"/>
    <cellStyle name="Vírgula 2 3 7 3 3" xfId="21157"/>
    <cellStyle name="Vírgula 2 3 7 3 4" xfId="15243"/>
    <cellStyle name="Vírgula 2 3 7 4" xfId="5482"/>
    <cellStyle name="Vírgula 2 3 7 4 2" xfId="24114"/>
    <cellStyle name="Vírgula 2 3 7 5" xfId="18200"/>
    <cellStyle name="Vírgula 2 3 7 6" xfId="11869"/>
    <cellStyle name="Vírgula 2 3 8" xfId="3229"/>
    <cellStyle name="Vírgula 2 3 8 2" xfId="7328"/>
    <cellStyle name="Vírgula 2 3 8 2 2" xfId="10472"/>
    <cellStyle name="Vírgula 2 3 8 2 2 2" xfId="28686"/>
    <cellStyle name="Vírgula 2 3 8 2 2 3" xfId="22772"/>
    <cellStyle name="Vírgula 2 3 8 2 2 4" xfId="16858"/>
    <cellStyle name="Vírgula 2 3 8 2 3" xfId="25729"/>
    <cellStyle name="Vírgula 2 3 8 2 4" xfId="19815"/>
    <cellStyle name="Vírgula 2 3 8 2 5" xfId="13717"/>
    <cellStyle name="Vírgula 2 3 8 3" xfId="9004"/>
    <cellStyle name="Vírgula 2 3 8 3 2" xfId="27218"/>
    <cellStyle name="Vírgula 2 3 8 3 3" xfId="21304"/>
    <cellStyle name="Vírgula 2 3 8 3 4" xfId="15390"/>
    <cellStyle name="Vírgula 2 3 8 4" xfId="5629"/>
    <cellStyle name="Vírgula 2 3 8 4 2" xfId="24261"/>
    <cellStyle name="Vírgula 2 3 8 5" xfId="18347"/>
    <cellStyle name="Vírgula 2 3 8 6" xfId="12016"/>
    <cellStyle name="Vírgula 2 3 9" xfId="3756"/>
    <cellStyle name="Vírgula 2 3 9 2" xfId="7475"/>
    <cellStyle name="Vírgula 2 3 9 2 2" xfId="10619"/>
    <cellStyle name="Vírgula 2 3 9 2 2 2" xfId="28833"/>
    <cellStyle name="Vírgula 2 3 9 2 2 3" xfId="22919"/>
    <cellStyle name="Vírgula 2 3 9 2 2 4" xfId="17005"/>
    <cellStyle name="Vírgula 2 3 9 2 3" xfId="25876"/>
    <cellStyle name="Vírgula 2 3 9 2 4" xfId="19962"/>
    <cellStyle name="Vírgula 2 3 9 2 5" xfId="13864"/>
    <cellStyle name="Vírgula 2 3 9 3" xfId="9151"/>
    <cellStyle name="Vírgula 2 3 9 3 2" xfId="27365"/>
    <cellStyle name="Vírgula 2 3 9 3 3" xfId="21451"/>
    <cellStyle name="Vírgula 2 3 9 3 4" xfId="15537"/>
    <cellStyle name="Vírgula 2 3 9 4" xfId="5776"/>
    <cellStyle name="Vírgula 2 3 9 4 2" xfId="24408"/>
    <cellStyle name="Vírgula 2 3 9 5" xfId="18494"/>
    <cellStyle name="Vírgula 2 3 9 6" xfId="12163"/>
    <cellStyle name="Vírgula 2 4" xfId="4237"/>
    <cellStyle name="Vírgula 2 4 10" xfId="11028"/>
    <cellStyle name="Vírgula 2 4 2" xfId="4314"/>
    <cellStyle name="Vírgula 2 4 2 2" xfId="7715"/>
    <cellStyle name="Vírgula 2 4 2 2 2" xfId="10807"/>
    <cellStyle name="Vírgula 2 4 2 2 2 2" xfId="29021"/>
    <cellStyle name="Vírgula 2 4 2 2 2 3" xfId="23107"/>
    <cellStyle name="Vírgula 2 4 2 2 2 4" xfId="17193"/>
    <cellStyle name="Vírgula 2 4 2 2 3" xfId="26064"/>
    <cellStyle name="Vírgula 2 4 2 2 4" xfId="20150"/>
    <cellStyle name="Vírgula 2 4 2 2 5" xfId="14104"/>
    <cellStyle name="Vírgula 2 4 2 3" xfId="9339"/>
    <cellStyle name="Vírgula 2 4 2 3 2" xfId="27553"/>
    <cellStyle name="Vírgula 2 4 2 3 3" xfId="21639"/>
    <cellStyle name="Vírgula 2 4 2 3 4" xfId="15725"/>
    <cellStyle name="Vírgula 2 4 2 4" xfId="6015"/>
    <cellStyle name="Vírgula 2 4 2 4 2" xfId="24596"/>
    <cellStyle name="Vírgula 2 4 2 5" xfId="18682"/>
    <cellStyle name="Vírgula 2 4 2 6" xfId="12403"/>
    <cellStyle name="Vírgula 2 4 3" xfId="4422"/>
    <cellStyle name="Vírgula 2 4 3 2" xfId="7824"/>
    <cellStyle name="Vírgula 2 4 3 2 2" xfId="10869"/>
    <cellStyle name="Vírgula 2 4 3 2 2 2" xfId="29083"/>
    <cellStyle name="Vírgula 2 4 3 2 2 3" xfId="23169"/>
    <cellStyle name="Vírgula 2 4 3 2 2 4" xfId="17255"/>
    <cellStyle name="Vírgula 2 4 3 2 3" xfId="26126"/>
    <cellStyle name="Vírgula 2 4 3 2 4" xfId="20212"/>
    <cellStyle name="Vírgula 2 4 3 2 5" xfId="14213"/>
    <cellStyle name="Vírgula 2 4 3 3" xfId="9401"/>
    <cellStyle name="Vírgula 2 4 3 3 2" xfId="27615"/>
    <cellStyle name="Vírgula 2 4 3 3 3" xfId="21701"/>
    <cellStyle name="Vírgula 2 4 3 3 4" xfId="15787"/>
    <cellStyle name="Vírgula 2 4 3 4" xfId="6124"/>
    <cellStyle name="Vírgula 2 4 3 4 2" xfId="24658"/>
    <cellStyle name="Vírgula 2 4 3 5" xfId="18744"/>
    <cellStyle name="Vírgula 2 4 3 6" xfId="12512"/>
    <cellStyle name="Vírgula 2 4 4" xfId="4530"/>
    <cellStyle name="Vírgula 2 4 4 2" xfId="7932"/>
    <cellStyle name="Vírgula 2 4 4 2 2" xfId="10931"/>
    <cellStyle name="Vírgula 2 4 4 2 2 2" xfId="29145"/>
    <cellStyle name="Vírgula 2 4 4 2 2 3" xfId="23231"/>
    <cellStyle name="Vírgula 2 4 4 2 2 4" xfId="17317"/>
    <cellStyle name="Vírgula 2 4 4 2 3" xfId="26188"/>
    <cellStyle name="Vírgula 2 4 4 2 4" xfId="20274"/>
    <cellStyle name="Vírgula 2 4 4 2 5" xfId="14321"/>
    <cellStyle name="Vírgula 2 4 4 3" xfId="9463"/>
    <cellStyle name="Vírgula 2 4 4 3 2" xfId="27677"/>
    <cellStyle name="Vírgula 2 4 4 3 3" xfId="21763"/>
    <cellStyle name="Vírgula 2 4 4 3 4" xfId="15849"/>
    <cellStyle name="Vírgula 2 4 4 4" xfId="6231"/>
    <cellStyle name="Vírgula 2 4 4 4 2" xfId="24720"/>
    <cellStyle name="Vírgula 2 4 4 5" xfId="18806"/>
    <cellStyle name="Vírgula 2 4 4 6" xfId="12620"/>
    <cellStyle name="Vírgula 2 4 5" xfId="5938"/>
    <cellStyle name="Vírgula 2 4 5 2" xfId="7638"/>
    <cellStyle name="Vírgula 2 4 5 2 2" xfId="10764"/>
    <cellStyle name="Vírgula 2 4 5 2 2 2" xfId="28978"/>
    <cellStyle name="Vírgula 2 4 5 2 2 3" xfId="23064"/>
    <cellStyle name="Vírgula 2 4 5 2 2 4" xfId="17150"/>
    <cellStyle name="Vírgula 2 4 5 2 3" xfId="26021"/>
    <cellStyle name="Vírgula 2 4 5 2 4" xfId="20107"/>
    <cellStyle name="Vírgula 2 4 5 2 5" xfId="14027"/>
    <cellStyle name="Vírgula 2 4 5 3" xfId="9296"/>
    <cellStyle name="Vírgula 2 4 5 3 2" xfId="27510"/>
    <cellStyle name="Vírgula 2 4 5 3 3" xfId="21596"/>
    <cellStyle name="Vírgula 2 4 5 3 4" xfId="15682"/>
    <cellStyle name="Vírgula 2 4 5 4" xfId="24553"/>
    <cellStyle name="Vírgula 2 4 5 5" xfId="18639"/>
    <cellStyle name="Vírgula 2 4 5 6" xfId="12326"/>
    <cellStyle name="Vírgula 2 4 6" xfId="6340"/>
    <cellStyle name="Vírgula 2 4 6 2" xfId="9525"/>
    <cellStyle name="Vírgula 2 4 6 2 2" xfId="27739"/>
    <cellStyle name="Vírgula 2 4 6 2 3" xfId="21825"/>
    <cellStyle name="Vírgula 2 4 6 2 4" xfId="15911"/>
    <cellStyle name="Vírgula 2 4 6 3" xfId="24782"/>
    <cellStyle name="Vírgula 2 4 6 4" xfId="18868"/>
    <cellStyle name="Vírgula 2 4 6 5" xfId="12729"/>
    <cellStyle name="Vírgula 2 4 7" xfId="8054"/>
    <cellStyle name="Vírgula 2 4 7 2" xfId="26268"/>
    <cellStyle name="Vírgula 2 4 7 3" xfId="20354"/>
    <cellStyle name="Vírgula 2 4 7 4" xfId="14443"/>
    <cellStyle name="Vírgula 2 4 8" xfId="4637"/>
    <cellStyle name="Vírgula 2 4 8 2" xfId="23311"/>
    <cellStyle name="Vírgula 2 4 9" xfId="17397"/>
    <cellStyle name="Vírgula 2 5" xfId="4201"/>
    <cellStyle name="Vírgula 2 5 10" xfId="10992"/>
    <cellStyle name="Vírgula 2 5 2" xfId="4277"/>
    <cellStyle name="Vírgula 2 5 2 2" xfId="7678"/>
    <cellStyle name="Vírgula 2 5 2 2 2" xfId="10786"/>
    <cellStyle name="Vírgula 2 5 2 2 2 2" xfId="29000"/>
    <cellStyle name="Vírgula 2 5 2 2 2 3" xfId="23086"/>
    <cellStyle name="Vírgula 2 5 2 2 2 4" xfId="17172"/>
    <cellStyle name="Vírgula 2 5 2 2 3" xfId="26043"/>
    <cellStyle name="Vírgula 2 5 2 2 4" xfId="20129"/>
    <cellStyle name="Vírgula 2 5 2 2 5" xfId="14067"/>
    <cellStyle name="Vírgula 2 5 2 3" xfId="9318"/>
    <cellStyle name="Vírgula 2 5 2 3 2" xfId="27532"/>
    <cellStyle name="Vírgula 2 5 2 3 3" xfId="21618"/>
    <cellStyle name="Vírgula 2 5 2 3 4" xfId="15704"/>
    <cellStyle name="Vírgula 2 5 2 4" xfId="5978"/>
    <cellStyle name="Vírgula 2 5 2 4 2" xfId="24575"/>
    <cellStyle name="Vírgula 2 5 2 5" xfId="18661"/>
    <cellStyle name="Vírgula 2 5 2 6" xfId="12366"/>
    <cellStyle name="Vírgula 2 5 3" xfId="4385"/>
    <cellStyle name="Vírgula 2 5 3 2" xfId="7787"/>
    <cellStyle name="Vírgula 2 5 3 2 2" xfId="10848"/>
    <cellStyle name="Vírgula 2 5 3 2 2 2" xfId="29062"/>
    <cellStyle name="Vírgula 2 5 3 2 2 3" xfId="23148"/>
    <cellStyle name="Vírgula 2 5 3 2 2 4" xfId="17234"/>
    <cellStyle name="Vírgula 2 5 3 2 3" xfId="26105"/>
    <cellStyle name="Vírgula 2 5 3 2 4" xfId="20191"/>
    <cellStyle name="Vírgula 2 5 3 2 5" xfId="14176"/>
    <cellStyle name="Vírgula 2 5 3 3" xfId="9380"/>
    <cellStyle name="Vírgula 2 5 3 3 2" xfId="27594"/>
    <cellStyle name="Vírgula 2 5 3 3 3" xfId="21680"/>
    <cellStyle name="Vírgula 2 5 3 3 4" xfId="15766"/>
    <cellStyle name="Vírgula 2 5 3 4" xfId="6087"/>
    <cellStyle name="Vírgula 2 5 3 4 2" xfId="24637"/>
    <cellStyle name="Vírgula 2 5 3 5" xfId="18723"/>
    <cellStyle name="Vírgula 2 5 3 6" xfId="12475"/>
    <cellStyle name="Vírgula 2 5 4" xfId="4493"/>
    <cellStyle name="Vírgula 2 5 4 2" xfId="7895"/>
    <cellStyle name="Vírgula 2 5 4 2 2" xfId="10910"/>
    <cellStyle name="Vírgula 2 5 4 2 2 2" xfId="29124"/>
    <cellStyle name="Vírgula 2 5 4 2 2 3" xfId="23210"/>
    <cellStyle name="Vírgula 2 5 4 2 2 4" xfId="17296"/>
    <cellStyle name="Vírgula 2 5 4 2 3" xfId="26167"/>
    <cellStyle name="Vírgula 2 5 4 2 4" xfId="20253"/>
    <cellStyle name="Vírgula 2 5 4 2 5" xfId="14284"/>
    <cellStyle name="Vírgula 2 5 4 3" xfId="9442"/>
    <cellStyle name="Vírgula 2 5 4 3 2" xfId="27656"/>
    <cellStyle name="Vírgula 2 5 4 3 3" xfId="21742"/>
    <cellStyle name="Vírgula 2 5 4 3 4" xfId="15828"/>
    <cellStyle name="Vírgula 2 5 4 4" xfId="6194"/>
    <cellStyle name="Vírgula 2 5 4 4 2" xfId="24699"/>
    <cellStyle name="Vírgula 2 5 4 5" xfId="18785"/>
    <cellStyle name="Vírgula 2 5 4 6" xfId="12583"/>
    <cellStyle name="Vírgula 2 5 5" xfId="5902"/>
    <cellStyle name="Vírgula 2 5 5 2" xfId="7601"/>
    <cellStyle name="Vírgula 2 5 5 2 2" xfId="10743"/>
    <cellStyle name="Vírgula 2 5 5 2 2 2" xfId="28957"/>
    <cellStyle name="Vírgula 2 5 5 2 2 3" xfId="23043"/>
    <cellStyle name="Vírgula 2 5 5 2 2 4" xfId="17129"/>
    <cellStyle name="Vírgula 2 5 5 2 3" xfId="26000"/>
    <cellStyle name="Vírgula 2 5 5 2 4" xfId="20086"/>
    <cellStyle name="Vírgula 2 5 5 2 5" xfId="13990"/>
    <cellStyle name="Vírgula 2 5 5 3" xfId="9275"/>
    <cellStyle name="Vírgula 2 5 5 3 2" xfId="27489"/>
    <cellStyle name="Vírgula 2 5 5 3 3" xfId="21575"/>
    <cellStyle name="Vírgula 2 5 5 3 4" xfId="15661"/>
    <cellStyle name="Vírgula 2 5 5 4" xfId="24532"/>
    <cellStyle name="Vírgula 2 5 5 5" xfId="18618"/>
    <cellStyle name="Vírgula 2 5 5 6" xfId="12289"/>
    <cellStyle name="Vírgula 2 5 6" xfId="6303"/>
    <cellStyle name="Vírgula 2 5 6 2" xfId="9504"/>
    <cellStyle name="Vírgula 2 5 6 2 2" xfId="27718"/>
    <cellStyle name="Vírgula 2 5 6 2 3" xfId="21804"/>
    <cellStyle name="Vírgula 2 5 6 2 4" xfId="15890"/>
    <cellStyle name="Vírgula 2 5 6 3" xfId="24761"/>
    <cellStyle name="Vírgula 2 5 6 4" xfId="18847"/>
    <cellStyle name="Vírgula 2 5 6 5" xfId="12692"/>
    <cellStyle name="Vírgula 2 5 7" xfId="8033"/>
    <cellStyle name="Vírgula 2 5 7 2" xfId="26247"/>
    <cellStyle name="Vírgula 2 5 7 3" xfId="20333"/>
    <cellStyle name="Vírgula 2 5 7 4" xfId="14422"/>
    <cellStyle name="Vírgula 2 5 8" xfId="4601"/>
    <cellStyle name="Vírgula 2 5 8 2" xfId="23290"/>
    <cellStyle name="Vírgula 2 5 9" xfId="17376"/>
    <cellStyle name="Vírgula 2 6" xfId="4195"/>
    <cellStyle name="Vírgula 2 6 2" xfId="7597"/>
    <cellStyle name="Vírgula 2 6 2 2" xfId="10741"/>
    <cellStyle name="Vírgula 2 6 2 2 2" xfId="28955"/>
    <cellStyle name="Vírgula 2 6 2 2 3" xfId="23041"/>
    <cellStyle name="Vírgula 2 6 2 2 4" xfId="17127"/>
    <cellStyle name="Vírgula 2 6 2 3" xfId="25998"/>
    <cellStyle name="Vírgula 2 6 2 4" xfId="20084"/>
    <cellStyle name="Vírgula 2 6 2 5" xfId="13986"/>
    <cellStyle name="Vírgula 2 6 3" xfId="9273"/>
    <cellStyle name="Vírgula 2 6 3 2" xfId="27487"/>
    <cellStyle name="Vírgula 2 6 3 3" xfId="21573"/>
    <cellStyle name="Vírgula 2 6 3 4" xfId="15659"/>
    <cellStyle name="Vírgula 2 6 4" xfId="5898"/>
    <cellStyle name="Vírgula 2 6 4 2" xfId="24530"/>
    <cellStyle name="Vírgula 2 6 5" xfId="18616"/>
    <cellStyle name="Vírgula 2 6 6" xfId="12285"/>
    <cellStyle name="Vírgula 3" xfId="116"/>
    <cellStyle name="Vírgula 3 10" xfId="4196"/>
    <cellStyle name="Vírgula 3 10 2" xfId="7598"/>
    <cellStyle name="Vírgula 3 10 2 2" xfId="10742"/>
    <cellStyle name="Vírgula 3 10 2 2 2" xfId="28956"/>
    <cellStyle name="Vírgula 3 10 2 2 3" xfId="23042"/>
    <cellStyle name="Vírgula 3 10 2 2 4" xfId="17128"/>
    <cellStyle name="Vírgula 3 10 2 3" xfId="25999"/>
    <cellStyle name="Vírgula 3 10 2 4" xfId="20085"/>
    <cellStyle name="Vírgula 3 10 2 5" xfId="13987"/>
    <cellStyle name="Vírgula 3 10 3" xfId="9274"/>
    <cellStyle name="Vírgula 3 10 3 2" xfId="27488"/>
    <cellStyle name="Vírgula 3 10 3 3" xfId="21574"/>
    <cellStyle name="Vírgula 3 10 3 4" xfId="15660"/>
    <cellStyle name="Vírgula 3 10 4" xfId="5899"/>
    <cellStyle name="Vírgula 3 10 4 2" xfId="24531"/>
    <cellStyle name="Vírgula 3 10 5" xfId="18617"/>
    <cellStyle name="Vírgula 3 10 6" xfId="12286"/>
    <cellStyle name="Vírgula 3 11" xfId="4274"/>
    <cellStyle name="Vírgula 3 11 2" xfId="7675"/>
    <cellStyle name="Vírgula 3 11 2 2" xfId="10785"/>
    <cellStyle name="Vírgula 3 11 2 2 2" xfId="28999"/>
    <cellStyle name="Vírgula 3 11 2 2 3" xfId="23085"/>
    <cellStyle name="Vírgula 3 11 2 2 4" xfId="17171"/>
    <cellStyle name="Vírgula 3 11 2 3" xfId="26042"/>
    <cellStyle name="Vírgula 3 11 2 4" xfId="20128"/>
    <cellStyle name="Vírgula 3 11 2 5" xfId="14064"/>
    <cellStyle name="Vírgula 3 11 3" xfId="9317"/>
    <cellStyle name="Vírgula 3 11 3 2" xfId="27531"/>
    <cellStyle name="Vírgula 3 11 3 3" xfId="21617"/>
    <cellStyle name="Vírgula 3 11 3 4" xfId="15703"/>
    <cellStyle name="Vírgula 3 11 4" xfId="5975"/>
    <cellStyle name="Vírgula 3 11 4 2" xfId="24574"/>
    <cellStyle name="Vírgula 3 11 5" xfId="18660"/>
    <cellStyle name="Vírgula 3 11 6" xfId="12363"/>
    <cellStyle name="Vírgula 3 12" xfId="4382"/>
    <cellStyle name="Vírgula 3 12 2" xfId="7784"/>
    <cellStyle name="Vírgula 3 12 2 2" xfId="10847"/>
    <cellStyle name="Vírgula 3 12 2 2 2" xfId="29061"/>
    <cellStyle name="Vírgula 3 12 2 2 3" xfId="23147"/>
    <cellStyle name="Vírgula 3 12 2 2 4" xfId="17233"/>
    <cellStyle name="Vírgula 3 12 2 3" xfId="26104"/>
    <cellStyle name="Vírgula 3 12 2 4" xfId="20190"/>
    <cellStyle name="Vírgula 3 12 2 5" xfId="14173"/>
    <cellStyle name="Vírgula 3 12 3" xfId="9379"/>
    <cellStyle name="Vírgula 3 12 3 2" xfId="27593"/>
    <cellStyle name="Vírgula 3 12 3 3" xfId="21679"/>
    <cellStyle name="Vírgula 3 12 3 4" xfId="15765"/>
    <cellStyle name="Vírgula 3 12 4" xfId="6084"/>
    <cellStyle name="Vírgula 3 12 4 2" xfId="24636"/>
    <cellStyle name="Vírgula 3 12 5" xfId="18722"/>
    <cellStyle name="Vírgula 3 12 6" xfId="12472"/>
    <cellStyle name="Vírgula 3 13" xfId="4490"/>
    <cellStyle name="Vírgula 3 13 2" xfId="7892"/>
    <cellStyle name="Vírgula 3 13 2 2" xfId="10909"/>
    <cellStyle name="Vírgula 3 13 2 2 2" xfId="29123"/>
    <cellStyle name="Vírgula 3 13 2 2 3" xfId="23209"/>
    <cellStyle name="Vírgula 3 13 2 2 4" xfId="17295"/>
    <cellStyle name="Vírgula 3 13 2 3" xfId="26166"/>
    <cellStyle name="Vírgula 3 13 2 4" xfId="20252"/>
    <cellStyle name="Vírgula 3 13 2 5" xfId="14281"/>
    <cellStyle name="Vírgula 3 13 3" xfId="9441"/>
    <cellStyle name="Vírgula 3 13 3 2" xfId="27655"/>
    <cellStyle name="Vírgula 3 13 3 3" xfId="21741"/>
    <cellStyle name="Vírgula 3 13 3 4" xfId="15827"/>
    <cellStyle name="Vírgula 3 13 4" xfId="6191"/>
    <cellStyle name="Vírgula 3 13 4 2" xfId="24698"/>
    <cellStyle name="Vírgula 3 13 5" xfId="18784"/>
    <cellStyle name="Vírgula 3 13 6" xfId="12580"/>
    <cellStyle name="Vírgula 3 14" xfId="4737"/>
    <cellStyle name="Vírgula 3 14 2" xfId="6438"/>
    <cellStyle name="Vírgula 3 14 2 2" xfId="9592"/>
    <cellStyle name="Vírgula 3 14 2 2 2" xfId="27806"/>
    <cellStyle name="Vírgula 3 14 2 2 3" xfId="21892"/>
    <cellStyle name="Vírgula 3 14 2 2 4" xfId="15978"/>
    <cellStyle name="Vírgula 3 14 2 3" xfId="24849"/>
    <cellStyle name="Vírgula 3 14 2 4" xfId="18935"/>
    <cellStyle name="Vírgula 3 14 2 5" xfId="12827"/>
    <cellStyle name="Vírgula 3 14 3" xfId="8121"/>
    <cellStyle name="Vírgula 3 14 3 2" xfId="26335"/>
    <cellStyle name="Vírgula 3 14 3 3" xfId="20421"/>
    <cellStyle name="Vírgula 3 14 3 4" xfId="14510"/>
    <cellStyle name="Vírgula 3 14 4" xfId="23378"/>
    <cellStyle name="Vírgula 3 14 5" xfId="17464"/>
    <cellStyle name="Vírgula 3 14 6" xfId="11126"/>
    <cellStyle name="Vírgula 3 15" xfId="6300"/>
    <cellStyle name="Vírgula 3 15 2" xfId="9503"/>
    <cellStyle name="Vírgula 3 15 2 2" xfId="27717"/>
    <cellStyle name="Vírgula 3 15 2 3" xfId="21803"/>
    <cellStyle name="Vírgula 3 15 2 4" xfId="15889"/>
    <cellStyle name="Vírgula 3 15 3" xfId="24760"/>
    <cellStyle name="Vírgula 3 15 4" xfId="18846"/>
    <cellStyle name="Vírgula 3 15 5" xfId="12689"/>
    <cellStyle name="Vírgula 3 16" xfId="8002"/>
    <cellStyle name="Vírgula 3 16 2" xfId="10972"/>
    <cellStyle name="Vírgula 3 16 2 2" xfId="29186"/>
    <cellStyle name="Vírgula 3 16 2 3" xfId="23272"/>
    <cellStyle name="Vírgula 3 16 2 4" xfId="17358"/>
    <cellStyle name="Vírgula 3 16 3" xfId="26229"/>
    <cellStyle name="Vírgula 3 16 4" xfId="20315"/>
    <cellStyle name="Vírgula 3 16 5" xfId="14391"/>
    <cellStyle name="Vírgula 3 17" xfId="8032"/>
    <cellStyle name="Vírgula 3 17 2" xfId="26246"/>
    <cellStyle name="Vírgula 3 17 3" xfId="20332"/>
    <cellStyle name="Vírgula 3 17 4" xfId="14421"/>
    <cellStyle name="Vírgula 3 18" xfId="4598"/>
    <cellStyle name="Vírgula 3 18 2" xfId="23289"/>
    <cellStyle name="Vírgula 3 19" xfId="17375"/>
    <cellStyle name="Vírgula 3 2" xfId="658"/>
    <cellStyle name="Vírgula 3 2 10" xfId="4506"/>
    <cellStyle name="Vírgula 3 2 10 2" xfId="7908"/>
    <cellStyle name="Vírgula 3 2 10 2 2" xfId="10917"/>
    <cellStyle name="Vírgula 3 2 10 2 2 2" xfId="29131"/>
    <cellStyle name="Vírgula 3 2 10 2 2 3" xfId="23217"/>
    <cellStyle name="Vírgula 3 2 10 2 2 4" xfId="17303"/>
    <cellStyle name="Vírgula 3 2 10 2 3" xfId="26174"/>
    <cellStyle name="Vírgula 3 2 10 2 4" xfId="20260"/>
    <cellStyle name="Vírgula 3 2 10 2 5" xfId="14297"/>
    <cellStyle name="Vírgula 3 2 10 3" xfId="9449"/>
    <cellStyle name="Vírgula 3 2 10 3 2" xfId="27663"/>
    <cellStyle name="Vírgula 3 2 10 3 3" xfId="21749"/>
    <cellStyle name="Vírgula 3 2 10 3 4" xfId="15835"/>
    <cellStyle name="Vírgula 3 2 10 4" xfId="6207"/>
    <cellStyle name="Vírgula 3 2 10 4 2" xfId="24706"/>
    <cellStyle name="Vírgula 3 2 10 5" xfId="18792"/>
    <cellStyle name="Vírgula 3 2 10 6" xfId="12596"/>
    <cellStyle name="Vírgula 3 2 11" xfId="4894"/>
    <cellStyle name="Vírgula 3 2 11 2" xfId="6593"/>
    <cellStyle name="Vírgula 3 2 11 2 2" xfId="9740"/>
    <cellStyle name="Vírgula 3 2 11 2 2 2" xfId="27954"/>
    <cellStyle name="Vírgula 3 2 11 2 2 3" xfId="22040"/>
    <cellStyle name="Vírgula 3 2 11 2 2 4" xfId="16126"/>
    <cellStyle name="Vírgula 3 2 11 2 3" xfId="24997"/>
    <cellStyle name="Vírgula 3 2 11 2 4" xfId="19083"/>
    <cellStyle name="Vírgula 3 2 11 2 5" xfId="12982"/>
    <cellStyle name="Vírgula 3 2 11 3" xfId="8272"/>
    <cellStyle name="Vírgula 3 2 11 3 2" xfId="26486"/>
    <cellStyle name="Vírgula 3 2 11 3 3" xfId="20572"/>
    <cellStyle name="Vírgula 3 2 11 3 4" xfId="14658"/>
    <cellStyle name="Vírgula 3 2 11 4" xfId="23529"/>
    <cellStyle name="Vírgula 3 2 11 5" xfId="17615"/>
    <cellStyle name="Vírgula 3 2 11 6" xfId="11281"/>
    <cellStyle name="Vírgula 3 2 12" xfId="6316"/>
    <cellStyle name="Vírgula 3 2 12 2" xfId="9511"/>
    <cellStyle name="Vírgula 3 2 12 2 2" xfId="27725"/>
    <cellStyle name="Vírgula 3 2 12 2 3" xfId="21811"/>
    <cellStyle name="Vírgula 3 2 12 2 4" xfId="15897"/>
    <cellStyle name="Vírgula 3 2 12 3" xfId="24768"/>
    <cellStyle name="Vírgula 3 2 12 4" xfId="18854"/>
    <cellStyle name="Vírgula 3 2 12 5" xfId="12705"/>
    <cellStyle name="Vírgula 3 2 13" xfId="8008"/>
    <cellStyle name="Vírgula 3 2 13 2" xfId="10975"/>
    <cellStyle name="Vírgula 3 2 13 2 2" xfId="29189"/>
    <cellStyle name="Vírgula 3 2 13 2 3" xfId="23275"/>
    <cellStyle name="Vírgula 3 2 13 2 4" xfId="17361"/>
    <cellStyle name="Vírgula 3 2 13 3" xfId="26232"/>
    <cellStyle name="Vírgula 3 2 13 4" xfId="20318"/>
    <cellStyle name="Vírgula 3 2 13 5" xfId="14397"/>
    <cellStyle name="Vírgula 3 2 14" xfId="8040"/>
    <cellStyle name="Vírgula 3 2 14 2" xfId="26254"/>
    <cellStyle name="Vírgula 3 2 14 3" xfId="20340"/>
    <cellStyle name="Vírgula 3 2 14 4" xfId="14429"/>
    <cellStyle name="Vírgula 3 2 15" xfId="4614"/>
    <cellStyle name="Vírgula 3 2 15 2" xfId="23297"/>
    <cellStyle name="Vírgula 3 2 16" xfId="17383"/>
    <cellStyle name="Vírgula 3 2 17" xfId="11005"/>
    <cellStyle name="Vírgula 3 2 2" xfId="1908"/>
    <cellStyle name="Vírgula 3 2 2 10" xfId="8049"/>
    <cellStyle name="Vírgula 3 2 2 10 2" xfId="26263"/>
    <cellStyle name="Vírgula 3 2 2 10 3" xfId="20349"/>
    <cellStyle name="Vírgula 3 2 2 10 4" xfId="14438"/>
    <cellStyle name="Vírgula 3 2 2 11" xfId="4629"/>
    <cellStyle name="Vírgula 3 2 2 11 2" xfId="23306"/>
    <cellStyle name="Vírgula 3 2 2 12" xfId="17392"/>
    <cellStyle name="Vírgula 3 2 2 13" xfId="11020"/>
    <cellStyle name="Vírgula 3 2 2 2" xfId="4264"/>
    <cellStyle name="Vírgula 3 2 2 2 10" xfId="11055"/>
    <cellStyle name="Vírgula 3 2 2 2 2" xfId="4341"/>
    <cellStyle name="Vírgula 3 2 2 2 2 2" xfId="7742"/>
    <cellStyle name="Vírgula 3 2 2 2 2 2 2" xfId="10822"/>
    <cellStyle name="Vírgula 3 2 2 2 2 2 2 2" xfId="29036"/>
    <cellStyle name="Vírgula 3 2 2 2 2 2 2 3" xfId="23122"/>
    <cellStyle name="Vírgula 3 2 2 2 2 2 2 4" xfId="17208"/>
    <cellStyle name="Vírgula 3 2 2 2 2 2 3" xfId="26079"/>
    <cellStyle name="Vírgula 3 2 2 2 2 2 4" xfId="20165"/>
    <cellStyle name="Vírgula 3 2 2 2 2 2 5" xfId="14131"/>
    <cellStyle name="Vírgula 3 2 2 2 2 3" xfId="9354"/>
    <cellStyle name="Vírgula 3 2 2 2 2 3 2" xfId="27568"/>
    <cellStyle name="Vírgula 3 2 2 2 2 3 3" xfId="21654"/>
    <cellStyle name="Vírgula 3 2 2 2 2 3 4" xfId="15740"/>
    <cellStyle name="Vírgula 3 2 2 2 2 4" xfId="6042"/>
    <cellStyle name="Vírgula 3 2 2 2 2 4 2" xfId="24611"/>
    <cellStyle name="Vírgula 3 2 2 2 2 5" xfId="18697"/>
    <cellStyle name="Vírgula 3 2 2 2 2 6" xfId="12430"/>
    <cellStyle name="Vírgula 3 2 2 2 3" xfId="4449"/>
    <cellStyle name="Vírgula 3 2 2 2 3 2" xfId="7851"/>
    <cellStyle name="Vírgula 3 2 2 2 3 2 2" xfId="10884"/>
    <cellStyle name="Vírgula 3 2 2 2 3 2 2 2" xfId="29098"/>
    <cellStyle name="Vírgula 3 2 2 2 3 2 2 3" xfId="23184"/>
    <cellStyle name="Vírgula 3 2 2 2 3 2 2 4" xfId="17270"/>
    <cellStyle name="Vírgula 3 2 2 2 3 2 3" xfId="26141"/>
    <cellStyle name="Vírgula 3 2 2 2 3 2 4" xfId="20227"/>
    <cellStyle name="Vírgula 3 2 2 2 3 2 5" xfId="14240"/>
    <cellStyle name="Vírgula 3 2 2 2 3 3" xfId="9416"/>
    <cellStyle name="Vírgula 3 2 2 2 3 3 2" xfId="27630"/>
    <cellStyle name="Vírgula 3 2 2 2 3 3 3" xfId="21716"/>
    <cellStyle name="Vírgula 3 2 2 2 3 3 4" xfId="15802"/>
    <cellStyle name="Vírgula 3 2 2 2 3 4" xfId="6151"/>
    <cellStyle name="Vírgula 3 2 2 2 3 4 2" xfId="24673"/>
    <cellStyle name="Vírgula 3 2 2 2 3 5" xfId="18759"/>
    <cellStyle name="Vírgula 3 2 2 2 3 6" xfId="12539"/>
    <cellStyle name="Vírgula 3 2 2 2 4" xfId="4557"/>
    <cellStyle name="Vírgula 3 2 2 2 4 2" xfId="7959"/>
    <cellStyle name="Vírgula 3 2 2 2 4 2 2" xfId="10946"/>
    <cellStyle name="Vírgula 3 2 2 2 4 2 2 2" xfId="29160"/>
    <cellStyle name="Vírgula 3 2 2 2 4 2 2 3" xfId="23246"/>
    <cellStyle name="Vírgula 3 2 2 2 4 2 2 4" xfId="17332"/>
    <cellStyle name="Vírgula 3 2 2 2 4 2 3" xfId="26203"/>
    <cellStyle name="Vírgula 3 2 2 2 4 2 4" xfId="20289"/>
    <cellStyle name="Vírgula 3 2 2 2 4 2 5" xfId="14348"/>
    <cellStyle name="Vírgula 3 2 2 2 4 3" xfId="9478"/>
    <cellStyle name="Vírgula 3 2 2 2 4 3 2" xfId="27692"/>
    <cellStyle name="Vírgula 3 2 2 2 4 3 3" xfId="21778"/>
    <cellStyle name="Vírgula 3 2 2 2 4 3 4" xfId="15864"/>
    <cellStyle name="Vírgula 3 2 2 2 4 4" xfId="6258"/>
    <cellStyle name="Vírgula 3 2 2 2 4 4 2" xfId="24735"/>
    <cellStyle name="Vírgula 3 2 2 2 4 5" xfId="18821"/>
    <cellStyle name="Vírgula 3 2 2 2 4 6" xfId="12647"/>
    <cellStyle name="Vírgula 3 2 2 2 5" xfId="5965"/>
    <cellStyle name="Vírgula 3 2 2 2 5 2" xfId="7665"/>
    <cellStyle name="Vírgula 3 2 2 2 5 2 2" xfId="10779"/>
    <cellStyle name="Vírgula 3 2 2 2 5 2 2 2" xfId="28993"/>
    <cellStyle name="Vírgula 3 2 2 2 5 2 2 3" xfId="23079"/>
    <cellStyle name="Vírgula 3 2 2 2 5 2 2 4" xfId="17165"/>
    <cellStyle name="Vírgula 3 2 2 2 5 2 3" xfId="26036"/>
    <cellStyle name="Vírgula 3 2 2 2 5 2 4" xfId="20122"/>
    <cellStyle name="Vírgula 3 2 2 2 5 2 5" xfId="14054"/>
    <cellStyle name="Vírgula 3 2 2 2 5 3" xfId="9311"/>
    <cellStyle name="Vírgula 3 2 2 2 5 3 2" xfId="27525"/>
    <cellStyle name="Vírgula 3 2 2 2 5 3 3" xfId="21611"/>
    <cellStyle name="Vírgula 3 2 2 2 5 3 4" xfId="15697"/>
    <cellStyle name="Vírgula 3 2 2 2 5 4" xfId="24568"/>
    <cellStyle name="Vírgula 3 2 2 2 5 5" xfId="18654"/>
    <cellStyle name="Vírgula 3 2 2 2 5 6" xfId="12353"/>
    <cellStyle name="Vírgula 3 2 2 2 6" xfId="6367"/>
    <cellStyle name="Vírgula 3 2 2 2 6 2" xfId="9540"/>
    <cellStyle name="Vírgula 3 2 2 2 6 2 2" xfId="27754"/>
    <cellStyle name="Vírgula 3 2 2 2 6 2 3" xfId="21840"/>
    <cellStyle name="Vírgula 3 2 2 2 6 2 4" xfId="15926"/>
    <cellStyle name="Vírgula 3 2 2 2 6 3" xfId="24797"/>
    <cellStyle name="Vírgula 3 2 2 2 6 4" xfId="18883"/>
    <cellStyle name="Vírgula 3 2 2 2 6 5" xfId="12756"/>
    <cellStyle name="Vírgula 3 2 2 2 7" xfId="8069"/>
    <cellStyle name="Vírgula 3 2 2 2 7 2" xfId="26283"/>
    <cellStyle name="Vírgula 3 2 2 2 7 3" xfId="20369"/>
    <cellStyle name="Vírgula 3 2 2 2 7 4" xfId="14458"/>
    <cellStyle name="Vírgula 3 2 2 2 8" xfId="4664"/>
    <cellStyle name="Vírgula 3 2 2 2 8 2" xfId="23326"/>
    <cellStyle name="Vírgula 3 2 2 2 9" xfId="17412"/>
    <cellStyle name="Vírgula 3 2 2 3" xfId="4229"/>
    <cellStyle name="Vírgula 3 2 2 3 10" xfId="11088"/>
    <cellStyle name="Vírgula 3 2 2 3 2" xfId="4373"/>
    <cellStyle name="Vírgula 3 2 2 3 2 2" xfId="7775"/>
    <cellStyle name="Vírgula 3 2 2 3 2 2 2" xfId="10841"/>
    <cellStyle name="Vírgula 3 2 2 3 2 2 2 2" xfId="29055"/>
    <cellStyle name="Vírgula 3 2 2 3 2 2 2 3" xfId="23141"/>
    <cellStyle name="Vírgula 3 2 2 3 2 2 2 4" xfId="17227"/>
    <cellStyle name="Vírgula 3 2 2 3 2 2 3" xfId="26098"/>
    <cellStyle name="Vírgula 3 2 2 3 2 2 4" xfId="20184"/>
    <cellStyle name="Vírgula 3 2 2 3 2 2 5" xfId="14164"/>
    <cellStyle name="Vírgula 3 2 2 3 2 3" xfId="9373"/>
    <cellStyle name="Vírgula 3 2 2 3 2 3 2" xfId="27587"/>
    <cellStyle name="Vírgula 3 2 2 3 2 3 3" xfId="21673"/>
    <cellStyle name="Vírgula 3 2 2 3 2 3 4" xfId="15759"/>
    <cellStyle name="Vírgula 3 2 2 3 2 4" xfId="6075"/>
    <cellStyle name="Vírgula 3 2 2 3 2 4 2" xfId="24630"/>
    <cellStyle name="Vírgula 3 2 2 3 2 5" xfId="18716"/>
    <cellStyle name="Vírgula 3 2 2 3 2 6" xfId="12463"/>
    <cellStyle name="Vírgula 3 2 2 3 3" xfId="4481"/>
    <cellStyle name="Vírgula 3 2 2 3 3 2" xfId="7883"/>
    <cellStyle name="Vírgula 3 2 2 3 3 2 2" xfId="10903"/>
    <cellStyle name="Vírgula 3 2 2 3 3 2 2 2" xfId="29117"/>
    <cellStyle name="Vírgula 3 2 2 3 3 2 2 3" xfId="23203"/>
    <cellStyle name="Vírgula 3 2 2 3 3 2 2 4" xfId="17289"/>
    <cellStyle name="Vírgula 3 2 2 3 3 2 3" xfId="26160"/>
    <cellStyle name="Vírgula 3 2 2 3 3 2 4" xfId="20246"/>
    <cellStyle name="Vírgula 3 2 2 3 3 2 5" xfId="14272"/>
    <cellStyle name="Vírgula 3 2 2 3 3 3" xfId="9435"/>
    <cellStyle name="Vírgula 3 2 2 3 3 3 2" xfId="27649"/>
    <cellStyle name="Vírgula 3 2 2 3 3 3 3" xfId="21735"/>
    <cellStyle name="Vírgula 3 2 2 3 3 3 4" xfId="15821"/>
    <cellStyle name="Vírgula 3 2 2 3 3 4" xfId="6182"/>
    <cellStyle name="Vírgula 3 2 2 3 3 4 2" xfId="24692"/>
    <cellStyle name="Vírgula 3 2 2 3 3 5" xfId="18778"/>
    <cellStyle name="Vírgula 3 2 2 3 3 6" xfId="12571"/>
    <cellStyle name="Vírgula 3 2 2 3 4" xfId="4589"/>
    <cellStyle name="Vírgula 3 2 2 3 4 2" xfId="7992"/>
    <cellStyle name="Vírgula 3 2 2 3 4 2 2" xfId="10965"/>
    <cellStyle name="Vírgula 3 2 2 3 4 2 2 2" xfId="29179"/>
    <cellStyle name="Vírgula 3 2 2 3 4 2 2 3" xfId="23265"/>
    <cellStyle name="Vírgula 3 2 2 3 4 2 2 4" xfId="17351"/>
    <cellStyle name="Vírgula 3 2 2 3 4 2 3" xfId="26222"/>
    <cellStyle name="Vírgula 3 2 2 3 4 2 4" xfId="20308"/>
    <cellStyle name="Vírgula 3 2 2 3 4 2 5" xfId="14381"/>
    <cellStyle name="Vírgula 3 2 2 3 4 3" xfId="9497"/>
    <cellStyle name="Vírgula 3 2 2 3 4 3 2" xfId="27711"/>
    <cellStyle name="Vírgula 3 2 2 3 4 3 3" xfId="21797"/>
    <cellStyle name="Vírgula 3 2 2 3 4 3 4" xfId="15883"/>
    <cellStyle name="Vírgula 3 2 2 3 4 4" xfId="6291"/>
    <cellStyle name="Vírgula 3 2 2 3 4 4 2" xfId="24754"/>
    <cellStyle name="Vírgula 3 2 2 3 4 5" xfId="18840"/>
    <cellStyle name="Vírgula 3 2 2 3 4 6" xfId="12680"/>
    <cellStyle name="Vírgula 3 2 2 3 5" xfId="5930"/>
    <cellStyle name="Vírgula 3 2 2 3 5 2" xfId="7630"/>
    <cellStyle name="Vírgula 3 2 2 3 5 2 2" xfId="10759"/>
    <cellStyle name="Vírgula 3 2 2 3 5 2 2 2" xfId="28973"/>
    <cellStyle name="Vírgula 3 2 2 3 5 2 2 3" xfId="23059"/>
    <cellStyle name="Vírgula 3 2 2 3 5 2 2 4" xfId="17145"/>
    <cellStyle name="Vírgula 3 2 2 3 5 2 3" xfId="26016"/>
    <cellStyle name="Vírgula 3 2 2 3 5 2 4" xfId="20102"/>
    <cellStyle name="Vírgula 3 2 2 3 5 2 5" xfId="14019"/>
    <cellStyle name="Vírgula 3 2 2 3 5 3" xfId="9291"/>
    <cellStyle name="Vírgula 3 2 2 3 5 3 2" xfId="27505"/>
    <cellStyle name="Vírgula 3 2 2 3 5 3 3" xfId="21591"/>
    <cellStyle name="Vírgula 3 2 2 3 5 3 4" xfId="15677"/>
    <cellStyle name="Vírgula 3 2 2 3 5 4" xfId="24548"/>
    <cellStyle name="Vírgula 3 2 2 3 5 5" xfId="18634"/>
    <cellStyle name="Vírgula 3 2 2 3 5 6" xfId="12318"/>
    <cellStyle name="Vírgula 3 2 2 3 6" xfId="6400"/>
    <cellStyle name="Vírgula 3 2 2 3 6 2" xfId="9559"/>
    <cellStyle name="Vírgula 3 2 2 3 6 2 2" xfId="27773"/>
    <cellStyle name="Vírgula 3 2 2 3 6 2 3" xfId="21859"/>
    <cellStyle name="Vírgula 3 2 2 3 6 2 4" xfId="15945"/>
    <cellStyle name="Vírgula 3 2 2 3 6 3" xfId="24816"/>
    <cellStyle name="Vírgula 3 2 2 3 6 4" xfId="18902"/>
    <cellStyle name="Vírgula 3 2 2 3 6 5" xfId="12789"/>
    <cellStyle name="Vírgula 3 2 2 3 7" xfId="8088"/>
    <cellStyle name="Vírgula 3 2 2 3 7 2" xfId="26302"/>
    <cellStyle name="Vírgula 3 2 2 3 7 3" xfId="20388"/>
    <cellStyle name="Vírgula 3 2 2 3 7 4" xfId="14477"/>
    <cellStyle name="Vírgula 3 2 2 3 8" xfId="4697"/>
    <cellStyle name="Vírgula 3 2 2 3 8 2" xfId="23345"/>
    <cellStyle name="Vírgula 3 2 2 3 9" xfId="17431"/>
    <cellStyle name="Vírgula 3 2 2 4" xfId="4306"/>
    <cellStyle name="Vírgula 3 2 2 4 2" xfId="7707"/>
    <cellStyle name="Vírgula 3 2 2 4 2 2" xfId="10802"/>
    <cellStyle name="Vírgula 3 2 2 4 2 2 2" xfId="29016"/>
    <cellStyle name="Vírgula 3 2 2 4 2 2 3" xfId="23102"/>
    <cellStyle name="Vírgula 3 2 2 4 2 2 4" xfId="17188"/>
    <cellStyle name="Vírgula 3 2 2 4 2 3" xfId="26059"/>
    <cellStyle name="Vírgula 3 2 2 4 2 4" xfId="20145"/>
    <cellStyle name="Vírgula 3 2 2 4 2 5" xfId="14096"/>
    <cellStyle name="Vírgula 3 2 2 4 3" xfId="9334"/>
    <cellStyle name="Vírgula 3 2 2 4 3 2" xfId="27548"/>
    <cellStyle name="Vírgula 3 2 2 4 3 3" xfId="21634"/>
    <cellStyle name="Vírgula 3 2 2 4 3 4" xfId="15720"/>
    <cellStyle name="Vírgula 3 2 2 4 4" xfId="6007"/>
    <cellStyle name="Vírgula 3 2 2 4 4 2" xfId="24591"/>
    <cellStyle name="Vírgula 3 2 2 4 5" xfId="18677"/>
    <cellStyle name="Vírgula 3 2 2 4 6" xfId="12395"/>
    <cellStyle name="Vírgula 3 2 2 5" xfId="4414"/>
    <cellStyle name="Vírgula 3 2 2 5 2" xfId="7816"/>
    <cellStyle name="Vírgula 3 2 2 5 2 2" xfId="10864"/>
    <cellStyle name="Vírgula 3 2 2 5 2 2 2" xfId="29078"/>
    <cellStyle name="Vírgula 3 2 2 5 2 2 3" xfId="23164"/>
    <cellStyle name="Vírgula 3 2 2 5 2 2 4" xfId="17250"/>
    <cellStyle name="Vírgula 3 2 2 5 2 3" xfId="26121"/>
    <cellStyle name="Vírgula 3 2 2 5 2 4" xfId="20207"/>
    <cellStyle name="Vírgula 3 2 2 5 2 5" xfId="14205"/>
    <cellStyle name="Vírgula 3 2 2 5 3" xfId="9396"/>
    <cellStyle name="Vírgula 3 2 2 5 3 2" xfId="27610"/>
    <cellStyle name="Vírgula 3 2 2 5 3 3" xfId="21696"/>
    <cellStyle name="Vírgula 3 2 2 5 3 4" xfId="15782"/>
    <cellStyle name="Vírgula 3 2 2 5 4" xfId="6116"/>
    <cellStyle name="Vírgula 3 2 2 5 4 2" xfId="24653"/>
    <cellStyle name="Vírgula 3 2 2 5 5" xfId="18739"/>
    <cellStyle name="Vírgula 3 2 2 5 6" xfId="12504"/>
    <cellStyle name="Vírgula 3 2 2 6" xfId="4522"/>
    <cellStyle name="Vírgula 3 2 2 6 2" xfId="7924"/>
    <cellStyle name="Vírgula 3 2 2 6 2 2" xfId="10926"/>
    <cellStyle name="Vírgula 3 2 2 6 2 2 2" xfId="29140"/>
    <cellStyle name="Vírgula 3 2 2 6 2 2 3" xfId="23226"/>
    <cellStyle name="Vírgula 3 2 2 6 2 2 4" xfId="17312"/>
    <cellStyle name="Vírgula 3 2 2 6 2 3" xfId="26183"/>
    <cellStyle name="Vírgula 3 2 2 6 2 4" xfId="20269"/>
    <cellStyle name="Vírgula 3 2 2 6 2 5" xfId="14313"/>
    <cellStyle name="Vírgula 3 2 2 6 3" xfId="9458"/>
    <cellStyle name="Vírgula 3 2 2 6 3 2" xfId="27672"/>
    <cellStyle name="Vírgula 3 2 2 6 3 3" xfId="21758"/>
    <cellStyle name="Vírgula 3 2 2 6 3 4" xfId="15844"/>
    <cellStyle name="Vírgula 3 2 2 6 4" xfId="6223"/>
    <cellStyle name="Vírgula 3 2 2 6 4 2" xfId="24715"/>
    <cellStyle name="Vírgula 3 2 2 6 5" xfId="18801"/>
    <cellStyle name="Vírgula 3 2 2 6 6" xfId="12612"/>
    <cellStyle name="Vírgula 3 2 2 7" xfId="5258"/>
    <cellStyle name="Vírgula 3 2 2 7 2" xfId="6957"/>
    <cellStyle name="Vírgula 3 2 2 7 2 2" xfId="10104"/>
    <cellStyle name="Vírgula 3 2 2 7 2 2 2" xfId="28318"/>
    <cellStyle name="Vírgula 3 2 2 7 2 2 3" xfId="22404"/>
    <cellStyle name="Vírgula 3 2 2 7 2 2 4" xfId="16490"/>
    <cellStyle name="Vírgula 3 2 2 7 2 3" xfId="25361"/>
    <cellStyle name="Vírgula 3 2 2 7 2 4" xfId="19447"/>
    <cellStyle name="Vírgula 3 2 2 7 2 5" xfId="13346"/>
    <cellStyle name="Vírgula 3 2 2 7 3" xfId="8636"/>
    <cellStyle name="Vírgula 3 2 2 7 3 2" xfId="26850"/>
    <cellStyle name="Vírgula 3 2 2 7 3 3" xfId="20936"/>
    <cellStyle name="Vírgula 3 2 2 7 3 4" xfId="15022"/>
    <cellStyle name="Vírgula 3 2 2 7 4" xfId="23893"/>
    <cellStyle name="Vírgula 3 2 2 7 5" xfId="17979"/>
    <cellStyle name="Vírgula 3 2 2 7 6" xfId="11645"/>
    <cellStyle name="Vírgula 3 2 2 8" xfId="6332"/>
    <cellStyle name="Vírgula 3 2 2 8 2" xfId="9520"/>
    <cellStyle name="Vírgula 3 2 2 8 2 2" xfId="27734"/>
    <cellStyle name="Vírgula 3 2 2 8 2 3" xfId="21820"/>
    <cellStyle name="Vírgula 3 2 2 8 2 4" xfId="15906"/>
    <cellStyle name="Vírgula 3 2 2 8 3" xfId="24777"/>
    <cellStyle name="Vírgula 3 2 2 8 4" xfId="18863"/>
    <cellStyle name="Vírgula 3 2 2 8 5" xfId="12721"/>
    <cellStyle name="Vírgula 3 2 2 9" xfId="8024"/>
    <cellStyle name="Vírgula 3 2 2 9 2" xfId="10984"/>
    <cellStyle name="Vírgula 3 2 2 9 2 2" xfId="29198"/>
    <cellStyle name="Vírgula 3 2 2 9 2 3" xfId="23284"/>
    <cellStyle name="Vírgula 3 2 2 9 2 4" xfId="17370"/>
    <cellStyle name="Vírgula 3 2 2 9 3" xfId="26241"/>
    <cellStyle name="Vírgula 3 2 2 9 4" xfId="20327"/>
    <cellStyle name="Vírgula 3 2 2 9 5" xfId="14413"/>
    <cellStyle name="Vírgula 3 2 3" xfId="2438"/>
    <cellStyle name="Vírgula 3 2 3 10" xfId="17403"/>
    <cellStyle name="Vírgula 3 2 3 11" xfId="11040"/>
    <cellStyle name="Vírgula 3 2 3 2" xfId="4249"/>
    <cellStyle name="Vírgula 3 2 3 2 2" xfId="7650"/>
    <cellStyle name="Vírgula 3 2 3 2 2 2" xfId="10770"/>
    <cellStyle name="Vírgula 3 2 3 2 2 2 2" xfId="28984"/>
    <cellStyle name="Vírgula 3 2 3 2 2 2 3" xfId="23070"/>
    <cellStyle name="Vírgula 3 2 3 2 2 2 4" xfId="17156"/>
    <cellStyle name="Vírgula 3 2 3 2 2 3" xfId="26027"/>
    <cellStyle name="Vírgula 3 2 3 2 2 4" xfId="20113"/>
    <cellStyle name="Vírgula 3 2 3 2 2 5" xfId="14039"/>
    <cellStyle name="Vírgula 3 2 3 2 3" xfId="9302"/>
    <cellStyle name="Vírgula 3 2 3 2 3 2" xfId="27516"/>
    <cellStyle name="Vírgula 3 2 3 2 3 3" xfId="21602"/>
    <cellStyle name="Vírgula 3 2 3 2 3 4" xfId="15688"/>
    <cellStyle name="Vírgula 3 2 3 2 4" xfId="5950"/>
    <cellStyle name="Vírgula 3 2 3 2 4 2" xfId="24559"/>
    <cellStyle name="Vírgula 3 2 3 2 5" xfId="18645"/>
    <cellStyle name="Vírgula 3 2 3 2 6" xfId="12338"/>
    <cellStyle name="Vírgula 3 2 3 3" xfId="4326"/>
    <cellStyle name="Vírgula 3 2 3 3 2" xfId="7727"/>
    <cellStyle name="Vírgula 3 2 3 3 2 2" xfId="10813"/>
    <cellStyle name="Vírgula 3 2 3 3 2 2 2" xfId="29027"/>
    <cellStyle name="Vírgula 3 2 3 3 2 2 3" xfId="23113"/>
    <cellStyle name="Vírgula 3 2 3 3 2 2 4" xfId="17199"/>
    <cellStyle name="Vírgula 3 2 3 3 2 3" xfId="26070"/>
    <cellStyle name="Vírgula 3 2 3 3 2 4" xfId="20156"/>
    <cellStyle name="Vírgula 3 2 3 3 2 5" xfId="14116"/>
    <cellStyle name="Vírgula 3 2 3 3 3" xfId="9345"/>
    <cellStyle name="Vírgula 3 2 3 3 3 2" xfId="27559"/>
    <cellStyle name="Vírgula 3 2 3 3 3 3" xfId="21645"/>
    <cellStyle name="Vírgula 3 2 3 3 3 4" xfId="15731"/>
    <cellStyle name="Vírgula 3 2 3 3 4" xfId="6027"/>
    <cellStyle name="Vírgula 3 2 3 3 4 2" xfId="24602"/>
    <cellStyle name="Vírgula 3 2 3 3 5" xfId="18688"/>
    <cellStyle name="Vírgula 3 2 3 3 6" xfId="12415"/>
    <cellStyle name="Vírgula 3 2 3 4" xfId="4434"/>
    <cellStyle name="Vírgula 3 2 3 4 2" xfId="7836"/>
    <cellStyle name="Vírgula 3 2 3 4 2 2" xfId="10875"/>
    <cellStyle name="Vírgula 3 2 3 4 2 2 2" xfId="29089"/>
    <cellStyle name="Vírgula 3 2 3 4 2 2 3" xfId="23175"/>
    <cellStyle name="Vírgula 3 2 3 4 2 2 4" xfId="17261"/>
    <cellStyle name="Vírgula 3 2 3 4 2 3" xfId="26132"/>
    <cellStyle name="Vírgula 3 2 3 4 2 4" xfId="20218"/>
    <cellStyle name="Vírgula 3 2 3 4 2 5" xfId="14225"/>
    <cellStyle name="Vírgula 3 2 3 4 3" xfId="9407"/>
    <cellStyle name="Vírgula 3 2 3 4 3 2" xfId="27621"/>
    <cellStyle name="Vírgula 3 2 3 4 3 3" xfId="21707"/>
    <cellStyle name="Vírgula 3 2 3 4 3 4" xfId="15793"/>
    <cellStyle name="Vírgula 3 2 3 4 4" xfId="6136"/>
    <cellStyle name="Vírgula 3 2 3 4 4 2" xfId="24664"/>
    <cellStyle name="Vírgula 3 2 3 4 5" xfId="18750"/>
    <cellStyle name="Vírgula 3 2 3 4 6" xfId="12524"/>
    <cellStyle name="Vírgula 3 2 3 5" xfId="4542"/>
    <cellStyle name="Vírgula 3 2 3 5 2" xfId="7944"/>
    <cellStyle name="Vírgula 3 2 3 5 2 2" xfId="10937"/>
    <cellStyle name="Vírgula 3 2 3 5 2 2 2" xfId="29151"/>
    <cellStyle name="Vírgula 3 2 3 5 2 2 3" xfId="23237"/>
    <cellStyle name="Vírgula 3 2 3 5 2 2 4" xfId="17323"/>
    <cellStyle name="Vírgula 3 2 3 5 2 3" xfId="26194"/>
    <cellStyle name="Vírgula 3 2 3 5 2 4" xfId="20280"/>
    <cellStyle name="Vírgula 3 2 3 5 2 5" xfId="14333"/>
    <cellStyle name="Vírgula 3 2 3 5 3" xfId="9469"/>
    <cellStyle name="Vírgula 3 2 3 5 3 2" xfId="27683"/>
    <cellStyle name="Vírgula 3 2 3 5 3 3" xfId="21769"/>
    <cellStyle name="Vírgula 3 2 3 5 3 4" xfId="15855"/>
    <cellStyle name="Vírgula 3 2 3 5 4" xfId="6243"/>
    <cellStyle name="Vírgula 3 2 3 5 4 2" xfId="24726"/>
    <cellStyle name="Vírgula 3 2 3 5 5" xfId="18812"/>
    <cellStyle name="Vírgula 3 2 3 5 6" xfId="12632"/>
    <cellStyle name="Vírgula 3 2 3 6" xfId="5408"/>
    <cellStyle name="Vírgula 3 2 3 6 2" xfId="7107"/>
    <cellStyle name="Vírgula 3 2 3 6 2 2" xfId="10251"/>
    <cellStyle name="Vírgula 3 2 3 6 2 2 2" xfId="28465"/>
    <cellStyle name="Vírgula 3 2 3 6 2 2 3" xfId="22551"/>
    <cellStyle name="Vírgula 3 2 3 6 2 2 4" xfId="16637"/>
    <cellStyle name="Vírgula 3 2 3 6 2 3" xfId="25508"/>
    <cellStyle name="Vírgula 3 2 3 6 2 4" xfId="19594"/>
    <cellStyle name="Vírgula 3 2 3 6 2 5" xfId="13496"/>
    <cellStyle name="Vírgula 3 2 3 6 3" xfId="8783"/>
    <cellStyle name="Vírgula 3 2 3 6 3 2" xfId="26997"/>
    <cellStyle name="Vírgula 3 2 3 6 3 3" xfId="21083"/>
    <cellStyle name="Vírgula 3 2 3 6 3 4" xfId="15169"/>
    <cellStyle name="Vírgula 3 2 3 6 4" xfId="24040"/>
    <cellStyle name="Vírgula 3 2 3 6 5" xfId="18126"/>
    <cellStyle name="Vírgula 3 2 3 6 6" xfId="11795"/>
    <cellStyle name="Vírgula 3 2 3 7" xfId="6352"/>
    <cellStyle name="Vírgula 3 2 3 7 2" xfId="9531"/>
    <cellStyle name="Vírgula 3 2 3 7 2 2" xfId="27745"/>
    <cellStyle name="Vírgula 3 2 3 7 2 3" xfId="21831"/>
    <cellStyle name="Vírgula 3 2 3 7 2 4" xfId="15917"/>
    <cellStyle name="Vírgula 3 2 3 7 3" xfId="24788"/>
    <cellStyle name="Vírgula 3 2 3 7 4" xfId="18874"/>
    <cellStyle name="Vírgula 3 2 3 7 5" xfId="12741"/>
    <cellStyle name="Vírgula 3 2 3 8" xfId="8060"/>
    <cellStyle name="Vírgula 3 2 3 8 2" xfId="26274"/>
    <cellStyle name="Vírgula 3 2 3 8 3" xfId="20360"/>
    <cellStyle name="Vírgula 3 2 3 8 4" xfId="14449"/>
    <cellStyle name="Vírgula 3 2 3 9" xfId="4649"/>
    <cellStyle name="Vírgula 3 2 3 9 2" xfId="23317"/>
    <cellStyle name="Vírgula 3 2 4" xfId="2965"/>
    <cellStyle name="Vírgula 3 2 4 10" xfId="11072"/>
    <cellStyle name="Vírgula 3 2 4 2" xfId="4358"/>
    <cellStyle name="Vírgula 3 2 4 2 2" xfId="7759"/>
    <cellStyle name="Vírgula 3 2 4 2 2 2" xfId="10832"/>
    <cellStyle name="Vírgula 3 2 4 2 2 2 2" xfId="29046"/>
    <cellStyle name="Vírgula 3 2 4 2 2 2 3" xfId="23132"/>
    <cellStyle name="Vírgula 3 2 4 2 2 2 4" xfId="17218"/>
    <cellStyle name="Vírgula 3 2 4 2 2 3" xfId="26089"/>
    <cellStyle name="Vírgula 3 2 4 2 2 4" xfId="20175"/>
    <cellStyle name="Vírgula 3 2 4 2 2 5" xfId="14148"/>
    <cellStyle name="Vírgula 3 2 4 2 3" xfId="9364"/>
    <cellStyle name="Vírgula 3 2 4 2 3 2" xfId="27578"/>
    <cellStyle name="Vírgula 3 2 4 2 3 3" xfId="21664"/>
    <cellStyle name="Vírgula 3 2 4 2 3 4" xfId="15750"/>
    <cellStyle name="Vírgula 3 2 4 2 4" xfId="6059"/>
    <cellStyle name="Vírgula 3 2 4 2 4 2" xfId="24621"/>
    <cellStyle name="Vírgula 3 2 4 2 5" xfId="18707"/>
    <cellStyle name="Vírgula 3 2 4 2 6" xfId="12447"/>
    <cellStyle name="Vírgula 3 2 4 3" xfId="4466"/>
    <cellStyle name="Vírgula 3 2 4 3 2" xfId="7868"/>
    <cellStyle name="Vírgula 3 2 4 3 2 2" xfId="10894"/>
    <cellStyle name="Vírgula 3 2 4 3 2 2 2" xfId="29108"/>
    <cellStyle name="Vírgula 3 2 4 3 2 2 3" xfId="23194"/>
    <cellStyle name="Vírgula 3 2 4 3 2 2 4" xfId="17280"/>
    <cellStyle name="Vírgula 3 2 4 3 2 3" xfId="26151"/>
    <cellStyle name="Vírgula 3 2 4 3 2 4" xfId="20237"/>
    <cellStyle name="Vírgula 3 2 4 3 2 5" xfId="14257"/>
    <cellStyle name="Vírgula 3 2 4 3 3" xfId="9426"/>
    <cellStyle name="Vírgula 3 2 4 3 3 2" xfId="27640"/>
    <cellStyle name="Vírgula 3 2 4 3 3 3" xfId="21726"/>
    <cellStyle name="Vírgula 3 2 4 3 3 4" xfId="15812"/>
    <cellStyle name="Vírgula 3 2 4 3 4" xfId="6167"/>
    <cellStyle name="Vírgula 3 2 4 3 4 2" xfId="24683"/>
    <cellStyle name="Vírgula 3 2 4 3 5" xfId="18769"/>
    <cellStyle name="Vírgula 3 2 4 3 6" xfId="12556"/>
    <cellStyle name="Vírgula 3 2 4 4" xfId="4574"/>
    <cellStyle name="Vírgula 3 2 4 4 2" xfId="7976"/>
    <cellStyle name="Vírgula 3 2 4 4 2 2" xfId="10956"/>
    <cellStyle name="Vírgula 3 2 4 4 2 2 2" xfId="29170"/>
    <cellStyle name="Vírgula 3 2 4 4 2 2 3" xfId="23256"/>
    <cellStyle name="Vírgula 3 2 4 4 2 2 4" xfId="17342"/>
    <cellStyle name="Vírgula 3 2 4 4 2 3" xfId="26213"/>
    <cellStyle name="Vírgula 3 2 4 4 2 4" xfId="20299"/>
    <cellStyle name="Vírgula 3 2 4 4 2 5" xfId="14365"/>
    <cellStyle name="Vírgula 3 2 4 4 3" xfId="9488"/>
    <cellStyle name="Vírgula 3 2 4 4 3 2" xfId="27702"/>
    <cellStyle name="Vírgula 3 2 4 4 3 3" xfId="21788"/>
    <cellStyle name="Vírgula 3 2 4 4 3 4" xfId="15874"/>
    <cellStyle name="Vírgula 3 2 4 4 4" xfId="6275"/>
    <cellStyle name="Vírgula 3 2 4 4 4 2" xfId="24745"/>
    <cellStyle name="Vírgula 3 2 4 4 5" xfId="18831"/>
    <cellStyle name="Vírgula 3 2 4 4 6" xfId="12664"/>
    <cellStyle name="Vírgula 3 2 4 5" xfId="5555"/>
    <cellStyle name="Vírgula 3 2 4 5 2" xfId="7254"/>
    <cellStyle name="Vírgula 3 2 4 5 2 2" xfId="10398"/>
    <cellStyle name="Vírgula 3 2 4 5 2 2 2" xfId="28612"/>
    <cellStyle name="Vírgula 3 2 4 5 2 2 3" xfId="22698"/>
    <cellStyle name="Vírgula 3 2 4 5 2 2 4" xfId="16784"/>
    <cellStyle name="Vírgula 3 2 4 5 2 3" xfId="25655"/>
    <cellStyle name="Vírgula 3 2 4 5 2 4" xfId="19741"/>
    <cellStyle name="Vírgula 3 2 4 5 2 5" xfId="13643"/>
    <cellStyle name="Vírgula 3 2 4 5 3" xfId="8930"/>
    <cellStyle name="Vírgula 3 2 4 5 3 2" xfId="27144"/>
    <cellStyle name="Vírgula 3 2 4 5 3 3" xfId="21230"/>
    <cellStyle name="Vírgula 3 2 4 5 3 4" xfId="15316"/>
    <cellStyle name="Vírgula 3 2 4 5 4" xfId="24187"/>
    <cellStyle name="Vírgula 3 2 4 5 5" xfId="18273"/>
    <cellStyle name="Vírgula 3 2 4 5 6" xfId="11942"/>
    <cellStyle name="Vírgula 3 2 4 6" xfId="6384"/>
    <cellStyle name="Vírgula 3 2 4 6 2" xfId="9550"/>
    <cellStyle name="Vírgula 3 2 4 6 2 2" xfId="27764"/>
    <cellStyle name="Vírgula 3 2 4 6 2 3" xfId="21850"/>
    <cellStyle name="Vírgula 3 2 4 6 2 4" xfId="15936"/>
    <cellStyle name="Vírgula 3 2 4 6 3" xfId="24807"/>
    <cellStyle name="Vírgula 3 2 4 6 4" xfId="18893"/>
    <cellStyle name="Vírgula 3 2 4 6 5" xfId="12773"/>
    <cellStyle name="Vírgula 3 2 4 7" xfId="8079"/>
    <cellStyle name="Vírgula 3 2 4 7 2" xfId="26293"/>
    <cellStyle name="Vírgula 3 2 4 7 3" xfId="20379"/>
    <cellStyle name="Vírgula 3 2 4 7 4" xfId="14468"/>
    <cellStyle name="Vírgula 3 2 4 8" xfId="4681"/>
    <cellStyle name="Vírgula 3 2 4 8 2" xfId="23336"/>
    <cellStyle name="Vírgula 3 2 4 9" xfId="17422"/>
    <cellStyle name="Vírgula 3 2 5" xfId="3492"/>
    <cellStyle name="Vírgula 3 2 5 2" xfId="7401"/>
    <cellStyle name="Vírgula 3 2 5 2 2" xfId="10545"/>
    <cellStyle name="Vírgula 3 2 5 2 2 2" xfId="28759"/>
    <cellStyle name="Vírgula 3 2 5 2 2 3" xfId="22845"/>
    <cellStyle name="Vírgula 3 2 5 2 2 4" xfId="16931"/>
    <cellStyle name="Vírgula 3 2 5 2 3" xfId="25802"/>
    <cellStyle name="Vírgula 3 2 5 2 4" xfId="19888"/>
    <cellStyle name="Vírgula 3 2 5 2 5" xfId="13790"/>
    <cellStyle name="Vírgula 3 2 5 3" xfId="9077"/>
    <cellStyle name="Vírgula 3 2 5 3 2" xfId="27291"/>
    <cellStyle name="Vírgula 3 2 5 3 3" xfId="21377"/>
    <cellStyle name="Vírgula 3 2 5 3 4" xfId="15463"/>
    <cellStyle name="Vírgula 3 2 5 4" xfId="5702"/>
    <cellStyle name="Vírgula 3 2 5 4 2" xfId="24334"/>
    <cellStyle name="Vírgula 3 2 5 5" xfId="18420"/>
    <cellStyle name="Vírgula 3 2 5 6" xfId="12089"/>
    <cellStyle name="Vírgula 3 2 6" xfId="4019"/>
    <cellStyle name="Vírgula 3 2 6 2" xfId="7548"/>
    <cellStyle name="Vírgula 3 2 6 2 2" xfId="10692"/>
    <cellStyle name="Vírgula 3 2 6 2 2 2" xfId="28906"/>
    <cellStyle name="Vírgula 3 2 6 2 2 3" xfId="22992"/>
    <cellStyle name="Vírgula 3 2 6 2 2 4" xfId="17078"/>
    <cellStyle name="Vírgula 3 2 6 2 3" xfId="25949"/>
    <cellStyle name="Vírgula 3 2 6 2 4" xfId="20035"/>
    <cellStyle name="Vírgula 3 2 6 2 5" xfId="13937"/>
    <cellStyle name="Vírgula 3 2 6 3" xfId="9224"/>
    <cellStyle name="Vírgula 3 2 6 3 2" xfId="27438"/>
    <cellStyle name="Vírgula 3 2 6 3 3" xfId="21524"/>
    <cellStyle name="Vírgula 3 2 6 3 4" xfId="15610"/>
    <cellStyle name="Vírgula 3 2 6 4" xfId="5849"/>
    <cellStyle name="Vírgula 3 2 6 4 2" xfId="24481"/>
    <cellStyle name="Vírgula 3 2 6 5" xfId="18567"/>
    <cellStyle name="Vírgula 3 2 6 6" xfId="12236"/>
    <cellStyle name="Vírgula 3 2 7" xfId="4214"/>
    <cellStyle name="Vírgula 3 2 7 2" xfId="7614"/>
    <cellStyle name="Vírgula 3 2 7 2 2" xfId="10750"/>
    <cellStyle name="Vírgula 3 2 7 2 2 2" xfId="28964"/>
    <cellStyle name="Vírgula 3 2 7 2 2 3" xfId="23050"/>
    <cellStyle name="Vírgula 3 2 7 2 2 4" xfId="17136"/>
    <cellStyle name="Vírgula 3 2 7 2 3" xfId="26007"/>
    <cellStyle name="Vírgula 3 2 7 2 4" xfId="20093"/>
    <cellStyle name="Vírgula 3 2 7 2 5" xfId="14003"/>
    <cellStyle name="Vírgula 3 2 7 3" xfId="9282"/>
    <cellStyle name="Vírgula 3 2 7 3 2" xfId="27496"/>
    <cellStyle name="Vírgula 3 2 7 3 3" xfId="21582"/>
    <cellStyle name="Vírgula 3 2 7 3 4" xfId="15668"/>
    <cellStyle name="Vírgula 3 2 7 4" xfId="5914"/>
    <cellStyle name="Vírgula 3 2 7 4 2" xfId="24539"/>
    <cellStyle name="Vírgula 3 2 7 5" xfId="18625"/>
    <cellStyle name="Vírgula 3 2 7 6" xfId="12302"/>
    <cellStyle name="Vírgula 3 2 8" xfId="4290"/>
    <cellStyle name="Vírgula 3 2 8 2" xfId="7691"/>
    <cellStyle name="Vírgula 3 2 8 2 2" xfId="10793"/>
    <cellStyle name="Vírgula 3 2 8 2 2 2" xfId="29007"/>
    <cellStyle name="Vírgula 3 2 8 2 2 3" xfId="23093"/>
    <cellStyle name="Vírgula 3 2 8 2 2 4" xfId="17179"/>
    <cellStyle name="Vírgula 3 2 8 2 3" xfId="26050"/>
    <cellStyle name="Vírgula 3 2 8 2 4" xfId="20136"/>
    <cellStyle name="Vírgula 3 2 8 2 5" xfId="14080"/>
    <cellStyle name="Vírgula 3 2 8 3" xfId="9325"/>
    <cellStyle name="Vírgula 3 2 8 3 2" xfId="27539"/>
    <cellStyle name="Vírgula 3 2 8 3 3" xfId="21625"/>
    <cellStyle name="Vírgula 3 2 8 3 4" xfId="15711"/>
    <cellStyle name="Vírgula 3 2 8 4" xfId="5991"/>
    <cellStyle name="Vírgula 3 2 8 4 2" xfId="24582"/>
    <cellStyle name="Vírgula 3 2 8 5" xfId="18668"/>
    <cellStyle name="Vírgula 3 2 8 6" xfId="12379"/>
    <cellStyle name="Vírgula 3 2 9" xfId="4398"/>
    <cellStyle name="Vírgula 3 2 9 2" xfId="7800"/>
    <cellStyle name="Vírgula 3 2 9 2 2" xfId="10855"/>
    <cellStyle name="Vírgula 3 2 9 2 2 2" xfId="29069"/>
    <cellStyle name="Vírgula 3 2 9 2 2 3" xfId="23155"/>
    <cellStyle name="Vírgula 3 2 9 2 2 4" xfId="17241"/>
    <cellStyle name="Vírgula 3 2 9 2 3" xfId="26112"/>
    <cellStyle name="Vírgula 3 2 9 2 4" xfId="20198"/>
    <cellStyle name="Vírgula 3 2 9 2 5" xfId="14189"/>
    <cellStyle name="Vírgula 3 2 9 3" xfId="9387"/>
    <cellStyle name="Vírgula 3 2 9 3 2" xfId="27601"/>
    <cellStyle name="Vírgula 3 2 9 3 3" xfId="21687"/>
    <cellStyle name="Vírgula 3 2 9 3 4" xfId="15773"/>
    <cellStyle name="Vírgula 3 2 9 4" xfId="6100"/>
    <cellStyle name="Vírgula 3 2 9 4 2" xfId="24644"/>
    <cellStyle name="Vírgula 3 2 9 5" xfId="18730"/>
    <cellStyle name="Vírgula 3 2 9 6" xfId="12488"/>
    <cellStyle name="Vírgula 3 20" xfId="10989"/>
    <cellStyle name="Vírgula 3 3" xfId="862"/>
    <cellStyle name="Vírgula 3 3 10" xfId="8013"/>
    <cellStyle name="Vírgula 3 3 10 2" xfId="10978"/>
    <cellStyle name="Vírgula 3 3 10 2 2" xfId="29192"/>
    <cellStyle name="Vírgula 3 3 10 2 3" xfId="23278"/>
    <cellStyle name="Vírgula 3 3 10 2 4" xfId="17364"/>
    <cellStyle name="Vírgula 3 3 10 3" xfId="26235"/>
    <cellStyle name="Vírgula 3 3 10 4" xfId="20321"/>
    <cellStyle name="Vírgula 3 3 10 5" xfId="14402"/>
    <cellStyle name="Vírgula 3 3 11" xfId="8043"/>
    <cellStyle name="Vírgula 3 3 11 2" xfId="26257"/>
    <cellStyle name="Vírgula 3 3 11 3" xfId="20343"/>
    <cellStyle name="Vírgula 3 3 11 4" xfId="14432"/>
    <cellStyle name="Vírgula 3 3 12" xfId="4619"/>
    <cellStyle name="Vírgula 3 3 12 2" xfId="23300"/>
    <cellStyle name="Vírgula 3 3 13" xfId="17386"/>
    <cellStyle name="Vírgula 3 3 14" xfId="11010"/>
    <cellStyle name="Vírgula 3 3 2" xfId="4234"/>
    <cellStyle name="Vírgula 3 3 2 10" xfId="8052"/>
    <cellStyle name="Vírgula 3 3 2 10 2" xfId="26266"/>
    <cellStyle name="Vírgula 3 3 2 10 3" xfId="20352"/>
    <cellStyle name="Vírgula 3 3 2 10 4" xfId="14441"/>
    <cellStyle name="Vírgula 3 3 2 11" xfId="4634"/>
    <cellStyle name="Vírgula 3 3 2 11 2" xfId="23309"/>
    <cellStyle name="Vírgula 3 3 2 12" xfId="17395"/>
    <cellStyle name="Vírgula 3 3 2 13" xfId="11025"/>
    <cellStyle name="Vírgula 3 3 2 2" xfId="4269"/>
    <cellStyle name="Vírgula 3 3 2 2 10" xfId="11060"/>
    <cellStyle name="Vírgula 3 3 2 2 2" xfId="4346"/>
    <cellStyle name="Vírgula 3 3 2 2 2 2" xfId="7747"/>
    <cellStyle name="Vírgula 3 3 2 2 2 2 2" xfId="10825"/>
    <cellStyle name="Vírgula 3 3 2 2 2 2 2 2" xfId="29039"/>
    <cellStyle name="Vírgula 3 3 2 2 2 2 2 3" xfId="23125"/>
    <cellStyle name="Vírgula 3 3 2 2 2 2 2 4" xfId="17211"/>
    <cellStyle name="Vírgula 3 3 2 2 2 2 3" xfId="26082"/>
    <cellStyle name="Vírgula 3 3 2 2 2 2 4" xfId="20168"/>
    <cellStyle name="Vírgula 3 3 2 2 2 2 5" xfId="14136"/>
    <cellStyle name="Vírgula 3 3 2 2 2 3" xfId="9357"/>
    <cellStyle name="Vírgula 3 3 2 2 2 3 2" xfId="27571"/>
    <cellStyle name="Vírgula 3 3 2 2 2 3 3" xfId="21657"/>
    <cellStyle name="Vírgula 3 3 2 2 2 3 4" xfId="15743"/>
    <cellStyle name="Vírgula 3 3 2 2 2 4" xfId="6047"/>
    <cellStyle name="Vírgula 3 3 2 2 2 4 2" xfId="24614"/>
    <cellStyle name="Vírgula 3 3 2 2 2 5" xfId="18700"/>
    <cellStyle name="Vírgula 3 3 2 2 2 6" xfId="12435"/>
    <cellStyle name="Vírgula 3 3 2 2 3" xfId="4454"/>
    <cellStyle name="Vírgula 3 3 2 2 3 2" xfId="7856"/>
    <cellStyle name="Vírgula 3 3 2 2 3 2 2" xfId="10887"/>
    <cellStyle name="Vírgula 3 3 2 2 3 2 2 2" xfId="29101"/>
    <cellStyle name="Vírgula 3 3 2 2 3 2 2 3" xfId="23187"/>
    <cellStyle name="Vírgula 3 3 2 2 3 2 2 4" xfId="17273"/>
    <cellStyle name="Vírgula 3 3 2 2 3 2 3" xfId="26144"/>
    <cellStyle name="Vírgula 3 3 2 2 3 2 4" xfId="20230"/>
    <cellStyle name="Vírgula 3 3 2 2 3 2 5" xfId="14245"/>
    <cellStyle name="Vírgula 3 3 2 2 3 3" xfId="9419"/>
    <cellStyle name="Vírgula 3 3 2 2 3 3 2" xfId="27633"/>
    <cellStyle name="Vírgula 3 3 2 2 3 3 3" xfId="21719"/>
    <cellStyle name="Vírgula 3 3 2 2 3 3 4" xfId="15805"/>
    <cellStyle name="Vírgula 3 3 2 2 3 4" xfId="6156"/>
    <cellStyle name="Vírgula 3 3 2 2 3 4 2" xfId="24676"/>
    <cellStyle name="Vírgula 3 3 2 2 3 5" xfId="18762"/>
    <cellStyle name="Vírgula 3 3 2 2 3 6" xfId="12544"/>
    <cellStyle name="Vírgula 3 3 2 2 4" xfId="4562"/>
    <cellStyle name="Vírgula 3 3 2 2 4 2" xfId="7964"/>
    <cellStyle name="Vírgula 3 3 2 2 4 2 2" xfId="10949"/>
    <cellStyle name="Vírgula 3 3 2 2 4 2 2 2" xfId="29163"/>
    <cellStyle name="Vírgula 3 3 2 2 4 2 2 3" xfId="23249"/>
    <cellStyle name="Vírgula 3 3 2 2 4 2 2 4" xfId="17335"/>
    <cellStyle name="Vírgula 3 3 2 2 4 2 3" xfId="26206"/>
    <cellStyle name="Vírgula 3 3 2 2 4 2 4" xfId="20292"/>
    <cellStyle name="Vírgula 3 3 2 2 4 2 5" xfId="14353"/>
    <cellStyle name="Vírgula 3 3 2 2 4 3" xfId="9481"/>
    <cellStyle name="Vírgula 3 3 2 2 4 3 2" xfId="27695"/>
    <cellStyle name="Vírgula 3 3 2 2 4 3 3" xfId="21781"/>
    <cellStyle name="Vírgula 3 3 2 2 4 3 4" xfId="15867"/>
    <cellStyle name="Vírgula 3 3 2 2 4 4" xfId="6263"/>
    <cellStyle name="Vírgula 3 3 2 2 4 4 2" xfId="24738"/>
    <cellStyle name="Vírgula 3 3 2 2 4 5" xfId="18824"/>
    <cellStyle name="Vírgula 3 3 2 2 4 6" xfId="12652"/>
    <cellStyle name="Vírgula 3 3 2 2 5" xfId="5970"/>
    <cellStyle name="Vírgula 3 3 2 2 5 2" xfId="7670"/>
    <cellStyle name="Vírgula 3 3 2 2 5 2 2" xfId="10782"/>
    <cellStyle name="Vírgula 3 3 2 2 5 2 2 2" xfId="28996"/>
    <cellStyle name="Vírgula 3 3 2 2 5 2 2 3" xfId="23082"/>
    <cellStyle name="Vírgula 3 3 2 2 5 2 2 4" xfId="17168"/>
    <cellStyle name="Vírgula 3 3 2 2 5 2 3" xfId="26039"/>
    <cellStyle name="Vírgula 3 3 2 2 5 2 4" xfId="20125"/>
    <cellStyle name="Vírgula 3 3 2 2 5 2 5" xfId="14059"/>
    <cellStyle name="Vírgula 3 3 2 2 5 3" xfId="9314"/>
    <cellStyle name="Vírgula 3 3 2 2 5 3 2" xfId="27528"/>
    <cellStyle name="Vírgula 3 3 2 2 5 3 3" xfId="21614"/>
    <cellStyle name="Vírgula 3 3 2 2 5 3 4" xfId="15700"/>
    <cellStyle name="Vírgula 3 3 2 2 5 4" xfId="24571"/>
    <cellStyle name="Vírgula 3 3 2 2 5 5" xfId="18657"/>
    <cellStyle name="Vírgula 3 3 2 2 5 6" xfId="12358"/>
    <cellStyle name="Vírgula 3 3 2 2 6" xfId="6372"/>
    <cellStyle name="Vírgula 3 3 2 2 6 2" xfId="9543"/>
    <cellStyle name="Vírgula 3 3 2 2 6 2 2" xfId="27757"/>
    <cellStyle name="Vírgula 3 3 2 2 6 2 3" xfId="21843"/>
    <cellStyle name="Vírgula 3 3 2 2 6 2 4" xfId="15929"/>
    <cellStyle name="Vírgula 3 3 2 2 6 3" xfId="24800"/>
    <cellStyle name="Vírgula 3 3 2 2 6 4" xfId="18886"/>
    <cellStyle name="Vírgula 3 3 2 2 6 5" xfId="12761"/>
    <cellStyle name="Vírgula 3 3 2 2 7" xfId="8072"/>
    <cellStyle name="Vírgula 3 3 2 2 7 2" xfId="26286"/>
    <cellStyle name="Vírgula 3 3 2 2 7 3" xfId="20372"/>
    <cellStyle name="Vírgula 3 3 2 2 7 4" xfId="14461"/>
    <cellStyle name="Vírgula 3 3 2 2 8" xfId="4669"/>
    <cellStyle name="Vírgula 3 3 2 2 8 2" xfId="23329"/>
    <cellStyle name="Vírgula 3 3 2 2 9" xfId="17415"/>
    <cellStyle name="Vírgula 3 3 2 3" xfId="4378"/>
    <cellStyle name="Vírgula 3 3 2 3 2" xfId="4486"/>
    <cellStyle name="Vírgula 3 3 2 3 2 2" xfId="7888"/>
    <cellStyle name="Vírgula 3 3 2 3 2 2 2" xfId="10906"/>
    <cellStyle name="Vírgula 3 3 2 3 2 2 2 2" xfId="29120"/>
    <cellStyle name="Vírgula 3 3 2 3 2 2 2 3" xfId="23206"/>
    <cellStyle name="Vírgula 3 3 2 3 2 2 2 4" xfId="17292"/>
    <cellStyle name="Vírgula 3 3 2 3 2 2 3" xfId="26163"/>
    <cellStyle name="Vírgula 3 3 2 3 2 2 4" xfId="20249"/>
    <cellStyle name="Vírgula 3 3 2 3 2 2 5" xfId="14277"/>
    <cellStyle name="Vírgula 3 3 2 3 2 3" xfId="9438"/>
    <cellStyle name="Vírgula 3 3 2 3 2 3 2" xfId="27652"/>
    <cellStyle name="Vírgula 3 3 2 3 2 3 3" xfId="21738"/>
    <cellStyle name="Vírgula 3 3 2 3 2 3 4" xfId="15824"/>
    <cellStyle name="Vírgula 3 3 2 3 2 4" xfId="6187"/>
    <cellStyle name="Vírgula 3 3 2 3 2 4 2" xfId="24695"/>
    <cellStyle name="Vírgula 3 3 2 3 2 5" xfId="18781"/>
    <cellStyle name="Vírgula 3 3 2 3 2 6" xfId="12576"/>
    <cellStyle name="Vírgula 3 3 2 3 3" xfId="4594"/>
    <cellStyle name="Vírgula 3 3 2 3 3 2" xfId="7997"/>
    <cellStyle name="Vírgula 3 3 2 3 3 2 2" xfId="10968"/>
    <cellStyle name="Vírgula 3 3 2 3 3 2 2 2" xfId="29182"/>
    <cellStyle name="Vírgula 3 3 2 3 3 2 2 3" xfId="23268"/>
    <cellStyle name="Vírgula 3 3 2 3 3 2 2 4" xfId="17354"/>
    <cellStyle name="Vírgula 3 3 2 3 3 2 3" xfId="26225"/>
    <cellStyle name="Vírgula 3 3 2 3 3 2 4" xfId="20311"/>
    <cellStyle name="Vírgula 3 3 2 3 3 2 5" xfId="14386"/>
    <cellStyle name="Vírgula 3 3 2 3 3 3" xfId="9500"/>
    <cellStyle name="Vírgula 3 3 2 3 3 3 2" xfId="27714"/>
    <cellStyle name="Vírgula 3 3 2 3 3 3 3" xfId="21800"/>
    <cellStyle name="Vírgula 3 3 2 3 3 3 4" xfId="15886"/>
    <cellStyle name="Vírgula 3 3 2 3 3 4" xfId="6296"/>
    <cellStyle name="Vírgula 3 3 2 3 3 4 2" xfId="24757"/>
    <cellStyle name="Vírgula 3 3 2 3 3 5" xfId="18843"/>
    <cellStyle name="Vírgula 3 3 2 3 3 6" xfId="12685"/>
    <cellStyle name="Vírgula 3 3 2 3 4" xfId="6080"/>
    <cellStyle name="Vírgula 3 3 2 3 4 2" xfId="7780"/>
    <cellStyle name="Vírgula 3 3 2 3 4 2 2" xfId="10844"/>
    <cellStyle name="Vírgula 3 3 2 3 4 2 2 2" xfId="29058"/>
    <cellStyle name="Vírgula 3 3 2 3 4 2 2 3" xfId="23144"/>
    <cellStyle name="Vírgula 3 3 2 3 4 2 2 4" xfId="17230"/>
    <cellStyle name="Vírgula 3 3 2 3 4 2 3" xfId="26101"/>
    <cellStyle name="Vírgula 3 3 2 3 4 2 4" xfId="20187"/>
    <cellStyle name="Vírgula 3 3 2 3 4 2 5" xfId="14169"/>
    <cellStyle name="Vírgula 3 3 2 3 4 3" xfId="9376"/>
    <cellStyle name="Vírgula 3 3 2 3 4 3 2" xfId="27590"/>
    <cellStyle name="Vírgula 3 3 2 3 4 3 3" xfId="21676"/>
    <cellStyle name="Vírgula 3 3 2 3 4 3 4" xfId="15762"/>
    <cellStyle name="Vírgula 3 3 2 3 4 4" xfId="24633"/>
    <cellStyle name="Vírgula 3 3 2 3 4 5" xfId="18719"/>
    <cellStyle name="Vírgula 3 3 2 3 4 6" xfId="12468"/>
    <cellStyle name="Vírgula 3 3 2 3 5" xfId="6405"/>
    <cellStyle name="Vírgula 3 3 2 3 5 2" xfId="9562"/>
    <cellStyle name="Vírgula 3 3 2 3 5 2 2" xfId="27776"/>
    <cellStyle name="Vírgula 3 3 2 3 5 2 3" xfId="21862"/>
    <cellStyle name="Vírgula 3 3 2 3 5 2 4" xfId="15948"/>
    <cellStyle name="Vírgula 3 3 2 3 5 3" xfId="24819"/>
    <cellStyle name="Vírgula 3 3 2 3 5 4" xfId="18905"/>
    <cellStyle name="Vírgula 3 3 2 3 5 5" xfId="12794"/>
    <cellStyle name="Vírgula 3 3 2 3 6" xfId="8091"/>
    <cellStyle name="Vírgula 3 3 2 3 6 2" xfId="26305"/>
    <cellStyle name="Vírgula 3 3 2 3 6 3" xfId="20391"/>
    <cellStyle name="Vírgula 3 3 2 3 6 4" xfId="14480"/>
    <cellStyle name="Vírgula 3 3 2 3 7" xfId="4702"/>
    <cellStyle name="Vírgula 3 3 2 3 7 2" xfId="23348"/>
    <cellStyle name="Vírgula 3 3 2 3 8" xfId="17434"/>
    <cellStyle name="Vírgula 3 3 2 3 9" xfId="11093"/>
    <cellStyle name="Vírgula 3 3 2 4" xfId="4311"/>
    <cellStyle name="Vírgula 3 3 2 4 2" xfId="7712"/>
    <cellStyle name="Vírgula 3 3 2 4 2 2" xfId="10805"/>
    <cellStyle name="Vírgula 3 3 2 4 2 2 2" xfId="29019"/>
    <cellStyle name="Vírgula 3 3 2 4 2 2 3" xfId="23105"/>
    <cellStyle name="Vírgula 3 3 2 4 2 2 4" xfId="17191"/>
    <cellStyle name="Vírgula 3 3 2 4 2 3" xfId="26062"/>
    <cellStyle name="Vírgula 3 3 2 4 2 4" xfId="20148"/>
    <cellStyle name="Vírgula 3 3 2 4 2 5" xfId="14101"/>
    <cellStyle name="Vírgula 3 3 2 4 3" xfId="9337"/>
    <cellStyle name="Vírgula 3 3 2 4 3 2" xfId="27551"/>
    <cellStyle name="Vírgula 3 3 2 4 3 3" xfId="21637"/>
    <cellStyle name="Vírgula 3 3 2 4 3 4" xfId="15723"/>
    <cellStyle name="Vírgula 3 3 2 4 4" xfId="6012"/>
    <cellStyle name="Vírgula 3 3 2 4 4 2" xfId="24594"/>
    <cellStyle name="Vírgula 3 3 2 4 5" xfId="18680"/>
    <cellStyle name="Vírgula 3 3 2 4 6" xfId="12400"/>
    <cellStyle name="Vírgula 3 3 2 5" xfId="4419"/>
    <cellStyle name="Vírgula 3 3 2 5 2" xfId="7821"/>
    <cellStyle name="Vírgula 3 3 2 5 2 2" xfId="10867"/>
    <cellStyle name="Vírgula 3 3 2 5 2 2 2" xfId="29081"/>
    <cellStyle name="Vírgula 3 3 2 5 2 2 3" xfId="23167"/>
    <cellStyle name="Vírgula 3 3 2 5 2 2 4" xfId="17253"/>
    <cellStyle name="Vírgula 3 3 2 5 2 3" xfId="26124"/>
    <cellStyle name="Vírgula 3 3 2 5 2 4" xfId="20210"/>
    <cellStyle name="Vírgula 3 3 2 5 2 5" xfId="14210"/>
    <cellStyle name="Vírgula 3 3 2 5 3" xfId="9399"/>
    <cellStyle name="Vírgula 3 3 2 5 3 2" xfId="27613"/>
    <cellStyle name="Vírgula 3 3 2 5 3 3" xfId="21699"/>
    <cellStyle name="Vírgula 3 3 2 5 3 4" xfId="15785"/>
    <cellStyle name="Vírgula 3 3 2 5 4" xfId="6121"/>
    <cellStyle name="Vírgula 3 3 2 5 4 2" xfId="24656"/>
    <cellStyle name="Vírgula 3 3 2 5 5" xfId="18742"/>
    <cellStyle name="Vírgula 3 3 2 5 6" xfId="12509"/>
    <cellStyle name="Vírgula 3 3 2 6" xfId="4527"/>
    <cellStyle name="Vírgula 3 3 2 6 2" xfId="7929"/>
    <cellStyle name="Vírgula 3 3 2 6 2 2" xfId="10929"/>
    <cellStyle name="Vírgula 3 3 2 6 2 2 2" xfId="29143"/>
    <cellStyle name="Vírgula 3 3 2 6 2 2 3" xfId="23229"/>
    <cellStyle name="Vírgula 3 3 2 6 2 2 4" xfId="17315"/>
    <cellStyle name="Vírgula 3 3 2 6 2 3" xfId="26186"/>
    <cellStyle name="Vírgula 3 3 2 6 2 4" xfId="20272"/>
    <cellStyle name="Vírgula 3 3 2 6 2 5" xfId="14318"/>
    <cellStyle name="Vírgula 3 3 2 6 3" xfId="9461"/>
    <cellStyle name="Vírgula 3 3 2 6 3 2" xfId="27675"/>
    <cellStyle name="Vírgula 3 3 2 6 3 3" xfId="21761"/>
    <cellStyle name="Vírgula 3 3 2 6 3 4" xfId="15847"/>
    <cellStyle name="Vírgula 3 3 2 6 4" xfId="6228"/>
    <cellStyle name="Vírgula 3 3 2 6 4 2" xfId="24718"/>
    <cellStyle name="Vírgula 3 3 2 6 5" xfId="18804"/>
    <cellStyle name="Vírgula 3 3 2 6 6" xfId="12617"/>
    <cellStyle name="Vírgula 3 3 2 7" xfId="5935"/>
    <cellStyle name="Vírgula 3 3 2 7 2" xfId="7635"/>
    <cellStyle name="Vírgula 3 3 2 7 2 2" xfId="10762"/>
    <cellStyle name="Vírgula 3 3 2 7 2 2 2" xfId="28976"/>
    <cellStyle name="Vírgula 3 3 2 7 2 2 3" xfId="23062"/>
    <cellStyle name="Vírgula 3 3 2 7 2 2 4" xfId="17148"/>
    <cellStyle name="Vírgula 3 3 2 7 2 3" xfId="26019"/>
    <cellStyle name="Vírgula 3 3 2 7 2 4" xfId="20105"/>
    <cellStyle name="Vírgula 3 3 2 7 2 5" xfId="14024"/>
    <cellStyle name="Vírgula 3 3 2 7 3" xfId="9294"/>
    <cellStyle name="Vírgula 3 3 2 7 3 2" xfId="27508"/>
    <cellStyle name="Vírgula 3 3 2 7 3 3" xfId="21594"/>
    <cellStyle name="Vírgula 3 3 2 7 3 4" xfId="15680"/>
    <cellStyle name="Vírgula 3 3 2 7 4" xfId="24551"/>
    <cellStyle name="Vírgula 3 3 2 7 5" xfId="18637"/>
    <cellStyle name="Vírgula 3 3 2 7 6" xfId="12323"/>
    <cellStyle name="Vírgula 3 3 2 8" xfId="6337"/>
    <cellStyle name="Vírgula 3 3 2 8 2" xfId="9523"/>
    <cellStyle name="Vírgula 3 3 2 8 2 2" xfId="27737"/>
    <cellStyle name="Vírgula 3 3 2 8 2 3" xfId="21823"/>
    <cellStyle name="Vírgula 3 3 2 8 2 4" xfId="15909"/>
    <cellStyle name="Vírgula 3 3 2 8 3" xfId="24780"/>
    <cellStyle name="Vírgula 3 3 2 8 4" xfId="18866"/>
    <cellStyle name="Vírgula 3 3 2 8 5" xfId="12726"/>
    <cellStyle name="Vírgula 3 3 2 9" xfId="8029"/>
    <cellStyle name="Vírgula 3 3 2 9 2" xfId="10987"/>
    <cellStyle name="Vírgula 3 3 2 9 2 2" xfId="29201"/>
    <cellStyle name="Vírgula 3 3 2 9 2 3" xfId="23287"/>
    <cellStyle name="Vírgula 3 3 2 9 2 4" xfId="17373"/>
    <cellStyle name="Vírgula 3 3 2 9 3" xfId="26244"/>
    <cellStyle name="Vírgula 3 3 2 9 4" xfId="20330"/>
    <cellStyle name="Vírgula 3 3 2 9 5" xfId="14418"/>
    <cellStyle name="Vírgula 3 3 3" xfId="4254"/>
    <cellStyle name="Vírgula 3 3 3 10" xfId="11045"/>
    <cellStyle name="Vírgula 3 3 3 2" xfId="4331"/>
    <cellStyle name="Vírgula 3 3 3 2 2" xfId="7732"/>
    <cellStyle name="Vírgula 3 3 3 2 2 2" xfId="10816"/>
    <cellStyle name="Vírgula 3 3 3 2 2 2 2" xfId="29030"/>
    <cellStyle name="Vírgula 3 3 3 2 2 2 3" xfId="23116"/>
    <cellStyle name="Vírgula 3 3 3 2 2 2 4" xfId="17202"/>
    <cellStyle name="Vírgula 3 3 3 2 2 3" xfId="26073"/>
    <cellStyle name="Vírgula 3 3 3 2 2 4" xfId="20159"/>
    <cellStyle name="Vírgula 3 3 3 2 2 5" xfId="14121"/>
    <cellStyle name="Vírgula 3 3 3 2 3" xfId="9348"/>
    <cellStyle name="Vírgula 3 3 3 2 3 2" xfId="27562"/>
    <cellStyle name="Vírgula 3 3 3 2 3 3" xfId="21648"/>
    <cellStyle name="Vírgula 3 3 3 2 3 4" xfId="15734"/>
    <cellStyle name="Vírgula 3 3 3 2 4" xfId="6032"/>
    <cellStyle name="Vírgula 3 3 3 2 4 2" xfId="24605"/>
    <cellStyle name="Vírgula 3 3 3 2 5" xfId="18691"/>
    <cellStyle name="Vírgula 3 3 3 2 6" xfId="12420"/>
    <cellStyle name="Vírgula 3 3 3 3" xfId="4439"/>
    <cellStyle name="Vírgula 3 3 3 3 2" xfId="7841"/>
    <cellStyle name="Vírgula 3 3 3 3 2 2" xfId="10878"/>
    <cellStyle name="Vírgula 3 3 3 3 2 2 2" xfId="29092"/>
    <cellStyle name="Vírgula 3 3 3 3 2 2 3" xfId="23178"/>
    <cellStyle name="Vírgula 3 3 3 3 2 2 4" xfId="17264"/>
    <cellStyle name="Vírgula 3 3 3 3 2 3" xfId="26135"/>
    <cellStyle name="Vírgula 3 3 3 3 2 4" xfId="20221"/>
    <cellStyle name="Vírgula 3 3 3 3 2 5" xfId="14230"/>
    <cellStyle name="Vírgula 3 3 3 3 3" xfId="9410"/>
    <cellStyle name="Vírgula 3 3 3 3 3 2" xfId="27624"/>
    <cellStyle name="Vírgula 3 3 3 3 3 3" xfId="21710"/>
    <cellStyle name="Vírgula 3 3 3 3 3 4" xfId="15796"/>
    <cellStyle name="Vírgula 3 3 3 3 4" xfId="6141"/>
    <cellStyle name="Vírgula 3 3 3 3 4 2" xfId="24667"/>
    <cellStyle name="Vírgula 3 3 3 3 5" xfId="18753"/>
    <cellStyle name="Vírgula 3 3 3 3 6" xfId="12529"/>
    <cellStyle name="Vírgula 3 3 3 4" xfId="4547"/>
    <cellStyle name="Vírgula 3 3 3 4 2" xfId="7949"/>
    <cellStyle name="Vírgula 3 3 3 4 2 2" xfId="10940"/>
    <cellStyle name="Vírgula 3 3 3 4 2 2 2" xfId="29154"/>
    <cellStyle name="Vírgula 3 3 3 4 2 2 3" xfId="23240"/>
    <cellStyle name="Vírgula 3 3 3 4 2 2 4" xfId="17326"/>
    <cellStyle name="Vírgula 3 3 3 4 2 3" xfId="26197"/>
    <cellStyle name="Vírgula 3 3 3 4 2 4" xfId="20283"/>
    <cellStyle name="Vírgula 3 3 3 4 2 5" xfId="14338"/>
    <cellStyle name="Vírgula 3 3 3 4 3" xfId="9472"/>
    <cellStyle name="Vírgula 3 3 3 4 3 2" xfId="27686"/>
    <cellStyle name="Vírgula 3 3 3 4 3 3" xfId="21772"/>
    <cellStyle name="Vírgula 3 3 3 4 3 4" xfId="15858"/>
    <cellStyle name="Vírgula 3 3 3 4 4" xfId="6248"/>
    <cellStyle name="Vírgula 3 3 3 4 4 2" xfId="24729"/>
    <cellStyle name="Vírgula 3 3 3 4 5" xfId="18815"/>
    <cellStyle name="Vírgula 3 3 3 4 6" xfId="12637"/>
    <cellStyle name="Vírgula 3 3 3 5" xfId="5955"/>
    <cellStyle name="Vírgula 3 3 3 5 2" xfId="7655"/>
    <cellStyle name="Vírgula 3 3 3 5 2 2" xfId="10773"/>
    <cellStyle name="Vírgula 3 3 3 5 2 2 2" xfId="28987"/>
    <cellStyle name="Vírgula 3 3 3 5 2 2 3" xfId="23073"/>
    <cellStyle name="Vírgula 3 3 3 5 2 2 4" xfId="17159"/>
    <cellStyle name="Vírgula 3 3 3 5 2 3" xfId="26030"/>
    <cellStyle name="Vírgula 3 3 3 5 2 4" xfId="20116"/>
    <cellStyle name="Vírgula 3 3 3 5 2 5" xfId="14044"/>
    <cellStyle name="Vírgula 3 3 3 5 3" xfId="9305"/>
    <cellStyle name="Vírgula 3 3 3 5 3 2" xfId="27519"/>
    <cellStyle name="Vírgula 3 3 3 5 3 3" xfId="21605"/>
    <cellStyle name="Vírgula 3 3 3 5 3 4" xfId="15691"/>
    <cellStyle name="Vírgula 3 3 3 5 4" xfId="24562"/>
    <cellStyle name="Vírgula 3 3 3 5 5" xfId="18648"/>
    <cellStyle name="Vírgula 3 3 3 5 6" xfId="12343"/>
    <cellStyle name="Vírgula 3 3 3 6" xfId="6357"/>
    <cellStyle name="Vírgula 3 3 3 6 2" xfId="9534"/>
    <cellStyle name="Vírgula 3 3 3 6 2 2" xfId="27748"/>
    <cellStyle name="Vírgula 3 3 3 6 2 3" xfId="21834"/>
    <cellStyle name="Vírgula 3 3 3 6 2 4" xfId="15920"/>
    <cellStyle name="Vírgula 3 3 3 6 3" xfId="24791"/>
    <cellStyle name="Vírgula 3 3 3 6 4" xfId="18877"/>
    <cellStyle name="Vírgula 3 3 3 6 5" xfId="12746"/>
    <cellStyle name="Vírgula 3 3 3 7" xfId="8063"/>
    <cellStyle name="Vírgula 3 3 3 7 2" xfId="26277"/>
    <cellStyle name="Vírgula 3 3 3 7 3" xfId="20363"/>
    <cellStyle name="Vírgula 3 3 3 7 4" xfId="14452"/>
    <cellStyle name="Vírgula 3 3 3 8" xfId="4654"/>
    <cellStyle name="Vírgula 3 3 3 8 2" xfId="23320"/>
    <cellStyle name="Vírgula 3 3 3 9" xfId="17406"/>
    <cellStyle name="Vírgula 3 3 4" xfId="4219"/>
    <cellStyle name="Vírgula 3 3 4 10" xfId="11077"/>
    <cellStyle name="Vírgula 3 3 4 2" xfId="4363"/>
    <cellStyle name="Vírgula 3 3 4 2 2" xfId="7764"/>
    <cellStyle name="Vírgula 3 3 4 2 2 2" xfId="10835"/>
    <cellStyle name="Vírgula 3 3 4 2 2 2 2" xfId="29049"/>
    <cellStyle name="Vírgula 3 3 4 2 2 2 3" xfId="23135"/>
    <cellStyle name="Vírgula 3 3 4 2 2 2 4" xfId="17221"/>
    <cellStyle name="Vírgula 3 3 4 2 2 3" xfId="26092"/>
    <cellStyle name="Vírgula 3 3 4 2 2 4" xfId="20178"/>
    <cellStyle name="Vírgula 3 3 4 2 2 5" xfId="14153"/>
    <cellStyle name="Vírgula 3 3 4 2 3" xfId="9367"/>
    <cellStyle name="Vírgula 3 3 4 2 3 2" xfId="27581"/>
    <cellStyle name="Vírgula 3 3 4 2 3 3" xfId="21667"/>
    <cellStyle name="Vírgula 3 3 4 2 3 4" xfId="15753"/>
    <cellStyle name="Vírgula 3 3 4 2 4" xfId="6064"/>
    <cellStyle name="Vírgula 3 3 4 2 4 2" xfId="24624"/>
    <cellStyle name="Vírgula 3 3 4 2 5" xfId="18710"/>
    <cellStyle name="Vírgula 3 3 4 2 6" xfId="12452"/>
    <cellStyle name="Vírgula 3 3 4 3" xfId="4471"/>
    <cellStyle name="Vírgula 3 3 4 3 2" xfId="7873"/>
    <cellStyle name="Vírgula 3 3 4 3 2 2" xfId="10897"/>
    <cellStyle name="Vírgula 3 3 4 3 2 2 2" xfId="29111"/>
    <cellStyle name="Vírgula 3 3 4 3 2 2 3" xfId="23197"/>
    <cellStyle name="Vírgula 3 3 4 3 2 2 4" xfId="17283"/>
    <cellStyle name="Vírgula 3 3 4 3 2 3" xfId="26154"/>
    <cellStyle name="Vírgula 3 3 4 3 2 4" xfId="20240"/>
    <cellStyle name="Vírgula 3 3 4 3 2 5" xfId="14262"/>
    <cellStyle name="Vírgula 3 3 4 3 3" xfId="9429"/>
    <cellStyle name="Vírgula 3 3 4 3 3 2" xfId="27643"/>
    <cellStyle name="Vírgula 3 3 4 3 3 3" xfId="21729"/>
    <cellStyle name="Vírgula 3 3 4 3 3 4" xfId="15815"/>
    <cellStyle name="Vírgula 3 3 4 3 4" xfId="6172"/>
    <cellStyle name="Vírgula 3 3 4 3 4 2" xfId="24686"/>
    <cellStyle name="Vírgula 3 3 4 3 5" xfId="18772"/>
    <cellStyle name="Vírgula 3 3 4 3 6" xfId="12561"/>
    <cellStyle name="Vírgula 3 3 4 4" xfId="4579"/>
    <cellStyle name="Vírgula 3 3 4 4 2" xfId="7981"/>
    <cellStyle name="Vírgula 3 3 4 4 2 2" xfId="10959"/>
    <cellStyle name="Vírgula 3 3 4 4 2 2 2" xfId="29173"/>
    <cellStyle name="Vírgula 3 3 4 4 2 2 3" xfId="23259"/>
    <cellStyle name="Vírgula 3 3 4 4 2 2 4" xfId="17345"/>
    <cellStyle name="Vírgula 3 3 4 4 2 3" xfId="26216"/>
    <cellStyle name="Vírgula 3 3 4 4 2 4" xfId="20302"/>
    <cellStyle name="Vírgula 3 3 4 4 2 5" xfId="14370"/>
    <cellStyle name="Vírgula 3 3 4 4 3" xfId="9491"/>
    <cellStyle name="Vírgula 3 3 4 4 3 2" xfId="27705"/>
    <cellStyle name="Vírgula 3 3 4 4 3 3" xfId="21791"/>
    <cellStyle name="Vírgula 3 3 4 4 3 4" xfId="15877"/>
    <cellStyle name="Vírgula 3 3 4 4 4" xfId="6280"/>
    <cellStyle name="Vírgula 3 3 4 4 4 2" xfId="24748"/>
    <cellStyle name="Vírgula 3 3 4 4 5" xfId="18834"/>
    <cellStyle name="Vírgula 3 3 4 4 6" xfId="12669"/>
    <cellStyle name="Vírgula 3 3 4 5" xfId="5919"/>
    <cellStyle name="Vírgula 3 3 4 5 2" xfId="7619"/>
    <cellStyle name="Vírgula 3 3 4 5 2 2" xfId="10753"/>
    <cellStyle name="Vírgula 3 3 4 5 2 2 2" xfId="28967"/>
    <cellStyle name="Vírgula 3 3 4 5 2 2 3" xfId="23053"/>
    <cellStyle name="Vírgula 3 3 4 5 2 2 4" xfId="17139"/>
    <cellStyle name="Vírgula 3 3 4 5 2 3" xfId="26010"/>
    <cellStyle name="Vírgula 3 3 4 5 2 4" xfId="20096"/>
    <cellStyle name="Vírgula 3 3 4 5 2 5" xfId="14008"/>
    <cellStyle name="Vírgula 3 3 4 5 3" xfId="9285"/>
    <cellStyle name="Vírgula 3 3 4 5 3 2" xfId="27499"/>
    <cellStyle name="Vírgula 3 3 4 5 3 3" xfId="21585"/>
    <cellStyle name="Vírgula 3 3 4 5 3 4" xfId="15671"/>
    <cellStyle name="Vírgula 3 3 4 5 4" xfId="24542"/>
    <cellStyle name="Vírgula 3 3 4 5 5" xfId="18628"/>
    <cellStyle name="Vírgula 3 3 4 5 6" xfId="12307"/>
    <cellStyle name="Vírgula 3 3 4 6" xfId="6389"/>
    <cellStyle name="Vírgula 3 3 4 6 2" xfId="9553"/>
    <cellStyle name="Vírgula 3 3 4 6 2 2" xfId="27767"/>
    <cellStyle name="Vírgula 3 3 4 6 2 3" xfId="21853"/>
    <cellStyle name="Vírgula 3 3 4 6 2 4" xfId="15939"/>
    <cellStyle name="Vírgula 3 3 4 6 3" xfId="24810"/>
    <cellStyle name="Vírgula 3 3 4 6 4" xfId="18896"/>
    <cellStyle name="Vírgula 3 3 4 6 5" xfId="12778"/>
    <cellStyle name="Vírgula 3 3 4 7" xfId="8082"/>
    <cellStyle name="Vírgula 3 3 4 7 2" xfId="26296"/>
    <cellStyle name="Vírgula 3 3 4 7 3" xfId="20382"/>
    <cellStyle name="Vírgula 3 3 4 7 4" xfId="14471"/>
    <cellStyle name="Vírgula 3 3 4 8" xfId="4686"/>
    <cellStyle name="Vírgula 3 3 4 8 2" xfId="23339"/>
    <cellStyle name="Vírgula 3 3 4 9" xfId="17425"/>
    <cellStyle name="Vírgula 3 3 5" xfId="4295"/>
    <cellStyle name="Vírgula 3 3 5 2" xfId="7696"/>
    <cellStyle name="Vírgula 3 3 5 2 2" xfId="10796"/>
    <cellStyle name="Vírgula 3 3 5 2 2 2" xfId="29010"/>
    <cellStyle name="Vírgula 3 3 5 2 2 3" xfId="23096"/>
    <cellStyle name="Vírgula 3 3 5 2 2 4" xfId="17182"/>
    <cellStyle name="Vírgula 3 3 5 2 3" xfId="26053"/>
    <cellStyle name="Vírgula 3 3 5 2 4" xfId="20139"/>
    <cellStyle name="Vírgula 3 3 5 2 5" xfId="14085"/>
    <cellStyle name="Vírgula 3 3 5 3" xfId="9328"/>
    <cellStyle name="Vírgula 3 3 5 3 2" xfId="27542"/>
    <cellStyle name="Vírgula 3 3 5 3 3" xfId="21628"/>
    <cellStyle name="Vírgula 3 3 5 3 4" xfId="15714"/>
    <cellStyle name="Vírgula 3 3 5 4" xfId="5996"/>
    <cellStyle name="Vírgula 3 3 5 4 2" xfId="24585"/>
    <cellStyle name="Vírgula 3 3 5 5" xfId="18671"/>
    <cellStyle name="Vírgula 3 3 5 6" xfId="12384"/>
    <cellStyle name="Vírgula 3 3 6" xfId="4403"/>
    <cellStyle name="Vírgula 3 3 6 2" xfId="7805"/>
    <cellStyle name="Vírgula 3 3 6 2 2" xfId="10858"/>
    <cellStyle name="Vírgula 3 3 6 2 2 2" xfId="29072"/>
    <cellStyle name="Vírgula 3 3 6 2 2 3" xfId="23158"/>
    <cellStyle name="Vírgula 3 3 6 2 2 4" xfId="17244"/>
    <cellStyle name="Vírgula 3 3 6 2 3" xfId="26115"/>
    <cellStyle name="Vírgula 3 3 6 2 4" xfId="20201"/>
    <cellStyle name="Vírgula 3 3 6 2 5" xfId="14194"/>
    <cellStyle name="Vírgula 3 3 6 3" xfId="9390"/>
    <cellStyle name="Vírgula 3 3 6 3 2" xfId="27604"/>
    <cellStyle name="Vírgula 3 3 6 3 3" xfId="21690"/>
    <cellStyle name="Vírgula 3 3 6 3 4" xfId="15776"/>
    <cellStyle name="Vírgula 3 3 6 4" xfId="6105"/>
    <cellStyle name="Vírgula 3 3 6 4 2" xfId="24647"/>
    <cellStyle name="Vírgula 3 3 6 5" xfId="18733"/>
    <cellStyle name="Vírgula 3 3 6 6" xfId="12493"/>
    <cellStyle name="Vírgula 3 3 7" xfId="4511"/>
    <cellStyle name="Vírgula 3 3 7 2" xfId="7913"/>
    <cellStyle name="Vírgula 3 3 7 2 2" xfId="10920"/>
    <cellStyle name="Vírgula 3 3 7 2 2 2" xfId="29134"/>
    <cellStyle name="Vírgula 3 3 7 2 2 3" xfId="23220"/>
    <cellStyle name="Vírgula 3 3 7 2 2 4" xfId="17306"/>
    <cellStyle name="Vírgula 3 3 7 2 3" xfId="26177"/>
    <cellStyle name="Vírgula 3 3 7 2 4" xfId="20263"/>
    <cellStyle name="Vírgula 3 3 7 2 5" xfId="14302"/>
    <cellStyle name="Vírgula 3 3 7 3" xfId="9452"/>
    <cellStyle name="Vírgula 3 3 7 3 2" xfId="27666"/>
    <cellStyle name="Vírgula 3 3 7 3 3" xfId="21752"/>
    <cellStyle name="Vírgula 3 3 7 3 4" xfId="15838"/>
    <cellStyle name="Vírgula 3 3 7 4" xfId="6212"/>
    <cellStyle name="Vírgula 3 3 7 4 2" xfId="24709"/>
    <cellStyle name="Vírgula 3 3 7 5" xfId="18795"/>
    <cellStyle name="Vírgula 3 3 7 6" xfId="12601"/>
    <cellStyle name="Vírgula 3 3 8" xfId="4971"/>
    <cellStyle name="Vírgula 3 3 8 2" xfId="6670"/>
    <cellStyle name="Vírgula 3 3 8 2 2" xfId="9817"/>
    <cellStyle name="Vírgula 3 3 8 2 2 2" xfId="28031"/>
    <cellStyle name="Vírgula 3 3 8 2 2 3" xfId="22117"/>
    <cellStyle name="Vírgula 3 3 8 2 2 4" xfId="16203"/>
    <cellStyle name="Vírgula 3 3 8 2 3" xfId="25074"/>
    <cellStyle name="Vírgula 3 3 8 2 4" xfId="19160"/>
    <cellStyle name="Vírgula 3 3 8 2 5" xfId="13059"/>
    <cellStyle name="Vírgula 3 3 8 3" xfId="8349"/>
    <cellStyle name="Vírgula 3 3 8 3 2" xfId="26563"/>
    <cellStyle name="Vírgula 3 3 8 3 3" xfId="20649"/>
    <cellStyle name="Vírgula 3 3 8 3 4" xfId="14735"/>
    <cellStyle name="Vírgula 3 3 8 4" xfId="23606"/>
    <cellStyle name="Vírgula 3 3 8 5" xfId="17692"/>
    <cellStyle name="Vírgula 3 3 8 6" xfId="11358"/>
    <cellStyle name="Vírgula 3 3 9" xfId="6321"/>
    <cellStyle name="Vírgula 3 3 9 2" xfId="9514"/>
    <cellStyle name="Vírgula 3 3 9 2 2" xfId="27728"/>
    <cellStyle name="Vírgula 3 3 9 2 3" xfId="21814"/>
    <cellStyle name="Vírgula 3 3 9 2 4" xfId="15900"/>
    <cellStyle name="Vírgula 3 3 9 3" xfId="24771"/>
    <cellStyle name="Vírgula 3 3 9 4" xfId="18857"/>
    <cellStyle name="Vírgula 3 3 9 5" xfId="12710"/>
    <cellStyle name="Vírgula 3 4" xfId="1213"/>
    <cellStyle name="Vírgula 3 4 10" xfId="8046"/>
    <cellStyle name="Vírgula 3 4 10 2" xfId="26260"/>
    <cellStyle name="Vírgula 3 4 10 3" xfId="20346"/>
    <cellStyle name="Vírgula 3 4 10 4" xfId="14435"/>
    <cellStyle name="Vírgula 3 4 11" xfId="4624"/>
    <cellStyle name="Vírgula 3 4 11 2" xfId="23303"/>
    <cellStyle name="Vírgula 3 4 12" xfId="17389"/>
    <cellStyle name="Vírgula 3 4 13" xfId="11015"/>
    <cellStyle name="Vírgula 3 4 2" xfId="4259"/>
    <cellStyle name="Vírgula 3 4 2 10" xfId="11050"/>
    <cellStyle name="Vírgula 3 4 2 2" xfId="4336"/>
    <cellStyle name="Vírgula 3 4 2 2 2" xfId="7737"/>
    <cellStyle name="Vírgula 3 4 2 2 2 2" xfId="10819"/>
    <cellStyle name="Vírgula 3 4 2 2 2 2 2" xfId="29033"/>
    <cellStyle name="Vírgula 3 4 2 2 2 2 3" xfId="23119"/>
    <cellStyle name="Vírgula 3 4 2 2 2 2 4" xfId="17205"/>
    <cellStyle name="Vírgula 3 4 2 2 2 3" xfId="26076"/>
    <cellStyle name="Vírgula 3 4 2 2 2 4" xfId="20162"/>
    <cellStyle name="Vírgula 3 4 2 2 2 5" xfId="14126"/>
    <cellStyle name="Vírgula 3 4 2 2 3" xfId="9351"/>
    <cellStyle name="Vírgula 3 4 2 2 3 2" xfId="27565"/>
    <cellStyle name="Vírgula 3 4 2 2 3 3" xfId="21651"/>
    <cellStyle name="Vírgula 3 4 2 2 3 4" xfId="15737"/>
    <cellStyle name="Vírgula 3 4 2 2 4" xfId="6037"/>
    <cellStyle name="Vírgula 3 4 2 2 4 2" xfId="24608"/>
    <cellStyle name="Vírgula 3 4 2 2 5" xfId="18694"/>
    <cellStyle name="Vírgula 3 4 2 2 6" xfId="12425"/>
    <cellStyle name="Vírgula 3 4 2 3" xfId="4444"/>
    <cellStyle name="Vírgula 3 4 2 3 2" xfId="7846"/>
    <cellStyle name="Vírgula 3 4 2 3 2 2" xfId="10881"/>
    <cellStyle name="Vírgula 3 4 2 3 2 2 2" xfId="29095"/>
    <cellStyle name="Vírgula 3 4 2 3 2 2 3" xfId="23181"/>
    <cellStyle name="Vírgula 3 4 2 3 2 2 4" xfId="17267"/>
    <cellStyle name="Vírgula 3 4 2 3 2 3" xfId="26138"/>
    <cellStyle name="Vírgula 3 4 2 3 2 4" xfId="20224"/>
    <cellStyle name="Vírgula 3 4 2 3 2 5" xfId="14235"/>
    <cellStyle name="Vírgula 3 4 2 3 3" xfId="9413"/>
    <cellStyle name="Vírgula 3 4 2 3 3 2" xfId="27627"/>
    <cellStyle name="Vírgula 3 4 2 3 3 3" xfId="21713"/>
    <cellStyle name="Vírgula 3 4 2 3 3 4" xfId="15799"/>
    <cellStyle name="Vírgula 3 4 2 3 4" xfId="6146"/>
    <cellStyle name="Vírgula 3 4 2 3 4 2" xfId="24670"/>
    <cellStyle name="Vírgula 3 4 2 3 5" xfId="18756"/>
    <cellStyle name="Vírgula 3 4 2 3 6" xfId="12534"/>
    <cellStyle name="Vírgula 3 4 2 4" xfId="4552"/>
    <cellStyle name="Vírgula 3 4 2 4 2" xfId="7954"/>
    <cellStyle name="Vírgula 3 4 2 4 2 2" xfId="10943"/>
    <cellStyle name="Vírgula 3 4 2 4 2 2 2" xfId="29157"/>
    <cellStyle name="Vírgula 3 4 2 4 2 2 3" xfId="23243"/>
    <cellStyle name="Vírgula 3 4 2 4 2 2 4" xfId="17329"/>
    <cellStyle name="Vírgula 3 4 2 4 2 3" xfId="26200"/>
    <cellStyle name="Vírgula 3 4 2 4 2 4" xfId="20286"/>
    <cellStyle name="Vírgula 3 4 2 4 2 5" xfId="14343"/>
    <cellStyle name="Vírgula 3 4 2 4 3" xfId="9475"/>
    <cellStyle name="Vírgula 3 4 2 4 3 2" xfId="27689"/>
    <cellStyle name="Vírgula 3 4 2 4 3 3" xfId="21775"/>
    <cellStyle name="Vírgula 3 4 2 4 3 4" xfId="15861"/>
    <cellStyle name="Vírgula 3 4 2 4 4" xfId="6253"/>
    <cellStyle name="Vírgula 3 4 2 4 4 2" xfId="24732"/>
    <cellStyle name="Vírgula 3 4 2 4 5" xfId="18818"/>
    <cellStyle name="Vírgula 3 4 2 4 6" xfId="12642"/>
    <cellStyle name="Vírgula 3 4 2 5" xfId="5960"/>
    <cellStyle name="Vírgula 3 4 2 5 2" xfId="7660"/>
    <cellStyle name="Vírgula 3 4 2 5 2 2" xfId="10776"/>
    <cellStyle name="Vírgula 3 4 2 5 2 2 2" xfId="28990"/>
    <cellStyle name="Vírgula 3 4 2 5 2 2 3" xfId="23076"/>
    <cellStyle name="Vírgula 3 4 2 5 2 2 4" xfId="17162"/>
    <cellStyle name="Vírgula 3 4 2 5 2 3" xfId="26033"/>
    <cellStyle name="Vírgula 3 4 2 5 2 4" xfId="20119"/>
    <cellStyle name="Vírgula 3 4 2 5 2 5" xfId="14049"/>
    <cellStyle name="Vírgula 3 4 2 5 3" xfId="9308"/>
    <cellStyle name="Vírgula 3 4 2 5 3 2" xfId="27522"/>
    <cellStyle name="Vírgula 3 4 2 5 3 3" xfId="21608"/>
    <cellStyle name="Vírgula 3 4 2 5 3 4" xfId="15694"/>
    <cellStyle name="Vírgula 3 4 2 5 4" xfId="24565"/>
    <cellStyle name="Vírgula 3 4 2 5 5" xfId="18651"/>
    <cellStyle name="Vírgula 3 4 2 5 6" xfId="12348"/>
    <cellStyle name="Vírgula 3 4 2 6" xfId="6362"/>
    <cellStyle name="Vírgula 3 4 2 6 2" xfId="9537"/>
    <cellStyle name="Vírgula 3 4 2 6 2 2" xfId="27751"/>
    <cellStyle name="Vírgula 3 4 2 6 2 3" xfId="21837"/>
    <cellStyle name="Vírgula 3 4 2 6 2 4" xfId="15923"/>
    <cellStyle name="Vírgula 3 4 2 6 3" xfId="24794"/>
    <cellStyle name="Vírgula 3 4 2 6 4" xfId="18880"/>
    <cellStyle name="Vírgula 3 4 2 6 5" xfId="12751"/>
    <cellStyle name="Vírgula 3 4 2 7" xfId="8066"/>
    <cellStyle name="Vírgula 3 4 2 7 2" xfId="26280"/>
    <cellStyle name="Vírgula 3 4 2 7 3" xfId="20366"/>
    <cellStyle name="Vírgula 3 4 2 7 4" xfId="14455"/>
    <cellStyle name="Vírgula 3 4 2 8" xfId="4659"/>
    <cellStyle name="Vírgula 3 4 2 8 2" xfId="23323"/>
    <cellStyle name="Vírgula 3 4 2 9" xfId="17409"/>
    <cellStyle name="Vírgula 3 4 3" xfId="4224"/>
    <cellStyle name="Vírgula 3 4 3 10" xfId="11082"/>
    <cellStyle name="Vírgula 3 4 3 2" xfId="4368"/>
    <cellStyle name="Vírgula 3 4 3 2 2" xfId="7769"/>
    <cellStyle name="Vírgula 3 4 3 2 2 2" xfId="10838"/>
    <cellStyle name="Vírgula 3 4 3 2 2 2 2" xfId="29052"/>
    <cellStyle name="Vírgula 3 4 3 2 2 2 3" xfId="23138"/>
    <cellStyle name="Vírgula 3 4 3 2 2 2 4" xfId="17224"/>
    <cellStyle name="Vírgula 3 4 3 2 2 3" xfId="26095"/>
    <cellStyle name="Vírgula 3 4 3 2 2 4" xfId="20181"/>
    <cellStyle name="Vírgula 3 4 3 2 2 5" xfId="14158"/>
    <cellStyle name="Vírgula 3 4 3 2 3" xfId="9370"/>
    <cellStyle name="Vírgula 3 4 3 2 3 2" xfId="27584"/>
    <cellStyle name="Vírgula 3 4 3 2 3 3" xfId="21670"/>
    <cellStyle name="Vírgula 3 4 3 2 3 4" xfId="15756"/>
    <cellStyle name="Vírgula 3 4 3 2 4" xfId="6069"/>
    <cellStyle name="Vírgula 3 4 3 2 4 2" xfId="24627"/>
    <cellStyle name="Vírgula 3 4 3 2 5" xfId="18713"/>
    <cellStyle name="Vírgula 3 4 3 2 6" xfId="12457"/>
    <cellStyle name="Vírgula 3 4 3 3" xfId="4476"/>
    <cellStyle name="Vírgula 3 4 3 3 2" xfId="7878"/>
    <cellStyle name="Vírgula 3 4 3 3 2 2" xfId="10900"/>
    <cellStyle name="Vírgula 3 4 3 3 2 2 2" xfId="29114"/>
    <cellStyle name="Vírgula 3 4 3 3 2 2 3" xfId="23200"/>
    <cellStyle name="Vírgula 3 4 3 3 2 2 4" xfId="17286"/>
    <cellStyle name="Vírgula 3 4 3 3 2 3" xfId="26157"/>
    <cellStyle name="Vírgula 3 4 3 3 2 4" xfId="20243"/>
    <cellStyle name="Vírgula 3 4 3 3 2 5" xfId="14267"/>
    <cellStyle name="Vírgula 3 4 3 3 3" xfId="9432"/>
    <cellStyle name="Vírgula 3 4 3 3 3 2" xfId="27646"/>
    <cellStyle name="Vírgula 3 4 3 3 3 3" xfId="21732"/>
    <cellStyle name="Vírgula 3 4 3 3 3 4" xfId="15818"/>
    <cellStyle name="Vírgula 3 4 3 3 4" xfId="6177"/>
    <cellStyle name="Vírgula 3 4 3 3 4 2" xfId="24689"/>
    <cellStyle name="Vírgula 3 4 3 3 5" xfId="18775"/>
    <cellStyle name="Vírgula 3 4 3 3 6" xfId="12566"/>
    <cellStyle name="Vírgula 3 4 3 4" xfId="4584"/>
    <cellStyle name="Vírgula 3 4 3 4 2" xfId="7986"/>
    <cellStyle name="Vírgula 3 4 3 4 2 2" xfId="10962"/>
    <cellStyle name="Vírgula 3 4 3 4 2 2 2" xfId="29176"/>
    <cellStyle name="Vírgula 3 4 3 4 2 2 3" xfId="23262"/>
    <cellStyle name="Vírgula 3 4 3 4 2 2 4" xfId="17348"/>
    <cellStyle name="Vírgula 3 4 3 4 2 3" xfId="26219"/>
    <cellStyle name="Vírgula 3 4 3 4 2 4" xfId="20305"/>
    <cellStyle name="Vírgula 3 4 3 4 2 5" xfId="14375"/>
    <cellStyle name="Vírgula 3 4 3 4 3" xfId="9494"/>
    <cellStyle name="Vírgula 3 4 3 4 3 2" xfId="27708"/>
    <cellStyle name="Vírgula 3 4 3 4 3 3" xfId="21794"/>
    <cellStyle name="Vírgula 3 4 3 4 3 4" xfId="15880"/>
    <cellStyle name="Vírgula 3 4 3 4 4" xfId="6285"/>
    <cellStyle name="Vírgula 3 4 3 4 4 2" xfId="24751"/>
    <cellStyle name="Vírgula 3 4 3 4 5" xfId="18837"/>
    <cellStyle name="Vírgula 3 4 3 4 6" xfId="12674"/>
    <cellStyle name="Vírgula 3 4 3 5" xfId="5924"/>
    <cellStyle name="Vírgula 3 4 3 5 2" xfId="7624"/>
    <cellStyle name="Vírgula 3 4 3 5 2 2" xfId="10756"/>
    <cellStyle name="Vírgula 3 4 3 5 2 2 2" xfId="28970"/>
    <cellStyle name="Vírgula 3 4 3 5 2 2 3" xfId="23056"/>
    <cellStyle name="Vírgula 3 4 3 5 2 2 4" xfId="17142"/>
    <cellStyle name="Vírgula 3 4 3 5 2 3" xfId="26013"/>
    <cellStyle name="Vírgula 3 4 3 5 2 4" xfId="20099"/>
    <cellStyle name="Vírgula 3 4 3 5 2 5" xfId="14013"/>
    <cellStyle name="Vírgula 3 4 3 5 3" xfId="9288"/>
    <cellStyle name="Vírgula 3 4 3 5 3 2" xfId="27502"/>
    <cellStyle name="Vírgula 3 4 3 5 3 3" xfId="21588"/>
    <cellStyle name="Vírgula 3 4 3 5 3 4" xfId="15674"/>
    <cellStyle name="Vírgula 3 4 3 5 4" xfId="24545"/>
    <cellStyle name="Vírgula 3 4 3 5 5" xfId="18631"/>
    <cellStyle name="Vírgula 3 4 3 5 6" xfId="12312"/>
    <cellStyle name="Vírgula 3 4 3 6" xfId="6394"/>
    <cellStyle name="Vírgula 3 4 3 6 2" xfId="9556"/>
    <cellStyle name="Vírgula 3 4 3 6 2 2" xfId="27770"/>
    <cellStyle name="Vírgula 3 4 3 6 2 3" xfId="21856"/>
    <cellStyle name="Vírgula 3 4 3 6 2 4" xfId="15942"/>
    <cellStyle name="Vírgula 3 4 3 6 3" xfId="24813"/>
    <cellStyle name="Vírgula 3 4 3 6 4" xfId="18899"/>
    <cellStyle name="Vírgula 3 4 3 6 5" xfId="12783"/>
    <cellStyle name="Vírgula 3 4 3 7" xfId="8085"/>
    <cellStyle name="Vírgula 3 4 3 7 2" xfId="26299"/>
    <cellStyle name="Vírgula 3 4 3 7 3" xfId="20385"/>
    <cellStyle name="Vírgula 3 4 3 7 4" xfId="14474"/>
    <cellStyle name="Vírgula 3 4 3 8" xfId="4691"/>
    <cellStyle name="Vírgula 3 4 3 8 2" xfId="23342"/>
    <cellStyle name="Vírgula 3 4 3 9" xfId="17428"/>
    <cellStyle name="Vírgula 3 4 4" xfId="4300"/>
    <cellStyle name="Vírgula 3 4 4 2" xfId="7701"/>
    <cellStyle name="Vírgula 3 4 4 2 2" xfId="10799"/>
    <cellStyle name="Vírgula 3 4 4 2 2 2" xfId="29013"/>
    <cellStyle name="Vírgula 3 4 4 2 2 3" xfId="23099"/>
    <cellStyle name="Vírgula 3 4 4 2 2 4" xfId="17185"/>
    <cellStyle name="Vírgula 3 4 4 2 3" xfId="26056"/>
    <cellStyle name="Vírgula 3 4 4 2 4" xfId="20142"/>
    <cellStyle name="Vírgula 3 4 4 2 5" xfId="14090"/>
    <cellStyle name="Vírgula 3 4 4 3" xfId="9331"/>
    <cellStyle name="Vírgula 3 4 4 3 2" xfId="27545"/>
    <cellStyle name="Vírgula 3 4 4 3 3" xfId="21631"/>
    <cellStyle name="Vírgula 3 4 4 3 4" xfId="15717"/>
    <cellStyle name="Vírgula 3 4 4 4" xfId="6001"/>
    <cellStyle name="Vírgula 3 4 4 4 2" xfId="24588"/>
    <cellStyle name="Vírgula 3 4 4 5" xfId="18674"/>
    <cellStyle name="Vírgula 3 4 4 6" xfId="12389"/>
    <cellStyle name="Vírgula 3 4 5" xfId="4408"/>
    <cellStyle name="Vírgula 3 4 5 2" xfId="7810"/>
    <cellStyle name="Vírgula 3 4 5 2 2" xfId="10861"/>
    <cellStyle name="Vírgula 3 4 5 2 2 2" xfId="29075"/>
    <cellStyle name="Vírgula 3 4 5 2 2 3" xfId="23161"/>
    <cellStyle name="Vírgula 3 4 5 2 2 4" xfId="17247"/>
    <cellStyle name="Vírgula 3 4 5 2 3" xfId="26118"/>
    <cellStyle name="Vírgula 3 4 5 2 4" xfId="20204"/>
    <cellStyle name="Vírgula 3 4 5 2 5" xfId="14199"/>
    <cellStyle name="Vírgula 3 4 5 3" xfId="9393"/>
    <cellStyle name="Vírgula 3 4 5 3 2" xfId="27607"/>
    <cellStyle name="Vírgula 3 4 5 3 3" xfId="21693"/>
    <cellStyle name="Vírgula 3 4 5 3 4" xfId="15779"/>
    <cellStyle name="Vírgula 3 4 5 4" xfId="6110"/>
    <cellStyle name="Vírgula 3 4 5 4 2" xfId="24650"/>
    <cellStyle name="Vírgula 3 4 5 5" xfId="18736"/>
    <cellStyle name="Vírgula 3 4 5 6" xfId="12498"/>
    <cellStyle name="Vírgula 3 4 6" xfId="4516"/>
    <cellStyle name="Vírgula 3 4 6 2" xfId="7918"/>
    <cellStyle name="Vírgula 3 4 6 2 2" xfId="10923"/>
    <cellStyle name="Vírgula 3 4 6 2 2 2" xfId="29137"/>
    <cellStyle name="Vírgula 3 4 6 2 2 3" xfId="23223"/>
    <cellStyle name="Vírgula 3 4 6 2 2 4" xfId="17309"/>
    <cellStyle name="Vírgula 3 4 6 2 3" xfId="26180"/>
    <cellStyle name="Vírgula 3 4 6 2 4" xfId="20266"/>
    <cellStyle name="Vírgula 3 4 6 2 5" xfId="14307"/>
    <cellStyle name="Vírgula 3 4 6 3" xfId="9455"/>
    <cellStyle name="Vírgula 3 4 6 3 2" xfId="27669"/>
    <cellStyle name="Vírgula 3 4 6 3 3" xfId="21755"/>
    <cellStyle name="Vírgula 3 4 6 3 4" xfId="15841"/>
    <cellStyle name="Vírgula 3 4 6 4" xfId="6217"/>
    <cellStyle name="Vírgula 3 4 6 4 2" xfId="24712"/>
    <cellStyle name="Vírgula 3 4 6 5" xfId="18798"/>
    <cellStyle name="Vírgula 3 4 6 6" xfId="12606"/>
    <cellStyle name="Vírgula 3 4 7" xfId="5069"/>
    <cellStyle name="Vírgula 3 4 7 2" xfId="6768"/>
    <cellStyle name="Vírgula 3 4 7 2 2" xfId="9915"/>
    <cellStyle name="Vírgula 3 4 7 2 2 2" xfId="28129"/>
    <cellStyle name="Vírgula 3 4 7 2 2 3" xfId="22215"/>
    <cellStyle name="Vírgula 3 4 7 2 2 4" xfId="16301"/>
    <cellStyle name="Vírgula 3 4 7 2 3" xfId="25172"/>
    <cellStyle name="Vírgula 3 4 7 2 4" xfId="19258"/>
    <cellStyle name="Vírgula 3 4 7 2 5" xfId="13157"/>
    <cellStyle name="Vírgula 3 4 7 3" xfId="8447"/>
    <cellStyle name="Vírgula 3 4 7 3 2" xfId="26661"/>
    <cellStyle name="Vírgula 3 4 7 3 3" xfId="20747"/>
    <cellStyle name="Vírgula 3 4 7 3 4" xfId="14833"/>
    <cellStyle name="Vírgula 3 4 7 4" xfId="23704"/>
    <cellStyle name="Vírgula 3 4 7 5" xfId="17790"/>
    <cellStyle name="Vírgula 3 4 7 6" xfId="11456"/>
    <cellStyle name="Vírgula 3 4 8" xfId="6326"/>
    <cellStyle name="Vírgula 3 4 8 2" xfId="9517"/>
    <cellStyle name="Vírgula 3 4 8 2 2" xfId="27731"/>
    <cellStyle name="Vírgula 3 4 8 2 3" xfId="21817"/>
    <cellStyle name="Vírgula 3 4 8 2 4" xfId="15903"/>
    <cellStyle name="Vírgula 3 4 8 3" xfId="24774"/>
    <cellStyle name="Vírgula 3 4 8 4" xfId="18860"/>
    <cellStyle name="Vírgula 3 4 8 5" xfId="12715"/>
    <cellStyle name="Vírgula 3 4 9" xfId="8018"/>
    <cellStyle name="Vírgula 3 4 9 2" xfId="10981"/>
    <cellStyle name="Vírgula 3 4 9 2 2" xfId="29195"/>
    <cellStyle name="Vírgula 3 4 9 2 3" xfId="23281"/>
    <cellStyle name="Vírgula 3 4 9 2 4" xfId="17367"/>
    <cellStyle name="Vírgula 3 4 9 3" xfId="26238"/>
    <cellStyle name="Vírgula 3 4 9 4" xfId="20324"/>
    <cellStyle name="Vírgula 3 4 9 5" xfId="14407"/>
    <cellStyle name="Vírgula 3 5" xfId="1648"/>
    <cellStyle name="Vírgula 3 5 10" xfId="17380"/>
    <cellStyle name="Vírgula 3 5 11" xfId="10999"/>
    <cellStyle name="Vírgula 3 5 2" xfId="4208"/>
    <cellStyle name="Vírgula 3 5 2 2" xfId="7608"/>
    <cellStyle name="Vírgula 3 5 2 2 2" xfId="10747"/>
    <cellStyle name="Vírgula 3 5 2 2 2 2" xfId="28961"/>
    <cellStyle name="Vírgula 3 5 2 2 2 3" xfId="23047"/>
    <cellStyle name="Vírgula 3 5 2 2 2 4" xfId="17133"/>
    <cellStyle name="Vírgula 3 5 2 2 3" xfId="26004"/>
    <cellStyle name="Vírgula 3 5 2 2 4" xfId="20090"/>
    <cellStyle name="Vírgula 3 5 2 2 5" xfId="13997"/>
    <cellStyle name="Vírgula 3 5 2 3" xfId="9279"/>
    <cellStyle name="Vírgula 3 5 2 3 2" xfId="27493"/>
    <cellStyle name="Vírgula 3 5 2 3 3" xfId="21579"/>
    <cellStyle name="Vírgula 3 5 2 3 4" xfId="15665"/>
    <cellStyle name="Vírgula 3 5 2 4" xfId="5909"/>
    <cellStyle name="Vírgula 3 5 2 4 2" xfId="24536"/>
    <cellStyle name="Vírgula 3 5 2 5" xfId="18622"/>
    <cellStyle name="Vírgula 3 5 2 6" xfId="12296"/>
    <cellStyle name="Vírgula 3 5 3" xfId="4284"/>
    <cellStyle name="Vírgula 3 5 3 2" xfId="7685"/>
    <cellStyle name="Vírgula 3 5 3 2 2" xfId="10790"/>
    <cellStyle name="Vírgula 3 5 3 2 2 2" xfId="29004"/>
    <cellStyle name="Vírgula 3 5 3 2 2 3" xfId="23090"/>
    <cellStyle name="Vírgula 3 5 3 2 2 4" xfId="17176"/>
    <cellStyle name="Vírgula 3 5 3 2 3" xfId="26047"/>
    <cellStyle name="Vírgula 3 5 3 2 4" xfId="20133"/>
    <cellStyle name="Vírgula 3 5 3 2 5" xfId="14074"/>
    <cellStyle name="Vírgula 3 5 3 3" xfId="9322"/>
    <cellStyle name="Vírgula 3 5 3 3 2" xfId="27536"/>
    <cellStyle name="Vírgula 3 5 3 3 3" xfId="21622"/>
    <cellStyle name="Vírgula 3 5 3 3 4" xfId="15708"/>
    <cellStyle name="Vírgula 3 5 3 4" xfId="5985"/>
    <cellStyle name="Vírgula 3 5 3 4 2" xfId="24579"/>
    <cellStyle name="Vírgula 3 5 3 5" xfId="18665"/>
    <cellStyle name="Vírgula 3 5 3 6" xfId="12373"/>
    <cellStyle name="Vírgula 3 5 4" xfId="4392"/>
    <cellStyle name="Vírgula 3 5 4 2" xfId="7794"/>
    <cellStyle name="Vírgula 3 5 4 2 2" xfId="10852"/>
    <cellStyle name="Vírgula 3 5 4 2 2 2" xfId="29066"/>
    <cellStyle name="Vírgula 3 5 4 2 2 3" xfId="23152"/>
    <cellStyle name="Vírgula 3 5 4 2 2 4" xfId="17238"/>
    <cellStyle name="Vírgula 3 5 4 2 3" xfId="26109"/>
    <cellStyle name="Vírgula 3 5 4 2 4" xfId="20195"/>
    <cellStyle name="Vírgula 3 5 4 2 5" xfId="14183"/>
    <cellStyle name="Vírgula 3 5 4 3" xfId="9384"/>
    <cellStyle name="Vírgula 3 5 4 3 2" xfId="27598"/>
    <cellStyle name="Vírgula 3 5 4 3 3" xfId="21684"/>
    <cellStyle name="Vírgula 3 5 4 3 4" xfId="15770"/>
    <cellStyle name="Vírgula 3 5 4 4" xfId="6094"/>
    <cellStyle name="Vírgula 3 5 4 4 2" xfId="24641"/>
    <cellStyle name="Vírgula 3 5 4 5" xfId="18727"/>
    <cellStyle name="Vírgula 3 5 4 6" xfId="12482"/>
    <cellStyle name="Vírgula 3 5 5" xfId="4500"/>
    <cellStyle name="Vírgula 3 5 5 2" xfId="7902"/>
    <cellStyle name="Vírgula 3 5 5 2 2" xfId="10914"/>
    <cellStyle name="Vírgula 3 5 5 2 2 2" xfId="29128"/>
    <cellStyle name="Vírgula 3 5 5 2 2 3" xfId="23214"/>
    <cellStyle name="Vírgula 3 5 5 2 2 4" xfId="17300"/>
    <cellStyle name="Vírgula 3 5 5 2 3" xfId="26171"/>
    <cellStyle name="Vírgula 3 5 5 2 4" xfId="20257"/>
    <cellStyle name="Vírgula 3 5 5 2 5" xfId="14291"/>
    <cellStyle name="Vírgula 3 5 5 3" xfId="9446"/>
    <cellStyle name="Vírgula 3 5 5 3 2" xfId="27660"/>
    <cellStyle name="Vírgula 3 5 5 3 3" xfId="21746"/>
    <cellStyle name="Vírgula 3 5 5 3 4" xfId="15832"/>
    <cellStyle name="Vírgula 3 5 5 4" xfId="6201"/>
    <cellStyle name="Vírgula 3 5 5 4 2" xfId="24703"/>
    <cellStyle name="Vírgula 3 5 5 5" xfId="18789"/>
    <cellStyle name="Vírgula 3 5 5 6" xfId="12590"/>
    <cellStyle name="Vírgula 3 5 6" xfId="5188"/>
    <cellStyle name="Vírgula 3 5 6 2" xfId="6887"/>
    <cellStyle name="Vírgula 3 5 6 2 2" xfId="10034"/>
    <cellStyle name="Vírgula 3 5 6 2 2 2" xfId="28248"/>
    <cellStyle name="Vírgula 3 5 6 2 2 3" xfId="22334"/>
    <cellStyle name="Vírgula 3 5 6 2 2 4" xfId="16420"/>
    <cellStyle name="Vírgula 3 5 6 2 3" xfId="25291"/>
    <cellStyle name="Vírgula 3 5 6 2 4" xfId="19377"/>
    <cellStyle name="Vírgula 3 5 6 2 5" xfId="13276"/>
    <cellStyle name="Vírgula 3 5 6 3" xfId="8566"/>
    <cellStyle name="Vírgula 3 5 6 3 2" xfId="26780"/>
    <cellStyle name="Vírgula 3 5 6 3 3" xfId="20866"/>
    <cellStyle name="Vírgula 3 5 6 3 4" xfId="14952"/>
    <cellStyle name="Vírgula 3 5 6 4" xfId="23823"/>
    <cellStyle name="Vírgula 3 5 6 5" xfId="17909"/>
    <cellStyle name="Vírgula 3 5 6 6" xfId="11575"/>
    <cellStyle name="Vírgula 3 5 7" xfId="6310"/>
    <cellStyle name="Vírgula 3 5 7 2" xfId="9508"/>
    <cellStyle name="Vírgula 3 5 7 2 2" xfId="27722"/>
    <cellStyle name="Vírgula 3 5 7 2 3" xfId="21808"/>
    <cellStyle name="Vírgula 3 5 7 2 4" xfId="15894"/>
    <cellStyle name="Vírgula 3 5 7 3" xfId="24765"/>
    <cellStyle name="Vírgula 3 5 7 4" xfId="18851"/>
    <cellStyle name="Vírgula 3 5 7 5" xfId="12699"/>
    <cellStyle name="Vírgula 3 5 8" xfId="8037"/>
    <cellStyle name="Vírgula 3 5 8 2" xfId="26251"/>
    <cellStyle name="Vírgula 3 5 8 3" xfId="20337"/>
    <cellStyle name="Vírgula 3 5 8 4" xfId="14426"/>
    <cellStyle name="Vírgula 3 5 9" xfId="4608"/>
    <cellStyle name="Vírgula 3 5 9 2" xfId="23294"/>
    <cellStyle name="Vírgula 3 6" xfId="2178"/>
    <cellStyle name="Vírgula 3 6 10" xfId="17398"/>
    <cellStyle name="Vírgula 3 6 11" xfId="11029"/>
    <cellStyle name="Vírgula 3 6 2" xfId="4238"/>
    <cellStyle name="Vírgula 3 6 2 2" xfId="7639"/>
    <cellStyle name="Vírgula 3 6 2 2 2" xfId="10765"/>
    <cellStyle name="Vírgula 3 6 2 2 2 2" xfId="28979"/>
    <cellStyle name="Vírgula 3 6 2 2 2 3" xfId="23065"/>
    <cellStyle name="Vírgula 3 6 2 2 2 4" xfId="17151"/>
    <cellStyle name="Vírgula 3 6 2 2 3" xfId="26022"/>
    <cellStyle name="Vírgula 3 6 2 2 4" xfId="20108"/>
    <cellStyle name="Vírgula 3 6 2 2 5" xfId="14028"/>
    <cellStyle name="Vírgula 3 6 2 3" xfId="9297"/>
    <cellStyle name="Vírgula 3 6 2 3 2" xfId="27511"/>
    <cellStyle name="Vírgula 3 6 2 3 3" xfId="21597"/>
    <cellStyle name="Vírgula 3 6 2 3 4" xfId="15683"/>
    <cellStyle name="Vírgula 3 6 2 4" xfId="5939"/>
    <cellStyle name="Vírgula 3 6 2 4 2" xfId="24554"/>
    <cellStyle name="Vírgula 3 6 2 5" xfId="18640"/>
    <cellStyle name="Vírgula 3 6 2 6" xfId="12327"/>
    <cellStyle name="Vírgula 3 6 3" xfId="4315"/>
    <cellStyle name="Vírgula 3 6 3 2" xfId="7716"/>
    <cellStyle name="Vírgula 3 6 3 2 2" xfId="10808"/>
    <cellStyle name="Vírgula 3 6 3 2 2 2" xfId="29022"/>
    <cellStyle name="Vírgula 3 6 3 2 2 3" xfId="23108"/>
    <cellStyle name="Vírgula 3 6 3 2 2 4" xfId="17194"/>
    <cellStyle name="Vírgula 3 6 3 2 3" xfId="26065"/>
    <cellStyle name="Vírgula 3 6 3 2 4" xfId="20151"/>
    <cellStyle name="Vírgula 3 6 3 2 5" xfId="14105"/>
    <cellStyle name="Vírgula 3 6 3 3" xfId="9340"/>
    <cellStyle name="Vírgula 3 6 3 3 2" xfId="27554"/>
    <cellStyle name="Vírgula 3 6 3 3 3" xfId="21640"/>
    <cellStyle name="Vírgula 3 6 3 3 4" xfId="15726"/>
    <cellStyle name="Vírgula 3 6 3 4" xfId="6016"/>
    <cellStyle name="Vírgula 3 6 3 4 2" xfId="24597"/>
    <cellStyle name="Vírgula 3 6 3 5" xfId="18683"/>
    <cellStyle name="Vírgula 3 6 3 6" xfId="12404"/>
    <cellStyle name="Vírgula 3 6 4" xfId="4423"/>
    <cellStyle name="Vírgula 3 6 4 2" xfId="7825"/>
    <cellStyle name="Vírgula 3 6 4 2 2" xfId="10870"/>
    <cellStyle name="Vírgula 3 6 4 2 2 2" xfId="29084"/>
    <cellStyle name="Vírgula 3 6 4 2 2 3" xfId="23170"/>
    <cellStyle name="Vírgula 3 6 4 2 2 4" xfId="17256"/>
    <cellStyle name="Vírgula 3 6 4 2 3" xfId="26127"/>
    <cellStyle name="Vírgula 3 6 4 2 4" xfId="20213"/>
    <cellStyle name="Vírgula 3 6 4 2 5" xfId="14214"/>
    <cellStyle name="Vírgula 3 6 4 3" xfId="9402"/>
    <cellStyle name="Vírgula 3 6 4 3 2" xfId="27616"/>
    <cellStyle name="Vírgula 3 6 4 3 3" xfId="21702"/>
    <cellStyle name="Vírgula 3 6 4 3 4" xfId="15788"/>
    <cellStyle name="Vírgula 3 6 4 4" xfId="6125"/>
    <cellStyle name="Vírgula 3 6 4 4 2" xfId="24659"/>
    <cellStyle name="Vírgula 3 6 4 5" xfId="18745"/>
    <cellStyle name="Vírgula 3 6 4 6" xfId="12513"/>
    <cellStyle name="Vírgula 3 6 5" xfId="4531"/>
    <cellStyle name="Vírgula 3 6 5 2" xfId="7933"/>
    <cellStyle name="Vírgula 3 6 5 2 2" xfId="10932"/>
    <cellStyle name="Vírgula 3 6 5 2 2 2" xfId="29146"/>
    <cellStyle name="Vírgula 3 6 5 2 2 3" xfId="23232"/>
    <cellStyle name="Vírgula 3 6 5 2 2 4" xfId="17318"/>
    <cellStyle name="Vírgula 3 6 5 2 3" xfId="26189"/>
    <cellStyle name="Vírgula 3 6 5 2 4" xfId="20275"/>
    <cellStyle name="Vírgula 3 6 5 2 5" xfId="14322"/>
    <cellStyle name="Vírgula 3 6 5 3" xfId="9464"/>
    <cellStyle name="Vírgula 3 6 5 3 2" xfId="27678"/>
    <cellStyle name="Vírgula 3 6 5 3 3" xfId="21764"/>
    <cellStyle name="Vírgula 3 6 5 3 4" xfId="15850"/>
    <cellStyle name="Vírgula 3 6 5 4" xfId="6232"/>
    <cellStyle name="Vírgula 3 6 5 4 2" xfId="24721"/>
    <cellStyle name="Vírgula 3 6 5 5" xfId="18807"/>
    <cellStyle name="Vírgula 3 6 5 6" xfId="12621"/>
    <cellStyle name="Vírgula 3 6 6" xfId="5338"/>
    <cellStyle name="Vírgula 3 6 6 2" xfId="7037"/>
    <cellStyle name="Vírgula 3 6 6 2 2" xfId="10181"/>
    <cellStyle name="Vírgula 3 6 6 2 2 2" xfId="28395"/>
    <cellStyle name="Vírgula 3 6 6 2 2 3" xfId="22481"/>
    <cellStyle name="Vírgula 3 6 6 2 2 4" xfId="16567"/>
    <cellStyle name="Vírgula 3 6 6 2 3" xfId="25438"/>
    <cellStyle name="Vírgula 3 6 6 2 4" xfId="19524"/>
    <cellStyle name="Vírgula 3 6 6 2 5" xfId="13426"/>
    <cellStyle name="Vírgula 3 6 6 3" xfId="8713"/>
    <cellStyle name="Vírgula 3 6 6 3 2" xfId="26927"/>
    <cellStyle name="Vírgula 3 6 6 3 3" xfId="21013"/>
    <cellStyle name="Vírgula 3 6 6 3 4" xfId="15099"/>
    <cellStyle name="Vírgula 3 6 6 4" xfId="23970"/>
    <cellStyle name="Vírgula 3 6 6 5" xfId="18056"/>
    <cellStyle name="Vírgula 3 6 6 6" xfId="11725"/>
    <cellStyle name="Vírgula 3 6 7" xfId="6341"/>
    <cellStyle name="Vírgula 3 6 7 2" xfId="9526"/>
    <cellStyle name="Vírgula 3 6 7 2 2" xfId="27740"/>
    <cellStyle name="Vírgula 3 6 7 2 3" xfId="21826"/>
    <cellStyle name="Vírgula 3 6 7 2 4" xfId="15912"/>
    <cellStyle name="Vírgula 3 6 7 3" xfId="24783"/>
    <cellStyle name="Vírgula 3 6 7 4" xfId="18869"/>
    <cellStyle name="Vírgula 3 6 7 5" xfId="12730"/>
    <cellStyle name="Vírgula 3 6 8" xfId="8055"/>
    <cellStyle name="Vírgula 3 6 8 2" xfId="26269"/>
    <cellStyle name="Vírgula 3 6 8 3" xfId="20355"/>
    <cellStyle name="Vírgula 3 6 8 4" xfId="14444"/>
    <cellStyle name="Vírgula 3 6 9" xfId="4638"/>
    <cellStyle name="Vírgula 3 6 9 2" xfId="23312"/>
    <cellStyle name="Vírgula 3 7" xfId="2705"/>
    <cellStyle name="Vírgula 3 7 10" xfId="17377"/>
    <cellStyle name="Vírgula 3 7 11" xfId="10993"/>
    <cellStyle name="Vírgula 3 7 2" xfId="4202"/>
    <cellStyle name="Vírgula 3 7 2 2" xfId="7602"/>
    <cellStyle name="Vírgula 3 7 2 2 2" xfId="10744"/>
    <cellStyle name="Vírgula 3 7 2 2 2 2" xfId="28958"/>
    <cellStyle name="Vírgula 3 7 2 2 2 3" xfId="23044"/>
    <cellStyle name="Vírgula 3 7 2 2 2 4" xfId="17130"/>
    <cellStyle name="Vírgula 3 7 2 2 3" xfId="26001"/>
    <cellStyle name="Vírgula 3 7 2 2 4" xfId="20087"/>
    <cellStyle name="Vírgula 3 7 2 2 5" xfId="13991"/>
    <cellStyle name="Vírgula 3 7 2 3" xfId="9276"/>
    <cellStyle name="Vírgula 3 7 2 3 2" xfId="27490"/>
    <cellStyle name="Vírgula 3 7 2 3 3" xfId="21576"/>
    <cellStyle name="Vírgula 3 7 2 3 4" xfId="15662"/>
    <cellStyle name="Vírgula 3 7 2 4" xfId="5903"/>
    <cellStyle name="Vírgula 3 7 2 4 2" xfId="24533"/>
    <cellStyle name="Vírgula 3 7 2 5" xfId="18619"/>
    <cellStyle name="Vírgula 3 7 2 6" xfId="12290"/>
    <cellStyle name="Vírgula 3 7 3" xfId="4278"/>
    <cellStyle name="Vírgula 3 7 3 2" xfId="7679"/>
    <cellStyle name="Vírgula 3 7 3 2 2" xfId="10787"/>
    <cellStyle name="Vírgula 3 7 3 2 2 2" xfId="29001"/>
    <cellStyle name="Vírgula 3 7 3 2 2 3" xfId="23087"/>
    <cellStyle name="Vírgula 3 7 3 2 2 4" xfId="17173"/>
    <cellStyle name="Vírgula 3 7 3 2 3" xfId="26044"/>
    <cellStyle name="Vírgula 3 7 3 2 4" xfId="20130"/>
    <cellStyle name="Vírgula 3 7 3 2 5" xfId="14068"/>
    <cellStyle name="Vírgula 3 7 3 3" xfId="9319"/>
    <cellStyle name="Vírgula 3 7 3 3 2" xfId="27533"/>
    <cellStyle name="Vírgula 3 7 3 3 3" xfId="21619"/>
    <cellStyle name="Vírgula 3 7 3 3 4" xfId="15705"/>
    <cellStyle name="Vírgula 3 7 3 4" xfId="5979"/>
    <cellStyle name="Vírgula 3 7 3 4 2" xfId="24576"/>
    <cellStyle name="Vírgula 3 7 3 5" xfId="18662"/>
    <cellStyle name="Vírgula 3 7 3 6" xfId="12367"/>
    <cellStyle name="Vírgula 3 7 4" xfId="4386"/>
    <cellStyle name="Vírgula 3 7 4 2" xfId="7788"/>
    <cellStyle name="Vírgula 3 7 4 2 2" xfId="10849"/>
    <cellStyle name="Vírgula 3 7 4 2 2 2" xfId="29063"/>
    <cellStyle name="Vírgula 3 7 4 2 2 3" xfId="23149"/>
    <cellStyle name="Vírgula 3 7 4 2 2 4" xfId="17235"/>
    <cellStyle name="Vírgula 3 7 4 2 3" xfId="26106"/>
    <cellStyle name="Vírgula 3 7 4 2 4" xfId="20192"/>
    <cellStyle name="Vírgula 3 7 4 2 5" xfId="14177"/>
    <cellStyle name="Vírgula 3 7 4 3" xfId="9381"/>
    <cellStyle name="Vírgula 3 7 4 3 2" xfId="27595"/>
    <cellStyle name="Vírgula 3 7 4 3 3" xfId="21681"/>
    <cellStyle name="Vírgula 3 7 4 3 4" xfId="15767"/>
    <cellStyle name="Vírgula 3 7 4 4" xfId="6088"/>
    <cellStyle name="Vírgula 3 7 4 4 2" xfId="24638"/>
    <cellStyle name="Vírgula 3 7 4 5" xfId="18724"/>
    <cellStyle name="Vírgula 3 7 4 6" xfId="12476"/>
    <cellStyle name="Vírgula 3 7 5" xfId="4494"/>
    <cellStyle name="Vírgula 3 7 5 2" xfId="7896"/>
    <cellStyle name="Vírgula 3 7 5 2 2" xfId="10911"/>
    <cellStyle name="Vírgula 3 7 5 2 2 2" xfId="29125"/>
    <cellStyle name="Vírgula 3 7 5 2 2 3" xfId="23211"/>
    <cellStyle name="Vírgula 3 7 5 2 2 4" xfId="17297"/>
    <cellStyle name="Vírgula 3 7 5 2 3" xfId="26168"/>
    <cellStyle name="Vírgula 3 7 5 2 4" xfId="20254"/>
    <cellStyle name="Vírgula 3 7 5 2 5" xfId="14285"/>
    <cellStyle name="Vírgula 3 7 5 3" xfId="9443"/>
    <cellStyle name="Vírgula 3 7 5 3 2" xfId="27657"/>
    <cellStyle name="Vírgula 3 7 5 3 3" xfId="21743"/>
    <cellStyle name="Vírgula 3 7 5 3 4" xfId="15829"/>
    <cellStyle name="Vírgula 3 7 5 4" xfId="6195"/>
    <cellStyle name="Vírgula 3 7 5 4 2" xfId="24700"/>
    <cellStyle name="Vírgula 3 7 5 5" xfId="18786"/>
    <cellStyle name="Vírgula 3 7 5 6" xfId="12584"/>
    <cellStyle name="Vírgula 3 7 6" xfId="5485"/>
    <cellStyle name="Vírgula 3 7 6 2" xfId="7184"/>
    <cellStyle name="Vírgula 3 7 6 2 2" xfId="10328"/>
    <cellStyle name="Vírgula 3 7 6 2 2 2" xfId="28542"/>
    <cellStyle name="Vírgula 3 7 6 2 2 3" xfId="22628"/>
    <cellStyle name="Vírgula 3 7 6 2 2 4" xfId="16714"/>
    <cellStyle name="Vírgula 3 7 6 2 3" xfId="25585"/>
    <cellStyle name="Vírgula 3 7 6 2 4" xfId="19671"/>
    <cellStyle name="Vírgula 3 7 6 2 5" xfId="13573"/>
    <cellStyle name="Vírgula 3 7 6 3" xfId="8860"/>
    <cellStyle name="Vírgula 3 7 6 3 2" xfId="27074"/>
    <cellStyle name="Vírgula 3 7 6 3 3" xfId="21160"/>
    <cellStyle name="Vírgula 3 7 6 3 4" xfId="15246"/>
    <cellStyle name="Vírgula 3 7 6 4" xfId="24117"/>
    <cellStyle name="Vírgula 3 7 6 5" xfId="18203"/>
    <cellStyle name="Vírgula 3 7 6 6" xfId="11872"/>
    <cellStyle name="Vírgula 3 7 7" xfId="6304"/>
    <cellStyle name="Vírgula 3 7 7 2" xfId="9505"/>
    <cellStyle name="Vírgula 3 7 7 2 2" xfId="27719"/>
    <cellStyle name="Vírgula 3 7 7 2 3" xfId="21805"/>
    <cellStyle name="Vírgula 3 7 7 2 4" xfId="15891"/>
    <cellStyle name="Vírgula 3 7 7 3" xfId="24762"/>
    <cellStyle name="Vírgula 3 7 7 4" xfId="18848"/>
    <cellStyle name="Vírgula 3 7 7 5" xfId="12693"/>
    <cellStyle name="Vírgula 3 7 8" xfId="8034"/>
    <cellStyle name="Vírgula 3 7 8 2" xfId="26248"/>
    <cellStyle name="Vírgula 3 7 8 3" xfId="20334"/>
    <cellStyle name="Vírgula 3 7 8 4" xfId="14423"/>
    <cellStyle name="Vírgula 3 7 9" xfId="4602"/>
    <cellStyle name="Vírgula 3 7 9 2" xfId="23291"/>
    <cellStyle name="Vírgula 3 8" xfId="3232"/>
    <cellStyle name="Vírgula 3 8 10" xfId="17400"/>
    <cellStyle name="Vírgula 3 8 11" xfId="11034"/>
    <cellStyle name="Vírgula 3 8 2" xfId="4243"/>
    <cellStyle name="Vírgula 3 8 2 2" xfId="7644"/>
    <cellStyle name="Vírgula 3 8 2 2 2" xfId="10767"/>
    <cellStyle name="Vírgula 3 8 2 2 2 2" xfId="28981"/>
    <cellStyle name="Vírgula 3 8 2 2 2 3" xfId="23067"/>
    <cellStyle name="Vírgula 3 8 2 2 2 4" xfId="17153"/>
    <cellStyle name="Vírgula 3 8 2 2 3" xfId="26024"/>
    <cellStyle name="Vírgula 3 8 2 2 4" xfId="20110"/>
    <cellStyle name="Vírgula 3 8 2 2 5" xfId="14033"/>
    <cellStyle name="Vírgula 3 8 2 3" xfId="9299"/>
    <cellStyle name="Vírgula 3 8 2 3 2" xfId="27513"/>
    <cellStyle name="Vírgula 3 8 2 3 3" xfId="21599"/>
    <cellStyle name="Vírgula 3 8 2 3 4" xfId="15685"/>
    <cellStyle name="Vírgula 3 8 2 4" xfId="5944"/>
    <cellStyle name="Vírgula 3 8 2 4 2" xfId="24556"/>
    <cellStyle name="Vírgula 3 8 2 5" xfId="18642"/>
    <cellStyle name="Vírgula 3 8 2 6" xfId="12332"/>
    <cellStyle name="Vírgula 3 8 3" xfId="4320"/>
    <cellStyle name="Vírgula 3 8 3 2" xfId="7721"/>
    <cellStyle name="Vírgula 3 8 3 2 2" xfId="10810"/>
    <cellStyle name="Vírgula 3 8 3 2 2 2" xfId="29024"/>
    <cellStyle name="Vírgula 3 8 3 2 2 3" xfId="23110"/>
    <cellStyle name="Vírgula 3 8 3 2 2 4" xfId="17196"/>
    <cellStyle name="Vírgula 3 8 3 2 3" xfId="26067"/>
    <cellStyle name="Vírgula 3 8 3 2 4" xfId="20153"/>
    <cellStyle name="Vírgula 3 8 3 2 5" xfId="14110"/>
    <cellStyle name="Vírgula 3 8 3 3" xfId="9342"/>
    <cellStyle name="Vírgula 3 8 3 3 2" xfId="27556"/>
    <cellStyle name="Vírgula 3 8 3 3 3" xfId="21642"/>
    <cellStyle name="Vírgula 3 8 3 3 4" xfId="15728"/>
    <cellStyle name="Vírgula 3 8 3 4" xfId="6021"/>
    <cellStyle name="Vírgula 3 8 3 4 2" xfId="24599"/>
    <cellStyle name="Vírgula 3 8 3 5" xfId="18685"/>
    <cellStyle name="Vírgula 3 8 3 6" xfId="12409"/>
    <cellStyle name="Vírgula 3 8 4" xfId="4428"/>
    <cellStyle name="Vírgula 3 8 4 2" xfId="7830"/>
    <cellStyle name="Vírgula 3 8 4 2 2" xfId="10872"/>
    <cellStyle name="Vírgula 3 8 4 2 2 2" xfId="29086"/>
    <cellStyle name="Vírgula 3 8 4 2 2 3" xfId="23172"/>
    <cellStyle name="Vírgula 3 8 4 2 2 4" xfId="17258"/>
    <cellStyle name="Vírgula 3 8 4 2 3" xfId="26129"/>
    <cellStyle name="Vírgula 3 8 4 2 4" xfId="20215"/>
    <cellStyle name="Vírgula 3 8 4 2 5" xfId="14219"/>
    <cellStyle name="Vírgula 3 8 4 3" xfId="9404"/>
    <cellStyle name="Vírgula 3 8 4 3 2" xfId="27618"/>
    <cellStyle name="Vírgula 3 8 4 3 3" xfId="21704"/>
    <cellStyle name="Vírgula 3 8 4 3 4" xfId="15790"/>
    <cellStyle name="Vírgula 3 8 4 4" xfId="6130"/>
    <cellStyle name="Vírgula 3 8 4 4 2" xfId="24661"/>
    <cellStyle name="Vírgula 3 8 4 5" xfId="18747"/>
    <cellStyle name="Vírgula 3 8 4 6" xfId="12518"/>
    <cellStyle name="Vírgula 3 8 5" xfId="4536"/>
    <cellStyle name="Vírgula 3 8 5 2" xfId="7938"/>
    <cellStyle name="Vírgula 3 8 5 2 2" xfId="10934"/>
    <cellStyle name="Vírgula 3 8 5 2 2 2" xfId="29148"/>
    <cellStyle name="Vírgula 3 8 5 2 2 3" xfId="23234"/>
    <cellStyle name="Vírgula 3 8 5 2 2 4" xfId="17320"/>
    <cellStyle name="Vírgula 3 8 5 2 3" xfId="26191"/>
    <cellStyle name="Vírgula 3 8 5 2 4" xfId="20277"/>
    <cellStyle name="Vírgula 3 8 5 2 5" xfId="14327"/>
    <cellStyle name="Vírgula 3 8 5 3" xfId="9466"/>
    <cellStyle name="Vírgula 3 8 5 3 2" xfId="27680"/>
    <cellStyle name="Vírgula 3 8 5 3 3" xfId="21766"/>
    <cellStyle name="Vírgula 3 8 5 3 4" xfId="15852"/>
    <cellStyle name="Vírgula 3 8 5 4" xfId="6237"/>
    <cellStyle name="Vírgula 3 8 5 4 2" xfId="24723"/>
    <cellStyle name="Vírgula 3 8 5 5" xfId="18809"/>
    <cellStyle name="Vírgula 3 8 5 6" xfId="12626"/>
    <cellStyle name="Vírgula 3 8 6" xfId="5632"/>
    <cellStyle name="Vírgula 3 8 6 2" xfId="7331"/>
    <cellStyle name="Vírgula 3 8 6 2 2" xfId="10475"/>
    <cellStyle name="Vírgula 3 8 6 2 2 2" xfId="28689"/>
    <cellStyle name="Vírgula 3 8 6 2 2 3" xfId="22775"/>
    <cellStyle name="Vírgula 3 8 6 2 2 4" xfId="16861"/>
    <cellStyle name="Vírgula 3 8 6 2 3" xfId="25732"/>
    <cellStyle name="Vírgula 3 8 6 2 4" xfId="19818"/>
    <cellStyle name="Vírgula 3 8 6 2 5" xfId="13720"/>
    <cellStyle name="Vírgula 3 8 6 3" xfId="9007"/>
    <cellStyle name="Vírgula 3 8 6 3 2" xfId="27221"/>
    <cellStyle name="Vírgula 3 8 6 3 3" xfId="21307"/>
    <cellStyle name="Vírgula 3 8 6 3 4" xfId="15393"/>
    <cellStyle name="Vírgula 3 8 6 4" xfId="24264"/>
    <cellStyle name="Vírgula 3 8 6 5" xfId="18350"/>
    <cellStyle name="Vírgula 3 8 6 6" xfId="12019"/>
    <cellStyle name="Vírgula 3 8 7" xfId="6346"/>
    <cellStyle name="Vírgula 3 8 7 2" xfId="9528"/>
    <cellStyle name="Vírgula 3 8 7 2 2" xfId="27742"/>
    <cellStyle name="Vírgula 3 8 7 2 3" xfId="21828"/>
    <cellStyle name="Vírgula 3 8 7 2 4" xfId="15914"/>
    <cellStyle name="Vírgula 3 8 7 3" xfId="24785"/>
    <cellStyle name="Vírgula 3 8 7 4" xfId="18871"/>
    <cellStyle name="Vírgula 3 8 7 5" xfId="12735"/>
    <cellStyle name="Vírgula 3 8 8" xfId="8057"/>
    <cellStyle name="Vírgula 3 8 8 2" xfId="26271"/>
    <cellStyle name="Vírgula 3 8 8 3" xfId="20357"/>
    <cellStyle name="Vírgula 3 8 8 4" xfId="14446"/>
    <cellStyle name="Vírgula 3 8 9" xfId="4643"/>
    <cellStyle name="Vírgula 3 8 9 2" xfId="23314"/>
    <cellStyle name="Vírgula 3 9" xfId="3759"/>
    <cellStyle name="Vírgula 3 9 10" xfId="11066"/>
    <cellStyle name="Vírgula 3 9 2" xfId="4352"/>
    <cellStyle name="Vírgula 3 9 2 2" xfId="7753"/>
    <cellStyle name="Vírgula 3 9 2 2 2" xfId="10829"/>
    <cellStyle name="Vírgula 3 9 2 2 2 2" xfId="29043"/>
    <cellStyle name="Vírgula 3 9 2 2 2 3" xfId="23129"/>
    <cellStyle name="Vírgula 3 9 2 2 2 4" xfId="17215"/>
    <cellStyle name="Vírgula 3 9 2 2 3" xfId="26086"/>
    <cellStyle name="Vírgula 3 9 2 2 4" xfId="20172"/>
    <cellStyle name="Vírgula 3 9 2 2 5" xfId="14142"/>
    <cellStyle name="Vírgula 3 9 2 3" xfId="9361"/>
    <cellStyle name="Vírgula 3 9 2 3 2" xfId="27575"/>
    <cellStyle name="Vírgula 3 9 2 3 3" xfId="21661"/>
    <cellStyle name="Vírgula 3 9 2 3 4" xfId="15747"/>
    <cellStyle name="Vírgula 3 9 2 4" xfId="6053"/>
    <cellStyle name="Vírgula 3 9 2 4 2" xfId="24618"/>
    <cellStyle name="Vírgula 3 9 2 5" xfId="18704"/>
    <cellStyle name="Vírgula 3 9 2 6" xfId="12441"/>
    <cellStyle name="Vírgula 3 9 3" xfId="4460"/>
    <cellStyle name="Vírgula 3 9 3 2" xfId="7862"/>
    <cellStyle name="Vírgula 3 9 3 2 2" xfId="10891"/>
    <cellStyle name="Vírgula 3 9 3 2 2 2" xfId="29105"/>
    <cellStyle name="Vírgula 3 9 3 2 2 3" xfId="23191"/>
    <cellStyle name="Vírgula 3 9 3 2 2 4" xfId="17277"/>
    <cellStyle name="Vírgula 3 9 3 2 3" xfId="26148"/>
    <cellStyle name="Vírgula 3 9 3 2 4" xfId="20234"/>
    <cellStyle name="Vírgula 3 9 3 2 5" xfId="14251"/>
    <cellStyle name="Vírgula 3 9 3 3" xfId="9423"/>
    <cellStyle name="Vírgula 3 9 3 3 2" xfId="27637"/>
    <cellStyle name="Vírgula 3 9 3 3 3" xfId="21723"/>
    <cellStyle name="Vírgula 3 9 3 3 4" xfId="15809"/>
    <cellStyle name="Vírgula 3 9 3 4" xfId="6161"/>
    <cellStyle name="Vírgula 3 9 3 4 2" xfId="24680"/>
    <cellStyle name="Vírgula 3 9 3 5" xfId="18766"/>
    <cellStyle name="Vírgula 3 9 3 6" xfId="12550"/>
    <cellStyle name="Vírgula 3 9 4" xfId="4568"/>
    <cellStyle name="Vírgula 3 9 4 2" xfId="7970"/>
    <cellStyle name="Vírgula 3 9 4 2 2" xfId="10953"/>
    <cellStyle name="Vírgula 3 9 4 2 2 2" xfId="29167"/>
    <cellStyle name="Vírgula 3 9 4 2 2 3" xfId="23253"/>
    <cellStyle name="Vírgula 3 9 4 2 2 4" xfId="17339"/>
    <cellStyle name="Vírgula 3 9 4 2 3" xfId="26210"/>
    <cellStyle name="Vírgula 3 9 4 2 4" xfId="20296"/>
    <cellStyle name="Vírgula 3 9 4 2 5" xfId="14359"/>
    <cellStyle name="Vírgula 3 9 4 3" xfId="9485"/>
    <cellStyle name="Vírgula 3 9 4 3 2" xfId="27699"/>
    <cellStyle name="Vírgula 3 9 4 3 3" xfId="21785"/>
    <cellStyle name="Vírgula 3 9 4 3 4" xfId="15871"/>
    <cellStyle name="Vírgula 3 9 4 4" xfId="6269"/>
    <cellStyle name="Vírgula 3 9 4 4 2" xfId="24742"/>
    <cellStyle name="Vírgula 3 9 4 5" xfId="18828"/>
    <cellStyle name="Vírgula 3 9 4 6" xfId="12658"/>
    <cellStyle name="Vírgula 3 9 5" xfId="5779"/>
    <cellStyle name="Vírgula 3 9 5 2" xfId="7478"/>
    <cellStyle name="Vírgula 3 9 5 2 2" xfId="10622"/>
    <cellStyle name="Vírgula 3 9 5 2 2 2" xfId="28836"/>
    <cellStyle name="Vírgula 3 9 5 2 2 3" xfId="22922"/>
    <cellStyle name="Vírgula 3 9 5 2 2 4" xfId="17008"/>
    <cellStyle name="Vírgula 3 9 5 2 3" xfId="25879"/>
    <cellStyle name="Vírgula 3 9 5 2 4" xfId="19965"/>
    <cellStyle name="Vírgula 3 9 5 2 5" xfId="13867"/>
    <cellStyle name="Vírgula 3 9 5 3" xfId="9154"/>
    <cellStyle name="Vírgula 3 9 5 3 2" xfId="27368"/>
    <cellStyle name="Vírgula 3 9 5 3 3" xfId="21454"/>
    <cellStyle name="Vírgula 3 9 5 3 4" xfId="15540"/>
    <cellStyle name="Vírgula 3 9 5 4" xfId="24411"/>
    <cellStyle name="Vírgula 3 9 5 5" xfId="18497"/>
    <cellStyle name="Vírgula 3 9 5 6" xfId="12166"/>
    <cellStyle name="Vírgula 3 9 6" xfId="6378"/>
    <cellStyle name="Vírgula 3 9 6 2" xfId="9547"/>
    <cellStyle name="Vírgula 3 9 6 2 2" xfId="27761"/>
    <cellStyle name="Vírgula 3 9 6 2 3" xfId="21847"/>
    <cellStyle name="Vírgula 3 9 6 2 4" xfId="15933"/>
    <cellStyle name="Vírgula 3 9 6 3" xfId="24804"/>
    <cellStyle name="Vírgula 3 9 6 4" xfId="18890"/>
    <cellStyle name="Vírgula 3 9 6 5" xfId="12767"/>
    <cellStyle name="Vírgula 3 9 7" xfId="8076"/>
    <cellStyle name="Vírgula 3 9 7 2" xfId="26290"/>
    <cellStyle name="Vírgula 3 9 7 3" xfId="20376"/>
    <cellStyle name="Vírgula 3 9 7 4" xfId="14465"/>
    <cellStyle name="Vírgula 3 9 8" xfId="4675"/>
    <cellStyle name="Vírgula 3 9 8 2" xfId="23333"/>
    <cellStyle name="Vírgula 3 9 9" xfId="17419"/>
    <cellStyle name="Vírgula 4" xfId="13"/>
    <cellStyle name="Vírgula 4 10" xfId="4212"/>
    <cellStyle name="Vírgula 4 10 2" xfId="7612"/>
    <cellStyle name="Vírgula 4 10 2 2" xfId="10749"/>
    <cellStyle name="Vírgula 4 10 2 2 2" xfId="28963"/>
    <cellStyle name="Vírgula 4 10 2 2 3" xfId="23049"/>
    <cellStyle name="Vírgula 4 10 2 2 4" xfId="17135"/>
    <cellStyle name="Vírgula 4 10 2 3" xfId="26006"/>
    <cellStyle name="Vírgula 4 10 2 4" xfId="20092"/>
    <cellStyle name="Vírgula 4 10 2 5" xfId="14001"/>
    <cellStyle name="Vírgula 4 10 3" xfId="9281"/>
    <cellStyle name="Vírgula 4 10 3 2" xfId="27495"/>
    <cellStyle name="Vírgula 4 10 3 3" xfId="21581"/>
    <cellStyle name="Vírgula 4 10 3 4" xfId="15667"/>
    <cellStyle name="Vírgula 4 10 4" xfId="5913"/>
    <cellStyle name="Vírgula 4 10 4 2" xfId="24538"/>
    <cellStyle name="Vírgula 4 10 5" xfId="18624"/>
    <cellStyle name="Vírgula 4 10 6" xfId="12300"/>
    <cellStyle name="Vírgula 4 11" xfId="4288"/>
    <cellStyle name="Vírgula 4 11 2" xfId="7689"/>
    <cellStyle name="Vírgula 4 11 2 2" xfId="10792"/>
    <cellStyle name="Vírgula 4 11 2 2 2" xfId="29006"/>
    <cellStyle name="Vírgula 4 11 2 2 3" xfId="23092"/>
    <cellStyle name="Vírgula 4 11 2 2 4" xfId="17178"/>
    <cellStyle name="Vírgula 4 11 2 3" xfId="26049"/>
    <cellStyle name="Vírgula 4 11 2 4" xfId="20135"/>
    <cellStyle name="Vírgula 4 11 2 5" xfId="14078"/>
    <cellStyle name="Vírgula 4 11 3" xfId="9324"/>
    <cellStyle name="Vírgula 4 11 3 2" xfId="27538"/>
    <cellStyle name="Vírgula 4 11 3 3" xfId="21624"/>
    <cellStyle name="Vírgula 4 11 3 4" xfId="15710"/>
    <cellStyle name="Vírgula 4 11 4" xfId="5989"/>
    <cellStyle name="Vírgula 4 11 4 2" xfId="24581"/>
    <cellStyle name="Vírgula 4 11 5" xfId="18667"/>
    <cellStyle name="Vírgula 4 11 6" xfId="12377"/>
    <cellStyle name="Vírgula 4 12" xfId="4396"/>
    <cellStyle name="Vírgula 4 12 2" xfId="7798"/>
    <cellStyle name="Vírgula 4 12 2 2" xfId="10854"/>
    <cellStyle name="Vírgula 4 12 2 2 2" xfId="29068"/>
    <cellStyle name="Vírgula 4 12 2 2 3" xfId="23154"/>
    <cellStyle name="Vírgula 4 12 2 2 4" xfId="17240"/>
    <cellStyle name="Vírgula 4 12 2 3" xfId="26111"/>
    <cellStyle name="Vírgula 4 12 2 4" xfId="20197"/>
    <cellStyle name="Vírgula 4 12 2 5" xfId="14187"/>
    <cellStyle name="Vírgula 4 12 3" xfId="9386"/>
    <cellStyle name="Vírgula 4 12 3 2" xfId="27600"/>
    <cellStyle name="Vírgula 4 12 3 3" xfId="21686"/>
    <cellStyle name="Vírgula 4 12 3 4" xfId="15772"/>
    <cellStyle name="Vírgula 4 12 4" xfId="6098"/>
    <cellStyle name="Vírgula 4 12 4 2" xfId="24643"/>
    <cellStyle name="Vírgula 4 12 5" xfId="18729"/>
    <cellStyle name="Vírgula 4 12 6" xfId="12486"/>
    <cellStyle name="Vírgula 4 13" xfId="4504"/>
    <cellStyle name="Vírgula 4 13 2" xfId="7906"/>
    <cellStyle name="Vírgula 4 13 2 2" xfId="10916"/>
    <cellStyle name="Vírgula 4 13 2 2 2" xfId="29130"/>
    <cellStyle name="Vírgula 4 13 2 2 3" xfId="23216"/>
    <cellStyle name="Vírgula 4 13 2 2 4" xfId="17302"/>
    <cellStyle name="Vírgula 4 13 2 3" xfId="26173"/>
    <cellStyle name="Vírgula 4 13 2 4" xfId="20259"/>
    <cellStyle name="Vírgula 4 13 2 5" xfId="14295"/>
    <cellStyle name="Vírgula 4 13 3" xfId="9448"/>
    <cellStyle name="Vírgula 4 13 3 2" xfId="27662"/>
    <cellStyle name="Vírgula 4 13 3 3" xfId="21748"/>
    <cellStyle name="Vírgula 4 13 3 4" xfId="15834"/>
    <cellStyle name="Vírgula 4 13 4" xfId="6205"/>
    <cellStyle name="Vírgula 4 13 4 2" xfId="24705"/>
    <cellStyle name="Vírgula 4 13 5" xfId="18791"/>
    <cellStyle name="Vírgula 4 13 6" xfId="12594"/>
    <cellStyle name="Vírgula 4 14" xfId="4706"/>
    <cellStyle name="Vírgula 4 14 2" xfId="6409"/>
    <cellStyle name="Vírgula 4 14 2 2" xfId="9565"/>
    <cellStyle name="Vírgula 4 14 2 2 2" xfId="27779"/>
    <cellStyle name="Vírgula 4 14 2 2 3" xfId="21865"/>
    <cellStyle name="Vírgula 4 14 2 2 4" xfId="15951"/>
    <cellStyle name="Vírgula 4 14 2 3" xfId="24822"/>
    <cellStyle name="Vírgula 4 14 2 4" xfId="18908"/>
    <cellStyle name="Vírgula 4 14 2 5" xfId="12798"/>
    <cellStyle name="Vírgula 4 14 3" xfId="8094"/>
    <cellStyle name="Vírgula 4 14 3 2" xfId="26308"/>
    <cellStyle name="Vírgula 4 14 3 3" xfId="20394"/>
    <cellStyle name="Vírgula 4 14 3 4" xfId="14483"/>
    <cellStyle name="Vírgula 4 14 4" xfId="23351"/>
    <cellStyle name="Vírgula 4 14 5" xfId="17437"/>
    <cellStyle name="Vírgula 4 14 6" xfId="11097"/>
    <cellStyle name="Vírgula 4 15" xfId="6314"/>
    <cellStyle name="Vírgula 4 15 2" xfId="9510"/>
    <cellStyle name="Vírgula 4 15 2 2" xfId="27724"/>
    <cellStyle name="Vírgula 4 15 2 3" xfId="21810"/>
    <cellStyle name="Vírgula 4 15 2 4" xfId="15896"/>
    <cellStyle name="Vírgula 4 15 3" xfId="24767"/>
    <cellStyle name="Vírgula 4 15 4" xfId="18853"/>
    <cellStyle name="Vírgula 4 15 5" xfId="12703"/>
    <cellStyle name="Vírgula 4 16" xfId="8006"/>
    <cellStyle name="Vírgula 4 16 2" xfId="10974"/>
    <cellStyle name="Vírgula 4 16 2 2" xfId="29188"/>
    <cellStyle name="Vírgula 4 16 2 3" xfId="23274"/>
    <cellStyle name="Vírgula 4 16 2 4" xfId="17360"/>
    <cellStyle name="Vírgula 4 16 3" xfId="26231"/>
    <cellStyle name="Vírgula 4 16 4" xfId="20317"/>
    <cellStyle name="Vírgula 4 16 5" xfId="14395"/>
    <cellStyle name="Vírgula 4 17" xfId="8039"/>
    <cellStyle name="Vírgula 4 17 2" xfId="26253"/>
    <cellStyle name="Vírgula 4 17 3" xfId="20339"/>
    <cellStyle name="Vírgula 4 17 4" xfId="14428"/>
    <cellStyle name="Vírgula 4 18" xfId="4612"/>
    <cellStyle name="Vírgula 4 18 2" xfId="23296"/>
    <cellStyle name="Vírgula 4 19" xfId="17382"/>
    <cellStyle name="Vírgula 4 2" xfId="211"/>
    <cellStyle name="Vírgula 4 2 10" xfId="8048"/>
    <cellStyle name="Vírgula 4 2 10 2" xfId="26262"/>
    <cellStyle name="Vírgula 4 2 10 3" xfId="20348"/>
    <cellStyle name="Vírgula 4 2 10 4" xfId="14437"/>
    <cellStyle name="Vírgula 4 2 11" xfId="4627"/>
    <cellStyle name="Vírgula 4 2 11 2" xfId="23305"/>
    <cellStyle name="Vírgula 4 2 12" xfId="17391"/>
    <cellStyle name="Vírgula 4 2 13" xfId="11018"/>
    <cellStyle name="Vírgula 4 2 2" xfId="4262"/>
    <cellStyle name="Vírgula 4 2 2 10" xfId="11053"/>
    <cellStyle name="Vírgula 4 2 2 2" xfId="4339"/>
    <cellStyle name="Vírgula 4 2 2 2 2" xfId="7740"/>
    <cellStyle name="Vírgula 4 2 2 2 2 2" xfId="10821"/>
    <cellStyle name="Vírgula 4 2 2 2 2 2 2" xfId="29035"/>
    <cellStyle name="Vírgula 4 2 2 2 2 2 3" xfId="23121"/>
    <cellStyle name="Vírgula 4 2 2 2 2 2 4" xfId="17207"/>
    <cellStyle name="Vírgula 4 2 2 2 2 3" xfId="26078"/>
    <cellStyle name="Vírgula 4 2 2 2 2 4" xfId="20164"/>
    <cellStyle name="Vírgula 4 2 2 2 2 5" xfId="14129"/>
    <cellStyle name="Vírgula 4 2 2 2 3" xfId="9353"/>
    <cellStyle name="Vírgula 4 2 2 2 3 2" xfId="27567"/>
    <cellStyle name="Vírgula 4 2 2 2 3 3" xfId="21653"/>
    <cellStyle name="Vírgula 4 2 2 2 3 4" xfId="15739"/>
    <cellStyle name="Vírgula 4 2 2 2 4" xfId="6040"/>
    <cellStyle name="Vírgula 4 2 2 2 4 2" xfId="24610"/>
    <cellStyle name="Vírgula 4 2 2 2 5" xfId="18696"/>
    <cellStyle name="Vírgula 4 2 2 2 6" xfId="12428"/>
    <cellStyle name="Vírgula 4 2 2 3" xfId="4447"/>
    <cellStyle name="Vírgula 4 2 2 3 2" xfId="7849"/>
    <cellStyle name="Vírgula 4 2 2 3 2 2" xfId="10883"/>
    <cellStyle name="Vírgula 4 2 2 3 2 2 2" xfId="29097"/>
    <cellStyle name="Vírgula 4 2 2 3 2 2 3" xfId="23183"/>
    <cellStyle name="Vírgula 4 2 2 3 2 2 4" xfId="17269"/>
    <cellStyle name="Vírgula 4 2 2 3 2 3" xfId="26140"/>
    <cellStyle name="Vírgula 4 2 2 3 2 4" xfId="20226"/>
    <cellStyle name="Vírgula 4 2 2 3 2 5" xfId="14238"/>
    <cellStyle name="Vírgula 4 2 2 3 3" xfId="9415"/>
    <cellStyle name="Vírgula 4 2 2 3 3 2" xfId="27629"/>
    <cellStyle name="Vírgula 4 2 2 3 3 3" xfId="21715"/>
    <cellStyle name="Vírgula 4 2 2 3 3 4" xfId="15801"/>
    <cellStyle name="Vírgula 4 2 2 3 4" xfId="6149"/>
    <cellStyle name="Vírgula 4 2 2 3 4 2" xfId="24672"/>
    <cellStyle name="Vírgula 4 2 2 3 5" xfId="18758"/>
    <cellStyle name="Vírgula 4 2 2 3 6" xfId="12537"/>
    <cellStyle name="Vírgula 4 2 2 4" xfId="4555"/>
    <cellStyle name="Vírgula 4 2 2 4 2" xfId="7957"/>
    <cellStyle name="Vírgula 4 2 2 4 2 2" xfId="10945"/>
    <cellStyle name="Vírgula 4 2 2 4 2 2 2" xfId="29159"/>
    <cellStyle name="Vírgula 4 2 2 4 2 2 3" xfId="23245"/>
    <cellStyle name="Vírgula 4 2 2 4 2 2 4" xfId="17331"/>
    <cellStyle name="Vírgula 4 2 2 4 2 3" xfId="26202"/>
    <cellStyle name="Vírgula 4 2 2 4 2 4" xfId="20288"/>
    <cellStyle name="Vírgula 4 2 2 4 2 5" xfId="14346"/>
    <cellStyle name="Vírgula 4 2 2 4 3" xfId="9477"/>
    <cellStyle name="Vírgula 4 2 2 4 3 2" xfId="27691"/>
    <cellStyle name="Vírgula 4 2 2 4 3 3" xfId="21777"/>
    <cellStyle name="Vírgula 4 2 2 4 3 4" xfId="15863"/>
    <cellStyle name="Vírgula 4 2 2 4 4" xfId="6256"/>
    <cellStyle name="Vírgula 4 2 2 4 4 2" xfId="24734"/>
    <cellStyle name="Vírgula 4 2 2 4 5" xfId="18820"/>
    <cellStyle name="Vírgula 4 2 2 4 6" xfId="12645"/>
    <cellStyle name="Vírgula 4 2 2 5" xfId="5963"/>
    <cellStyle name="Vírgula 4 2 2 5 2" xfId="7663"/>
    <cellStyle name="Vírgula 4 2 2 5 2 2" xfId="10778"/>
    <cellStyle name="Vírgula 4 2 2 5 2 2 2" xfId="28992"/>
    <cellStyle name="Vírgula 4 2 2 5 2 2 3" xfId="23078"/>
    <cellStyle name="Vírgula 4 2 2 5 2 2 4" xfId="17164"/>
    <cellStyle name="Vírgula 4 2 2 5 2 3" xfId="26035"/>
    <cellStyle name="Vírgula 4 2 2 5 2 4" xfId="20121"/>
    <cellStyle name="Vírgula 4 2 2 5 2 5" xfId="14052"/>
    <cellStyle name="Vírgula 4 2 2 5 3" xfId="9310"/>
    <cellStyle name="Vírgula 4 2 2 5 3 2" xfId="27524"/>
    <cellStyle name="Vírgula 4 2 2 5 3 3" xfId="21610"/>
    <cellStyle name="Vírgula 4 2 2 5 3 4" xfId="15696"/>
    <cellStyle name="Vírgula 4 2 2 5 4" xfId="24567"/>
    <cellStyle name="Vírgula 4 2 2 5 5" xfId="18653"/>
    <cellStyle name="Vírgula 4 2 2 5 6" xfId="12351"/>
    <cellStyle name="Vírgula 4 2 2 6" xfId="6365"/>
    <cellStyle name="Vírgula 4 2 2 6 2" xfId="9539"/>
    <cellStyle name="Vírgula 4 2 2 6 2 2" xfId="27753"/>
    <cellStyle name="Vírgula 4 2 2 6 2 3" xfId="21839"/>
    <cellStyle name="Vírgula 4 2 2 6 2 4" xfId="15925"/>
    <cellStyle name="Vírgula 4 2 2 6 3" xfId="24796"/>
    <cellStyle name="Vírgula 4 2 2 6 4" xfId="18882"/>
    <cellStyle name="Vírgula 4 2 2 6 5" xfId="12754"/>
    <cellStyle name="Vírgula 4 2 2 7" xfId="8068"/>
    <cellStyle name="Vírgula 4 2 2 7 2" xfId="26282"/>
    <cellStyle name="Vírgula 4 2 2 7 3" xfId="20368"/>
    <cellStyle name="Vírgula 4 2 2 7 4" xfId="14457"/>
    <cellStyle name="Vírgula 4 2 2 8" xfId="4662"/>
    <cellStyle name="Vírgula 4 2 2 8 2" xfId="23325"/>
    <cellStyle name="Vírgula 4 2 2 9" xfId="17411"/>
    <cellStyle name="Vírgula 4 2 3" xfId="4227"/>
    <cellStyle name="Vírgula 4 2 3 10" xfId="11086"/>
    <cellStyle name="Vírgula 4 2 3 2" xfId="4371"/>
    <cellStyle name="Vírgula 4 2 3 2 2" xfId="7773"/>
    <cellStyle name="Vírgula 4 2 3 2 2 2" xfId="10840"/>
    <cellStyle name="Vírgula 4 2 3 2 2 2 2" xfId="29054"/>
    <cellStyle name="Vírgula 4 2 3 2 2 2 3" xfId="23140"/>
    <cellStyle name="Vírgula 4 2 3 2 2 2 4" xfId="17226"/>
    <cellStyle name="Vírgula 4 2 3 2 2 3" xfId="26097"/>
    <cellStyle name="Vírgula 4 2 3 2 2 4" xfId="20183"/>
    <cellStyle name="Vírgula 4 2 3 2 2 5" xfId="14162"/>
    <cellStyle name="Vírgula 4 2 3 2 3" xfId="9372"/>
    <cellStyle name="Vírgula 4 2 3 2 3 2" xfId="27586"/>
    <cellStyle name="Vírgula 4 2 3 2 3 3" xfId="21672"/>
    <cellStyle name="Vírgula 4 2 3 2 3 4" xfId="15758"/>
    <cellStyle name="Vírgula 4 2 3 2 4" xfId="6073"/>
    <cellStyle name="Vírgula 4 2 3 2 4 2" xfId="24629"/>
    <cellStyle name="Vírgula 4 2 3 2 5" xfId="18715"/>
    <cellStyle name="Vírgula 4 2 3 2 6" xfId="12461"/>
    <cellStyle name="Vírgula 4 2 3 3" xfId="4479"/>
    <cellStyle name="Vírgula 4 2 3 3 2" xfId="7881"/>
    <cellStyle name="Vírgula 4 2 3 3 2 2" xfId="10902"/>
    <cellStyle name="Vírgula 4 2 3 3 2 2 2" xfId="29116"/>
    <cellStyle name="Vírgula 4 2 3 3 2 2 3" xfId="23202"/>
    <cellStyle name="Vírgula 4 2 3 3 2 2 4" xfId="17288"/>
    <cellStyle name="Vírgula 4 2 3 3 2 3" xfId="26159"/>
    <cellStyle name="Vírgula 4 2 3 3 2 4" xfId="20245"/>
    <cellStyle name="Vírgula 4 2 3 3 2 5" xfId="14270"/>
    <cellStyle name="Vírgula 4 2 3 3 3" xfId="9434"/>
    <cellStyle name="Vírgula 4 2 3 3 3 2" xfId="27648"/>
    <cellStyle name="Vírgula 4 2 3 3 3 3" xfId="21734"/>
    <cellStyle name="Vírgula 4 2 3 3 3 4" xfId="15820"/>
    <cellStyle name="Vírgula 4 2 3 3 4" xfId="6180"/>
    <cellStyle name="Vírgula 4 2 3 3 4 2" xfId="24691"/>
    <cellStyle name="Vírgula 4 2 3 3 5" xfId="18777"/>
    <cellStyle name="Vírgula 4 2 3 3 6" xfId="12569"/>
    <cellStyle name="Vírgula 4 2 3 4" xfId="4587"/>
    <cellStyle name="Vírgula 4 2 3 4 2" xfId="7990"/>
    <cellStyle name="Vírgula 4 2 3 4 2 2" xfId="10964"/>
    <cellStyle name="Vírgula 4 2 3 4 2 2 2" xfId="29178"/>
    <cellStyle name="Vírgula 4 2 3 4 2 2 3" xfId="23264"/>
    <cellStyle name="Vírgula 4 2 3 4 2 2 4" xfId="17350"/>
    <cellStyle name="Vírgula 4 2 3 4 2 3" xfId="26221"/>
    <cellStyle name="Vírgula 4 2 3 4 2 4" xfId="20307"/>
    <cellStyle name="Vírgula 4 2 3 4 2 5" xfId="14379"/>
    <cellStyle name="Vírgula 4 2 3 4 3" xfId="9496"/>
    <cellStyle name="Vírgula 4 2 3 4 3 2" xfId="27710"/>
    <cellStyle name="Vírgula 4 2 3 4 3 3" xfId="21796"/>
    <cellStyle name="Vírgula 4 2 3 4 3 4" xfId="15882"/>
    <cellStyle name="Vírgula 4 2 3 4 4" xfId="6289"/>
    <cellStyle name="Vírgula 4 2 3 4 4 2" xfId="24753"/>
    <cellStyle name="Vírgula 4 2 3 4 5" xfId="18839"/>
    <cellStyle name="Vírgula 4 2 3 4 6" xfId="12678"/>
    <cellStyle name="Vírgula 4 2 3 5" xfId="5928"/>
    <cellStyle name="Vírgula 4 2 3 5 2" xfId="7628"/>
    <cellStyle name="Vírgula 4 2 3 5 2 2" xfId="10758"/>
    <cellStyle name="Vírgula 4 2 3 5 2 2 2" xfId="28972"/>
    <cellStyle name="Vírgula 4 2 3 5 2 2 3" xfId="23058"/>
    <cellStyle name="Vírgula 4 2 3 5 2 2 4" xfId="17144"/>
    <cellStyle name="Vírgula 4 2 3 5 2 3" xfId="26015"/>
    <cellStyle name="Vírgula 4 2 3 5 2 4" xfId="20101"/>
    <cellStyle name="Vírgula 4 2 3 5 2 5" xfId="14017"/>
    <cellStyle name="Vírgula 4 2 3 5 3" xfId="9290"/>
    <cellStyle name="Vírgula 4 2 3 5 3 2" xfId="27504"/>
    <cellStyle name="Vírgula 4 2 3 5 3 3" xfId="21590"/>
    <cellStyle name="Vírgula 4 2 3 5 3 4" xfId="15676"/>
    <cellStyle name="Vírgula 4 2 3 5 4" xfId="24547"/>
    <cellStyle name="Vírgula 4 2 3 5 5" xfId="18633"/>
    <cellStyle name="Vírgula 4 2 3 5 6" xfId="12316"/>
    <cellStyle name="Vírgula 4 2 3 6" xfId="6398"/>
    <cellStyle name="Vírgula 4 2 3 6 2" xfId="9558"/>
    <cellStyle name="Vírgula 4 2 3 6 2 2" xfId="27772"/>
    <cellStyle name="Vírgula 4 2 3 6 2 3" xfId="21858"/>
    <cellStyle name="Vírgula 4 2 3 6 2 4" xfId="15944"/>
    <cellStyle name="Vírgula 4 2 3 6 3" xfId="24815"/>
    <cellStyle name="Vírgula 4 2 3 6 4" xfId="18901"/>
    <cellStyle name="Vírgula 4 2 3 6 5" xfId="12787"/>
    <cellStyle name="Vírgula 4 2 3 7" xfId="8087"/>
    <cellStyle name="Vírgula 4 2 3 7 2" xfId="26301"/>
    <cellStyle name="Vírgula 4 2 3 7 3" xfId="20387"/>
    <cellStyle name="Vírgula 4 2 3 7 4" xfId="14476"/>
    <cellStyle name="Vírgula 4 2 3 8" xfId="4695"/>
    <cellStyle name="Vírgula 4 2 3 8 2" xfId="23344"/>
    <cellStyle name="Vírgula 4 2 3 9" xfId="17430"/>
    <cellStyle name="Vírgula 4 2 4" xfId="4304"/>
    <cellStyle name="Vírgula 4 2 4 2" xfId="7705"/>
    <cellStyle name="Vírgula 4 2 4 2 2" xfId="10801"/>
    <cellStyle name="Vírgula 4 2 4 2 2 2" xfId="29015"/>
    <cellStyle name="Vírgula 4 2 4 2 2 3" xfId="23101"/>
    <cellStyle name="Vírgula 4 2 4 2 2 4" xfId="17187"/>
    <cellStyle name="Vírgula 4 2 4 2 3" xfId="26058"/>
    <cellStyle name="Vírgula 4 2 4 2 4" xfId="20144"/>
    <cellStyle name="Vírgula 4 2 4 2 5" xfId="14094"/>
    <cellStyle name="Vírgula 4 2 4 3" xfId="9333"/>
    <cellStyle name="Vírgula 4 2 4 3 2" xfId="27547"/>
    <cellStyle name="Vírgula 4 2 4 3 3" xfId="21633"/>
    <cellStyle name="Vírgula 4 2 4 3 4" xfId="15719"/>
    <cellStyle name="Vírgula 4 2 4 4" xfId="6005"/>
    <cellStyle name="Vírgula 4 2 4 4 2" xfId="24590"/>
    <cellStyle name="Vírgula 4 2 4 5" xfId="18676"/>
    <cellStyle name="Vírgula 4 2 4 6" xfId="12393"/>
    <cellStyle name="Vírgula 4 2 5" xfId="4412"/>
    <cellStyle name="Vírgula 4 2 5 2" xfId="7814"/>
    <cellStyle name="Vírgula 4 2 5 2 2" xfId="10863"/>
    <cellStyle name="Vírgula 4 2 5 2 2 2" xfId="29077"/>
    <cellStyle name="Vírgula 4 2 5 2 2 3" xfId="23163"/>
    <cellStyle name="Vírgula 4 2 5 2 2 4" xfId="17249"/>
    <cellStyle name="Vírgula 4 2 5 2 3" xfId="26120"/>
    <cellStyle name="Vírgula 4 2 5 2 4" xfId="20206"/>
    <cellStyle name="Vírgula 4 2 5 2 5" xfId="14203"/>
    <cellStyle name="Vírgula 4 2 5 3" xfId="9395"/>
    <cellStyle name="Vírgula 4 2 5 3 2" xfId="27609"/>
    <cellStyle name="Vírgula 4 2 5 3 3" xfId="21695"/>
    <cellStyle name="Vírgula 4 2 5 3 4" xfId="15781"/>
    <cellStyle name="Vírgula 4 2 5 4" xfId="6114"/>
    <cellStyle name="Vírgula 4 2 5 4 2" xfId="24652"/>
    <cellStyle name="Vírgula 4 2 5 5" xfId="18738"/>
    <cellStyle name="Vírgula 4 2 5 6" xfId="12502"/>
    <cellStyle name="Vírgula 4 2 6" xfId="4520"/>
    <cellStyle name="Vírgula 4 2 6 2" xfId="7922"/>
    <cellStyle name="Vírgula 4 2 6 2 2" xfId="10925"/>
    <cellStyle name="Vírgula 4 2 6 2 2 2" xfId="29139"/>
    <cellStyle name="Vírgula 4 2 6 2 2 3" xfId="23225"/>
    <cellStyle name="Vírgula 4 2 6 2 2 4" xfId="17311"/>
    <cellStyle name="Vírgula 4 2 6 2 3" xfId="26182"/>
    <cellStyle name="Vírgula 4 2 6 2 4" xfId="20268"/>
    <cellStyle name="Vírgula 4 2 6 2 5" xfId="14311"/>
    <cellStyle name="Vírgula 4 2 6 3" xfId="9457"/>
    <cellStyle name="Vírgula 4 2 6 3 2" xfId="27671"/>
    <cellStyle name="Vírgula 4 2 6 3 3" xfId="21757"/>
    <cellStyle name="Vírgula 4 2 6 3 4" xfId="15843"/>
    <cellStyle name="Vírgula 4 2 6 4" xfId="6221"/>
    <cellStyle name="Vírgula 4 2 6 4 2" xfId="24714"/>
    <cellStyle name="Vírgula 4 2 6 5" xfId="18800"/>
    <cellStyle name="Vírgula 4 2 6 6" xfId="12610"/>
    <cellStyle name="Vírgula 4 2 7" xfId="4768"/>
    <cellStyle name="Vírgula 4 2 7 2" xfId="6469"/>
    <cellStyle name="Vírgula 4 2 7 2 2" xfId="9620"/>
    <cellStyle name="Vírgula 4 2 7 2 2 2" xfId="27834"/>
    <cellStyle name="Vírgula 4 2 7 2 2 3" xfId="21920"/>
    <cellStyle name="Vírgula 4 2 7 2 2 4" xfId="16006"/>
    <cellStyle name="Vírgula 4 2 7 2 3" xfId="24877"/>
    <cellStyle name="Vírgula 4 2 7 2 4" xfId="18963"/>
    <cellStyle name="Vírgula 4 2 7 2 5" xfId="12858"/>
    <cellStyle name="Vírgula 4 2 7 3" xfId="8149"/>
    <cellStyle name="Vírgula 4 2 7 3 2" xfId="26363"/>
    <cellStyle name="Vírgula 4 2 7 3 3" xfId="20449"/>
    <cellStyle name="Vírgula 4 2 7 3 4" xfId="14538"/>
    <cellStyle name="Vírgula 4 2 7 4" xfId="23406"/>
    <cellStyle name="Vírgula 4 2 7 5" xfId="17492"/>
    <cellStyle name="Vírgula 4 2 7 6" xfId="11157"/>
    <cellStyle name="Vírgula 4 2 8" xfId="6330"/>
    <cellStyle name="Vírgula 4 2 8 2" xfId="9519"/>
    <cellStyle name="Vírgula 4 2 8 2 2" xfId="27733"/>
    <cellStyle name="Vírgula 4 2 8 2 3" xfId="21819"/>
    <cellStyle name="Vírgula 4 2 8 2 4" xfId="15905"/>
    <cellStyle name="Vírgula 4 2 8 3" xfId="24776"/>
    <cellStyle name="Vírgula 4 2 8 4" xfId="18862"/>
    <cellStyle name="Vírgula 4 2 8 5" xfId="12719"/>
    <cellStyle name="Vírgula 4 2 9" xfId="8022"/>
    <cellStyle name="Vírgula 4 2 9 2" xfId="10983"/>
    <cellStyle name="Vírgula 4 2 9 2 2" xfId="29197"/>
    <cellStyle name="Vírgula 4 2 9 2 3" xfId="23283"/>
    <cellStyle name="Vírgula 4 2 9 2 4" xfId="17369"/>
    <cellStyle name="Vírgula 4 2 9 3" xfId="26240"/>
    <cellStyle name="Vírgula 4 2 9 4" xfId="20326"/>
    <cellStyle name="Vírgula 4 2 9 5" xfId="14411"/>
    <cellStyle name="Vírgula 4 20" xfId="11003"/>
    <cellStyle name="Vírgula 4 3" xfId="307"/>
    <cellStyle name="Vírgula 4 3 10" xfId="4647"/>
    <cellStyle name="Vírgula 4 3 10 2" xfId="23316"/>
    <cellStyle name="Vírgula 4 3 11" xfId="17402"/>
    <cellStyle name="Vírgula 4 3 12" xfId="11038"/>
    <cellStyle name="Vírgula 4 3 2" xfId="771"/>
    <cellStyle name="Vírgula 4 3 2 2" xfId="6642"/>
    <cellStyle name="Vírgula 4 3 2 2 2" xfId="9789"/>
    <cellStyle name="Vírgula 4 3 2 2 2 2" xfId="28003"/>
    <cellStyle name="Vírgula 4 3 2 2 2 3" xfId="22089"/>
    <cellStyle name="Vírgula 4 3 2 2 2 4" xfId="16175"/>
    <cellStyle name="Vírgula 4 3 2 2 3" xfId="25046"/>
    <cellStyle name="Vírgula 4 3 2 2 4" xfId="19132"/>
    <cellStyle name="Vírgula 4 3 2 2 5" xfId="13031"/>
    <cellStyle name="Vírgula 4 3 2 3" xfId="8321"/>
    <cellStyle name="Vírgula 4 3 2 3 2" xfId="26535"/>
    <cellStyle name="Vírgula 4 3 2 3 3" xfId="20621"/>
    <cellStyle name="Vírgula 4 3 2 3 4" xfId="14707"/>
    <cellStyle name="Vírgula 4 3 2 4" xfId="4943"/>
    <cellStyle name="Vírgula 4 3 2 4 2" xfId="23578"/>
    <cellStyle name="Vírgula 4 3 2 5" xfId="17664"/>
    <cellStyle name="Vírgula 4 3 2 6" xfId="11330"/>
    <cellStyle name="Vírgula 4 3 3" xfId="4247"/>
    <cellStyle name="Vírgula 4 3 3 2" xfId="7648"/>
    <cellStyle name="Vírgula 4 3 3 2 2" xfId="10769"/>
    <cellStyle name="Vírgula 4 3 3 2 2 2" xfId="28983"/>
    <cellStyle name="Vírgula 4 3 3 2 2 3" xfId="23069"/>
    <cellStyle name="Vírgula 4 3 3 2 2 4" xfId="17155"/>
    <cellStyle name="Vírgula 4 3 3 2 3" xfId="26026"/>
    <cellStyle name="Vírgula 4 3 3 2 4" xfId="20112"/>
    <cellStyle name="Vírgula 4 3 3 2 5" xfId="14037"/>
    <cellStyle name="Vírgula 4 3 3 3" xfId="9301"/>
    <cellStyle name="Vírgula 4 3 3 3 2" xfId="27515"/>
    <cellStyle name="Vírgula 4 3 3 3 3" xfId="21601"/>
    <cellStyle name="Vírgula 4 3 3 3 4" xfId="15687"/>
    <cellStyle name="Vírgula 4 3 3 4" xfId="5948"/>
    <cellStyle name="Vírgula 4 3 3 4 2" xfId="24558"/>
    <cellStyle name="Vírgula 4 3 3 5" xfId="18644"/>
    <cellStyle name="Vírgula 4 3 3 6" xfId="12336"/>
    <cellStyle name="Vírgula 4 3 4" xfId="4324"/>
    <cellStyle name="Vírgula 4 3 4 2" xfId="7725"/>
    <cellStyle name="Vírgula 4 3 4 2 2" xfId="10812"/>
    <cellStyle name="Vírgula 4 3 4 2 2 2" xfId="29026"/>
    <cellStyle name="Vírgula 4 3 4 2 2 3" xfId="23112"/>
    <cellStyle name="Vírgula 4 3 4 2 2 4" xfId="17198"/>
    <cellStyle name="Vírgula 4 3 4 2 3" xfId="26069"/>
    <cellStyle name="Vírgula 4 3 4 2 4" xfId="20155"/>
    <cellStyle name="Vírgula 4 3 4 2 5" xfId="14114"/>
    <cellStyle name="Vírgula 4 3 4 3" xfId="9344"/>
    <cellStyle name="Vírgula 4 3 4 3 2" xfId="27558"/>
    <cellStyle name="Vírgula 4 3 4 3 3" xfId="21644"/>
    <cellStyle name="Vírgula 4 3 4 3 4" xfId="15730"/>
    <cellStyle name="Vírgula 4 3 4 4" xfId="6025"/>
    <cellStyle name="Vírgula 4 3 4 4 2" xfId="24601"/>
    <cellStyle name="Vírgula 4 3 4 5" xfId="18687"/>
    <cellStyle name="Vírgula 4 3 4 6" xfId="12413"/>
    <cellStyle name="Vírgula 4 3 5" xfId="4432"/>
    <cellStyle name="Vírgula 4 3 5 2" xfId="7834"/>
    <cellStyle name="Vírgula 4 3 5 2 2" xfId="10874"/>
    <cellStyle name="Vírgula 4 3 5 2 2 2" xfId="29088"/>
    <cellStyle name="Vírgula 4 3 5 2 2 3" xfId="23174"/>
    <cellStyle name="Vírgula 4 3 5 2 2 4" xfId="17260"/>
    <cellStyle name="Vírgula 4 3 5 2 3" xfId="26131"/>
    <cellStyle name="Vírgula 4 3 5 2 4" xfId="20217"/>
    <cellStyle name="Vírgula 4 3 5 2 5" xfId="14223"/>
    <cellStyle name="Vírgula 4 3 5 3" xfId="9406"/>
    <cellStyle name="Vírgula 4 3 5 3 2" xfId="27620"/>
    <cellStyle name="Vírgula 4 3 5 3 3" xfId="21706"/>
    <cellStyle name="Vírgula 4 3 5 3 4" xfId="15792"/>
    <cellStyle name="Vírgula 4 3 5 4" xfId="6134"/>
    <cellStyle name="Vírgula 4 3 5 4 2" xfId="24663"/>
    <cellStyle name="Vírgula 4 3 5 5" xfId="18749"/>
    <cellStyle name="Vírgula 4 3 5 6" xfId="12522"/>
    <cellStyle name="Vírgula 4 3 6" xfId="4540"/>
    <cellStyle name="Vírgula 4 3 6 2" xfId="7942"/>
    <cellStyle name="Vírgula 4 3 6 2 2" xfId="10936"/>
    <cellStyle name="Vírgula 4 3 6 2 2 2" xfId="29150"/>
    <cellStyle name="Vírgula 4 3 6 2 2 3" xfId="23236"/>
    <cellStyle name="Vírgula 4 3 6 2 2 4" xfId="17322"/>
    <cellStyle name="Vírgula 4 3 6 2 3" xfId="26193"/>
    <cellStyle name="Vírgula 4 3 6 2 4" xfId="20279"/>
    <cellStyle name="Vírgula 4 3 6 2 5" xfId="14331"/>
    <cellStyle name="Vírgula 4 3 6 3" xfId="9468"/>
    <cellStyle name="Vírgula 4 3 6 3 2" xfId="27682"/>
    <cellStyle name="Vírgula 4 3 6 3 3" xfId="21768"/>
    <cellStyle name="Vírgula 4 3 6 3 4" xfId="15854"/>
    <cellStyle name="Vírgula 4 3 6 4" xfId="6241"/>
    <cellStyle name="Vírgula 4 3 6 4 2" xfId="24725"/>
    <cellStyle name="Vírgula 4 3 6 5" xfId="18811"/>
    <cellStyle name="Vírgula 4 3 6 6" xfId="12630"/>
    <cellStyle name="Vírgula 4 3 7" xfId="4799"/>
    <cellStyle name="Vírgula 4 3 7 2" xfId="6500"/>
    <cellStyle name="Vírgula 4 3 7 2 2" xfId="9648"/>
    <cellStyle name="Vírgula 4 3 7 2 2 2" xfId="27862"/>
    <cellStyle name="Vírgula 4 3 7 2 2 3" xfId="21948"/>
    <cellStyle name="Vírgula 4 3 7 2 2 4" xfId="16034"/>
    <cellStyle name="Vírgula 4 3 7 2 3" xfId="24905"/>
    <cellStyle name="Vírgula 4 3 7 2 4" xfId="18991"/>
    <cellStyle name="Vírgula 4 3 7 2 5" xfId="12889"/>
    <cellStyle name="Vírgula 4 3 7 3" xfId="8177"/>
    <cellStyle name="Vírgula 4 3 7 3 2" xfId="26391"/>
    <cellStyle name="Vírgula 4 3 7 3 3" xfId="20477"/>
    <cellStyle name="Vírgula 4 3 7 3 4" xfId="14566"/>
    <cellStyle name="Vírgula 4 3 7 4" xfId="23434"/>
    <cellStyle name="Vírgula 4 3 7 5" xfId="17520"/>
    <cellStyle name="Vírgula 4 3 7 6" xfId="11188"/>
    <cellStyle name="Vírgula 4 3 8" xfId="6350"/>
    <cellStyle name="Vírgula 4 3 8 2" xfId="9530"/>
    <cellStyle name="Vírgula 4 3 8 2 2" xfId="27744"/>
    <cellStyle name="Vírgula 4 3 8 2 3" xfId="21830"/>
    <cellStyle name="Vírgula 4 3 8 2 4" xfId="15916"/>
    <cellStyle name="Vírgula 4 3 8 3" xfId="24787"/>
    <cellStyle name="Vírgula 4 3 8 4" xfId="18873"/>
    <cellStyle name="Vírgula 4 3 8 5" xfId="12739"/>
    <cellStyle name="Vírgula 4 3 9" xfId="8059"/>
    <cellStyle name="Vírgula 4 3 9 2" xfId="26273"/>
    <cellStyle name="Vírgula 4 3 9 3" xfId="20359"/>
    <cellStyle name="Vírgula 4 3 9 4" xfId="14448"/>
    <cellStyle name="Vírgula 4 4" xfId="1122"/>
    <cellStyle name="Vírgula 4 4 10" xfId="11070"/>
    <cellStyle name="Vírgula 4 4 2" xfId="4356"/>
    <cellStyle name="Vírgula 4 4 2 2" xfId="7757"/>
    <cellStyle name="Vírgula 4 4 2 2 2" xfId="10831"/>
    <cellStyle name="Vírgula 4 4 2 2 2 2" xfId="29045"/>
    <cellStyle name="Vírgula 4 4 2 2 2 3" xfId="23131"/>
    <cellStyle name="Vírgula 4 4 2 2 2 4" xfId="17217"/>
    <cellStyle name="Vírgula 4 4 2 2 3" xfId="26088"/>
    <cellStyle name="Vírgula 4 4 2 2 4" xfId="20174"/>
    <cellStyle name="Vírgula 4 4 2 2 5" xfId="14146"/>
    <cellStyle name="Vírgula 4 4 2 3" xfId="9363"/>
    <cellStyle name="Vírgula 4 4 2 3 2" xfId="27577"/>
    <cellStyle name="Vírgula 4 4 2 3 3" xfId="21663"/>
    <cellStyle name="Vírgula 4 4 2 3 4" xfId="15749"/>
    <cellStyle name="Vírgula 4 4 2 4" xfId="6057"/>
    <cellStyle name="Vírgula 4 4 2 4 2" xfId="24620"/>
    <cellStyle name="Vírgula 4 4 2 5" xfId="18706"/>
    <cellStyle name="Vírgula 4 4 2 6" xfId="12445"/>
    <cellStyle name="Vírgula 4 4 3" xfId="4464"/>
    <cellStyle name="Vírgula 4 4 3 2" xfId="7866"/>
    <cellStyle name="Vírgula 4 4 3 2 2" xfId="10893"/>
    <cellStyle name="Vírgula 4 4 3 2 2 2" xfId="29107"/>
    <cellStyle name="Vírgula 4 4 3 2 2 3" xfId="23193"/>
    <cellStyle name="Vírgula 4 4 3 2 2 4" xfId="17279"/>
    <cellStyle name="Vírgula 4 4 3 2 3" xfId="26150"/>
    <cellStyle name="Vírgula 4 4 3 2 4" xfId="20236"/>
    <cellStyle name="Vírgula 4 4 3 2 5" xfId="14255"/>
    <cellStyle name="Vírgula 4 4 3 3" xfId="9425"/>
    <cellStyle name="Vírgula 4 4 3 3 2" xfId="27639"/>
    <cellStyle name="Vírgula 4 4 3 3 3" xfId="21725"/>
    <cellStyle name="Vírgula 4 4 3 3 4" xfId="15811"/>
    <cellStyle name="Vírgula 4 4 3 4" xfId="6165"/>
    <cellStyle name="Vírgula 4 4 3 4 2" xfId="24682"/>
    <cellStyle name="Vírgula 4 4 3 5" xfId="18768"/>
    <cellStyle name="Vírgula 4 4 3 6" xfId="12554"/>
    <cellStyle name="Vírgula 4 4 4" xfId="4572"/>
    <cellStyle name="Vírgula 4 4 4 2" xfId="7974"/>
    <cellStyle name="Vírgula 4 4 4 2 2" xfId="10955"/>
    <cellStyle name="Vírgula 4 4 4 2 2 2" xfId="29169"/>
    <cellStyle name="Vírgula 4 4 4 2 2 3" xfId="23255"/>
    <cellStyle name="Vírgula 4 4 4 2 2 4" xfId="17341"/>
    <cellStyle name="Vírgula 4 4 4 2 3" xfId="26212"/>
    <cellStyle name="Vírgula 4 4 4 2 4" xfId="20298"/>
    <cellStyle name="Vírgula 4 4 4 2 5" xfId="14363"/>
    <cellStyle name="Vírgula 4 4 4 3" xfId="9487"/>
    <cellStyle name="Vírgula 4 4 4 3 2" xfId="27701"/>
    <cellStyle name="Vírgula 4 4 4 3 3" xfId="21787"/>
    <cellStyle name="Vírgula 4 4 4 3 4" xfId="15873"/>
    <cellStyle name="Vírgula 4 4 4 4" xfId="6273"/>
    <cellStyle name="Vírgula 4 4 4 4 2" xfId="24744"/>
    <cellStyle name="Vírgula 4 4 4 5" xfId="18830"/>
    <cellStyle name="Vírgula 4 4 4 6" xfId="12662"/>
    <cellStyle name="Vírgula 4 4 5" xfId="5041"/>
    <cellStyle name="Vírgula 4 4 5 2" xfId="6740"/>
    <cellStyle name="Vírgula 4 4 5 2 2" xfId="9887"/>
    <cellStyle name="Vírgula 4 4 5 2 2 2" xfId="28101"/>
    <cellStyle name="Vírgula 4 4 5 2 2 3" xfId="22187"/>
    <cellStyle name="Vírgula 4 4 5 2 2 4" xfId="16273"/>
    <cellStyle name="Vírgula 4 4 5 2 3" xfId="25144"/>
    <cellStyle name="Vírgula 4 4 5 2 4" xfId="19230"/>
    <cellStyle name="Vírgula 4 4 5 2 5" xfId="13129"/>
    <cellStyle name="Vírgula 4 4 5 3" xfId="8419"/>
    <cellStyle name="Vírgula 4 4 5 3 2" xfId="26633"/>
    <cellStyle name="Vírgula 4 4 5 3 3" xfId="20719"/>
    <cellStyle name="Vírgula 4 4 5 3 4" xfId="14805"/>
    <cellStyle name="Vírgula 4 4 5 4" xfId="23676"/>
    <cellStyle name="Vírgula 4 4 5 5" xfId="17762"/>
    <cellStyle name="Vírgula 4 4 5 6" xfId="11428"/>
    <cellStyle name="Vírgula 4 4 6" xfId="6382"/>
    <cellStyle name="Vírgula 4 4 6 2" xfId="9549"/>
    <cellStyle name="Vírgula 4 4 6 2 2" xfId="27763"/>
    <cellStyle name="Vírgula 4 4 6 2 3" xfId="21849"/>
    <cellStyle name="Vírgula 4 4 6 2 4" xfId="15935"/>
    <cellStyle name="Vírgula 4 4 6 3" xfId="24806"/>
    <cellStyle name="Vírgula 4 4 6 4" xfId="18892"/>
    <cellStyle name="Vírgula 4 4 6 5" xfId="12771"/>
    <cellStyle name="Vírgula 4 4 7" xfId="8078"/>
    <cellStyle name="Vírgula 4 4 7 2" xfId="26292"/>
    <cellStyle name="Vírgula 4 4 7 3" xfId="20378"/>
    <cellStyle name="Vírgula 4 4 7 4" xfId="14467"/>
    <cellStyle name="Vírgula 4 4 8" xfId="4679"/>
    <cellStyle name="Vírgula 4 4 8 2" xfId="23335"/>
    <cellStyle name="Vírgula 4 4 9" xfId="17421"/>
    <cellStyle name="Vírgula 4 5" xfId="1557"/>
    <cellStyle name="Vírgula 4 5 2" xfId="6859"/>
    <cellStyle name="Vírgula 4 5 2 2" xfId="10006"/>
    <cellStyle name="Vírgula 4 5 2 2 2" xfId="28220"/>
    <cellStyle name="Vírgula 4 5 2 2 3" xfId="22306"/>
    <cellStyle name="Vírgula 4 5 2 2 4" xfId="16392"/>
    <cellStyle name="Vírgula 4 5 2 3" xfId="25263"/>
    <cellStyle name="Vírgula 4 5 2 4" xfId="19349"/>
    <cellStyle name="Vírgula 4 5 2 5" xfId="13248"/>
    <cellStyle name="Vírgula 4 5 3" xfId="8538"/>
    <cellStyle name="Vírgula 4 5 3 2" xfId="26752"/>
    <cellStyle name="Vírgula 4 5 3 3" xfId="20838"/>
    <cellStyle name="Vírgula 4 5 3 4" xfId="14924"/>
    <cellStyle name="Vírgula 4 5 4" xfId="5160"/>
    <cellStyle name="Vírgula 4 5 4 2" xfId="23795"/>
    <cellStyle name="Vírgula 4 5 5" xfId="17881"/>
    <cellStyle name="Vírgula 4 5 6" xfId="11547"/>
    <cellStyle name="Vírgula 4 6" xfId="2087"/>
    <cellStyle name="Vírgula 4 6 2" xfId="7009"/>
    <cellStyle name="Vírgula 4 6 2 2" xfId="10153"/>
    <cellStyle name="Vírgula 4 6 2 2 2" xfId="28367"/>
    <cellStyle name="Vírgula 4 6 2 2 3" xfId="22453"/>
    <cellStyle name="Vírgula 4 6 2 2 4" xfId="16539"/>
    <cellStyle name="Vírgula 4 6 2 3" xfId="25410"/>
    <cellStyle name="Vírgula 4 6 2 4" xfId="19496"/>
    <cellStyle name="Vírgula 4 6 2 5" xfId="13398"/>
    <cellStyle name="Vírgula 4 6 3" xfId="8685"/>
    <cellStyle name="Vírgula 4 6 3 2" xfId="26899"/>
    <cellStyle name="Vírgula 4 6 3 3" xfId="20985"/>
    <cellStyle name="Vírgula 4 6 3 4" xfId="15071"/>
    <cellStyle name="Vírgula 4 6 4" xfId="5310"/>
    <cellStyle name="Vírgula 4 6 4 2" xfId="23942"/>
    <cellStyle name="Vírgula 4 6 5" xfId="18028"/>
    <cellStyle name="Vírgula 4 6 6" xfId="11697"/>
    <cellStyle name="Vírgula 4 7" xfId="2614"/>
    <cellStyle name="Vírgula 4 7 2" xfId="7156"/>
    <cellStyle name="Vírgula 4 7 2 2" xfId="10300"/>
    <cellStyle name="Vírgula 4 7 2 2 2" xfId="28514"/>
    <cellStyle name="Vírgula 4 7 2 2 3" xfId="22600"/>
    <cellStyle name="Vírgula 4 7 2 2 4" xfId="16686"/>
    <cellStyle name="Vírgula 4 7 2 3" xfId="25557"/>
    <cellStyle name="Vírgula 4 7 2 4" xfId="19643"/>
    <cellStyle name="Vírgula 4 7 2 5" xfId="13545"/>
    <cellStyle name="Vírgula 4 7 3" xfId="8832"/>
    <cellStyle name="Vírgula 4 7 3 2" xfId="27046"/>
    <cellStyle name="Vírgula 4 7 3 3" xfId="21132"/>
    <cellStyle name="Vírgula 4 7 3 4" xfId="15218"/>
    <cellStyle name="Vírgula 4 7 4" xfId="5457"/>
    <cellStyle name="Vírgula 4 7 4 2" xfId="24089"/>
    <cellStyle name="Vírgula 4 7 5" xfId="18175"/>
    <cellStyle name="Vírgula 4 7 6" xfId="11844"/>
    <cellStyle name="Vírgula 4 8" xfId="3141"/>
    <cellStyle name="Vírgula 4 8 2" xfId="7303"/>
    <cellStyle name="Vírgula 4 8 2 2" xfId="10447"/>
    <cellStyle name="Vírgula 4 8 2 2 2" xfId="28661"/>
    <cellStyle name="Vírgula 4 8 2 2 3" xfId="22747"/>
    <cellStyle name="Vírgula 4 8 2 2 4" xfId="16833"/>
    <cellStyle name="Vírgula 4 8 2 3" xfId="25704"/>
    <cellStyle name="Vírgula 4 8 2 4" xfId="19790"/>
    <cellStyle name="Vírgula 4 8 2 5" xfId="13692"/>
    <cellStyle name="Vírgula 4 8 3" xfId="8979"/>
    <cellStyle name="Vírgula 4 8 3 2" xfId="27193"/>
    <cellStyle name="Vírgula 4 8 3 3" xfId="21279"/>
    <cellStyle name="Vírgula 4 8 3 4" xfId="15365"/>
    <cellStyle name="Vírgula 4 8 4" xfId="5604"/>
    <cellStyle name="Vírgula 4 8 4 2" xfId="24236"/>
    <cellStyle name="Vírgula 4 8 5" xfId="18322"/>
    <cellStyle name="Vírgula 4 8 6" xfId="11991"/>
    <cellStyle name="Vírgula 4 9" xfId="3668"/>
    <cellStyle name="Vírgula 4 9 2" xfId="7450"/>
    <cellStyle name="Vírgula 4 9 2 2" xfId="10594"/>
    <cellStyle name="Vírgula 4 9 2 2 2" xfId="28808"/>
    <cellStyle name="Vírgula 4 9 2 2 3" xfId="22894"/>
    <cellStyle name="Vírgula 4 9 2 2 4" xfId="16980"/>
    <cellStyle name="Vírgula 4 9 2 3" xfId="25851"/>
    <cellStyle name="Vírgula 4 9 2 4" xfId="19937"/>
    <cellStyle name="Vírgula 4 9 2 5" xfId="13839"/>
    <cellStyle name="Vírgula 4 9 3" xfId="9126"/>
    <cellStyle name="Vírgula 4 9 3 2" xfId="27340"/>
    <cellStyle name="Vírgula 4 9 3 3" xfId="21426"/>
    <cellStyle name="Vírgula 4 9 3 4" xfId="15512"/>
    <cellStyle name="Vírgula 4 9 4" xfId="5751"/>
    <cellStyle name="Vírgula 4 9 4 2" xfId="24383"/>
    <cellStyle name="Vírgula 4 9 5" xfId="18469"/>
    <cellStyle name="Vírgula 4 9 6" xfId="12138"/>
    <cellStyle name="Vírgula 5" xfId="563"/>
    <cellStyle name="Vírgula 5 10" xfId="8011"/>
    <cellStyle name="Vírgula 5 10 2" xfId="10977"/>
    <cellStyle name="Vírgula 5 10 2 2" xfId="29191"/>
    <cellStyle name="Vírgula 5 10 2 3" xfId="23277"/>
    <cellStyle name="Vírgula 5 10 2 4" xfId="17363"/>
    <cellStyle name="Vírgula 5 10 3" xfId="26234"/>
    <cellStyle name="Vírgula 5 10 4" xfId="20320"/>
    <cellStyle name="Vírgula 5 10 5" xfId="14400"/>
    <cellStyle name="Vírgula 5 11" xfId="8042"/>
    <cellStyle name="Vírgula 5 11 2" xfId="26256"/>
    <cellStyle name="Vírgula 5 11 3" xfId="20342"/>
    <cellStyle name="Vírgula 5 11 4" xfId="14431"/>
    <cellStyle name="Vírgula 5 12" xfId="4617"/>
    <cellStyle name="Vírgula 5 12 2" xfId="23299"/>
    <cellStyle name="Vírgula 5 13" xfId="17385"/>
    <cellStyle name="Vírgula 5 14" xfId="11008"/>
    <cellStyle name="Vírgula 5 2" xfId="4232"/>
    <cellStyle name="Vírgula 5 2 10" xfId="8051"/>
    <cellStyle name="Vírgula 5 2 10 2" xfId="26265"/>
    <cellStyle name="Vírgula 5 2 10 3" xfId="20351"/>
    <cellStyle name="Vírgula 5 2 10 4" xfId="14440"/>
    <cellStyle name="Vírgula 5 2 11" xfId="4632"/>
    <cellStyle name="Vírgula 5 2 11 2" xfId="23308"/>
    <cellStyle name="Vírgula 5 2 12" xfId="17394"/>
    <cellStyle name="Vírgula 5 2 13" xfId="11023"/>
    <cellStyle name="Vírgula 5 2 2" xfId="4267"/>
    <cellStyle name="Vírgula 5 2 2 10" xfId="11058"/>
    <cellStyle name="Vírgula 5 2 2 2" xfId="4344"/>
    <cellStyle name="Vírgula 5 2 2 2 2" xfId="7745"/>
    <cellStyle name="Vírgula 5 2 2 2 2 2" xfId="10824"/>
    <cellStyle name="Vírgula 5 2 2 2 2 2 2" xfId="29038"/>
    <cellStyle name="Vírgula 5 2 2 2 2 2 3" xfId="23124"/>
    <cellStyle name="Vírgula 5 2 2 2 2 2 4" xfId="17210"/>
    <cellStyle name="Vírgula 5 2 2 2 2 3" xfId="26081"/>
    <cellStyle name="Vírgula 5 2 2 2 2 4" xfId="20167"/>
    <cellStyle name="Vírgula 5 2 2 2 2 5" xfId="14134"/>
    <cellStyle name="Vírgula 5 2 2 2 3" xfId="9356"/>
    <cellStyle name="Vírgula 5 2 2 2 3 2" xfId="27570"/>
    <cellStyle name="Vírgula 5 2 2 2 3 3" xfId="21656"/>
    <cellStyle name="Vírgula 5 2 2 2 3 4" xfId="15742"/>
    <cellStyle name="Vírgula 5 2 2 2 4" xfId="6045"/>
    <cellStyle name="Vírgula 5 2 2 2 4 2" xfId="24613"/>
    <cellStyle name="Vírgula 5 2 2 2 5" xfId="18699"/>
    <cellStyle name="Vírgula 5 2 2 2 6" xfId="12433"/>
    <cellStyle name="Vírgula 5 2 2 3" xfId="4452"/>
    <cellStyle name="Vírgula 5 2 2 3 2" xfId="7854"/>
    <cellStyle name="Vírgula 5 2 2 3 2 2" xfId="10886"/>
    <cellStyle name="Vírgula 5 2 2 3 2 2 2" xfId="29100"/>
    <cellStyle name="Vírgula 5 2 2 3 2 2 3" xfId="23186"/>
    <cellStyle name="Vírgula 5 2 2 3 2 2 4" xfId="17272"/>
    <cellStyle name="Vírgula 5 2 2 3 2 3" xfId="26143"/>
    <cellStyle name="Vírgula 5 2 2 3 2 4" xfId="20229"/>
    <cellStyle name="Vírgula 5 2 2 3 2 5" xfId="14243"/>
    <cellStyle name="Vírgula 5 2 2 3 3" xfId="9418"/>
    <cellStyle name="Vírgula 5 2 2 3 3 2" xfId="27632"/>
    <cellStyle name="Vírgula 5 2 2 3 3 3" xfId="21718"/>
    <cellStyle name="Vírgula 5 2 2 3 3 4" xfId="15804"/>
    <cellStyle name="Vírgula 5 2 2 3 4" xfId="6154"/>
    <cellStyle name="Vírgula 5 2 2 3 4 2" xfId="24675"/>
    <cellStyle name="Vírgula 5 2 2 3 5" xfId="18761"/>
    <cellStyle name="Vírgula 5 2 2 3 6" xfId="12542"/>
    <cellStyle name="Vírgula 5 2 2 4" xfId="4560"/>
    <cellStyle name="Vírgula 5 2 2 4 2" xfId="7962"/>
    <cellStyle name="Vírgula 5 2 2 4 2 2" xfId="10948"/>
    <cellStyle name="Vírgula 5 2 2 4 2 2 2" xfId="29162"/>
    <cellStyle name="Vírgula 5 2 2 4 2 2 3" xfId="23248"/>
    <cellStyle name="Vírgula 5 2 2 4 2 2 4" xfId="17334"/>
    <cellStyle name="Vírgula 5 2 2 4 2 3" xfId="26205"/>
    <cellStyle name="Vírgula 5 2 2 4 2 4" xfId="20291"/>
    <cellStyle name="Vírgula 5 2 2 4 2 5" xfId="14351"/>
    <cellStyle name="Vírgula 5 2 2 4 3" xfId="9480"/>
    <cellStyle name="Vírgula 5 2 2 4 3 2" xfId="27694"/>
    <cellStyle name="Vírgula 5 2 2 4 3 3" xfId="21780"/>
    <cellStyle name="Vírgula 5 2 2 4 3 4" xfId="15866"/>
    <cellStyle name="Vírgula 5 2 2 4 4" xfId="6261"/>
    <cellStyle name="Vírgula 5 2 2 4 4 2" xfId="24737"/>
    <cellStyle name="Vírgula 5 2 2 4 5" xfId="18823"/>
    <cellStyle name="Vírgula 5 2 2 4 6" xfId="12650"/>
    <cellStyle name="Vírgula 5 2 2 5" xfId="5968"/>
    <cellStyle name="Vírgula 5 2 2 5 2" xfId="7668"/>
    <cellStyle name="Vírgula 5 2 2 5 2 2" xfId="10781"/>
    <cellStyle name="Vírgula 5 2 2 5 2 2 2" xfId="28995"/>
    <cellStyle name="Vírgula 5 2 2 5 2 2 3" xfId="23081"/>
    <cellStyle name="Vírgula 5 2 2 5 2 2 4" xfId="17167"/>
    <cellStyle name="Vírgula 5 2 2 5 2 3" xfId="26038"/>
    <cellStyle name="Vírgula 5 2 2 5 2 4" xfId="20124"/>
    <cellStyle name="Vírgula 5 2 2 5 2 5" xfId="14057"/>
    <cellStyle name="Vírgula 5 2 2 5 3" xfId="9313"/>
    <cellStyle name="Vírgula 5 2 2 5 3 2" xfId="27527"/>
    <cellStyle name="Vírgula 5 2 2 5 3 3" xfId="21613"/>
    <cellStyle name="Vírgula 5 2 2 5 3 4" xfId="15699"/>
    <cellStyle name="Vírgula 5 2 2 5 4" xfId="24570"/>
    <cellStyle name="Vírgula 5 2 2 5 5" xfId="18656"/>
    <cellStyle name="Vírgula 5 2 2 5 6" xfId="12356"/>
    <cellStyle name="Vírgula 5 2 2 6" xfId="6370"/>
    <cellStyle name="Vírgula 5 2 2 6 2" xfId="9542"/>
    <cellStyle name="Vírgula 5 2 2 6 2 2" xfId="27756"/>
    <cellStyle name="Vírgula 5 2 2 6 2 3" xfId="21842"/>
    <cellStyle name="Vírgula 5 2 2 6 2 4" xfId="15928"/>
    <cellStyle name="Vírgula 5 2 2 6 3" xfId="24799"/>
    <cellStyle name="Vírgula 5 2 2 6 4" xfId="18885"/>
    <cellStyle name="Vírgula 5 2 2 6 5" xfId="12759"/>
    <cellStyle name="Vírgula 5 2 2 7" xfId="8071"/>
    <cellStyle name="Vírgula 5 2 2 7 2" xfId="26285"/>
    <cellStyle name="Vírgula 5 2 2 7 3" xfId="20371"/>
    <cellStyle name="Vírgula 5 2 2 7 4" xfId="14460"/>
    <cellStyle name="Vírgula 5 2 2 8" xfId="4667"/>
    <cellStyle name="Vírgula 5 2 2 8 2" xfId="23328"/>
    <cellStyle name="Vírgula 5 2 2 9" xfId="17414"/>
    <cellStyle name="Vírgula 5 2 3" xfId="4376"/>
    <cellStyle name="Vírgula 5 2 3 2" xfId="4484"/>
    <cellStyle name="Vírgula 5 2 3 2 2" xfId="7886"/>
    <cellStyle name="Vírgula 5 2 3 2 2 2" xfId="10905"/>
    <cellStyle name="Vírgula 5 2 3 2 2 2 2" xfId="29119"/>
    <cellStyle name="Vírgula 5 2 3 2 2 2 3" xfId="23205"/>
    <cellStyle name="Vírgula 5 2 3 2 2 2 4" xfId="17291"/>
    <cellStyle name="Vírgula 5 2 3 2 2 3" xfId="26162"/>
    <cellStyle name="Vírgula 5 2 3 2 2 4" xfId="20248"/>
    <cellStyle name="Vírgula 5 2 3 2 2 5" xfId="14275"/>
    <cellStyle name="Vírgula 5 2 3 2 3" xfId="9437"/>
    <cellStyle name="Vírgula 5 2 3 2 3 2" xfId="27651"/>
    <cellStyle name="Vírgula 5 2 3 2 3 3" xfId="21737"/>
    <cellStyle name="Vírgula 5 2 3 2 3 4" xfId="15823"/>
    <cellStyle name="Vírgula 5 2 3 2 4" xfId="6185"/>
    <cellStyle name="Vírgula 5 2 3 2 4 2" xfId="24694"/>
    <cellStyle name="Vírgula 5 2 3 2 5" xfId="18780"/>
    <cellStyle name="Vírgula 5 2 3 2 6" xfId="12574"/>
    <cellStyle name="Vírgula 5 2 3 3" xfId="4592"/>
    <cellStyle name="Vírgula 5 2 3 3 2" xfId="7995"/>
    <cellStyle name="Vírgula 5 2 3 3 2 2" xfId="10967"/>
    <cellStyle name="Vírgula 5 2 3 3 2 2 2" xfId="29181"/>
    <cellStyle name="Vírgula 5 2 3 3 2 2 3" xfId="23267"/>
    <cellStyle name="Vírgula 5 2 3 3 2 2 4" xfId="17353"/>
    <cellStyle name="Vírgula 5 2 3 3 2 3" xfId="26224"/>
    <cellStyle name="Vírgula 5 2 3 3 2 4" xfId="20310"/>
    <cellStyle name="Vírgula 5 2 3 3 2 5" xfId="14384"/>
    <cellStyle name="Vírgula 5 2 3 3 3" xfId="9499"/>
    <cellStyle name="Vírgula 5 2 3 3 3 2" xfId="27713"/>
    <cellStyle name="Vírgula 5 2 3 3 3 3" xfId="21799"/>
    <cellStyle name="Vírgula 5 2 3 3 3 4" xfId="15885"/>
    <cellStyle name="Vírgula 5 2 3 3 4" xfId="6294"/>
    <cellStyle name="Vírgula 5 2 3 3 4 2" xfId="24756"/>
    <cellStyle name="Vírgula 5 2 3 3 5" xfId="18842"/>
    <cellStyle name="Vírgula 5 2 3 3 6" xfId="12683"/>
    <cellStyle name="Vírgula 5 2 3 4" xfId="6078"/>
    <cellStyle name="Vírgula 5 2 3 4 2" xfId="7778"/>
    <cellStyle name="Vírgula 5 2 3 4 2 2" xfId="10843"/>
    <cellStyle name="Vírgula 5 2 3 4 2 2 2" xfId="29057"/>
    <cellStyle name="Vírgula 5 2 3 4 2 2 3" xfId="23143"/>
    <cellStyle name="Vírgula 5 2 3 4 2 2 4" xfId="17229"/>
    <cellStyle name="Vírgula 5 2 3 4 2 3" xfId="26100"/>
    <cellStyle name="Vírgula 5 2 3 4 2 4" xfId="20186"/>
    <cellStyle name="Vírgula 5 2 3 4 2 5" xfId="14167"/>
    <cellStyle name="Vírgula 5 2 3 4 3" xfId="9375"/>
    <cellStyle name="Vírgula 5 2 3 4 3 2" xfId="27589"/>
    <cellStyle name="Vírgula 5 2 3 4 3 3" xfId="21675"/>
    <cellStyle name="Vírgula 5 2 3 4 3 4" xfId="15761"/>
    <cellStyle name="Vírgula 5 2 3 4 4" xfId="24632"/>
    <cellStyle name="Vírgula 5 2 3 4 5" xfId="18718"/>
    <cellStyle name="Vírgula 5 2 3 4 6" xfId="12466"/>
    <cellStyle name="Vírgula 5 2 3 5" xfId="6403"/>
    <cellStyle name="Vírgula 5 2 3 5 2" xfId="9561"/>
    <cellStyle name="Vírgula 5 2 3 5 2 2" xfId="27775"/>
    <cellStyle name="Vírgula 5 2 3 5 2 3" xfId="21861"/>
    <cellStyle name="Vírgula 5 2 3 5 2 4" xfId="15947"/>
    <cellStyle name="Vírgula 5 2 3 5 3" xfId="24818"/>
    <cellStyle name="Vírgula 5 2 3 5 4" xfId="18904"/>
    <cellStyle name="Vírgula 5 2 3 5 5" xfId="12792"/>
    <cellStyle name="Vírgula 5 2 3 6" xfId="8090"/>
    <cellStyle name="Vírgula 5 2 3 6 2" xfId="26304"/>
    <cellStyle name="Vírgula 5 2 3 6 3" xfId="20390"/>
    <cellStyle name="Vírgula 5 2 3 6 4" xfId="14479"/>
    <cellStyle name="Vírgula 5 2 3 7" xfId="4700"/>
    <cellStyle name="Vírgula 5 2 3 7 2" xfId="23347"/>
    <cellStyle name="Vírgula 5 2 3 8" xfId="17433"/>
    <cellStyle name="Vírgula 5 2 3 9" xfId="11091"/>
    <cellStyle name="Vírgula 5 2 4" xfId="4309"/>
    <cellStyle name="Vírgula 5 2 4 2" xfId="7710"/>
    <cellStyle name="Vírgula 5 2 4 2 2" xfId="10804"/>
    <cellStyle name="Vírgula 5 2 4 2 2 2" xfId="29018"/>
    <cellStyle name="Vírgula 5 2 4 2 2 3" xfId="23104"/>
    <cellStyle name="Vírgula 5 2 4 2 2 4" xfId="17190"/>
    <cellStyle name="Vírgula 5 2 4 2 3" xfId="26061"/>
    <cellStyle name="Vírgula 5 2 4 2 4" xfId="20147"/>
    <cellStyle name="Vírgula 5 2 4 2 5" xfId="14099"/>
    <cellStyle name="Vírgula 5 2 4 3" xfId="9336"/>
    <cellStyle name="Vírgula 5 2 4 3 2" xfId="27550"/>
    <cellStyle name="Vírgula 5 2 4 3 3" xfId="21636"/>
    <cellStyle name="Vírgula 5 2 4 3 4" xfId="15722"/>
    <cellStyle name="Vírgula 5 2 4 4" xfId="6010"/>
    <cellStyle name="Vírgula 5 2 4 4 2" xfId="24593"/>
    <cellStyle name="Vírgula 5 2 4 5" xfId="18679"/>
    <cellStyle name="Vírgula 5 2 4 6" xfId="12398"/>
    <cellStyle name="Vírgula 5 2 5" xfId="4417"/>
    <cellStyle name="Vírgula 5 2 5 2" xfId="7819"/>
    <cellStyle name="Vírgula 5 2 5 2 2" xfId="10866"/>
    <cellStyle name="Vírgula 5 2 5 2 2 2" xfId="29080"/>
    <cellStyle name="Vírgula 5 2 5 2 2 3" xfId="23166"/>
    <cellStyle name="Vírgula 5 2 5 2 2 4" xfId="17252"/>
    <cellStyle name="Vírgula 5 2 5 2 3" xfId="26123"/>
    <cellStyle name="Vírgula 5 2 5 2 4" xfId="20209"/>
    <cellStyle name="Vírgula 5 2 5 2 5" xfId="14208"/>
    <cellStyle name="Vírgula 5 2 5 3" xfId="9398"/>
    <cellStyle name="Vírgula 5 2 5 3 2" xfId="27612"/>
    <cellStyle name="Vírgula 5 2 5 3 3" xfId="21698"/>
    <cellStyle name="Vírgula 5 2 5 3 4" xfId="15784"/>
    <cellStyle name="Vírgula 5 2 5 4" xfId="6119"/>
    <cellStyle name="Vírgula 5 2 5 4 2" xfId="24655"/>
    <cellStyle name="Vírgula 5 2 5 5" xfId="18741"/>
    <cellStyle name="Vírgula 5 2 5 6" xfId="12507"/>
    <cellStyle name="Vírgula 5 2 6" xfId="4525"/>
    <cellStyle name="Vírgula 5 2 6 2" xfId="7927"/>
    <cellStyle name="Vírgula 5 2 6 2 2" xfId="10928"/>
    <cellStyle name="Vírgula 5 2 6 2 2 2" xfId="29142"/>
    <cellStyle name="Vírgula 5 2 6 2 2 3" xfId="23228"/>
    <cellStyle name="Vírgula 5 2 6 2 2 4" xfId="17314"/>
    <cellStyle name="Vírgula 5 2 6 2 3" xfId="26185"/>
    <cellStyle name="Vírgula 5 2 6 2 4" xfId="20271"/>
    <cellStyle name="Vírgula 5 2 6 2 5" xfId="14316"/>
    <cellStyle name="Vírgula 5 2 6 3" xfId="9460"/>
    <cellStyle name="Vírgula 5 2 6 3 2" xfId="27674"/>
    <cellStyle name="Vírgula 5 2 6 3 3" xfId="21760"/>
    <cellStyle name="Vírgula 5 2 6 3 4" xfId="15846"/>
    <cellStyle name="Vírgula 5 2 6 4" xfId="6226"/>
    <cellStyle name="Vírgula 5 2 6 4 2" xfId="24717"/>
    <cellStyle name="Vírgula 5 2 6 5" xfId="18803"/>
    <cellStyle name="Vírgula 5 2 6 6" xfId="12615"/>
    <cellStyle name="Vírgula 5 2 7" xfId="5933"/>
    <cellStyle name="Vírgula 5 2 7 2" xfId="7633"/>
    <cellStyle name="Vírgula 5 2 7 2 2" xfId="10761"/>
    <cellStyle name="Vírgula 5 2 7 2 2 2" xfId="28975"/>
    <cellStyle name="Vírgula 5 2 7 2 2 3" xfId="23061"/>
    <cellStyle name="Vírgula 5 2 7 2 2 4" xfId="17147"/>
    <cellStyle name="Vírgula 5 2 7 2 3" xfId="26018"/>
    <cellStyle name="Vírgula 5 2 7 2 4" xfId="20104"/>
    <cellStyle name="Vírgula 5 2 7 2 5" xfId="14022"/>
    <cellStyle name="Vírgula 5 2 7 3" xfId="9293"/>
    <cellStyle name="Vírgula 5 2 7 3 2" xfId="27507"/>
    <cellStyle name="Vírgula 5 2 7 3 3" xfId="21593"/>
    <cellStyle name="Vírgula 5 2 7 3 4" xfId="15679"/>
    <cellStyle name="Vírgula 5 2 7 4" xfId="24550"/>
    <cellStyle name="Vírgula 5 2 7 5" xfId="18636"/>
    <cellStyle name="Vírgula 5 2 7 6" xfId="12321"/>
    <cellStyle name="Vírgula 5 2 8" xfId="6335"/>
    <cellStyle name="Vírgula 5 2 8 2" xfId="9522"/>
    <cellStyle name="Vírgula 5 2 8 2 2" xfId="27736"/>
    <cellStyle name="Vírgula 5 2 8 2 3" xfId="21822"/>
    <cellStyle name="Vírgula 5 2 8 2 4" xfId="15908"/>
    <cellStyle name="Vírgula 5 2 8 3" xfId="24779"/>
    <cellStyle name="Vírgula 5 2 8 4" xfId="18865"/>
    <cellStyle name="Vírgula 5 2 8 5" xfId="12724"/>
    <cellStyle name="Vírgula 5 2 9" xfId="8027"/>
    <cellStyle name="Vírgula 5 2 9 2" xfId="10986"/>
    <cellStyle name="Vírgula 5 2 9 2 2" xfId="29200"/>
    <cellStyle name="Vírgula 5 2 9 2 3" xfId="23286"/>
    <cellStyle name="Vírgula 5 2 9 2 4" xfId="17372"/>
    <cellStyle name="Vírgula 5 2 9 3" xfId="26243"/>
    <cellStyle name="Vírgula 5 2 9 4" xfId="20329"/>
    <cellStyle name="Vírgula 5 2 9 5" xfId="14416"/>
    <cellStyle name="Vírgula 5 3" xfId="4252"/>
    <cellStyle name="Vírgula 5 3 10" xfId="11043"/>
    <cellStyle name="Vírgula 5 3 2" xfId="4329"/>
    <cellStyle name="Vírgula 5 3 2 2" xfId="7730"/>
    <cellStyle name="Vírgula 5 3 2 2 2" xfId="10815"/>
    <cellStyle name="Vírgula 5 3 2 2 2 2" xfId="29029"/>
    <cellStyle name="Vírgula 5 3 2 2 2 3" xfId="23115"/>
    <cellStyle name="Vírgula 5 3 2 2 2 4" xfId="17201"/>
    <cellStyle name="Vírgula 5 3 2 2 3" xfId="26072"/>
    <cellStyle name="Vírgula 5 3 2 2 4" xfId="20158"/>
    <cellStyle name="Vírgula 5 3 2 2 5" xfId="14119"/>
    <cellStyle name="Vírgula 5 3 2 3" xfId="9347"/>
    <cellStyle name="Vírgula 5 3 2 3 2" xfId="27561"/>
    <cellStyle name="Vírgula 5 3 2 3 3" xfId="21647"/>
    <cellStyle name="Vírgula 5 3 2 3 4" xfId="15733"/>
    <cellStyle name="Vírgula 5 3 2 4" xfId="6030"/>
    <cellStyle name="Vírgula 5 3 2 4 2" xfId="24604"/>
    <cellStyle name="Vírgula 5 3 2 5" xfId="18690"/>
    <cellStyle name="Vírgula 5 3 2 6" xfId="12418"/>
    <cellStyle name="Vírgula 5 3 3" xfId="4437"/>
    <cellStyle name="Vírgula 5 3 3 2" xfId="7839"/>
    <cellStyle name="Vírgula 5 3 3 2 2" xfId="10877"/>
    <cellStyle name="Vírgula 5 3 3 2 2 2" xfId="29091"/>
    <cellStyle name="Vírgula 5 3 3 2 2 3" xfId="23177"/>
    <cellStyle name="Vírgula 5 3 3 2 2 4" xfId="17263"/>
    <cellStyle name="Vírgula 5 3 3 2 3" xfId="26134"/>
    <cellStyle name="Vírgula 5 3 3 2 4" xfId="20220"/>
    <cellStyle name="Vírgula 5 3 3 2 5" xfId="14228"/>
    <cellStyle name="Vírgula 5 3 3 3" xfId="9409"/>
    <cellStyle name="Vírgula 5 3 3 3 2" xfId="27623"/>
    <cellStyle name="Vírgula 5 3 3 3 3" xfId="21709"/>
    <cellStyle name="Vírgula 5 3 3 3 4" xfId="15795"/>
    <cellStyle name="Vírgula 5 3 3 4" xfId="6139"/>
    <cellStyle name="Vírgula 5 3 3 4 2" xfId="24666"/>
    <cellStyle name="Vírgula 5 3 3 5" xfId="18752"/>
    <cellStyle name="Vírgula 5 3 3 6" xfId="12527"/>
    <cellStyle name="Vírgula 5 3 4" xfId="4545"/>
    <cellStyle name="Vírgula 5 3 4 2" xfId="7947"/>
    <cellStyle name="Vírgula 5 3 4 2 2" xfId="10939"/>
    <cellStyle name="Vírgula 5 3 4 2 2 2" xfId="29153"/>
    <cellStyle name="Vírgula 5 3 4 2 2 3" xfId="23239"/>
    <cellStyle name="Vírgula 5 3 4 2 2 4" xfId="17325"/>
    <cellStyle name="Vírgula 5 3 4 2 3" xfId="26196"/>
    <cellStyle name="Vírgula 5 3 4 2 4" xfId="20282"/>
    <cellStyle name="Vírgula 5 3 4 2 5" xfId="14336"/>
    <cellStyle name="Vírgula 5 3 4 3" xfId="9471"/>
    <cellStyle name="Vírgula 5 3 4 3 2" xfId="27685"/>
    <cellStyle name="Vírgula 5 3 4 3 3" xfId="21771"/>
    <cellStyle name="Vírgula 5 3 4 3 4" xfId="15857"/>
    <cellStyle name="Vírgula 5 3 4 4" xfId="6246"/>
    <cellStyle name="Vírgula 5 3 4 4 2" xfId="24728"/>
    <cellStyle name="Vírgula 5 3 4 5" xfId="18814"/>
    <cellStyle name="Vírgula 5 3 4 6" xfId="12635"/>
    <cellStyle name="Vírgula 5 3 5" xfId="5953"/>
    <cellStyle name="Vírgula 5 3 5 2" xfId="7653"/>
    <cellStyle name="Vírgula 5 3 5 2 2" xfId="10772"/>
    <cellStyle name="Vírgula 5 3 5 2 2 2" xfId="28986"/>
    <cellStyle name="Vírgula 5 3 5 2 2 3" xfId="23072"/>
    <cellStyle name="Vírgula 5 3 5 2 2 4" xfId="17158"/>
    <cellStyle name="Vírgula 5 3 5 2 3" xfId="26029"/>
    <cellStyle name="Vírgula 5 3 5 2 4" xfId="20115"/>
    <cellStyle name="Vírgula 5 3 5 2 5" xfId="14042"/>
    <cellStyle name="Vírgula 5 3 5 3" xfId="9304"/>
    <cellStyle name="Vírgula 5 3 5 3 2" xfId="27518"/>
    <cellStyle name="Vírgula 5 3 5 3 3" xfId="21604"/>
    <cellStyle name="Vírgula 5 3 5 3 4" xfId="15690"/>
    <cellStyle name="Vírgula 5 3 5 4" xfId="24561"/>
    <cellStyle name="Vírgula 5 3 5 5" xfId="18647"/>
    <cellStyle name="Vírgula 5 3 5 6" xfId="12341"/>
    <cellStyle name="Vírgula 5 3 6" xfId="6355"/>
    <cellStyle name="Vírgula 5 3 6 2" xfId="9533"/>
    <cellStyle name="Vírgula 5 3 6 2 2" xfId="27747"/>
    <cellStyle name="Vírgula 5 3 6 2 3" xfId="21833"/>
    <cellStyle name="Vírgula 5 3 6 2 4" xfId="15919"/>
    <cellStyle name="Vírgula 5 3 6 3" xfId="24790"/>
    <cellStyle name="Vírgula 5 3 6 4" xfId="18876"/>
    <cellStyle name="Vírgula 5 3 6 5" xfId="12744"/>
    <cellStyle name="Vírgula 5 3 7" xfId="8062"/>
    <cellStyle name="Vírgula 5 3 7 2" xfId="26276"/>
    <cellStyle name="Vírgula 5 3 7 3" xfId="20362"/>
    <cellStyle name="Vírgula 5 3 7 4" xfId="14451"/>
    <cellStyle name="Vírgula 5 3 8" xfId="4652"/>
    <cellStyle name="Vírgula 5 3 8 2" xfId="23319"/>
    <cellStyle name="Vírgula 5 3 9" xfId="17405"/>
    <cellStyle name="Vírgula 5 4" xfId="4217"/>
    <cellStyle name="Vírgula 5 4 10" xfId="11075"/>
    <cellStyle name="Vírgula 5 4 2" xfId="4361"/>
    <cellStyle name="Vírgula 5 4 2 2" xfId="7762"/>
    <cellStyle name="Vírgula 5 4 2 2 2" xfId="10834"/>
    <cellStyle name="Vírgula 5 4 2 2 2 2" xfId="29048"/>
    <cellStyle name="Vírgula 5 4 2 2 2 3" xfId="23134"/>
    <cellStyle name="Vírgula 5 4 2 2 2 4" xfId="17220"/>
    <cellStyle name="Vírgula 5 4 2 2 3" xfId="26091"/>
    <cellStyle name="Vírgula 5 4 2 2 4" xfId="20177"/>
    <cellStyle name="Vírgula 5 4 2 2 5" xfId="14151"/>
    <cellStyle name="Vírgula 5 4 2 3" xfId="9366"/>
    <cellStyle name="Vírgula 5 4 2 3 2" xfId="27580"/>
    <cellStyle name="Vírgula 5 4 2 3 3" xfId="21666"/>
    <cellStyle name="Vírgula 5 4 2 3 4" xfId="15752"/>
    <cellStyle name="Vírgula 5 4 2 4" xfId="6062"/>
    <cellStyle name="Vírgula 5 4 2 4 2" xfId="24623"/>
    <cellStyle name="Vírgula 5 4 2 5" xfId="18709"/>
    <cellStyle name="Vírgula 5 4 2 6" xfId="12450"/>
    <cellStyle name="Vírgula 5 4 3" xfId="4469"/>
    <cellStyle name="Vírgula 5 4 3 2" xfId="7871"/>
    <cellStyle name="Vírgula 5 4 3 2 2" xfId="10896"/>
    <cellStyle name="Vírgula 5 4 3 2 2 2" xfId="29110"/>
    <cellStyle name="Vírgula 5 4 3 2 2 3" xfId="23196"/>
    <cellStyle name="Vírgula 5 4 3 2 2 4" xfId="17282"/>
    <cellStyle name="Vírgula 5 4 3 2 3" xfId="26153"/>
    <cellStyle name="Vírgula 5 4 3 2 4" xfId="20239"/>
    <cellStyle name="Vírgula 5 4 3 2 5" xfId="14260"/>
    <cellStyle name="Vírgula 5 4 3 3" xfId="9428"/>
    <cellStyle name="Vírgula 5 4 3 3 2" xfId="27642"/>
    <cellStyle name="Vírgula 5 4 3 3 3" xfId="21728"/>
    <cellStyle name="Vírgula 5 4 3 3 4" xfId="15814"/>
    <cellStyle name="Vírgula 5 4 3 4" xfId="6170"/>
    <cellStyle name="Vírgula 5 4 3 4 2" xfId="24685"/>
    <cellStyle name="Vírgula 5 4 3 5" xfId="18771"/>
    <cellStyle name="Vírgula 5 4 3 6" xfId="12559"/>
    <cellStyle name="Vírgula 5 4 4" xfId="4577"/>
    <cellStyle name="Vírgula 5 4 4 2" xfId="7979"/>
    <cellStyle name="Vírgula 5 4 4 2 2" xfId="10958"/>
    <cellStyle name="Vírgula 5 4 4 2 2 2" xfId="29172"/>
    <cellStyle name="Vírgula 5 4 4 2 2 3" xfId="23258"/>
    <cellStyle name="Vírgula 5 4 4 2 2 4" xfId="17344"/>
    <cellStyle name="Vírgula 5 4 4 2 3" xfId="26215"/>
    <cellStyle name="Vírgula 5 4 4 2 4" xfId="20301"/>
    <cellStyle name="Vírgula 5 4 4 2 5" xfId="14368"/>
    <cellStyle name="Vírgula 5 4 4 3" xfId="9490"/>
    <cellStyle name="Vírgula 5 4 4 3 2" xfId="27704"/>
    <cellStyle name="Vírgula 5 4 4 3 3" xfId="21790"/>
    <cellStyle name="Vírgula 5 4 4 3 4" xfId="15876"/>
    <cellStyle name="Vírgula 5 4 4 4" xfId="6278"/>
    <cellStyle name="Vírgula 5 4 4 4 2" xfId="24747"/>
    <cellStyle name="Vírgula 5 4 4 5" xfId="18833"/>
    <cellStyle name="Vírgula 5 4 4 6" xfId="12667"/>
    <cellStyle name="Vírgula 5 4 5" xfId="5917"/>
    <cellStyle name="Vírgula 5 4 5 2" xfId="7617"/>
    <cellStyle name="Vírgula 5 4 5 2 2" xfId="10752"/>
    <cellStyle name="Vírgula 5 4 5 2 2 2" xfId="28966"/>
    <cellStyle name="Vírgula 5 4 5 2 2 3" xfId="23052"/>
    <cellStyle name="Vírgula 5 4 5 2 2 4" xfId="17138"/>
    <cellStyle name="Vírgula 5 4 5 2 3" xfId="26009"/>
    <cellStyle name="Vírgula 5 4 5 2 4" xfId="20095"/>
    <cellStyle name="Vírgula 5 4 5 2 5" xfId="14006"/>
    <cellStyle name="Vírgula 5 4 5 3" xfId="9284"/>
    <cellStyle name="Vírgula 5 4 5 3 2" xfId="27498"/>
    <cellStyle name="Vírgula 5 4 5 3 3" xfId="21584"/>
    <cellStyle name="Vírgula 5 4 5 3 4" xfId="15670"/>
    <cellStyle name="Vírgula 5 4 5 4" xfId="24541"/>
    <cellStyle name="Vírgula 5 4 5 5" xfId="18627"/>
    <cellStyle name="Vírgula 5 4 5 6" xfId="12305"/>
    <cellStyle name="Vírgula 5 4 6" xfId="6387"/>
    <cellStyle name="Vírgula 5 4 6 2" xfId="9552"/>
    <cellStyle name="Vírgula 5 4 6 2 2" xfId="27766"/>
    <cellStyle name="Vírgula 5 4 6 2 3" xfId="21852"/>
    <cellStyle name="Vírgula 5 4 6 2 4" xfId="15938"/>
    <cellStyle name="Vírgula 5 4 6 3" xfId="24809"/>
    <cellStyle name="Vírgula 5 4 6 4" xfId="18895"/>
    <cellStyle name="Vírgula 5 4 6 5" xfId="12776"/>
    <cellStyle name="Vírgula 5 4 7" xfId="8081"/>
    <cellStyle name="Vírgula 5 4 7 2" xfId="26295"/>
    <cellStyle name="Vírgula 5 4 7 3" xfId="20381"/>
    <cellStyle name="Vírgula 5 4 7 4" xfId="14470"/>
    <cellStyle name="Vírgula 5 4 8" xfId="4684"/>
    <cellStyle name="Vírgula 5 4 8 2" xfId="23338"/>
    <cellStyle name="Vírgula 5 4 9" xfId="17424"/>
    <cellStyle name="Vírgula 5 5" xfId="4293"/>
    <cellStyle name="Vírgula 5 5 2" xfId="7694"/>
    <cellStyle name="Vírgula 5 5 2 2" xfId="10795"/>
    <cellStyle name="Vírgula 5 5 2 2 2" xfId="29009"/>
    <cellStyle name="Vírgula 5 5 2 2 3" xfId="23095"/>
    <cellStyle name="Vírgula 5 5 2 2 4" xfId="17181"/>
    <cellStyle name="Vírgula 5 5 2 3" xfId="26052"/>
    <cellStyle name="Vírgula 5 5 2 4" xfId="20138"/>
    <cellStyle name="Vírgula 5 5 2 5" xfId="14083"/>
    <cellStyle name="Vírgula 5 5 3" xfId="9327"/>
    <cellStyle name="Vírgula 5 5 3 2" xfId="27541"/>
    <cellStyle name="Vírgula 5 5 3 3" xfId="21627"/>
    <cellStyle name="Vírgula 5 5 3 4" xfId="15713"/>
    <cellStyle name="Vírgula 5 5 4" xfId="5994"/>
    <cellStyle name="Vírgula 5 5 4 2" xfId="24584"/>
    <cellStyle name="Vírgula 5 5 5" xfId="18670"/>
    <cellStyle name="Vírgula 5 5 6" xfId="12382"/>
    <cellStyle name="Vírgula 5 6" xfId="4401"/>
    <cellStyle name="Vírgula 5 6 2" xfId="7803"/>
    <cellStyle name="Vírgula 5 6 2 2" xfId="10857"/>
    <cellStyle name="Vírgula 5 6 2 2 2" xfId="29071"/>
    <cellStyle name="Vírgula 5 6 2 2 3" xfId="23157"/>
    <cellStyle name="Vírgula 5 6 2 2 4" xfId="17243"/>
    <cellStyle name="Vírgula 5 6 2 3" xfId="26114"/>
    <cellStyle name="Vírgula 5 6 2 4" xfId="20200"/>
    <cellStyle name="Vírgula 5 6 2 5" xfId="14192"/>
    <cellStyle name="Vírgula 5 6 3" xfId="9389"/>
    <cellStyle name="Vírgula 5 6 3 2" xfId="27603"/>
    <cellStyle name="Vírgula 5 6 3 3" xfId="21689"/>
    <cellStyle name="Vírgula 5 6 3 4" xfId="15775"/>
    <cellStyle name="Vírgula 5 6 4" xfId="6103"/>
    <cellStyle name="Vírgula 5 6 4 2" xfId="24646"/>
    <cellStyle name="Vírgula 5 6 5" xfId="18732"/>
    <cellStyle name="Vírgula 5 6 6" xfId="12491"/>
    <cellStyle name="Vírgula 5 7" xfId="4509"/>
    <cellStyle name="Vírgula 5 7 2" xfId="7911"/>
    <cellStyle name="Vírgula 5 7 2 2" xfId="10919"/>
    <cellStyle name="Vírgula 5 7 2 2 2" xfId="29133"/>
    <cellStyle name="Vírgula 5 7 2 2 3" xfId="23219"/>
    <cellStyle name="Vírgula 5 7 2 2 4" xfId="17305"/>
    <cellStyle name="Vírgula 5 7 2 3" xfId="26176"/>
    <cellStyle name="Vírgula 5 7 2 4" xfId="20262"/>
    <cellStyle name="Vírgula 5 7 2 5" xfId="14300"/>
    <cellStyle name="Vírgula 5 7 3" xfId="9451"/>
    <cellStyle name="Vírgula 5 7 3 2" xfId="27665"/>
    <cellStyle name="Vírgula 5 7 3 3" xfId="21751"/>
    <cellStyle name="Vírgula 5 7 3 4" xfId="15837"/>
    <cellStyle name="Vírgula 5 7 4" xfId="6210"/>
    <cellStyle name="Vírgula 5 7 4 2" xfId="24708"/>
    <cellStyle name="Vírgula 5 7 5" xfId="18794"/>
    <cellStyle name="Vírgula 5 7 6" xfId="12599"/>
    <cellStyle name="Vírgula 5 8" xfId="4864"/>
    <cellStyle name="Vírgula 5 8 2" xfId="6565"/>
    <cellStyle name="Vírgula 5 8 2 2" xfId="9712"/>
    <cellStyle name="Vírgula 5 8 2 2 2" xfId="27926"/>
    <cellStyle name="Vírgula 5 8 2 2 3" xfId="22012"/>
    <cellStyle name="Vírgula 5 8 2 2 4" xfId="16098"/>
    <cellStyle name="Vírgula 5 8 2 3" xfId="24969"/>
    <cellStyle name="Vírgula 5 8 2 4" xfId="19055"/>
    <cellStyle name="Vírgula 5 8 2 5" xfId="12954"/>
    <cellStyle name="Vírgula 5 8 3" xfId="8241"/>
    <cellStyle name="Vírgula 5 8 3 2" xfId="26455"/>
    <cellStyle name="Vírgula 5 8 3 3" xfId="20541"/>
    <cellStyle name="Vírgula 5 8 3 4" xfId="14630"/>
    <cellStyle name="Vírgula 5 8 4" xfId="23498"/>
    <cellStyle name="Vírgula 5 8 5" xfId="17584"/>
    <cellStyle name="Vírgula 5 8 6" xfId="11253"/>
    <cellStyle name="Vírgula 5 9" xfId="6319"/>
    <cellStyle name="Vírgula 5 9 2" xfId="9513"/>
    <cellStyle name="Vírgula 5 9 2 2" xfId="27727"/>
    <cellStyle name="Vírgula 5 9 2 3" xfId="21813"/>
    <cellStyle name="Vírgula 5 9 2 4" xfId="15899"/>
    <cellStyle name="Vírgula 5 9 3" xfId="24770"/>
    <cellStyle name="Vírgula 5 9 4" xfId="18856"/>
    <cellStyle name="Vírgula 5 9 5" xfId="12708"/>
    <cellStyle name="Vírgula 6" xfId="4222"/>
    <cellStyle name="Vírgula 6 10" xfId="8045"/>
    <cellStyle name="Vírgula 6 10 2" xfId="26259"/>
    <cellStyle name="Vírgula 6 10 3" xfId="20345"/>
    <cellStyle name="Vírgula 6 10 4" xfId="14434"/>
    <cellStyle name="Vírgula 6 11" xfId="4622"/>
    <cellStyle name="Vírgula 6 11 2" xfId="23302"/>
    <cellStyle name="Vírgula 6 12" xfId="17388"/>
    <cellStyle name="Vírgula 6 13" xfId="11013"/>
    <cellStyle name="Vírgula 6 2" xfId="4257"/>
    <cellStyle name="Vírgula 6 2 10" xfId="11048"/>
    <cellStyle name="Vírgula 6 2 2" xfId="4334"/>
    <cellStyle name="Vírgula 6 2 2 2" xfId="7735"/>
    <cellStyle name="Vírgula 6 2 2 2 2" xfId="10818"/>
    <cellStyle name="Vírgula 6 2 2 2 2 2" xfId="29032"/>
    <cellStyle name="Vírgula 6 2 2 2 2 3" xfId="23118"/>
    <cellStyle name="Vírgula 6 2 2 2 2 4" xfId="17204"/>
    <cellStyle name="Vírgula 6 2 2 2 3" xfId="26075"/>
    <cellStyle name="Vírgula 6 2 2 2 4" xfId="20161"/>
    <cellStyle name="Vírgula 6 2 2 2 5" xfId="14124"/>
    <cellStyle name="Vírgula 6 2 2 3" xfId="9350"/>
    <cellStyle name="Vírgula 6 2 2 3 2" xfId="27564"/>
    <cellStyle name="Vírgula 6 2 2 3 3" xfId="21650"/>
    <cellStyle name="Vírgula 6 2 2 3 4" xfId="15736"/>
    <cellStyle name="Vírgula 6 2 2 4" xfId="6035"/>
    <cellStyle name="Vírgula 6 2 2 4 2" xfId="24607"/>
    <cellStyle name="Vírgula 6 2 2 5" xfId="18693"/>
    <cellStyle name="Vírgula 6 2 2 6" xfId="12423"/>
    <cellStyle name="Vírgula 6 2 3" xfId="4442"/>
    <cellStyle name="Vírgula 6 2 3 2" xfId="7844"/>
    <cellStyle name="Vírgula 6 2 3 2 2" xfId="10880"/>
    <cellStyle name="Vírgula 6 2 3 2 2 2" xfId="29094"/>
    <cellStyle name="Vírgula 6 2 3 2 2 3" xfId="23180"/>
    <cellStyle name="Vírgula 6 2 3 2 2 4" xfId="17266"/>
    <cellStyle name="Vírgula 6 2 3 2 3" xfId="26137"/>
    <cellStyle name="Vírgula 6 2 3 2 4" xfId="20223"/>
    <cellStyle name="Vírgula 6 2 3 2 5" xfId="14233"/>
    <cellStyle name="Vírgula 6 2 3 3" xfId="9412"/>
    <cellStyle name="Vírgula 6 2 3 3 2" xfId="27626"/>
    <cellStyle name="Vírgula 6 2 3 3 3" xfId="21712"/>
    <cellStyle name="Vírgula 6 2 3 3 4" xfId="15798"/>
    <cellStyle name="Vírgula 6 2 3 4" xfId="6144"/>
    <cellStyle name="Vírgula 6 2 3 4 2" xfId="24669"/>
    <cellStyle name="Vírgula 6 2 3 5" xfId="18755"/>
    <cellStyle name="Vírgula 6 2 3 6" xfId="12532"/>
    <cellStyle name="Vírgula 6 2 4" xfId="4550"/>
    <cellStyle name="Vírgula 6 2 4 2" xfId="7952"/>
    <cellStyle name="Vírgula 6 2 4 2 2" xfId="10942"/>
    <cellStyle name="Vírgula 6 2 4 2 2 2" xfId="29156"/>
    <cellStyle name="Vírgula 6 2 4 2 2 3" xfId="23242"/>
    <cellStyle name="Vírgula 6 2 4 2 2 4" xfId="17328"/>
    <cellStyle name="Vírgula 6 2 4 2 3" xfId="26199"/>
    <cellStyle name="Vírgula 6 2 4 2 4" xfId="20285"/>
    <cellStyle name="Vírgula 6 2 4 2 5" xfId="14341"/>
    <cellStyle name="Vírgula 6 2 4 3" xfId="9474"/>
    <cellStyle name="Vírgula 6 2 4 3 2" xfId="27688"/>
    <cellStyle name="Vírgula 6 2 4 3 3" xfId="21774"/>
    <cellStyle name="Vírgula 6 2 4 3 4" xfId="15860"/>
    <cellStyle name="Vírgula 6 2 4 4" xfId="6251"/>
    <cellStyle name="Vírgula 6 2 4 4 2" xfId="24731"/>
    <cellStyle name="Vírgula 6 2 4 5" xfId="18817"/>
    <cellStyle name="Vírgula 6 2 4 6" xfId="12640"/>
    <cellStyle name="Vírgula 6 2 5" xfId="5958"/>
    <cellStyle name="Vírgula 6 2 5 2" xfId="7658"/>
    <cellStyle name="Vírgula 6 2 5 2 2" xfId="10775"/>
    <cellStyle name="Vírgula 6 2 5 2 2 2" xfId="28989"/>
    <cellStyle name="Vírgula 6 2 5 2 2 3" xfId="23075"/>
    <cellStyle name="Vírgula 6 2 5 2 2 4" xfId="17161"/>
    <cellStyle name="Vírgula 6 2 5 2 3" xfId="26032"/>
    <cellStyle name="Vírgula 6 2 5 2 4" xfId="20118"/>
    <cellStyle name="Vírgula 6 2 5 2 5" xfId="14047"/>
    <cellStyle name="Vírgula 6 2 5 3" xfId="9307"/>
    <cellStyle name="Vírgula 6 2 5 3 2" xfId="27521"/>
    <cellStyle name="Vírgula 6 2 5 3 3" xfId="21607"/>
    <cellStyle name="Vírgula 6 2 5 3 4" xfId="15693"/>
    <cellStyle name="Vírgula 6 2 5 4" xfId="24564"/>
    <cellStyle name="Vírgula 6 2 5 5" xfId="18650"/>
    <cellStyle name="Vírgula 6 2 5 6" xfId="12346"/>
    <cellStyle name="Vírgula 6 2 6" xfId="6360"/>
    <cellStyle name="Vírgula 6 2 6 2" xfId="9536"/>
    <cellStyle name="Vírgula 6 2 6 2 2" xfId="27750"/>
    <cellStyle name="Vírgula 6 2 6 2 3" xfId="21836"/>
    <cellStyle name="Vírgula 6 2 6 2 4" xfId="15922"/>
    <cellStyle name="Vírgula 6 2 6 3" xfId="24793"/>
    <cellStyle name="Vírgula 6 2 6 4" xfId="18879"/>
    <cellStyle name="Vírgula 6 2 6 5" xfId="12749"/>
    <cellStyle name="Vírgula 6 2 7" xfId="8065"/>
    <cellStyle name="Vírgula 6 2 7 2" xfId="26279"/>
    <cellStyle name="Vírgula 6 2 7 3" xfId="20365"/>
    <cellStyle name="Vírgula 6 2 7 4" xfId="14454"/>
    <cellStyle name="Vírgula 6 2 8" xfId="4657"/>
    <cellStyle name="Vírgula 6 2 8 2" xfId="23322"/>
    <cellStyle name="Vírgula 6 2 9" xfId="17408"/>
    <cellStyle name="Vírgula 6 3" xfId="4366"/>
    <cellStyle name="Vírgula 6 3 2" xfId="4474"/>
    <cellStyle name="Vírgula 6 3 2 2" xfId="7876"/>
    <cellStyle name="Vírgula 6 3 2 2 2" xfId="10899"/>
    <cellStyle name="Vírgula 6 3 2 2 2 2" xfId="29113"/>
    <cellStyle name="Vírgula 6 3 2 2 2 3" xfId="23199"/>
    <cellStyle name="Vírgula 6 3 2 2 2 4" xfId="17285"/>
    <cellStyle name="Vírgula 6 3 2 2 3" xfId="26156"/>
    <cellStyle name="Vírgula 6 3 2 2 4" xfId="20242"/>
    <cellStyle name="Vírgula 6 3 2 2 5" xfId="14265"/>
    <cellStyle name="Vírgula 6 3 2 3" xfId="9431"/>
    <cellStyle name="Vírgula 6 3 2 3 2" xfId="27645"/>
    <cellStyle name="Vírgula 6 3 2 3 3" xfId="21731"/>
    <cellStyle name="Vírgula 6 3 2 3 4" xfId="15817"/>
    <cellStyle name="Vírgula 6 3 2 4" xfId="6175"/>
    <cellStyle name="Vírgula 6 3 2 4 2" xfId="24688"/>
    <cellStyle name="Vírgula 6 3 2 5" xfId="18774"/>
    <cellStyle name="Vírgula 6 3 2 6" xfId="12564"/>
    <cellStyle name="Vírgula 6 3 3" xfId="4582"/>
    <cellStyle name="Vírgula 6 3 3 2" xfId="7984"/>
    <cellStyle name="Vírgula 6 3 3 2 2" xfId="10961"/>
    <cellStyle name="Vírgula 6 3 3 2 2 2" xfId="29175"/>
    <cellStyle name="Vírgula 6 3 3 2 2 3" xfId="23261"/>
    <cellStyle name="Vírgula 6 3 3 2 2 4" xfId="17347"/>
    <cellStyle name="Vírgula 6 3 3 2 3" xfId="26218"/>
    <cellStyle name="Vírgula 6 3 3 2 4" xfId="20304"/>
    <cellStyle name="Vírgula 6 3 3 2 5" xfId="14373"/>
    <cellStyle name="Vírgula 6 3 3 3" xfId="9493"/>
    <cellStyle name="Vírgula 6 3 3 3 2" xfId="27707"/>
    <cellStyle name="Vírgula 6 3 3 3 3" xfId="21793"/>
    <cellStyle name="Vírgula 6 3 3 3 4" xfId="15879"/>
    <cellStyle name="Vírgula 6 3 3 4" xfId="6283"/>
    <cellStyle name="Vírgula 6 3 3 4 2" xfId="24750"/>
    <cellStyle name="Vírgula 6 3 3 5" xfId="18836"/>
    <cellStyle name="Vírgula 6 3 3 6" xfId="12672"/>
    <cellStyle name="Vírgula 6 3 4" xfId="6067"/>
    <cellStyle name="Vírgula 6 3 4 2" xfId="7767"/>
    <cellStyle name="Vírgula 6 3 4 2 2" xfId="10837"/>
    <cellStyle name="Vírgula 6 3 4 2 2 2" xfId="29051"/>
    <cellStyle name="Vírgula 6 3 4 2 2 3" xfId="23137"/>
    <cellStyle name="Vírgula 6 3 4 2 2 4" xfId="17223"/>
    <cellStyle name="Vírgula 6 3 4 2 3" xfId="26094"/>
    <cellStyle name="Vírgula 6 3 4 2 4" xfId="20180"/>
    <cellStyle name="Vírgula 6 3 4 2 5" xfId="14156"/>
    <cellStyle name="Vírgula 6 3 4 3" xfId="9369"/>
    <cellStyle name="Vírgula 6 3 4 3 2" xfId="27583"/>
    <cellStyle name="Vírgula 6 3 4 3 3" xfId="21669"/>
    <cellStyle name="Vírgula 6 3 4 3 4" xfId="15755"/>
    <cellStyle name="Vírgula 6 3 4 4" xfId="24626"/>
    <cellStyle name="Vírgula 6 3 4 5" xfId="18712"/>
    <cellStyle name="Vírgula 6 3 4 6" xfId="12455"/>
    <cellStyle name="Vírgula 6 3 5" xfId="6392"/>
    <cellStyle name="Vírgula 6 3 5 2" xfId="9555"/>
    <cellStyle name="Vírgula 6 3 5 2 2" xfId="27769"/>
    <cellStyle name="Vírgula 6 3 5 2 3" xfId="21855"/>
    <cellStyle name="Vírgula 6 3 5 2 4" xfId="15941"/>
    <cellStyle name="Vírgula 6 3 5 3" xfId="24812"/>
    <cellStyle name="Vírgula 6 3 5 4" xfId="18898"/>
    <cellStyle name="Vírgula 6 3 5 5" xfId="12781"/>
    <cellStyle name="Vírgula 6 3 6" xfId="8084"/>
    <cellStyle name="Vírgula 6 3 6 2" xfId="26298"/>
    <cellStyle name="Vírgula 6 3 6 3" xfId="20384"/>
    <cellStyle name="Vírgula 6 3 6 4" xfId="14473"/>
    <cellStyle name="Vírgula 6 3 7" xfId="4689"/>
    <cellStyle name="Vírgula 6 3 7 2" xfId="23341"/>
    <cellStyle name="Vírgula 6 3 8" xfId="17427"/>
    <cellStyle name="Vírgula 6 3 9" xfId="11080"/>
    <cellStyle name="Vírgula 6 4" xfId="4298"/>
    <cellStyle name="Vírgula 6 4 2" xfId="7699"/>
    <cellStyle name="Vírgula 6 4 2 2" xfId="10798"/>
    <cellStyle name="Vírgula 6 4 2 2 2" xfId="29012"/>
    <cellStyle name="Vírgula 6 4 2 2 3" xfId="23098"/>
    <cellStyle name="Vírgula 6 4 2 2 4" xfId="17184"/>
    <cellStyle name="Vírgula 6 4 2 3" xfId="26055"/>
    <cellStyle name="Vírgula 6 4 2 4" xfId="20141"/>
    <cellStyle name="Vírgula 6 4 2 5" xfId="14088"/>
    <cellStyle name="Vírgula 6 4 3" xfId="9330"/>
    <cellStyle name="Vírgula 6 4 3 2" xfId="27544"/>
    <cellStyle name="Vírgula 6 4 3 3" xfId="21630"/>
    <cellStyle name="Vírgula 6 4 3 4" xfId="15716"/>
    <cellStyle name="Vírgula 6 4 4" xfId="5999"/>
    <cellStyle name="Vírgula 6 4 4 2" xfId="24587"/>
    <cellStyle name="Vírgula 6 4 5" xfId="18673"/>
    <cellStyle name="Vírgula 6 4 6" xfId="12387"/>
    <cellStyle name="Vírgula 6 5" xfId="4406"/>
    <cellStyle name="Vírgula 6 5 2" xfId="7808"/>
    <cellStyle name="Vírgula 6 5 2 2" xfId="10860"/>
    <cellStyle name="Vírgula 6 5 2 2 2" xfId="29074"/>
    <cellStyle name="Vírgula 6 5 2 2 3" xfId="23160"/>
    <cellStyle name="Vírgula 6 5 2 2 4" xfId="17246"/>
    <cellStyle name="Vírgula 6 5 2 3" xfId="26117"/>
    <cellStyle name="Vírgula 6 5 2 4" xfId="20203"/>
    <cellStyle name="Vírgula 6 5 2 5" xfId="14197"/>
    <cellStyle name="Vírgula 6 5 3" xfId="9392"/>
    <cellStyle name="Vírgula 6 5 3 2" xfId="27606"/>
    <cellStyle name="Vírgula 6 5 3 3" xfId="21692"/>
    <cellStyle name="Vírgula 6 5 3 4" xfId="15778"/>
    <cellStyle name="Vírgula 6 5 4" xfId="6108"/>
    <cellStyle name="Vírgula 6 5 4 2" xfId="24649"/>
    <cellStyle name="Vírgula 6 5 5" xfId="18735"/>
    <cellStyle name="Vírgula 6 5 6" xfId="12496"/>
    <cellStyle name="Vírgula 6 6" xfId="4514"/>
    <cellStyle name="Vírgula 6 6 2" xfId="7916"/>
    <cellStyle name="Vírgula 6 6 2 2" xfId="10922"/>
    <cellStyle name="Vírgula 6 6 2 2 2" xfId="29136"/>
    <cellStyle name="Vírgula 6 6 2 2 3" xfId="23222"/>
    <cellStyle name="Vírgula 6 6 2 2 4" xfId="17308"/>
    <cellStyle name="Vírgula 6 6 2 3" xfId="26179"/>
    <cellStyle name="Vírgula 6 6 2 4" xfId="20265"/>
    <cellStyle name="Vírgula 6 6 2 5" xfId="14305"/>
    <cellStyle name="Vírgula 6 6 3" xfId="9454"/>
    <cellStyle name="Vírgula 6 6 3 2" xfId="27668"/>
    <cellStyle name="Vírgula 6 6 3 3" xfId="21754"/>
    <cellStyle name="Vírgula 6 6 3 4" xfId="15840"/>
    <cellStyle name="Vírgula 6 6 4" xfId="6215"/>
    <cellStyle name="Vírgula 6 6 4 2" xfId="24711"/>
    <cellStyle name="Vírgula 6 6 5" xfId="18797"/>
    <cellStyle name="Vírgula 6 6 6" xfId="12604"/>
    <cellStyle name="Vírgula 6 7" xfId="5922"/>
    <cellStyle name="Vírgula 6 7 2" xfId="7622"/>
    <cellStyle name="Vírgula 6 7 2 2" xfId="10755"/>
    <cellStyle name="Vírgula 6 7 2 2 2" xfId="28969"/>
    <cellStyle name="Vírgula 6 7 2 2 3" xfId="23055"/>
    <cellStyle name="Vírgula 6 7 2 2 4" xfId="17141"/>
    <cellStyle name="Vírgula 6 7 2 3" xfId="26012"/>
    <cellStyle name="Vírgula 6 7 2 4" xfId="20098"/>
    <cellStyle name="Vírgula 6 7 2 5" xfId="14011"/>
    <cellStyle name="Vírgula 6 7 3" xfId="9287"/>
    <cellStyle name="Vírgula 6 7 3 2" xfId="27501"/>
    <cellStyle name="Vírgula 6 7 3 3" xfId="21587"/>
    <cellStyle name="Vírgula 6 7 3 4" xfId="15673"/>
    <cellStyle name="Vírgula 6 7 4" xfId="24544"/>
    <cellStyle name="Vírgula 6 7 5" xfId="18630"/>
    <cellStyle name="Vírgula 6 7 6" xfId="12310"/>
    <cellStyle name="Vírgula 6 8" xfId="6324"/>
    <cellStyle name="Vírgula 6 8 2" xfId="9516"/>
    <cellStyle name="Vírgula 6 8 2 2" xfId="27730"/>
    <cellStyle name="Vírgula 6 8 2 3" xfId="21816"/>
    <cellStyle name="Vírgula 6 8 2 4" xfId="15902"/>
    <cellStyle name="Vírgula 6 8 3" xfId="24773"/>
    <cellStyle name="Vírgula 6 8 4" xfId="18859"/>
    <cellStyle name="Vírgula 6 8 5" xfId="12713"/>
    <cellStyle name="Vírgula 6 9" xfId="8016"/>
    <cellStyle name="Vírgula 6 9 2" xfId="10980"/>
    <cellStyle name="Vírgula 6 9 2 2" xfId="29194"/>
    <cellStyle name="Vírgula 6 9 2 3" xfId="23280"/>
    <cellStyle name="Vírgula 6 9 2 4" xfId="17366"/>
    <cellStyle name="Vírgula 6 9 3" xfId="26237"/>
    <cellStyle name="Vírgula 6 9 4" xfId="20323"/>
    <cellStyle name="Vírgula 6 9 5" xfId="14405"/>
    <cellStyle name="Vírgula 7" xfId="4205"/>
    <cellStyle name="Vírgula 7 10" xfId="10996"/>
    <cellStyle name="Vírgula 7 2" xfId="4281"/>
    <cellStyle name="Vírgula 7 2 2" xfId="7682"/>
    <cellStyle name="Vírgula 7 2 2 2" xfId="10788"/>
    <cellStyle name="Vírgula 7 2 2 2 2" xfId="29002"/>
    <cellStyle name="Vírgula 7 2 2 2 3" xfId="23088"/>
    <cellStyle name="Vírgula 7 2 2 2 4" xfId="17174"/>
    <cellStyle name="Vírgula 7 2 2 3" xfId="26045"/>
    <cellStyle name="Vírgula 7 2 2 4" xfId="20131"/>
    <cellStyle name="Vírgula 7 2 2 5" xfId="14071"/>
    <cellStyle name="Vírgula 7 2 3" xfId="9320"/>
    <cellStyle name="Vírgula 7 2 3 2" xfId="27534"/>
    <cellStyle name="Vírgula 7 2 3 3" xfId="21620"/>
    <cellStyle name="Vírgula 7 2 3 4" xfId="15706"/>
    <cellStyle name="Vírgula 7 2 4" xfId="5982"/>
    <cellStyle name="Vírgula 7 2 4 2" xfId="24577"/>
    <cellStyle name="Vírgula 7 2 5" xfId="18663"/>
    <cellStyle name="Vírgula 7 2 6" xfId="12370"/>
    <cellStyle name="Vírgula 7 3" xfId="4389"/>
    <cellStyle name="Vírgula 7 3 2" xfId="7791"/>
    <cellStyle name="Vírgula 7 3 2 2" xfId="10850"/>
    <cellStyle name="Vírgula 7 3 2 2 2" xfId="29064"/>
    <cellStyle name="Vírgula 7 3 2 2 3" xfId="23150"/>
    <cellStyle name="Vírgula 7 3 2 2 4" xfId="17236"/>
    <cellStyle name="Vírgula 7 3 2 3" xfId="26107"/>
    <cellStyle name="Vírgula 7 3 2 4" xfId="20193"/>
    <cellStyle name="Vírgula 7 3 2 5" xfId="14180"/>
    <cellStyle name="Vírgula 7 3 3" xfId="9382"/>
    <cellStyle name="Vírgula 7 3 3 2" xfId="27596"/>
    <cellStyle name="Vírgula 7 3 3 3" xfId="21682"/>
    <cellStyle name="Vírgula 7 3 3 4" xfId="15768"/>
    <cellStyle name="Vírgula 7 3 4" xfId="6091"/>
    <cellStyle name="Vírgula 7 3 4 2" xfId="24639"/>
    <cellStyle name="Vírgula 7 3 5" xfId="18725"/>
    <cellStyle name="Vírgula 7 3 6" xfId="12479"/>
    <cellStyle name="Vírgula 7 4" xfId="4497"/>
    <cellStyle name="Vírgula 7 4 2" xfId="7899"/>
    <cellStyle name="Vírgula 7 4 2 2" xfId="10912"/>
    <cellStyle name="Vírgula 7 4 2 2 2" xfId="29126"/>
    <cellStyle name="Vírgula 7 4 2 2 3" xfId="23212"/>
    <cellStyle name="Vírgula 7 4 2 2 4" xfId="17298"/>
    <cellStyle name="Vírgula 7 4 2 3" xfId="26169"/>
    <cellStyle name="Vírgula 7 4 2 4" xfId="20255"/>
    <cellStyle name="Vírgula 7 4 2 5" xfId="14288"/>
    <cellStyle name="Vírgula 7 4 3" xfId="9444"/>
    <cellStyle name="Vírgula 7 4 3 2" xfId="27658"/>
    <cellStyle name="Vírgula 7 4 3 3" xfId="21744"/>
    <cellStyle name="Vírgula 7 4 3 4" xfId="15830"/>
    <cellStyle name="Vírgula 7 4 4" xfId="6198"/>
    <cellStyle name="Vírgula 7 4 4 2" xfId="24701"/>
    <cellStyle name="Vírgula 7 4 5" xfId="18787"/>
    <cellStyle name="Vírgula 7 4 6" xfId="12587"/>
    <cellStyle name="Vírgula 7 5" xfId="5906"/>
    <cellStyle name="Vírgula 7 5 2" xfId="7605"/>
    <cellStyle name="Vírgula 7 5 2 2" xfId="10745"/>
    <cellStyle name="Vírgula 7 5 2 2 2" xfId="28959"/>
    <cellStyle name="Vírgula 7 5 2 2 3" xfId="23045"/>
    <cellStyle name="Vírgula 7 5 2 2 4" xfId="17131"/>
    <cellStyle name="Vírgula 7 5 2 3" xfId="26002"/>
    <cellStyle name="Vírgula 7 5 2 4" xfId="20088"/>
    <cellStyle name="Vírgula 7 5 2 5" xfId="13994"/>
    <cellStyle name="Vírgula 7 5 3" xfId="9277"/>
    <cellStyle name="Vírgula 7 5 3 2" xfId="27491"/>
    <cellStyle name="Vírgula 7 5 3 3" xfId="21577"/>
    <cellStyle name="Vírgula 7 5 3 4" xfId="15663"/>
    <cellStyle name="Vírgula 7 5 4" xfId="24534"/>
    <cellStyle name="Vírgula 7 5 5" xfId="18620"/>
    <cellStyle name="Vírgula 7 5 6" xfId="12293"/>
    <cellStyle name="Vírgula 7 6" xfId="6307"/>
    <cellStyle name="Vírgula 7 6 2" xfId="9506"/>
    <cellStyle name="Vírgula 7 6 2 2" xfId="27720"/>
    <cellStyle name="Vírgula 7 6 2 3" xfId="21806"/>
    <cellStyle name="Vírgula 7 6 2 4" xfId="15892"/>
    <cellStyle name="Vírgula 7 6 3" xfId="24763"/>
    <cellStyle name="Vírgula 7 6 4" xfId="18849"/>
    <cellStyle name="Vírgula 7 6 5" xfId="12696"/>
    <cellStyle name="Vírgula 7 7" xfId="8035"/>
    <cellStyle name="Vírgula 7 7 2" xfId="26249"/>
    <cellStyle name="Vírgula 7 7 3" xfId="20335"/>
    <cellStyle name="Vírgula 7 7 4" xfId="14424"/>
    <cellStyle name="Vírgula 7 8" xfId="4605"/>
    <cellStyle name="Vírgula 7 8 2" xfId="23292"/>
    <cellStyle name="Vírgula 7 9" xfId="17378"/>
    <cellStyle name="Vírgula 8" xfId="4241"/>
    <cellStyle name="Vírgula 8 10" xfId="11032"/>
    <cellStyle name="Vírgula 8 2" xfId="4318"/>
    <cellStyle name="Vírgula 8 2 2" xfId="7719"/>
    <cellStyle name="Vírgula 8 2 2 2" xfId="10809"/>
    <cellStyle name="Vírgula 8 2 2 2 2" xfId="29023"/>
    <cellStyle name="Vírgula 8 2 2 2 3" xfId="23109"/>
    <cellStyle name="Vírgula 8 2 2 2 4" xfId="17195"/>
    <cellStyle name="Vírgula 8 2 2 3" xfId="26066"/>
    <cellStyle name="Vírgula 8 2 2 4" xfId="20152"/>
    <cellStyle name="Vírgula 8 2 2 5" xfId="14108"/>
    <cellStyle name="Vírgula 8 2 3" xfId="9341"/>
    <cellStyle name="Vírgula 8 2 3 2" xfId="27555"/>
    <cellStyle name="Vírgula 8 2 3 3" xfId="21641"/>
    <cellStyle name="Vírgula 8 2 3 4" xfId="15727"/>
    <cellStyle name="Vírgula 8 2 4" xfId="6019"/>
    <cellStyle name="Vírgula 8 2 4 2" xfId="24598"/>
    <cellStyle name="Vírgula 8 2 5" xfId="18684"/>
    <cellStyle name="Vírgula 8 2 6" xfId="12407"/>
    <cellStyle name="Vírgula 8 3" xfId="4426"/>
    <cellStyle name="Vírgula 8 3 2" xfId="7828"/>
    <cellStyle name="Vírgula 8 3 2 2" xfId="10871"/>
    <cellStyle name="Vírgula 8 3 2 2 2" xfId="29085"/>
    <cellStyle name="Vírgula 8 3 2 2 3" xfId="23171"/>
    <cellStyle name="Vírgula 8 3 2 2 4" xfId="17257"/>
    <cellStyle name="Vírgula 8 3 2 3" xfId="26128"/>
    <cellStyle name="Vírgula 8 3 2 4" xfId="20214"/>
    <cellStyle name="Vírgula 8 3 2 5" xfId="14217"/>
    <cellStyle name="Vírgula 8 3 3" xfId="9403"/>
    <cellStyle name="Vírgula 8 3 3 2" xfId="27617"/>
    <cellStyle name="Vírgula 8 3 3 3" xfId="21703"/>
    <cellStyle name="Vírgula 8 3 3 4" xfId="15789"/>
    <cellStyle name="Vírgula 8 3 4" xfId="6128"/>
    <cellStyle name="Vírgula 8 3 4 2" xfId="24660"/>
    <cellStyle name="Vírgula 8 3 5" xfId="18746"/>
    <cellStyle name="Vírgula 8 3 6" xfId="12516"/>
    <cellStyle name="Vírgula 8 4" xfId="4534"/>
    <cellStyle name="Vírgula 8 4 2" xfId="7936"/>
    <cellStyle name="Vírgula 8 4 2 2" xfId="10933"/>
    <cellStyle name="Vírgula 8 4 2 2 2" xfId="29147"/>
    <cellStyle name="Vírgula 8 4 2 2 3" xfId="23233"/>
    <cellStyle name="Vírgula 8 4 2 2 4" xfId="17319"/>
    <cellStyle name="Vírgula 8 4 2 3" xfId="26190"/>
    <cellStyle name="Vírgula 8 4 2 4" xfId="20276"/>
    <cellStyle name="Vírgula 8 4 2 5" xfId="14325"/>
    <cellStyle name="Vírgula 8 4 3" xfId="9465"/>
    <cellStyle name="Vírgula 8 4 3 2" xfId="27679"/>
    <cellStyle name="Vírgula 8 4 3 3" xfId="21765"/>
    <cellStyle name="Vírgula 8 4 3 4" xfId="15851"/>
    <cellStyle name="Vírgula 8 4 4" xfId="6235"/>
    <cellStyle name="Vírgula 8 4 4 2" xfId="24722"/>
    <cellStyle name="Vírgula 8 4 5" xfId="18808"/>
    <cellStyle name="Vírgula 8 4 6" xfId="12624"/>
    <cellStyle name="Vírgula 8 5" xfId="5942"/>
    <cellStyle name="Vírgula 8 5 2" xfId="7642"/>
    <cellStyle name="Vírgula 8 5 2 2" xfId="10766"/>
    <cellStyle name="Vírgula 8 5 2 2 2" xfId="28980"/>
    <cellStyle name="Vírgula 8 5 2 2 3" xfId="23066"/>
    <cellStyle name="Vírgula 8 5 2 2 4" xfId="17152"/>
    <cellStyle name="Vírgula 8 5 2 3" xfId="26023"/>
    <cellStyle name="Vírgula 8 5 2 4" xfId="20109"/>
    <cellStyle name="Vírgula 8 5 2 5" xfId="14031"/>
    <cellStyle name="Vírgula 8 5 3" xfId="9298"/>
    <cellStyle name="Vírgula 8 5 3 2" xfId="27512"/>
    <cellStyle name="Vírgula 8 5 3 3" xfId="21598"/>
    <cellStyle name="Vírgula 8 5 3 4" xfId="15684"/>
    <cellStyle name="Vírgula 8 5 4" xfId="24555"/>
    <cellStyle name="Vírgula 8 5 5" xfId="18641"/>
    <cellStyle name="Vírgula 8 5 6" xfId="12330"/>
    <cellStyle name="Vírgula 8 6" xfId="6344"/>
    <cellStyle name="Vírgula 8 6 2" xfId="9527"/>
    <cellStyle name="Vírgula 8 6 2 2" xfId="27741"/>
    <cellStyle name="Vírgula 8 6 2 3" xfId="21827"/>
    <cellStyle name="Vírgula 8 6 2 4" xfId="15913"/>
    <cellStyle name="Vírgula 8 6 3" xfId="24784"/>
    <cellStyle name="Vírgula 8 6 4" xfId="18870"/>
    <cellStyle name="Vírgula 8 6 5" xfId="12733"/>
    <cellStyle name="Vírgula 8 7" xfId="8056"/>
    <cellStyle name="Vírgula 8 7 2" xfId="26270"/>
    <cellStyle name="Vírgula 8 7 3" xfId="20356"/>
    <cellStyle name="Vírgula 8 7 4" xfId="14445"/>
    <cellStyle name="Vírgula 8 8" xfId="4641"/>
    <cellStyle name="Vírgula 8 8 2" xfId="23313"/>
    <cellStyle name="Vírgula 8 9" xfId="17399"/>
    <cellStyle name="Vírgula 9" xfId="4272"/>
    <cellStyle name="Vírgula 9 10" xfId="11063"/>
    <cellStyle name="Vírgula 9 2" xfId="4349"/>
    <cellStyle name="Vírgula 9 2 2" xfId="7750"/>
    <cellStyle name="Vírgula 9 2 2 2" xfId="10827"/>
    <cellStyle name="Vírgula 9 2 2 2 2" xfId="29041"/>
    <cellStyle name="Vírgula 9 2 2 2 3" xfId="23127"/>
    <cellStyle name="Vírgula 9 2 2 2 4" xfId="17213"/>
    <cellStyle name="Vírgula 9 2 2 3" xfId="26084"/>
    <cellStyle name="Vírgula 9 2 2 4" xfId="20170"/>
    <cellStyle name="Vírgula 9 2 2 5" xfId="14139"/>
    <cellStyle name="Vírgula 9 2 3" xfId="9359"/>
    <cellStyle name="Vírgula 9 2 3 2" xfId="27573"/>
    <cellStyle name="Vírgula 9 2 3 3" xfId="21659"/>
    <cellStyle name="Vírgula 9 2 3 4" xfId="15745"/>
    <cellStyle name="Vírgula 9 2 4" xfId="6050"/>
    <cellStyle name="Vírgula 9 2 4 2" xfId="24616"/>
    <cellStyle name="Vírgula 9 2 5" xfId="18702"/>
    <cellStyle name="Vírgula 9 2 6" xfId="12438"/>
    <cellStyle name="Vírgula 9 3" xfId="4457"/>
    <cellStyle name="Vírgula 9 3 2" xfId="7859"/>
    <cellStyle name="Vírgula 9 3 2 2" xfId="10889"/>
    <cellStyle name="Vírgula 9 3 2 2 2" xfId="29103"/>
    <cellStyle name="Vírgula 9 3 2 2 3" xfId="23189"/>
    <cellStyle name="Vírgula 9 3 2 2 4" xfId="17275"/>
    <cellStyle name="Vírgula 9 3 2 3" xfId="26146"/>
    <cellStyle name="Vírgula 9 3 2 4" xfId="20232"/>
    <cellStyle name="Vírgula 9 3 2 5" xfId="14248"/>
    <cellStyle name="Vírgula 9 3 3" xfId="9421"/>
    <cellStyle name="Vírgula 9 3 3 2" xfId="27635"/>
    <cellStyle name="Vírgula 9 3 3 3" xfId="21721"/>
    <cellStyle name="Vírgula 9 3 3 4" xfId="15807"/>
    <cellStyle name="Vírgula 9 3 4" xfId="6158"/>
    <cellStyle name="Vírgula 9 3 4 2" xfId="24678"/>
    <cellStyle name="Vírgula 9 3 5" xfId="18764"/>
    <cellStyle name="Vírgula 9 3 6" xfId="12547"/>
    <cellStyle name="Vírgula 9 4" xfId="4565"/>
    <cellStyle name="Vírgula 9 4 2" xfId="7967"/>
    <cellStyle name="Vírgula 9 4 2 2" xfId="10951"/>
    <cellStyle name="Vírgula 9 4 2 2 2" xfId="29165"/>
    <cellStyle name="Vírgula 9 4 2 2 3" xfId="23251"/>
    <cellStyle name="Vírgula 9 4 2 2 4" xfId="17337"/>
    <cellStyle name="Vírgula 9 4 2 3" xfId="26208"/>
    <cellStyle name="Vírgula 9 4 2 4" xfId="20294"/>
    <cellStyle name="Vírgula 9 4 2 5" xfId="14356"/>
    <cellStyle name="Vírgula 9 4 3" xfId="9483"/>
    <cellStyle name="Vírgula 9 4 3 2" xfId="27697"/>
    <cellStyle name="Vírgula 9 4 3 3" xfId="21783"/>
    <cellStyle name="Vírgula 9 4 3 4" xfId="15869"/>
    <cellStyle name="Vírgula 9 4 4" xfId="6266"/>
    <cellStyle name="Vírgula 9 4 4 2" xfId="24740"/>
    <cellStyle name="Vírgula 9 4 5" xfId="18826"/>
    <cellStyle name="Vírgula 9 4 6" xfId="12655"/>
    <cellStyle name="Vírgula 9 5" xfId="5973"/>
    <cellStyle name="Vírgula 9 5 2" xfId="7673"/>
    <cellStyle name="Vírgula 9 5 2 2" xfId="10784"/>
    <cellStyle name="Vírgula 9 5 2 2 2" xfId="28998"/>
    <cellStyle name="Vírgula 9 5 2 2 3" xfId="23084"/>
    <cellStyle name="Vírgula 9 5 2 2 4" xfId="17170"/>
    <cellStyle name="Vírgula 9 5 2 3" xfId="26041"/>
    <cellStyle name="Vírgula 9 5 2 4" xfId="20127"/>
    <cellStyle name="Vírgula 9 5 2 5" xfId="14062"/>
    <cellStyle name="Vírgula 9 5 3" xfId="9316"/>
    <cellStyle name="Vírgula 9 5 3 2" xfId="27530"/>
    <cellStyle name="Vírgula 9 5 3 3" xfId="21616"/>
    <cellStyle name="Vírgula 9 5 3 4" xfId="15702"/>
    <cellStyle name="Vírgula 9 5 4" xfId="24573"/>
    <cellStyle name="Vírgula 9 5 5" xfId="18659"/>
    <cellStyle name="Vírgula 9 5 6" xfId="12361"/>
    <cellStyle name="Vírgula 9 6" xfId="6375"/>
    <cellStyle name="Vírgula 9 6 2" xfId="9545"/>
    <cellStyle name="Vírgula 9 6 2 2" xfId="27759"/>
    <cellStyle name="Vírgula 9 6 2 3" xfId="21845"/>
    <cellStyle name="Vírgula 9 6 2 4" xfId="15931"/>
    <cellStyle name="Vírgula 9 6 3" xfId="24802"/>
    <cellStyle name="Vírgula 9 6 4" xfId="18888"/>
    <cellStyle name="Vírgula 9 6 5" xfId="12764"/>
    <cellStyle name="Vírgula 9 7" xfId="8074"/>
    <cellStyle name="Vírgula 9 7 2" xfId="26288"/>
    <cellStyle name="Vírgula 9 7 3" xfId="20374"/>
    <cellStyle name="Vírgula 9 7 4" xfId="14463"/>
    <cellStyle name="Vírgula 9 8" xfId="4672"/>
    <cellStyle name="Vírgula 9 8 2" xfId="23331"/>
    <cellStyle name="Vírgula 9 9" xfId="17417"/>
  </cellStyles>
  <dxfs count="299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499984740745262"/>
          <bgColor theme="8" tint="-0.499984740745262"/>
        </patternFill>
      </fill>
      <border diagonalUp="0" diagonalDown="0">
        <left/>
        <right/>
        <top/>
        <bottom/>
        <vertical/>
        <horizontal/>
      </border>
    </dxf>
    <dxf>
      <font>
        <color auto="1"/>
      </font>
      <fill>
        <patternFill patternType="solid">
          <fgColor theme="1"/>
          <bgColor theme="4" tint="0.39994506668294322"/>
        </patternFill>
      </fill>
      <border diagonalUp="0" diagonalDown="0">
        <left/>
        <right/>
        <top/>
        <bottom/>
        <vertical/>
        <horizontal/>
      </border>
    </dxf>
    <dxf>
      <font>
        <color auto="1"/>
      </font>
      <fill>
        <patternFill patternType="solid">
          <fgColor theme="8"/>
          <bgColor theme="8"/>
        </patternFill>
      </fill>
      <border diagonalUp="0" diagonalDown="0">
        <left/>
        <right/>
        <top/>
        <bottom/>
        <vertical/>
        <horizontal/>
      </border>
    </dxf>
  </dxfs>
  <tableStyles count="1" defaultTableStyle="TableStyleMedium2" defaultPivotStyle="PivotStyleLight16">
    <tableStyle name="TableStyleDark6 2" pivot="0" count="9">
      <tableStyleElement type="wholeTable" dxfId="2996"/>
      <tableStyleElement type="headerRow" dxfId="2995"/>
      <tableStyleElement type="totalRow" dxfId="2994"/>
      <tableStyleElement type="firstColumn" dxfId="2993"/>
      <tableStyleElement type="lastColumn" dxfId="2992"/>
      <tableStyleElement type="firstRowStripe" dxfId="2991"/>
      <tableStyleElement type="secondRowStripe" dxfId="2990"/>
      <tableStyleElement type="firstColumnStripe" dxfId="2989"/>
      <tableStyleElement type="secondColumnStripe" dxfId="29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184197</xdr:colOff>
      <xdr:row>4</xdr:row>
      <xdr:rowOff>276225</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479472</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479472</xdr:colOff>
      <xdr:row>4</xdr:row>
      <xdr:rowOff>152400</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180975</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88900</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11</xdr:col>
      <xdr:colOff>7144</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16669</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7218"/>
  <sheetViews>
    <sheetView view="pageBreakPreview" zoomScale="80" zoomScaleNormal="80" zoomScaleSheetLayoutView="80" workbookViewId="0">
      <pane ySplit="5" topLeftCell="A6" activePane="bottomLeft" state="frozen"/>
      <selection pane="bottomLeft" activeCell="C14" sqref="C14"/>
    </sheetView>
  </sheetViews>
  <sheetFormatPr defaultRowHeight="15" x14ac:dyDescent="0.25"/>
  <cols>
    <col min="1" max="1" width="14.7109375" customWidth="1"/>
    <col min="2" max="2" width="50.7109375" customWidth="1"/>
    <col min="3" max="3" width="65.7109375" style="4"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tr">
        <f>Orçamentária!A1</f>
        <v>Adequação da infraestrutura dos closets de rede</v>
      </c>
      <c r="B1" s="6"/>
      <c r="C1" s="6"/>
      <c r="D1" s="6"/>
      <c r="E1" s="7"/>
      <c r="F1" s="6"/>
      <c r="G1" s="6"/>
      <c r="H1" s="6"/>
      <c r="I1" s="8"/>
      <c r="J1" s="9"/>
    </row>
    <row r="2" spans="1:10" ht="24.95" customHeight="1" x14ac:dyDescent="0.25">
      <c r="A2" s="10" t="s">
        <v>0</v>
      </c>
      <c r="B2" s="11"/>
      <c r="C2" s="120"/>
      <c r="D2" s="11"/>
      <c r="E2" s="12"/>
      <c r="F2" s="11"/>
      <c r="G2" s="11"/>
      <c r="H2" s="11"/>
      <c r="I2" s="13"/>
      <c r="J2" s="9"/>
    </row>
    <row r="3" spans="1:10" ht="20.100000000000001" customHeight="1" x14ac:dyDescent="0.25">
      <c r="A3" s="14" t="str">
        <f>Orçamentária!A3</f>
        <v>Data: Julho de 2022</v>
      </c>
      <c r="B3" s="14"/>
      <c r="C3" s="121"/>
      <c r="D3" s="14"/>
      <c r="E3" s="15"/>
      <c r="F3" s="14"/>
      <c r="G3" s="14"/>
      <c r="H3" s="14"/>
      <c r="J3" s="9"/>
    </row>
    <row r="4" spans="1:10" s="169" customFormat="1" ht="15.75" thickBot="1" x14ac:dyDescent="0.3">
      <c r="A4" s="175"/>
      <c r="B4" s="175"/>
      <c r="C4" s="176"/>
      <c r="D4" s="175"/>
      <c r="E4" s="177"/>
      <c r="F4" s="175"/>
      <c r="G4" s="178"/>
      <c r="H4" s="175"/>
      <c r="I4" s="175"/>
      <c r="J4" s="179"/>
    </row>
    <row r="5" spans="1:10" ht="30.75" thickBot="1" x14ac:dyDescent="0.3">
      <c r="A5" s="16" t="s">
        <v>1</v>
      </c>
      <c r="B5" s="17" t="s">
        <v>2</v>
      </c>
      <c r="C5" s="159" t="s">
        <v>3</v>
      </c>
      <c r="D5" s="17" t="s">
        <v>4</v>
      </c>
      <c r="E5" s="18" t="s">
        <v>5</v>
      </c>
      <c r="F5" s="17" t="s">
        <v>6</v>
      </c>
      <c r="G5" s="17" t="s">
        <v>7</v>
      </c>
      <c r="H5" s="19" t="s">
        <v>8</v>
      </c>
      <c r="I5" s="20"/>
      <c r="J5" s="21" t="s">
        <v>9</v>
      </c>
    </row>
    <row r="6" spans="1:10" ht="15.75" thickBot="1" x14ac:dyDescent="0.3">
      <c r="A6" s="225" t="s">
        <v>10</v>
      </c>
      <c r="B6" s="228" t="str">
        <f>INDEX(Orçamentária!A:B,MATCH(Composições!A6,Orçamentária!A:A,0),2)</f>
        <v>Engenheiro(a) /Arquiteto(a) júnior</v>
      </c>
      <c r="C6" s="37"/>
      <c r="D6" s="22" t="str">
        <f>TRIM(INDEX(Orçamentária!C:C,MATCH(Composições!A6,Orçamentária!A:A,0),1))</f>
        <v>hh</v>
      </c>
      <c r="E6" s="23"/>
      <c r="F6" s="24" t="s">
        <v>523</v>
      </c>
      <c r="G6" s="24" t="str">
        <f t="shared" ref="G6:G69" si="0">IF(ISNUMBER(F6),E6*F6,"")</f>
        <v/>
      </c>
      <c r="H6" s="25"/>
      <c r="I6" s="26"/>
      <c r="J6" s="141">
        <v>360</v>
      </c>
    </row>
    <row r="7" spans="1:10" x14ac:dyDescent="0.25">
      <c r="A7" s="226"/>
      <c r="B7" s="244"/>
      <c r="C7" s="28"/>
      <c r="D7" s="28"/>
      <c r="E7" s="29"/>
      <c r="F7" s="27" t="s">
        <v>523</v>
      </c>
      <c r="G7" s="30" t="str">
        <f t="shared" si="0"/>
        <v/>
      </c>
      <c r="H7" s="31"/>
      <c r="I7" s="27"/>
      <c r="J7" s="141">
        <v>360</v>
      </c>
    </row>
    <row r="8" spans="1:10" x14ac:dyDescent="0.25">
      <c r="A8" s="226"/>
      <c r="B8" s="244"/>
      <c r="C8" s="32" t="s">
        <v>11</v>
      </c>
      <c r="D8" s="32" t="s">
        <v>12</v>
      </c>
      <c r="E8" s="33">
        <v>1</v>
      </c>
      <c r="F8" s="27">
        <v>87.314499999999995</v>
      </c>
      <c r="G8" s="30">
        <f t="shared" si="0"/>
        <v>87.314499999999995</v>
      </c>
      <c r="H8" s="35">
        <f>SUM(G8:G8)</f>
        <v>87.314499999999995</v>
      </c>
      <c r="I8" s="36"/>
      <c r="J8" s="141">
        <v>360</v>
      </c>
    </row>
    <row r="9" spans="1:10" ht="15.75" thickBot="1" x14ac:dyDescent="0.3">
      <c r="A9" s="227"/>
      <c r="B9" s="230"/>
      <c r="C9" s="32"/>
      <c r="D9" s="32"/>
      <c r="E9" s="33"/>
      <c r="F9" s="27" t="s">
        <v>523</v>
      </c>
      <c r="G9" s="30" t="str">
        <f t="shared" si="0"/>
        <v/>
      </c>
      <c r="H9" s="31"/>
      <c r="I9" s="27"/>
      <c r="J9" s="141">
        <v>360</v>
      </c>
    </row>
    <row r="10" spans="1:10" ht="15.75" hidden="1" thickBot="1" x14ac:dyDescent="0.3">
      <c r="A10" s="246" t="s">
        <v>13</v>
      </c>
      <c r="B10" s="228" t="str">
        <f>INDEX(Orçamentária!A:B,MATCH(Composições!A10,Orçamentária!A:A,0),2)</f>
        <v>Mestre de obras</v>
      </c>
      <c r="C10" s="37"/>
      <c r="D10" s="22" t="str">
        <f>TRIM(INDEX(Orçamentária!C:C,MATCH(Composições!A10,Orçamentária!A:A,0),1))</f>
        <v>hh</v>
      </c>
      <c r="E10" s="23"/>
      <c r="F10" s="38" t="s">
        <v>523</v>
      </c>
      <c r="G10" s="24" t="str">
        <f t="shared" si="0"/>
        <v/>
      </c>
      <c r="H10" s="25"/>
      <c r="I10" s="26"/>
      <c r="J10" s="141">
        <v>0</v>
      </c>
    </row>
    <row r="11" spans="1:10" ht="15.75" hidden="1" thickBot="1" x14ac:dyDescent="0.3">
      <c r="A11" s="247"/>
      <c r="B11" s="244"/>
      <c r="C11" s="28"/>
      <c r="D11" s="28"/>
      <c r="E11" s="29"/>
      <c r="F11" s="39" t="s">
        <v>523</v>
      </c>
      <c r="G11" s="27" t="str">
        <f t="shared" si="0"/>
        <v/>
      </c>
      <c r="H11" s="31"/>
      <c r="I11" s="27"/>
      <c r="J11" s="141">
        <v>0</v>
      </c>
    </row>
    <row r="12" spans="1:10" ht="15.75" hidden="1" thickBot="1" x14ac:dyDescent="0.3">
      <c r="A12" s="247"/>
      <c r="B12" s="244"/>
      <c r="C12" s="32" t="s">
        <v>14</v>
      </c>
      <c r="D12" s="32" t="s">
        <v>12</v>
      </c>
      <c r="E12" s="33">
        <v>1</v>
      </c>
      <c r="F12" s="27">
        <v>41.495999999999995</v>
      </c>
      <c r="G12" s="30">
        <f t="shared" si="0"/>
        <v>41.495999999999995</v>
      </c>
      <c r="H12" s="35">
        <f>SUM(G12:G12)</f>
        <v>41.495999999999995</v>
      </c>
      <c r="I12" s="36"/>
      <c r="J12" s="141">
        <v>0</v>
      </c>
    </row>
    <row r="13" spans="1:10" ht="15.75" hidden="1" thickBot="1" x14ac:dyDescent="0.3">
      <c r="A13" s="247"/>
      <c r="B13" s="244"/>
      <c r="C13" s="32"/>
      <c r="D13" s="32"/>
      <c r="E13" s="33"/>
      <c r="F13" s="27" t="s">
        <v>523</v>
      </c>
      <c r="G13" s="27" t="str">
        <f t="shared" si="0"/>
        <v/>
      </c>
      <c r="H13" s="31"/>
      <c r="I13" s="27"/>
      <c r="J13" s="141">
        <v>0</v>
      </c>
    </row>
    <row r="14" spans="1:10" ht="15.75" thickBot="1" x14ac:dyDescent="0.3">
      <c r="A14" s="225" t="s">
        <v>15</v>
      </c>
      <c r="B14" s="228" t="str">
        <f>INDEX(Orçamentária!A:B,MATCH(Composições!A14,Orçamentária!A:A,0),2)</f>
        <v>Planejamento físico-financeiro</v>
      </c>
      <c r="C14" s="37"/>
      <c r="D14" s="22" t="str">
        <f>TRIM(INDEX(Orçamentária!C:C,MATCH(Composições!A14,Orçamentária!A:A,0),1))</f>
        <v>un</v>
      </c>
      <c r="E14" s="23"/>
      <c r="F14" s="38" t="s">
        <v>523</v>
      </c>
      <c r="G14" s="24" t="str">
        <f t="shared" si="0"/>
        <v/>
      </c>
      <c r="H14" s="25"/>
      <c r="I14" s="26"/>
      <c r="J14" s="141">
        <v>1</v>
      </c>
    </row>
    <row r="15" spans="1:10" x14ac:dyDescent="0.25">
      <c r="A15" s="226"/>
      <c r="B15" s="244"/>
      <c r="C15" s="28"/>
      <c r="D15" s="28"/>
      <c r="E15" s="29"/>
      <c r="F15" s="39" t="s">
        <v>523</v>
      </c>
      <c r="G15" s="27" t="str">
        <f t="shared" si="0"/>
        <v/>
      </c>
      <c r="H15" s="31"/>
      <c r="I15" s="27"/>
      <c r="J15" s="141">
        <v>1</v>
      </c>
    </row>
    <row r="16" spans="1:10" x14ac:dyDescent="0.25">
      <c r="A16" s="226"/>
      <c r="B16" s="244"/>
      <c r="C16" s="32" t="s">
        <v>16</v>
      </c>
      <c r="D16" s="32" t="s">
        <v>12</v>
      </c>
      <c r="E16" s="33">
        <v>16</v>
      </c>
      <c r="F16" s="27">
        <v>99.17049999999999</v>
      </c>
      <c r="G16" s="27">
        <f t="shared" si="0"/>
        <v>1586.7279999999998</v>
      </c>
      <c r="H16" s="35">
        <f>SUM(G16:G16)</f>
        <v>1586.7279999999998</v>
      </c>
      <c r="I16" s="36"/>
      <c r="J16" s="141">
        <v>1</v>
      </c>
    </row>
    <row r="17" spans="1:10" ht="15.75" thickBot="1" x14ac:dyDescent="0.3">
      <c r="A17" s="227"/>
      <c r="B17" s="230"/>
      <c r="C17" s="32"/>
      <c r="D17" s="32"/>
      <c r="E17" s="33"/>
      <c r="F17" s="27" t="s">
        <v>523</v>
      </c>
      <c r="G17" s="27" t="str">
        <f t="shared" si="0"/>
        <v/>
      </c>
      <c r="H17" s="31"/>
      <c r="I17" s="27"/>
      <c r="J17" s="141">
        <v>1</v>
      </c>
    </row>
    <row r="18" spans="1:10" ht="15.75" thickBot="1" x14ac:dyDescent="0.3">
      <c r="A18" s="225" t="s">
        <v>17</v>
      </c>
      <c r="B18" s="228" t="str">
        <f>INDEX(Orçamentária!A:B,MATCH(Composições!A18,Orçamentária!A:A,0),2)</f>
        <v>Projetos de segurança do trabalho</v>
      </c>
      <c r="C18" s="37"/>
      <c r="D18" s="22" t="str">
        <f>TRIM(INDEX(Orçamentária!C:C,MATCH(Composições!A18,Orçamentária!A:A,0),1))</f>
        <v>un</v>
      </c>
      <c r="E18" s="23"/>
      <c r="F18" s="38" t="s">
        <v>523</v>
      </c>
      <c r="G18" s="24" t="str">
        <f t="shared" si="0"/>
        <v/>
      </c>
      <c r="H18" s="25"/>
      <c r="I18" s="26"/>
      <c r="J18" s="141">
        <v>1</v>
      </c>
    </row>
    <row r="19" spans="1:10" x14ac:dyDescent="0.25">
      <c r="A19" s="226"/>
      <c r="B19" s="244"/>
      <c r="C19" s="28"/>
      <c r="D19" s="28"/>
      <c r="E19" s="29"/>
      <c r="F19" s="39" t="s">
        <v>523</v>
      </c>
      <c r="G19" s="27" t="str">
        <f t="shared" si="0"/>
        <v/>
      </c>
      <c r="H19" s="31"/>
      <c r="I19" s="27"/>
      <c r="J19" s="141">
        <v>1</v>
      </c>
    </row>
    <row r="20" spans="1:10" x14ac:dyDescent="0.25">
      <c r="A20" s="226"/>
      <c r="B20" s="244"/>
      <c r="C20" s="32" t="s">
        <v>1219</v>
      </c>
      <c r="D20" s="32" t="s">
        <v>705</v>
      </c>
      <c r="E20" s="33">
        <v>20</v>
      </c>
      <c r="F20" s="27">
        <v>99.474499999999992</v>
      </c>
      <c r="G20" s="27">
        <f t="shared" si="0"/>
        <v>1989.4899999999998</v>
      </c>
      <c r="H20" s="35">
        <f>SUM(G20:G21)</f>
        <v>2223.4299999999998</v>
      </c>
      <c r="I20" s="36"/>
      <c r="J20" s="141">
        <v>1</v>
      </c>
    </row>
    <row r="21" spans="1:10" x14ac:dyDescent="0.25">
      <c r="A21" s="226"/>
      <c r="B21" s="244"/>
      <c r="C21" s="32" t="s">
        <v>19</v>
      </c>
      <c r="D21" s="32" t="s">
        <v>20</v>
      </c>
      <c r="E21" s="33">
        <v>1</v>
      </c>
      <c r="F21" s="30">
        <v>233.94</v>
      </c>
      <c r="G21" s="27">
        <f t="shared" si="0"/>
        <v>233.94</v>
      </c>
      <c r="H21" s="31"/>
      <c r="I21" s="27"/>
      <c r="J21" s="141">
        <v>1</v>
      </c>
    </row>
    <row r="22" spans="1:10" ht="15.75" thickBot="1" x14ac:dyDescent="0.3">
      <c r="A22" s="227"/>
      <c r="B22" s="230"/>
      <c r="C22" s="32"/>
      <c r="D22" s="32"/>
      <c r="E22" s="33"/>
      <c r="F22" s="27" t="s">
        <v>523</v>
      </c>
      <c r="G22" s="27" t="str">
        <f t="shared" si="0"/>
        <v/>
      </c>
      <c r="H22" s="31"/>
      <c r="I22" s="27"/>
      <c r="J22" s="141">
        <v>1</v>
      </c>
    </row>
    <row r="23" spans="1:10" ht="15.75" thickBot="1" x14ac:dyDescent="0.3">
      <c r="A23" s="225" t="s">
        <v>21</v>
      </c>
      <c r="B23" s="228" t="str">
        <f>INDEX(Orçamentária!A:B,MATCH(Composições!A23,Orçamentária!A:A,0),2)</f>
        <v>Demolição de alvenarias</v>
      </c>
      <c r="C23" s="37"/>
      <c r="D23" s="22" t="str">
        <f>TRIM(INDEX(Orçamentária!C:C,MATCH(Composições!A23,Orçamentária!A:A,0),1))</f>
        <v>m3</v>
      </c>
      <c r="E23" s="23"/>
      <c r="F23" s="38" t="s">
        <v>523</v>
      </c>
      <c r="G23" s="24" t="str">
        <f t="shared" si="0"/>
        <v/>
      </c>
      <c r="H23" s="25"/>
      <c r="I23" s="26"/>
      <c r="J23" s="141">
        <v>0.25</v>
      </c>
    </row>
    <row r="24" spans="1:10" x14ac:dyDescent="0.25">
      <c r="A24" s="226"/>
      <c r="B24" s="244"/>
      <c r="C24" s="28"/>
      <c r="D24" s="28"/>
      <c r="E24" s="29"/>
      <c r="F24" s="39" t="s">
        <v>523</v>
      </c>
      <c r="G24" s="27" t="str">
        <f t="shared" si="0"/>
        <v/>
      </c>
      <c r="H24" s="31"/>
      <c r="I24" s="27"/>
      <c r="J24" s="141">
        <v>0.25</v>
      </c>
    </row>
    <row r="25" spans="1:10" x14ac:dyDescent="0.25">
      <c r="A25" s="226"/>
      <c r="B25" s="244"/>
      <c r="C25" s="32" t="s">
        <v>22</v>
      </c>
      <c r="D25" s="32" t="s">
        <v>12</v>
      </c>
      <c r="E25" s="33">
        <v>0.22500000000000001</v>
      </c>
      <c r="F25" s="27">
        <v>24.889999999999997</v>
      </c>
      <c r="G25" s="30">
        <f t="shared" si="0"/>
        <v>5.6002499999999991</v>
      </c>
      <c r="H25" s="35">
        <f>SUM(G25:G26)</f>
        <v>48.424228400000004</v>
      </c>
      <c r="I25" s="36"/>
      <c r="J25" s="141">
        <v>0.25</v>
      </c>
    </row>
    <row r="26" spans="1:10" x14ac:dyDescent="0.25">
      <c r="A26" s="226"/>
      <c r="B26" s="244"/>
      <c r="C26" s="32" t="s">
        <v>23</v>
      </c>
      <c r="D26" s="32" t="s">
        <v>12</v>
      </c>
      <c r="E26" s="33">
        <v>2.3248000000000002</v>
      </c>
      <c r="F26" s="27">
        <v>18.420500000000001</v>
      </c>
      <c r="G26" s="30">
        <f t="shared" si="0"/>
        <v>42.823978400000001</v>
      </c>
      <c r="H26" s="40"/>
      <c r="I26" s="36"/>
      <c r="J26" s="141">
        <v>0.25</v>
      </c>
    </row>
    <row r="27" spans="1:10" ht="15.75" thickBot="1" x14ac:dyDescent="0.3">
      <c r="A27" s="227"/>
      <c r="B27" s="230"/>
      <c r="C27" s="32"/>
      <c r="D27" s="32"/>
      <c r="E27" s="33"/>
      <c r="F27" s="27" t="s">
        <v>523</v>
      </c>
      <c r="G27" s="27" t="str">
        <f t="shared" si="0"/>
        <v/>
      </c>
      <c r="H27" s="31"/>
      <c r="I27" s="27"/>
      <c r="J27" s="141">
        <v>0.25</v>
      </c>
    </row>
    <row r="28" spans="1:10" ht="15.75" hidden="1" thickBot="1" x14ac:dyDescent="0.3">
      <c r="A28" s="225" t="s">
        <v>24</v>
      </c>
      <c r="B28" s="228" t="str">
        <f>INDEX(Orçamentária!A:B,MATCH(Composições!A28,Orçamentária!A:A,0),2)</f>
        <v>Demolição de concreto simples</v>
      </c>
      <c r="C28" s="37"/>
      <c r="D28" s="22" t="str">
        <f>TRIM(INDEX(Orçamentária!C:C,MATCH(Composições!A28,Orçamentária!A:A,0),1))</f>
        <v>m3</v>
      </c>
      <c r="E28" s="23"/>
      <c r="F28" s="38" t="s">
        <v>523</v>
      </c>
      <c r="G28" s="24" t="str">
        <f t="shared" si="0"/>
        <v/>
      </c>
      <c r="H28" s="25"/>
      <c r="I28" s="26"/>
      <c r="J28" s="141">
        <v>0</v>
      </c>
    </row>
    <row r="29" spans="1:10" ht="15.75" hidden="1" thickBot="1" x14ac:dyDescent="0.3">
      <c r="A29" s="226"/>
      <c r="B29" s="244"/>
      <c r="C29" s="28"/>
      <c r="D29" s="28"/>
      <c r="E29" s="29"/>
      <c r="F29" s="39" t="s">
        <v>523</v>
      </c>
      <c r="G29" s="27" t="str">
        <f t="shared" si="0"/>
        <v/>
      </c>
      <c r="H29" s="31"/>
      <c r="I29" s="27"/>
      <c r="J29" s="141">
        <v>0</v>
      </c>
    </row>
    <row r="30" spans="1:10" ht="15.75" hidden="1" thickBot="1" x14ac:dyDescent="0.3">
      <c r="A30" s="226"/>
      <c r="B30" s="244"/>
      <c r="C30" s="32" t="s">
        <v>22</v>
      </c>
      <c r="D30" s="32" t="s">
        <v>12</v>
      </c>
      <c r="E30" s="33">
        <v>1.3</v>
      </c>
      <c r="F30" s="27">
        <v>24.889999999999997</v>
      </c>
      <c r="G30" s="30">
        <f t="shared" si="0"/>
        <v>32.356999999999999</v>
      </c>
      <c r="H30" s="35">
        <f>SUM(G30:G31)</f>
        <v>271.82349999999997</v>
      </c>
      <c r="I30" s="36"/>
      <c r="J30" s="141">
        <v>0</v>
      </c>
    </row>
    <row r="31" spans="1:10" ht="15.75" hidden="1" thickBot="1" x14ac:dyDescent="0.3">
      <c r="A31" s="226"/>
      <c r="B31" s="244"/>
      <c r="C31" s="32" t="s">
        <v>23</v>
      </c>
      <c r="D31" s="32" t="s">
        <v>12</v>
      </c>
      <c r="E31" s="33">
        <v>13</v>
      </c>
      <c r="F31" s="27">
        <v>18.420500000000001</v>
      </c>
      <c r="G31" s="30">
        <f t="shared" si="0"/>
        <v>239.4665</v>
      </c>
      <c r="H31" s="31"/>
      <c r="I31" s="27"/>
      <c r="J31" s="141">
        <v>0</v>
      </c>
    </row>
    <row r="32" spans="1:10" ht="15.75" hidden="1" thickBot="1" x14ac:dyDescent="0.3">
      <c r="A32" s="227"/>
      <c r="B32" s="230"/>
      <c r="C32" s="32"/>
      <c r="D32" s="32"/>
      <c r="E32" s="33"/>
      <c r="F32" s="27" t="s">
        <v>523</v>
      </c>
      <c r="G32" s="27" t="str">
        <f t="shared" si="0"/>
        <v/>
      </c>
      <c r="H32" s="31"/>
      <c r="I32" s="27"/>
      <c r="J32" s="141">
        <v>0</v>
      </c>
    </row>
    <row r="33" spans="1:10" ht="15.75" hidden="1" thickBot="1" x14ac:dyDescent="0.3">
      <c r="A33" s="248" t="s">
        <v>25</v>
      </c>
      <c r="B33" s="233" t="str">
        <f>INDEX(Orçamentária!A:B,MATCH(Composições!A33,Orçamentária!A:A,0),2)</f>
        <v>Demolição de contrapiso</v>
      </c>
      <c r="C33" s="37"/>
      <c r="D33" s="22" t="str">
        <f>TRIM(INDEX(Orçamentária!C:C,MATCH(Composições!A33,Orçamentária!A:A,0),1))</f>
        <v>m2</v>
      </c>
      <c r="E33" s="23"/>
      <c r="F33" s="38" t="s">
        <v>523</v>
      </c>
      <c r="G33" s="24" t="str">
        <f t="shared" si="0"/>
        <v/>
      </c>
      <c r="H33" s="25"/>
      <c r="I33" s="26"/>
      <c r="J33" s="141">
        <v>0</v>
      </c>
    </row>
    <row r="34" spans="1:10" ht="15.75" hidden="1" thickBot="1" x14ac:dyDescent="0.3">
      <c r="A34" s="249"/>
      <c r="B34" s="251"/>
      <c r="C34" s="28"/>
      <c r="D34" s="28"/>
      <c r="E34" s="29"/>
      <c r="F34" s="39" t="s">
        <v>523</v>
      </c>
      <c r="G34" s="27" t="str">
        <f t="shared" si="0"/>
        <v/>
      </c>
      <c r="H34" s="31"/>
      <c r="I34" s="27"/>
      <c r="J34" s="141">
        <v>0</v>
      </c>
    </row>
    <row r="35" spans="1:10" ht="15.75" hidden="1" thickBot="1" x14ac:dyDescent="0.3">
      <c r="A35" s="249"/>
      <c r="B35" s="251"/>
      <c r="C35" s="32" t="s">
        <v>23</v>
      </c>
      <c r="D35" s="32" t="s">
        <v>12</v>
      </c>
      <c r="E35" s="33">
        <v>0.7</v>
      </c>
      <c r="F35" s="27">
        <v>18.420500000000001</v>
      </c>
      <c r="G35" s="30">
        <f t="shared" si="0"/>
        <v>12.894349999999999</v>
      </c>
      <c r="H35" s="35">
        <f>SUM(G35:G35)</f>
        <v>12.894349999999999</v>
      </c>
      <c r="I35" s="36"/>
      <c r="J35" s="141">
        <v>0</v>
      </c>
    </row>
    <row r="36" spans="1:10" ht="15.75" hidden="1" thickBot="1" x14ac:dyDescent="0.3">
      <c r="A36" s="250"/>
      <c r="B36" s="235"/>
      <c r="C36" s="32"/>
      <c r="D36" s="32"/>
      <c r="E36" s="33"/>
      <c r="F36" s="27" t="s">
        <v>523</v>
      </c>
      <c r="G36" s="27" t="str">
        <f t="shared" si="0"/>
        <v/>
      </c>
      <c r="H36" s="31"/>
      <c r="I36" s="27"/>
      <c r="J36" s="141">
        <v>0</v>
      </c>
    </row>
    <row r="37" spans="1:10" ht="15.75" thickBot="1" x14ac:dyDescent="0.3">
      <c r="A37" s="225" t="s">
        <v>26</v>
      </c>
      <c r="B37" s="228" t="str">
        <f>INDEX(Orçamentária!A:B,MATCH(Composições!A37,Orçamentária!A:A,0),2)</f>
        <v>Demolição de fechamento ou parede em gesso acartonado</v>
      </c>
      <c r="C37" s="37"/>
      <c r="D37" s="22" t="str">
        <f>TRIM(INDEX(Orçamentária!C:C,MATCH(Composições!A37,Orçamentária!A:A,0),1))</f>
        <v>m2</v>
      </c>
      <c r="E37" s="23"/>
      <c r="F37" s="38" t="s">
        <v>523</v>
      </c>
      <c r="G37" s="24" t="str">
        <f t="shared" si="0"/>
        <v/>
      </c>
      <c r="H37" s="25"/>
      <c r="I37" s="26"/>
      <c r="J37" s="141">
        <v>42</v>
      </c>
    </row>
    <row r="38" spans="1:10" x14ac:dyDescent="0.25">
      <c r="A38" s="226"/>
      <c r="B38" s="244"/>
      <c r="C38" s="28"/>
      <c r="D38" s="28"/>
      <c r="E38" s="29"/>
      <c r="F38" s="39" t="s">
        <v>523</v>
      </c>
      <c r="G38" s="27" t="str">
        <f t="shared" si="0"/>
        <v/>
      </c>
      <c r="H38" s="31"/>
      <c r="I38" s="27"/>
      <c r="J38" s="141">
        <v>42</v>
      </c>
    </row>
    <row r="39" spans="1:10" x14ac:dyDescent="0.25">
      <c r="A39" s="226"/>
      <c r="B39" s="244"/>
      <c r="C39" s="32" t="s">
        <v>27</v>
      </c>
      <c r="D39" s="32" t="s">
        <v>12</v>
      </c>
      <c r="E39" s="33">
        <v>0.1186</v>
      </c>
      <c r="F39" s="27">
        <v>18.933499999999999</v>
      </c>
      <c r="G39" s="30">
        <f t="shared" si="0"/>
        <v>2.2455130999999997</v>
      </c>
      <c r="H39" s="35">
        <f>SUM(G39:G40)</f>
        <v>6.5356475500000002</v>
      </c>
      <c r="I39" s="36"/>
      <c r="J39" s="141">
        <v>42</v>
      </c>
    </row>
    <row r="40" spans="1:10" x14ac:dyDescent="0.25">
      <c r="A40" s="226"/>
      <c r="B40" s="244"/>
      <c r="C40" s="32" t="s">
        <v>23</v>
      </c>
      <c r="D40" s="32" t="s">
        <v>12</v>
      </c>
      <c r="E40" s="33">
        <v>0.2329</v>
      </c>
      <c r="F40" s="27">
        <v>18.420500000000001</v>
      </c>
      <c r="G40" s="30">
        <f t="shared" si="0"/>
        <v>4.29013445</v>
      </c>
      <c r="H40" s="41"/>
      <c r="I40" s="42"/>
      <c r="J40" s="141">
        <v>42</v>
      </c>
    </row>
    <row r="41" spans="1:10" ht="15.75" thickBot="1" x14ac:dyDescent="0.3">
      <c r="A41" s="227"/>
      <c r="B41" s="230"/>
      <c r="C41" s="32"/>
      <c r="D41" s="32"/>
      <c r="E41" s="33"/>
      <c r="F41" s="27" t="s">
        <v>523</v>
      </c>
      <c r="G41" s="27" t="str">
        <f t="shared" si="0"/>
        <v/>
      </c>
      <c r="H41" s="31"/>
      <c r="I41" s="27"/>
      <c r="J41" s="141">
        <v>42</v>
      </c>
    </row>
    <row r="42" spans="1:10" ht="15.75" thickBot="1" x14ac:dyDescent="0.3">
      <c r="A42" s="225" t="s">
        <v>28</v>
      </c>
      <c r="B42" s="228" t="str">
        <f>INDEX(Orçamentária!A:B,MATCH(Composições!A42,Orçamentária!A:A,0),2)</f>
        <v>Demolição de forro</v>
      </c>
      <c r="C42" s="37"/>
      <c r="D42" s="22" t="str">
        <f>TRIM(INDEX(Orçamentária!C:C,MATCH(Composições!A42,Orçamentária!A:A,0),1))</f>
        <v>m2</v>
      </c>
      <c r="E42" s="23"/>
      <c r="F42" s="38" t="s">
        <v>523</v>
      </c>
      <c r="G42" s="24" t="str">
        <f t="shared" si="0"/>
        <v/>
      </c>
      <c r="H42" s="25"/>
      <c r="I42" s="26"/>
      <c r="J42" s="141">
        <v>13.5</v>
      </c>
    </row>
    <row r="43" spans="1:10" x14ac:dyDescent="0.25">
      <c r="A43" s="226"/>
      <c r="B43" s="244"/>
      <c r="C43" s="28"/>
      <c r="D43" s="28"/>
      <c r="E43" s="29"/>
      <c r="F43" s="39" t="s">
        <v>523</v>
      </c>
      <c r="G43" s="27" t="str">
        <f t="shared" si="0"/>
        <v/>
      </c>
      <c r="H43" s="31"/>
      <c r="I43" s="27"/>
      <c r="J43" s="141">
        <v>13.5</v>
      </c>
    </row>
    <row r="44" spans="1:10" x14ac:dyDescent="0.25">
      <c r="A44" s="226"/>
      <c r="B44" s="244"/>
      <c r="C44" s="32" t="s">
        <v>27</v>
      </c>
      <c r="D44" s="32" t="s">
        <v>12</v>
      </c>
      <c r="E44" s="33">
        <v>2.58E-2</v>
      </c>
      <c r="F44" s="27">
        <v>18.933499999999999</v>
      </c>
      <c r="G44" s="30">
        <f t="shared" si="0"/>
        <v>0.48848429999999998</v>
      </c>
      <c r="H44" s="35">
        <f>SUM(G44:G45)</f>
        <v>1.4224036500000001</v>
      </c>
      <c r="I44" s="36"/>
      <c r="J44" s="141">
        <v>13.5</v>
      </c>
    </row>
    <row r="45" spans="1:10" x14ac:dyDescent="0.25">
      <c r="A45" s="226"/>
      <c r="B45" s="244"/>
      <c r="C45" s="32" t="s">
        <v>23</v>
      </c>
      <c r="D45" s="32" t="s">
        <v>12</v>
      </c>
      <c r="E45" s="33">
        <v>5.0700000000000002E-2</v>
      </c>
      <c r="F45" s="27">
        <v>18.420500000000001</v>
      </c>
      <c r="G45" s="30">
        <f t="shared" si="0"/>
        <v>0.93391935000000004</v>
      </c>
      <c r="H45" s="31"/>
      <c r="I45" s="27"/>
      <c r="J45" s="141">
        <v>13.5</v>
      </c>
    </row>
    <row r="46" spans="1:10" ht="15.75" thickBot="1" x14ac:dyDescent="0.3">
      <c r="A46" s="227"/>
      <c r="B46" s="230"/>
      <c r="C46" s="32"/>
      <c r="D46" s="32"/>
      <c r="E46" s="33"/>
      <c r="F46" s="27" t="s">
        <v>523</v>
      </c>
      <c r="G46" s="27" t="str">
        <f t="shared" si="0"/>
        <v/>
      </c>
      <c r="H46" s="31"/>
      <c r="I46" s="27"/>
      <c r="J46" s="141">
        <v>13.5</v>
      </c>
    </row>
    <row r="47" spans="1:10" ht="15.75" hidden="1" thickBot="1" x14ac:dyDescent="0.3">
      <c r="A47" s="225" t="s">
        <v>29</v>
      </c>
      <c r="B47" s="228" t="str">
        <f>INDEX(Orçamentária!A:B,MATCH(Composições!A47,Orçamentária!A:A,0),2)</f>
        <v>Demolição de infraestrutura elétrica (eletrodutos, eletrocalhas, cabos)</v>
      </c>
      <c r="C47" s="37"/>
      <c r="D47" s="22" t="str">
        <f>TRIM(INDEX(Orçamentária!C:C,MATCH(Composições!A47,Orçamentária!A:A,0),1))</f>
        <v>m</v>
      </c>
      <c r="E47" s="23"/>
      <c r="F47" s="38" t="s">
        <v>523</v>
      </c>
      <c r="G47" s="24" t="str">
        <f t="shared" si="0"/>
        <v/>
      </c>
      <c r="H47" s="25"/>
      <c r="I47" s="26"/>
      <c r="J47" s="141">
        <v>0</v>
      </c>
    </row>
    <row r="48" spans="1:10" ht="15.75" hidden="1" thickBot="1" x14ac:dyDescent="0.3">
      <c r="A48" s="226"/>
      <c r="B48" s="244"/>
      <c r="C48" s="28"/>
      <c r="D48" s="28"/>
      <c r="E48" s="29"/>
      <c r="F48" s="39" t="s">
        <v>523</v>
      </c>
      <c r="G48" s="27" t="str">
        <f t="shared" si="0"/>
        <v/>
      </c>
      <c r="H48" s="31"/>
      <c r="I48" s="27"/>
      <c r="J48" s="141">
        <v>0</v>
      </c>
    </row>
    <row r="49" spans="1:10" ht="15.75" hidden="1" thickBot="1" x14ac:dyDescent="0.3">
      <c r="A49" s="226"/>
      <c r="B49" s="244"/>
      <c r="C49" s="32" t="s">
        <v>30</v>
      </c>
      <c r="D49" s="32" t="s">
        <v>12</v>
      </c>
      <c r="E49" s="33">
        <f>ROUND(0.0096*5,4)</f>
        <v>4.8000000000000001E-2</v>
      </c>
      <c r="F49" s="27">
        <v>25.146499999999996</v>
      </c>
      <c r="G49" s="30">
        <f t="shared" si="0"/>
        <v>1.2070319999999999</v>
      </c>
      <c r="H49" s="35">
        <f>SUM(G49:G50)</f>
        <v>2.9385589999999997</v>
      </c>
      <c r="I49" s="36"/>
      <c r="J49" s="141">
        <v>0</v>
      </c>
    </row>
    <row r="50" spans="1:10" ht="15.75" hidden="1" thickBot="1" x14ac:dyDescent="0.3">
      <c r="A50" s="226"/>
      <c r="B50" s="244"/>
      <c r="C50" s="32" t="s">
        <v>23</v>
      </c>
      <c r="D50" s="32" t="s">
        <v>12</v>
      </c>
      <c r="E50" s="33">
        <f>ROUND(0.0188*5,4)</f>
        <v>9.4E-2</v>
      </c>
      <c r="F50" s="27">
        <v>18.420500000000001</v>
      </c>
      <c r="G50" s="30">
        <f t="shared" si="0"/>
        <v>1.731527</v>
      </c>
      <c r="H50" s="31"/>
      <c r="I50" s="27"/>
      <c r="J50" s="141">
        <v>0</v>
      </c>
    </row>
    <row r="51" spans="1:10" ht="15.75" hidden="1" thickBot="1" x14ac:dyDescent="0.3">
      <c r="A51" s="227"/>
      <c r="B51" s="230"/>
      <c r="C51" s="32"/>
      <c r="D51" s="32"/>
      <c r="E51" s="33"/>
      <c r="F51" s="27" t="s">
        <v>523</v>
      </c>
      <c r="G51" s="27" t="str">
        <f t="shared" si="0"/>
        <v/>
      </c>
      <c r="H51" s="31"/>
      <c r="I51" s="27"/>
      <c r="J51" s="141">
        <v>0</v>
      </c>
    </row>
    <row r="52" spans="1:10" ht="15.75" hidden="1" thickBot="1" x14ac:dyDescent="0.3">
      <c r="A52" s="225" t="s">
        <v>31</v>
      </c>
      <c r="B52" s="228" t="str">
        <f>INDEX(Orçamentária!A:B,MATCH(Composições!A52,Orçamentária!A:A,0),2)</f>
        <v>Demolição de revestimento cerâmico, granito, mármore ou granitina</v>
      </c>
      <c r="C52" s="37"/>
      <c r="D52" s="22" t="str">
        <f>TRIM(INDEX(Orçamentária!C:C,MATCH(Composições!A52,Orçamentária!A:A,0),1))</f>
        <v>m2</v>
      </c>
      <c r="E52" s="23"/>
      <c r="F52" s="38" t="s">
        <v>523</v>
      </c>
      <c r="G52" s="24" t="str">
        <f t="shared" si="0"/>
        <v/>
      </c>
      <c r="H52" s="25"/>
      <c r="I52" s="26"/>
      <c r="J52" s="141">
        <v>0</v>
      </c>
    </row>
    <row r="53" spans="1:10" ht="15.75" hidden="1" thickBot="1" x14ac:dyDescent="0.3">
      <c r="A53" s="226"/>
      <c r="B53" s="244"/>
      <c r="C53" s="28"/>
      <c r="D53" s="28"/>
      <c r="E53" s="29"/>
      <c r="F53" s="39" t="s">
        <v>523</v>
      </c>
      <c r="G53" s="27" t="str">
        <f t="shared" si="0"/>
        <v/>
      </c>
      <c r="H53" s="31"/>
      <c r="I53" s="27"/>
      <c r="J53" s="141">
        <v>0</v>
      </c>
    </row>
    <row r="54" spans="1:10" ht="26.25" hidden="1" thickBot="1" x14ac:dyDescent="0.3">
      <c r="A54" s="226"/>
      <c r="B54" s="244"/>
      <c r="C54" s="32" t="s">
        <v>32</v>
      </c>
      <c r="D54" s="32" t="s">
        <v>33</v>
      </c>
      <c r="E54" s="33">
        <v>6.9900000000000004E-2</v>
      </c>
      <c r="F54" s="30">
        <v>22.229999999999997</v>
      </c>
      <c r="G54" s="30">
        <f t="shared" si="0"/>
        <v>1.553877</v>
      </c>
      <c r="H54" s="35">
        <f>SUM(G54:G57)</f>
        <v>10.6517021</v>
      </c>
      <c r="I54" s="36"/>
      <c r="J54" s="141">
        <v>0</v>
      </c>
    </row>
    <row r="55" spans="1:10" ht="26.25" hidden="1" thickBot="1" x14ac:dyDescent="0.3">
      <c r="A55" s="226"/>
      <c r="B55" s="244"/>
      <c r="C55" s="32" t="s">
        <v>34</v>
      </c>
      <c r="D55" s="32" t="s">
        <v>35</v>
      </c>
      <c r="E55" s="33">
        <v>4.82E-2</v>
      </c>
      <c r="F55" s="30">
        <v>20.9</v>
      </c>
      <c r="G55" s="30">
        <f t="shared" si="0"/>
        <v>1.0073799999999999</v>
      </c>
      <c r="H55" s="31"/>
      <c r="I55" s="27"/>
      <c r="J55" s="141">
        <v>0</v>
      </c>
    </row>
    <row r="56" spans="1:10" ht="15.75" hidden="1" thickBot="1" x14ac:dyDescent="0.3">
      <c r="A56" s="226"/>
      <c r="B56" s="244"/>
      <c r="C56" s="32" t="s">
        <v>36</v>
      </c>
      <c r="D56" s="32" t="s">
        <v>12</v>
      </c>
      <c r="E56" s="33">
        <v>0.1055</v>
      </c>
      <c r="F56" s="27">
        <v>24.795000000000002</v>
      </c>
      <c r="G56" s="30">
        <f t="shared" si="0"/>
        <v>2.6158725</v>
      </c>
      <c r="H56" s="31"/>
      <c r="I56" s="27"/>
      <c r="J56" s="141">
        <v>0</v>
      </c>
    </row>
    <row r="57" spans="1:10" ht="15.75" hidden="1" thickBot="1" x14ac:dyDescent="0.3">
      <c r="A57" s="226"/>
      <c r="B57" s="244"/>
      <c r="C57" s="32" t="s">
        <v>23</v>
      </c>
      <c r="D57" s="32" t="s">
        <v>12</v>
      </c>
      <c r="E57" s="33">
        <v>0.29720000000000002</v>
      </c>
      <c r="F57" s="27">
        <v>18.420500000000001</v>
      </c>
      <c r="G57" s="30">
        <f t="shared" si="0"/>
        <v>5.4745726000000001</v>
      </c>
      <c r="H57" s="31"/>
      <c r="I57" s="27"/>
      <c r="J57" s="141">
        <v>0</v>
      </c>
    </row>
    <row r="58" spans="1:10" ht="15.75" hidden="1" thickBot="1" x14ac:dyDescent="0.3">
      <c r="A58" s="227"/>
      <c r="B58" s="230"/>
      <c r="C58" s="32"/>
      <c r="D58" s="32"/>
      <c r="E58" s="33"/>
      <c r="F58" s="27" t="s">
        <v>523</v>
      </c>
      <c r="G58" s="27" t="str">
        <f t="shared" si="0"/>
        <v/>
      </c>
      <c r="H58" s="31"/>
      <c r="I58" s="27"/>
      <c r="J58" s="141">
        <v>0</v>
      </c>
    </row>
    <row r="59" spans="1:10" ht="15.75" hidden="1" thickBot="1" x14ac:dyDescent="0.3">
      <c r="A59" s="225" t="s">
        <v>37</v>
      </c>
      <c r="B59" s="228" t="str">
        <f>INDEX(Orçamentária!A:B,MATCH(Composições!A59,Orçamentária!A:A,0),2)</f>
        <v>Demolição de revestimento em argamassa</v>
      </c>
      <c r="C59" s="37"/>
      <c r="D59" s="22" t="str">
        <f>TRIM(INDEX(Orçamentária!C:C,MATCH(Composições!A59,Orçamentária!A:A,0),1))</f>
        <v>m2</v>
      </c>
      <c r="E59" s="23"/>
      <c r="F59" s="38" t="s">
        <v>523</v>
      </c>
      <c r="G59" s="24" t="str">
        <f t="shared" si="0"/>
        <v/>
      </c>
      <c r="H59" s="25"/>
      <c r="I59" s="26"/>
      <c r="J59" s="141">
        <v>0</v>
      </c>
    </row>
    <row r="60" spans="1:10" ht="15.75" hidden="1" thickBot="1" x14ac:dyDescent="0.3">
      <c r="A60" s="226"/>
      <c r="B60" s="244"/>
      <c r="C60" s="28"/>
      <c r="D60" s="28"/>
      <c r="E60" s="29"/>
      <c r="F60" s="39" t="s">
        <v>523</v>
      </c>
      <c r="G60" s="27" t="str">
        <f t="shared" si="0"/>
        <v/>
      </c>
      <c r="H60" s="31"/>
      <c r="I60" s="27"/>
      <c r="J60" s="141">
        <v>0</v>
      </c>
    </row>
    <row r="61" spans="1:10" ht="15.75" hidden="1" thickBot="1" x14ac:dyDescent="0.3">
      <c r="A61" s="226"/>
      <c r="B61" s="244"/>
      <c r="C61" s="32" t="s">
        <v>22</v>
      </c>
      <c r="D61" s="32" t="s">
        <v>12</v>
      </c>
      <c r="E61" s="33">
        <v>3.7400000000000003E-2</v>
      </c>
      <c r="F61" s="27">
        <v>24.889999999999997</v>
      </c>
      <c r="G61" s="30">
        <f t="shared" si="0"/>
        <v>0.93088599999999999</v>
      </c>
      <c r="H61" s="35">
        <f>SUM(G61:G62)</f>
        <v>2.8705646499999999</v>
      </c>
      <c r="I61" s="36"/>
      <c r="J61" s="141">
        <v>0</v>
      </c>
    </row>
    <row r="62" spans="1:10" ht="15.75" hidden="1" thickBot="1" x14ac:dyDescent="0.3">
      <c r="A62" s="226"/>
      <c r="B62" s="244"/>
      <c r="C62" s="32" t="s">
        <v>23</v>
      </c>
      <c r="D62" s="32" t="s">
        <v>12</v>
      </c>
      <c r="E62" s="33">
        <v>0.1053</v>
      </c>
      <c r="F62" s="27">
        <v>18.420500000000001</v>
      </c>
      <c r="G62" s="30">
        <f t="shared" si="0"/>
        <v>1.9396786500000001</v>
      </c>
      <c r="H62" s="31"/>
      <c r="I62" s="27"/>
      <c r="J62" s="141">
        <v>0</v>
      </c>
    </row>
    <row r="63" spans="1:10" ht="15.75" hidden="1" thickBot="1" x14ac:dyDescent="0.3">
      <c r="A63" s="227"/>
      <c r="B63" s="230"/>
      <c r="C63" s="32"/>
      <c r="D63" s="32"/>
      <c r="E63" s="33"/>
      <c r="F63" s="27" t="s">
        <v>523</v>
      </c>
      <c r="G63" s="27" t="str">
        <f t="shared" si="0"/>
        <v/>
      </c>
      <c r="H63" s="31"/>
      <c r="I63" s="27"/>
      <c r="J63" s="141">
        <v>0</v>
      </c>
    </row>
    <row r="64" spans="1:10" ht="15.75" hidden="1" thickBot="1" x14ac:dyDescent="0.3">
      <c r="A64" s="225" t="s">
        <v>38</v>
      </c>
      <c r="B64" s="228" t="str">
        <f>INDEX(Orçamentária!A:B,MATCH(Composições!A64,Orçamentária!A:A,0),2)</f>
        <v>Demolição de tubulação hidrossanitária embutida com conexões e acessórios</v>
      </c>
      <c r="C64" s="37"/>
      <c r="D64" s="22" t="str">
        <f>TRIM(INDEX(Orçamentária!C:C,MATCH(Composições!A64,Orçamentária!A:A,0),1))</f>
        <v>m</v>
      </c>
      <c r="E64" s="23"/>
      <c r="F64" s="38" t="s">
        <v>523</v>
      </c>
      <c r="G64" s="24" t="str">
        <f t="shared" si="0"/>
        <v/>
      </c>
      <c r="H64" s="25"/>
      <c r="I64" s="26"/>
      <c r="J64" s="141">
        <v>0</v>
      </c>
    </row>
    <row r="65" spans="1:10" ht="15.75" hidden="1" thickBot="1" x14ac:dyDescent="0.3">
      <c r="A65" s="226"/>
      <c r="B65" s="244"/>
      <c r="C65" s="28"/>
      <c r="D65" s="28"/>
      <c r="E65" s="29"/>
      <c r="F65" s="39" t="s">
        <v>523</v>
      </c>
      <c r="G65" s="27" t="str">
        <f t="shared" si="0"/>
        <v/>
      </c>
      <c r="H65" s="31"/>
      <c r="I65" s="27"/>
      <c r="J65" s="141">
        <v>0</v>
      </c>
    </row>
    <row r="66" spans="1:10" ht="15.75" hidden="1" thickBot="1" x14ac:dyDescent="0.3">
      <c r="A66" s="226"/>
      <c r="B66" s="244"/>
      <c r="C66" s="32" t="s">
        <v>39</v>
      </c>
      <c r="D66" s="43" t="s">
        <v>12</v>
      </c>
      <c r="E66" s="33">
        <v>7.1000000000000004E-3</v>
      </c>
      <c r="F66" s="27">
        <v>24.300999999999998</v>
      </c>
      <c r="G66" s="30">
        <f t="shared" si="0"/>
        <v>0.1725371</v>
      </c>
      <c r="H66" s="35">
        <f>SUM(G66:G67)</f>
        <v>0.43042410000000003</v>
      </c>
      <c r="I66" s="36"/>
      <c r="J66" s="141">
        <v>0</v>
      </c>
    </row>
    <row r="67" spans="1:10" ht="15.75" hidden="1" thickBot="1" x14ac:dyDescent="0.3">
      <c r="A67" s="226"/>
      <c r="B67" s="244"/>
      <c r="C67" s="32" t="s">
        <v>23</v>
      </c>
      <c r="D67" s="43" t="s">
        <v>12</v>
      </c>
      <c r="E67" s="33">
        <v>1.4E-2</v>
      </c>
      <c r="F67" s="27">
        <v>18.420500000000001</v>
      </c>
      <c r="G67" s="30">
        <f t="shared" si="0"/>
        <v>0.25788700000000003</v>
      </c>
      <c r="H67" s="31"/>
      <c r="I67" s="27"/>
      <c r="J67" s="141">
        <v>0</v>
      </c>
    </row>
    <row r="68" spans="1:10" ht="15.75" hidden="1" thickBot="1" x14ac:dyDescent="0.3">
      <c r="A68" s="227"/>
      <c r="B68" s="230"/>
      <c r="C68" s="32"/>
      <c r="D68" s="32"/>
      <c r="E68" s="33"/>
      <c r="F68" s="27" t="s">
        <v>523</v>
      </c>
      <c r="G68" s="27" t="str">
        <f t="shared" si="0"/>
        <v/>
      </c>
      <c r="H68" s="31"/>
      <c r="I68" s="27"/>
      <c r="J68" s="141">
        <v>0</v>
      </c>
    </row>
    <row r="69" spans="1:10" ht="15.75" hidden="1" thickBot="1" x14ac:dyDescent="0.3">
      <c r="A69" s="225" t="s">
        <v>40</v>
      </c>
      <c r="B69" s="228" t="str">
        <f>INDEX(Orçamentária!A:B,MATCH(Composições!A69,Orçamentária!A:A,0),2)</f>
        <v>Demolição em concreto armado</v>
      </c>
      <c r="C69" s="37"/>
      <c r="D69" s="22" t="str">
        <f>TRIM(INDEX(Orçamentária!C:C,MATCH(Composições!A69,Orçamentária!A:A,0),1))</f>
        <v>m3</v>
      </c>
      <c r="E69" s="23"/>
      <c r="F69" s="38" t="s">
        <v>523</v>
      </c>
      <c r="G69" s="24" t="str">
        <f t="shared" si="0"/>
        <v/>
      </c>
      <c r="H69" s="25"/>
      <c r="I69" s="26"/>
      <c r="J69" s="141">
        <v>0</v>
      </c>
    </row>
    <row r="70" spans="1:10" ht="15.75" hidden="1" thickBot="1" x14ac:dyDescent="0.3">
      <c r="A70" s="226"/>
      <c r="B70" s="244"/>
      <c r="C70" s="28"/>
      <c r="D70" s="28"/>
      <c r="E70" s="29"/>
      <c r="F70" s="39" t="s">
        <v>523</v>
      </c>
      <c r="G70" s="27" t="str">
        <f t="shared" ref="G70:G133" si="1">IF(ISNUMBER(F70),E70*F70,"")</f>
        <v/>
      </c>
      <c r="H70" s="31"/>
      <c r="I70" s="27"/>
      <c r="J70" s="141">
        <v>0</v>
      </c>
    </row>
    <row r="71" spans="1:10" ht="26.25" hidden="1" thickBot="1" x14ac:dyDescent="0.3">
      <c r="A71" s="226"/>
      <c r="B71" s="244"/>
      <c r="C71" s="32" t="s">
        <v>32</v>
      </c>
      <c r="D71" s="32" t="s">
        <v>33</v>
      </c>
      <c r="E71" s="33">
        <v>3.2467999999999999</v>
      </c>
      <c r="F71" s="30">
        <v>22.229999999999997</v>
      </c>
      <c r="G71" s="30">
        <f t="shared" si="1"/>
        <v>72.176363999999992</v>
      </c>
      <c r="H71" s="35">
        <f>SUM(G71:G75)</f>
        <v>248.71025649999999</v>
      </c>
      <c r="I71" s="36"/>
      <c r="J71" s="141">
        <v>0</v>
      </c>
    </row>
    <row r="72" spans="1:10" ht="26.25" hidden="1" thickBot="1" x14ac:dyDescent="0.3">
      <c r="A72" s="226"/>
      <c r="B72" s="244"/>
      <c r="C72" s="32" t="s">
        <v>34</v>
      </c>
      <c r="D72" s="32" t="s">
        <v>35</v>
      </c>
      <c r="E72" s="33">
        <v>0.92020000000000002</v>
      </c>
      <c r="F72" s="30">
        <v>20.9</v>
      </c>
      <c r="G72" s="30">
        <f t="shared" si="1"/>
        <v>19.23218</v>
      </c>
      <c r="H72" s="31"/>
      <c r="I72" s="27"/>
      <c r="J72" s="141">
        <v>0</v>
      </c>
    </row>
    <row r="73" spans="1:10" ht="26.25" hidden="1" thickBot="1" x14ac:dyDescent="0.3">
      <c r="A73" s="226"/>
      <c r="B73" s="244"/>
      <c r="C73" s="32" t="s">
        <v>41</v>
      </c>
      <c r="D73" s="32" t="s">
        <v>42</v>
      </c>
      <c r="E73" s="33">
        <v>0.28349999999999997</v>
      </c>
      <c r="F73" s="30">
        <v>71.525500000000008</v>
      </c>
      <c r="G73" s="27">
        <f t="shared" si="1"/>
        <v>20.277479249999999</v>
      </c>
      <c r="H73" s="31"/>
      <c r="I73" s="27"/>
      <c r="J73" s="141">
        <v>0</v>
      </c>
    </row>
    <row r="74" spans="1:10" ht="15.75" hidden="1" thickBot="1" x14ac:dyDescent="0.3">
      <c r="A74" s="226"/>
      <c r="B74" s="244"/>
      <c r="C74" s="32" t="s">
        <v>22</v>
      </c>
      <c r="D74" s="32" t="s">
        <v>12</v>
      </c>
      <c r="E74" s="33">
        <v>0.63660000000000005</v>
      </c>
      <c r="F74" s="27">
        <v>24.889999999999997</v>
      </c>
      <c r="G74" s="30">
        <f t="shared" si="1"/>
        <v>15.844973999999999</v>
      </c>
      <c r="H74" s="31"/>
      <c r="I74" s="27"/>
      <c r="J74" s="141">
        <v>0</v>
      </c>
    </row>
    <row r="75" spans="1:10" ht="15.75" hidden="1" thickBot="1" x14ac:dyDescent="0.3">
      <c r="A75" s="226"/>
      <c r="B75" s="244"/>
      <c r="C75" s="32" t="s">
        <v>23</v>
      </c>
      <c r="D75" s="32" t="s">
        <v>12</v>
      </c>
      <c r="E75" s="33">
        <v>6.5785</v>
      </c>
      <c r="F75" s="27">
        <v>18.420500000000001</v>
      </c>
      <c r="G75" s="30">
        <f t="shared" si="1"/>
        <v>121.17925925</v>
      </c>
      <c r="H75" s="31"/>
      <c r="I75" s="27"/>
      <c r="J75" s="141">
        <v>0</v>
      </c>
    </row>
    <row r="76" spans="1:10" ht="15.75" hidden="1" thickBot="1" x14ac:dyDescent="0.3">
      <c r="A76" s="227"/>
      <c r="B76" s="230"/>
      <c r="C76" s="32"/>
      <c r="D76" s="32"/>
      <c r="E76" s="33"/>
      <c r="F76" s="27" t="s">
        <v>523</v>
      </c>
      <c r="G76" s="27" t="str">
        <f t="shared" si="1"/>
        <v/>
      </c>
      <c r="H76" s="31"/>
      <c r="I76" s="27"/>
      <c r="J76" s="141">
        <v>0</v>
      </c>
    </row>
    <row r="77" spans="1:10" ht="15.75" hidden="1" thickBot="1" x14ac:dyDescent="0.3">
      <c r="A77" s="246" t="s">
        <v>43</v>
      </c>
      <c r="B77" s="228" t="str">
        <f>INDEX(Orçamentária!A:B,MATCH(Composições!A77,Orçamentária!A:A,0),2)</f>
        <v>Remoção de armários</v>
      </c>
      <c r="C77" s="37"/>
      <c r="D77" s="22" t="str">
        <f>TRIM(INDEX(Orçamentária!C:C,MATCH(Composições!A77,Orçamentária!A:A,0),1))</f>
        <v>m2</v>
      </c>
      <c r="E77" s="23"/>
      <c r="F77" s="38" t="s">
        <v>523</v>
      </c>
      <c r="G77" s="24" t="str">
        <f t="shared" si="1"/>
        <v/>
      </c>
      <c r="H77" s="25"/>
      <c r="I77" s="26"/>
      <c r="J77" s="141">
        <v>0</v>
      </c>
    </row>
    <row r="78" spans="1:10" ht="15.75" hidden="1" thickBot="1" x14ac:dyDescent="0.3">
      <c r="A78" s="247"/>
      <c r="B78" s="244"/>
      <c r="C78" s="28"/>
      <c r="D78" s="28"/>
      <c r="E78" s="29"/>
      <c r="F78" s="39" t="s">
        <v>523</v>
      </c>
      <c r="G78" s="27" t="str">
        <f t="shared" si="1"/>
        <v/>
      </c>
      <c r="H78" s="31"/>
      <c r="I78" s="27"/>
      <c r="J78" s="141">
        <v>0</v>
      </c>
    </row>
    <row r="79" spans="1:10" ht="15.75" hidden="1" thickBot="1" x14ac:dyDescent="0.3">
      <c r="A79" s="247"/>
      <c r="B79" s="244"/>
      <c r="C79" s="32" t="s">
        <v>44</v>
      </c>
      <c r="D79" s="32" t="s">
        <v>12</v>
      </c>
      <c r="E79" s="33">
        <v>0.35</v>
      </c>
      <c r="F79" s="27">
        <v>23.616999999999997</v>
      </c>
      <c r="G79" s="30">
        <f t="shared" si="1"/>
        <v>8.2659499999999984</v>
      </c>
      <c r="H79" s="35">
        <f>SUM(G79:G80)</f>
        <v>14.713124999999998</v>
      </c>
      <c r="I79" s="36"/>
      <c r="J79" s="141">
        <v>0</v>
      </c>
    </row>
    <row r="80" spans="1:10" ht="15.75" hidden="1" thickBot="1" x14ac:dyDescent="0.3">
      <c r="A80" s="247"/>
      <c r="B80" s="244"/>
      <c r="C80" s="32" t="s">
        <v>23</v>
      </c>
      <c r="D80" s="32" t="s">
        <v>12</v>
      </c>
      <c r="E80" s="33">
        <v>0.35</v>
      </c>
      <c r="F80" s="27">
        <v>18.420500000000001</v>
      </c>
      <c r="G80" s="30">
        <f t="shared" si="1"/>
        <v>6.4471749999999997</v>
      </c>
      <c r="H80" s="41"/>
      <c r="I80" s="42"/>
      <c r="J80" s="141">
        <v>0</v>
      </c>
    </row>
    <row r="81" spans="1:10" ht="15.75" hidden="1" thickBot="1" x14ac:dyDescent="0.3">
      <c r="A81" s="247"/>
      <c r="B81" s="244"/>
      <c r="C81" s="32"/>
      <c r="D81" s="32"/>
      <c r="E81" s="33"/>
      <c r="F81" s="27" t="s">
        <v>523</v>
      </c>
      <c r="G81" s="27" t="str">
        <f t="shared" si="1"/>
        <v/>
      </c>
      <c r="H81" s="31"/>
      <c r="I81" s="27"/>
      <c r="J81" s="141">
        <v>0</v>
      </c>
    </row>
    <row r="82" spans="1:10" ht="15.75" hidden="1" thickBot="1" x14ac:dyDescent="0.3">
      <c r="A82" s="225" t="s">
        <v>45</v>
      </c>
      <c r="B82" s="228" t="str">
        <f>INDEX(Orçamentária!A:B,MATCH(Composições!A82,Orçamentária!A:A,0),2)</f>
        <v>Remoção de bancadas</v>
      </c>
      <c r="C82" s="37"/>
      <c r="D82" s="22" t="str">
        <f>TRIM(INDEX(Orçamentária!C:C,MATCH(Composições!A82,Orçamentária!A:A,0),1))</f>
        <v>m2</v>
      </c>
      <c r="E82" s="23"/>
      <c r="F82" s="38" t="s">
        <v>523</v>
      </c>
      <c r="G82" s="24" t="str">
        <f t="shared" si="1"/>
        <v/>
      </c>
      <c r="H82" s="25"/>
      <c r="I82" s="26"/>
      <c r="J82" s="141">
        <v>0</v>
      </c>
    </row>
    <row r="83" spans="1:10" ht="15.75" hidden="1" thickBot="1" x14ac:dyDescent="0.3">
      <c r="A83" s="226"/>
      <c r="B83" s="244"/>
      <c r="C83" s="28"/>
      <c r="D83" s="28"/>
      <c r="E83" s="29"/>
      <c r="F83" s="39" t="s">
        <v>523</v>
      </c>
      <c r="G83" s="27" t="str">
        <f t="shared" si="1"/>
        <v/>
      </c>
      <c r="H83" s="31"/>
      <c r="I83" s="27"/>
      <c r="J83" s="141">
        <v>0</v>
      </c>
    </row>
    <row r="84" spans="1:10" ht="15.75" hidden="1" thickBot="1" x14ac:dyDescent="0.3">
      <c r="A84" s="226"/>
      <c r="B84" s="244"/>
      <c r="C84" s="32" t="s">
        <v>22</v>
      </c>
      <c r="D84" s="32" t="s">
        <v>12</v>
      </c>
      <c r="E84" s="33">
        <v>0.15</v>
      </c>
      <c r="F84" s="27">
        <v>24.889999999999997</v>
      </c>
      <c r="G84" s="30">
        <f t="shared" si="1"/>
        <v>3.7334999999999994</v>
      </c>
      <c r="H84" s="35">
        <f>SUM(G84:G85)</f>
        <v>22.154</v>
      </c>
      <c r="I84" s="36"/>
      <c r="J84" s="141">
        <v>0</v>
      </c>
    </row>
    <row r="85" spans="1:10" ht="15.75" hidden="1" thickBot="1" x14ac:dyDescent="0.3">
      <c r="A85" s="226"/>
      <c r="B85" s="244"/>
      <c r="C85" s="32" t="s">
        <v>23</v>
      </c>
      <c r="D85" s="32" t="s">
        <v>12</v>
      </c>
      <c r="E85" s="33">
        <v>1</v>
      </c>
      <c r="F85" s="27">
        <v>18.420500000000001</v>
      </c>
      <c r="G85" s="30">
        <f t="shared" si="1"/>
        <v>18.420500000000001</v>
      </c>
      <c r="H85" s="31"/>
      <c r="I85" s="27"/>
      <c r="J85" s="141">
        <v>0</v>
      </c>
    </row>
    <row r="86" spans="1:10" ht="15.75" hidden="1" thickBot="1" x14ac:dyDescent="0.3">
      <c r="A86" s="227"/>
      <c r="B86" s="230"/>
      <c r="C86" s="32"/>
      <c r="D86" s="32"/>
      <c r="E86" s="33"/>
      <c r="F86" s="27" t="s">
        <v>523</v>
      </c>
      <c r="G86" s="27" t="str">
        <f t="shared" si="1"/>
        <v/>
      </c>
      <c r="H86" s="31"/>
      <c r="I86" s="27"/>
      <c r="J86" s="141">
        <v>0</v>
      </c>
    </row>
    <row r="87" spans="1:10" ht="15.75" hidden="1" thickBot="1" x14ac:dyDescent="0.3">
      <c r="A87" s="225" t="s">
        <v>46</v>
      </c>
      <c r="B87" s="228" t="str">
        <f>INDEX(Orçamentária!A:B,MATCH(Composições!A87,Orçamentária!A:A,0),2)</f>
        <v>Remoção de batentes de madeira</v>
      </c>
      <c r="C87" s="37"/>
      <c r="D87" s="22" t="str">
        <f>TRIM(INDEX(Orçamentária!C:C,MATCH(Composições!A87,Orçamentária!A:A,0),1))</f>
        <v>un</v>
      </c>
      <c r="E87" s="23"/>
      <c r="F87" s="38" t="s">
        <v>523</v>
      </c>
      <c r="G87" s="24" t="str">
        <f t="shared" si="1"/>
        <v/>
      </c>
      <c r="H87" s="25"/>
      <c r="I87" s="26"/>
      <c r="J87" s="141">
        <v>0</v>
      </c>
    </row>
    <row r="88" spans="1:10" ht="15.75" hidden="1" thickBot="1" x14ac:dyDescent="0.3">
      <c r="A88" s="226"/>
      <c r="B88" s="244"/>
      <c r="C88" s="28"/>
      <c r="D88" s="28"/>
      <c r="E88" s="29"/>
      <c r="F88" s="39" t="s">
        <v>523</v>
      </c>
      <c r="G88" s="27" t="str">
        <f t="shared" si="1"/>
        <v/>
      </c>
      <c r="H88" s="31"/>
      <c r="I88" s="27"/>
      <c r="J88" s="141">
        <v>0</v>
      </c>
    </row>
    <row r="89" spans="1:10" ht="15.75" hidden="1" thickBot="1" x14ac:dyDescent="0.3">
      <c r="A89" s="226"/>
      <c r="B89" s="244"/>
      <c r="C89" s="32" t="s">
        <v>22</v>
      </c>
      <c r="D89" s="32" t="s">
        <v>12</v>
      </c>
      <c r="E89" s="33">
        <f>0.08/2</f>
        <v>0.04</v>
      </c>
      <c r="F89" s="27">
        <v>24.889999999999997</v>
      </c>
      <c r="G89" s="30">
        <f t="shared" si="1"/>
        <v>0.99559999999999993</v>
      </c>
      <c r="H89" s="35">
        <f>SUM(G89:G90)</f>
        <v>8.3638000000000012</v>
      </c>
      <c r="I89" s="36"/>
      <c r="J89" s="141">
        <v>0</v>
      </c>
    </row>
    <row r="90" spans="1:10" ht="15.75" hidden="1" thickBot="1" x14ac:dyDescent="0.3">
      <c r="A90" s="226"/>
      <c r="B90" s="244"/>
      <c r="C90" s="32" t="s">
        <v>23</v>
      </c>
      <c r="D90" s="32" t="s">
        <v>12</v>
      </c>
      <c r="E90" s="33">
        <f>0.8/2</f>
        <v>0.4</v>
      </c>
      <c r="F90" s="27">
        <v>18.420500000000001</v>
      </c>
      <c r="G90" s="30">
        <f t="shared" si="1"/>
        <v>7.3682000000000007</v>
      </c>
      <c r="H90" s="31"/>
      <c r="I90" s="27"/>
      <c r="J90" s="141">
        <v>0</v>
      </c>
    </row>
    <row r="91" spans="1:10" ht="15.75" hidden="1" thickBot="1" x14ac:dyDescent="0.3">
      <c r="A91" s="226"/>
      <c r="B91" s="244"/>
      <c r="C91" s="32"/>
      <c r="D91" s="32"/>
      <c r="E91" s="33"/>
      <c r="F91" s="30" t="s">
        <v>523</v>
      </c>
      <c r="G91" s="30" t="str">
        <f t="shared" si="1"/>
        <v/>
      </c>
      <c r="H91" s="31"/>
      <c r="I91" s="27"/>
      <c r="J91" s="141">
        <v>0</v>
      </c>
    </row>
    <row r="92" spans="1:10" ht="15.75" hidden="1" thickBot="1" x14ac:dyDescent="0.3">
      <c r="A92" s="225" t="s">
        <v>47</v>
      </c>
      <c r="B92" s="228" t="str">
        <f>INDEX(Orçamentária!A:B,MATCH(Composições!A92,Orçamentária!A:A,0),2)</f>
        <v>Remoção de canaleta em alumínio</v>
      </c>
      <c r="C92" s="37"/>
      <c r="D92" s="22" t="str">
        <f>TRIM(INDEX(Orçamentária!C:C,MATCH(Composições!A92,Orçamentária!A:A,0),1))</f>
        <v>m</v>
      </c>
      <c r="E92" s="23"/>
      <c r="F92" s="38" t="s">
        <v>523</v>
      </c>
      <c r="G92" s="24" t="str">
        <f t="shared" si="1"/>
        <v/>
      </c>
      <c r="H92" s="25"/>
      <c r="I92" s="26"/>
      <c r="J92" s="141">
        <v>0</v>
      </c>
    </row>
    <row r="93" spans="1:10" ht="15.75" hidden="1" thickBot="1" x14ac:dyDescent="0.3">
      <c r="A93" s="226"/>
      <c r="B93" s="244"/>
      <c r="C93" s="28"/>
      <c r="D93" s="28"/>
      <c r="E93" s="29"/>
      <c r="F93" s="39" t="s">
        <v>523</v>
      </c>
      <c r="G93" s="27" t="str">
        <f t="shared" si="1"/>
        <v/>
      </c>
      <c r="H93" s="31"/>
      <c r="I93" s="27"/>
      <c r="J93" s="141">
        <v>0</v>
      </c>
    </row>
    <row r="94" spans="1:10" ht="15.75" hidden="1" thickBot="1" x14ac:dyDescent="0.3">
      <c r="A94" s="226"/>
      <c r="B94" s="244"/>
      <c r="C94" s="32" t="s">
        <v>30</v>
      </c>
      <c r="D94" s="43" t="s">
        <v>12</v>
      </c>
      <c r="E94" s="33">
        <f>0.75*0.1</f>
        <v>7.5000000000000011E-2</v>
      </c>
      <c r="F94" s="27">
        <v>25.146499999999996</v>
      </c>
      <c r="G94" s="30">
        <f t="shared" si="1"/>
        <v>1.8859874999999999</v>
      </c>
      <c r="H94" s="35">
        <f>SUM(G94:G95)</f>
        <v>4.6490625000000003</v>
      </c>
      <c r="I94" s="36"/>
      <c r="J94" s="141">
        <v>0</v>
      </c>
    </row>
    <row r="95" spans="1:10" ht="15.75" hidden="1" thickBot="1" x14ac:dyDescent="0.3">
      <c r="A95" s="226"/>
      <c r="B95" s="244"/>
      <c r="C95" s="32" t="s">
        <v>23</v>
      </c>
      <c r="D95" s="43" t="s">
        <v>12</v>
      </c>
      <c r="E95" s="33">
        <f>0.75*0.2</f>
        <v>0.15000000000000002</v>
      </c>
      <c r="F95" s="27">
        <v>18.420500000000001</v>
      </c>
      <c r="G95" s="30">
        <f t="shared" si="1"/>
        <v>2.7630750000000006</v>
      </c>
      <c r="H95" s="31"/>
      <c r="I95" s="27"/>
      <c r="J95" s="141">
        <v>0</v>
      </c>
    </row>
    <row r="96" spans="1:10" ht="15.75" hidden="1" thickBot="1" x14ac:dyDescent="0.3">
      <c r="A96" s="227"/>
      <c r="B96" s="230"/>
      <c r="C96" s="32"/>
      <c r="D96" s="32"/>
      <c r="E96" s="33"/>
      <c r="F96" s="27" t="s">
        <v>523</v>
      </c>
      <c r="G96" s="27" t="str">
        <f t="shared" si="1"/>
        <v/>
      </c>
      <c r="H96" s="31"/>
      <c r="I96" s="27"/>
      <c r="J96" s="141">
        <v>0</v>
      </c>
    </row>
    <row r="97" spans="1:10" ht="15.75" hidden="1" thickBot="1" x14ac:dyDescent="0.3">
      <c r="A97" s="225" t="s">
        <v>48</v>
      </c>
      <c r="B97" s="228" t="str">
        <f>INDEX(Orçamentária!A:B,MATCH(Composições!A97,Orçamentária!A:A,0),2)</f>
        <v>Remoção de carpete</v>
      </c>
      <c r="C97" s="37"/>
      <c r="D97" s="22" t="str">
        <f>TRIM(INDEX(Orçamentária!C:C,MATCH(Composições!A97,Orçamentária!A:A,0),1))</f>
        <v>m2</v>
      </c>
      <c r="E97" s="23"/>
      <c r="F97" s="38" t="s">
        <v>523</v>
      </c>
      <c r="G97" s="24" t="str">
        <f t="shared" si="1"/>
        <v/>
      </c>
      <c r="H97" s="25"/>
      <c r="I97" s="26"/>
      <c r="J97" s="141">
        <v>0</v>
      </c>
    </row>
    <row r="98" spans="1:10" ht="15.75" hidden="1" thickBot="1" x14ac:dyDescent="0.3">
      <c r="A98" s="226"/>
      <c r="B98" s="244"/>
      <c r="C98" s="28"/>
      <c r="D98" s="28"/>
      <c r="E98" s="29"/>
      <c r="F98" s="39" t="s">
        <v>523</v>
      </c>
      <c r="G98" s="27" t="str">
        <f t="shared" si="1"/>
        <v/>
      </c>
      <c r="H98" s="31"/>
      <c r="I98" s="27"/>
      <c r="J98" s="141">
        <v>0</v>
      </c>
    </row>
    <row r="99" spans="1:10" ht="15.75" hidden="1" thickBot="1" x14ac:dyDescent="0.3">
      <c r="A99" s="226"/>
      <c r="B99" s="244"/>
      <c r="C99" s="32" t="s">
        <v>22</v>
      </c>
      <c r="D99" s="32" t="s">
        <v>12</v>
      </c>
      <c r="E99" s="33">
        <v>0.01</v>
      </c>
      <c r="F99" s="27">
        <v>24.889999999999997</v>
      </c>
      <c r="G99" s="30">
        <f t="shared" si="1"/>
        <v>0.24889999999999998</v>
      </c>
      <c r="H99" s="35">
        <f>SUM(G99:G100)</f>
        <v>2.0909500000000003</v>
      </c>
      <c r="I99" s="36"/>
      <c r="J99" s="141">
        <v>0</v>
      </c>
    </row>
    <row r="100" spans="1:10" ht="15.75" hidden="1" thickBot="1" x14ac:dyDescent="0.3">
      <c r="A100" s="226"/>
      <c r="B100" s="244"/>
      <c r="C100" s="32" t="s">
        <v>23</v>
      </c>
      <c r="D100" s="32" t="s">
        <v>12</v>
      </c>
      <c r="E100" s="33">
        <v>0.1</v>
      </c>
      <c r="F100" s="27">
        <v>18.420500000000001</v>
      </c>
      <c r="G100" s="30">
        <f t="shared" si="1"/>
        <v>1.8420500000000002</v>
      </c>
      <c r="H100" s="31"/>
      <c r="I100" s="27"/>
      <c r="J100" s="141">
        <v>0</v>
      </c>
    </row>
    <row r="101" spans="1:10" ht="15.75" hidden="1" thickBot="1" x14ac:dyDescent="0.3">
      <c r="A101" s="227"/>
      <c r="B101" s="230"/>
      <c r="C101" s="32"/>
      <c r="D101" s="32"/>
      <c r="E101" s="33"/>
      <c r="F101" s="27" t="s">
        <v>523</v>
      </c>
      <c r="G101" s="27" t="str">
        <f t="shared" si="1"/>
        <v/>
      </c>
      <c r="H101" s="31"/>
      <c r="I101" s="27"/>
      <c r="J101" s="141">
        <v>0</v>
      </c>
    </row>
    <row r="102" spans="1:10" ht="15.75" hidden="1" thickBot="1" x14ac:dyDescent="0.3">
      <c r="A102" s="225" t="s">
        <v>49</v>
      </c>
      <c r="B102" s="228" t="str">
        <f>INDEX(Orçamentária!A:B,MATCH(Composições!A102,Orçamentária!A:A,0),2)</f>
        <v>Remoção de cortinas</v>
      </c>
      <c r="C102" s="37"/>
      <c r="D102" s="22" t="str">
        <f>TRIM(INDEX(Orçamentária!C:C,MATCH(Composições!A102,Orçamentária!A:A,0),1))</f>
        <v>m</v>
      </c>
      <c r="E102" s="23"/>
      <c r="F102" s="38" t="s">
        <v>523</v>
      </c>
      <c r="G102" s="24" t="str">
        <f t="shared" si="1"/>
        <v/>
      </c>
      <c r="H102" s="25"/>
      <c r="I102" s="26"/>
      <c r="J102" s="141">
        <v>0</v>
      </c>
    </row>
    <row r="103" spans="1:10" ht="15.75" hidden="1" thickBot="1" x14ac:dyDescent="0.3">
      <c r="A103" s="226"/>
      <c r="B103" s="244"/>
      <c r="C103" s="28"/>
      <c r="D103" s="28"/>
      <c r="E103" s="29"/>
      <c r="F103" s="39" t="s">
        <v>523</v>
      </c>
      <c r="G103" s="27" t="str">
        <f t="shared" si="1"/>
        <v/>
      </c>
      <c r="H103" s="31"/>
      <c r="I103" s="27"/>
      <c r="J103" s="141">
        <v>0</v>
      </c>
    </row>
    <row r="104" spans="1:10" ht="15.75" hidden="1" thickBot="1" x14ac:dyDescent="0.3">
      <c r="A104" s="226"/>
      <c r="B104" s="244"/>
      <c r="C104" s="32" t="s">
        <v>50</v>
      </c>
      <c r="D104" s="32" t="s">
        <v>12</v>
      </c>
      <c r="E104" s="33">
        <f>ROUND(1/6,4)</f>
        <v>0.16669999999999999</v>
      </c>
      <c r="F104" s="27">
        <v>19.474999999999998</v>
      </c>
      <c r="G104" s="30">
        <f t="shared" si="1"/>
        <v>3.2464824999999995</v>
      </c>
      <c r="H104" s="35">
        <f>SUM(G104:G104)</f>
        <v>3.2464824999999995</v>
      </c>
      <c r="I104" s="36"/>
      <c r="J104" s="141">
        <v>0</v>
      </c>
    </row>
    <row r="105" spans="1:10" ht="15.75" hidden="1" thickBot="1" x14ac:dyDescent="0.3">
      <c r="A105" s="227"/>
      <c r="B105" s="230"/>
      <c r="C105" s="32"/>
      <c r="D105" s="32"/>
      <c r="E105" s="33"/>
      <c r="F105" s="27" t="s">
        <v>523</v>
      </c>
      <c r="G105" s="27" t="str">
        <f t="shared" si="1"/>
        <v/>
      </c>
      <c r="H105" s="31"/>
      <c r="I105" s="27"/>
      <c r="J105" s="141">
        <v>0</v>
      </c>
    </row>
    <row r="106" spans="1:10" ht="15.75" thickBot="1" x14ac:dyDescent="0.3">
      <c r="A106" s="225" t="s">
        <v>51</v>
      </c>
      <c r="B106" s="228" t="str">
        <f>INDEX(Orçamentária!A:B,MATCH(Composições!A106,Orçamentária!A:A,0),2)</f>
        <v>Remoção de difusores, grelhas e acessórios de climatização</v>
      </c>
      <c r="C106" s="37"/>
      <c r="D106" s="22" t="str">
        <f>TRIM(INDEX(Orçamentária!C:C,MATCH(Composições!A106,Orçamentária!A:A,0),1))</f>
        <v>un</v>
      </c>
      <c r="E106" s="23"/>
      <c r="F106" s="38" t="s">
        <v>523</v>
      </c>
      <c r="G106" s="24" t="str">
        <f t="shared" si="1"/>
        <v/>
      </c>
      <c r="H106" s="25"/>
      <c r="I106" s="26"/>
      <c r="J106" s="141">
        <v>32</v>
      </c>
    </row>
    <row r="107" spans="1:10" x14ac:dyDescent="0.25">
      <c r="A107" s="226"/>
      <c r="B107" s="244"/>
      <c r="C107" s="28"/>
      <c r="D107" s="28"/>
      <c r="E107" s="29"/>
      <c r="F107" s="39" t="s">
        <v>523</v>
      </c>
      <c r="G107" s="27" t="str">
        <f t="shared" si="1"/>
        <v/>
      </c>
      <c r="H107" s="31"/>
      <c r="I107" s="27"/>
      <c r="J107" s="141">
        <v>32</v>
      </c>
    </row>
    <row r="108" spans="1:10" x14ac:dyDescent="0.25">
      <c r="A108" s="226"/>
      <c r="B108" s="244"/>
      <c r="C108" s="32" t="s">
        <v>52</v>
      </c>
      <c r="D108" s="43" t="s">
        <v>12</v>
      </c>
      <c r="E108" s="33">
        <v>0.6</v>
      </c>
      <c r="F108" s="27">
        <v>21.184999999999999</v>
      </c>
      <c r="G108" s="27">
        <f t="shared" si="1"/>
        <v>12.710999999999999</v>
      </c>
      <c r="H108" s="35">
        <f>SUM(G108:G109)</f>
        <v>23.763300000000001</v>
      </c>
      <c r="I108" s="36"/>
      <c r="J108" s="141">
        <v>32</v>
      </c>
    </row>
    <row r="109" spans="1:10" x14ac:dyDescent="0.25">
      <c r="A109" s="226"/>
      <c r="B109" s="244"/>
      <c r="C109" s="32" t="s">
        <v>23</v>
      </c>
      <c r="D109" s="43" t="s">
        <v>12</v>
      </c>
      <c r="E109" s="33">
        <v>0.6</v>
      </c>
      <c r="F109" s="27">
        <v>18.420500000000001</v>
      </c>
      <c r="G109" s="27">
        <f t="shared" si="1"/>
        <v>11.052300000000001</v>
      </c>
      <c r="H109" s="31"/>
      <c r="I109" s="27"/>
      <c r="J109" s="141">
        <v>32</v>
      </c>
    </row>
    <row r="110" spans="1:10" ht="15.75" thickBot="1" x14ac:dyDescent="0.3">
      <c r="A110" s="227"/>
      <c r="B110" s="230"/>
      <c r="C110" s="32"/>
      <c r="D110" s="32"/>
      <c r="E110" s="33"/>
      <c r="F110" s="27" t="s">
        <v>523</v>
      </c>
      <c r="G110" s="27" t="str">
        <f t="shared" si="1"/>
        <v/>
      </c>
      <c r="H110" s="31"/>
      <c r="I110" s="27"/>
      <c r="J110" s="141">
        <v>32</v>
      </c>
    </row>
    <row r="111" spans="1:10" ht="15.75" hidden="1" thickBot="1" x14ac:dyDescent="0.3">
      <c r="A111" s="225" t="s">
        <v>53</v>
      </c>
      <c r="B111" s="228" t="str">
        <f>INDEX(Orçamentária!A:B,MATCH(Composições!A111,Orçamentária!A:A,0),2)</f>
        <v>Remoção de divisória de mármore ou granito</v>
      </c>
      <c r="C111" s="37"/>
      <c r="D111" s="22" t="str">
        <f>TRIM(INDEX(Orçamentária!C:C,MATCH(Composições!A111,Orçamentária!A:A,0),1))</f>
        <v>m2</v>
      </c>
      <c r="E111" s="23"/>
      <c r="F111" s="38" t="s">
        <v>523</v>
      </c>
      <c r="G111" s="24" t="str">
        <f t="shared" si="1"/>
        <v/>
      </c>
      <c r="H111" s="25"/>
      <c r="I111" s="26"/>
      <c r="J111" s="141">
        <v>0</v>
      </c>
    </row>
    <row r="112" spans="1:10" ht="15.75" hidden="1" thickBot="1" x14ac:dyDescent="0.3">
      <c r="A112" s="226"/>
      <c r="B112" s="244"/>
      <c r="C112" s="28"/>
      <c r="D112" s="28"/>
      <c r="E112" s="29"/>
      <c r="F112" s="39" t="s">
        <v>523</v>
      </c>
      <c r="G112" s="27" t="str">
        <f t="shared" si="1"/>
        <v/>
      </c>
      <c r="H112" s="31"/>
      <c r="I112" s="27"/>
      <c r="J112" s="141">
        <v>0</v>
      </c>
    </row>
    <row r="113" spans="1:10" ht="15.75" hidden="1" thickBot="1" x14ac:dyDescent="0.3">
      <c r="A113" s="226"/>
      <c r="B113" s="244"/>
      <c r="C113" s="32" t="s">
        <v>54</v>
      </c>
      <c r="D113" s="32" t="s">
        <v>12</v>
      </c>
      <c r="E113" s="33">
        <v>0.6</v>
      </c>
      <c r="F113" s="27">
        <v>24.795000000000002</v>
      </c>
      <c r="G113" s="30">
        <f t="shared" si="1"/>
        <v>14.877000000000001</v>
      </c>
      <c r="H113" s="35">
        <f>SUM(G113:G114)</f>
        <v>36.9816</v>
      </c>
      <c r="I113" s="36"/>
      <c r="J113" s="141">
        <v>0</v>
      </c>
    </row>
    <row r="114" spans="1:10" ht="15.75" hidden="1" thickBot="1" x14ac:dyDescent="0.3">
      <c r="A114" s="226"/>
      <c r="B114" s="244"/>
      <c r="C114" s="32" t="s">
        <v>23</v>
      </c>
      <c r="D114" s="32" t="s">
        <v>12</v>
      </c>
      <c r="E114" s="33">
        <v>1.2</v>
      </c>
      <c r="F114" s="27">
        <v>18.420500000000001</v>
      </c>
      <c r="G114" s="30">
        <f t="shared" si="1"/>
        <v>22.104600000000001</v>
      </c>
      <c r="H114" s="31"/>
      <c r="I114" s="27"/>
      <c r="J114" s="141">
        <v>0</v>
      </c>
    </row>
    <row r="115" spans="1:10" ht="15.75" hidden="1" thickBot="1" x14ac:dyDescent="0.3">
      <c r="A115" s="227"/>
      <c r="B115" s="230"/>
      <c r="C115" s="32"/>
      <c r="D115" s="32"/>
      <c r="E115" s="33"/>
      <c r="F115" s="27" t="s">
        <v>523</v>
      </c>
      <c r="G115" s="27" t="str">
        <f t="shared" si="1"/>
        <v/>
      </c>
      <c r="H115" s="31"/>
      <c r="I115" s="27"/>
      <c r="J115" s="141">
        <v>0</v>
      </c>
    </row>
    <row r="116" spans="1:10" ht="15.75" hidden="1" thickBot="1" x14ac:dyDescent="0.3">
      <c r="A116" s="225" t="s">
        <v>55</v>
      </c>
      <c r="B116" s="228" t="str">
        <f>INDEX(Orçamentária!A:B,MATCH(Composições!A116,Orçamentária!A:A,0),2)</f>
        <v>Remoção de divisórias de MDF e gesso acartonado</v>
      </c>
      <c r="C116" s="37"/>
      <c r="D116" s="22" t="str">
        <f>TRIM(INDEX(Orçamentária!C:C,MATCH(Composições!A116,Orçamentária!A:A,0),1))</f>
        <v>m2</v>
      </c>
      <c r="E116" s="23"/>
      <c r="F116" s="38" t="s">
        <v>523</v>
      </c>
      <c r="G116" s="24" t="str">
        <f t="shared" si="1"/>
        <v/>
      </c>
      <c r="H116" s="25"/>
      <c r="I116" s="26"/>
      <c r="J116" s="141">
        <v>0</v>
      </c>
    </row>
    <row r="117" spans="1:10" ht="15.75" hidden="1" thickBot="1" x14ac:dyDescent="0.3">
      <c r="A117" s="226"/>
      <c r="B117" s="244"/>
      <c r="C117" s="28"/>
      <c r="D117" s="28"/>
      <c r="E117" s="29"/>
      <c r="F117" s="39" t="s">
        <v>523</v>
      </c>
      <c r="G117" s="27" t="str">
        <f t="shared" si="1"/>
        <v/>
      </c>
      <c r="H117" s="31"/>
      <c r="I117" s="27"/>
      <c r="J117" s="141">
        <v>0</v>
      </c>
    </row>
    <row r="118" spans="1:10" ht="15.75" hidden="1" thickBot="1" x14ac:dyDescent="0.3">
      <c r="A118" s="226"/>
      <c r="B118" s="244"/>
      <c r="C118" s="32" t="s">
        <v>27</v>
      </c>
      <c r="D118" s="43" t="s">
        <v>12</v>
      </c>
      <c r="E118" s="33">
        <v>0.1186</v>
      </c>
      <c r="F118" s="27">
        <v>18.933499999999999</v>
      </c>
      <c r="G118" s="27">
        <f t="shared" si="1"/>
        <v>2.2455130999999997</v>
      </c>
      <c r="H118" s="35">
        <f>SUM(G118:G119)</f>
        <v>6.5356475500000002</v>
      </c>
      <c r="I118" s="36"/>
      <c r="J118" s="141">
        <v>0</v>
      </c>
    </row>
    <row r="119" spans="1:10" ht="15.75" hidden="1" thickBot="1" x14ac:dyDescent="0.3">
      <c r="A119" s="226"/>
      <c r="B119" s="244"/>
      <c r="C119" s="32" t="s">
        <v>23</v>
      </c>
      <c r="D119" s="43" t="s">
        <v>12</v>
      </c>
      <c r="E119" s="33">
        <v>0.2329</v>
      </c>
      <c r="F119" s="27">
        <v>18.420500000000001</v>
      </c>
      <c r="G119" s="27">
        <f t="shared" si="1"/>
        <v>4.29013445</v>
      </c>
      <c r="H119" s="31"/>
      <c r="I119" s="27"/>
      <c r="J119" s="141">
        <v>0</v>
      </c>
    </row>
    <row r="120" spans="1:10" ht="15.75" hidden="1" thickBot="1" x14ac:dyDescent="0.3">
      <c r="A120" s="227"/>
      <c r="B120" s="230"/>
      <c r="C120" s="32"/>
      <c r="D120" s="32"/>
      <c r="E120" s="33"/>
      <c r="F120" s="27" t="s">
        <v>523</v>
      </c>
      <c r="G120" s="27" t="str">
        <f t="shared" si="1"/>
        <v/>
      </c>
      <c r="H120" s="31"/>
      <c r="I120" s="27"/>
      <c r="J120" s="141">
        <v>0</v>
      </c>
    </row>
    <row r="121" spans="1:10" ht="15.75" hidden="1" thickBot="1" x14ac:dyDescent="0.3">
      <c r="A121" s="225" t="s">
        <v>56</v>
      </c>
      <c r="B121" s="228" t="str">
        <f>INDEX(Orçamentária!A:B,MATCH(Composições!A121,Orçamentária!A:A,0),2)</f>
        <v>Remoção de dutos/tubulações</v>
      </c>
      <c r="C121" s="37"/>
      <c r="D121" s="22" t="str">
        <f>TRIM(INDEX(Orçamentária!C:C,MATCH(Composições!A121,Orçamentária!A:A,0),1))</f>
        <v>m</v>
      </c>
      <c r="E121" s="23"/>
      <c r="F121" s="38" t="s">
        <v>523</v>
      </c>
      <c r="G121" s="24" t="str">
        <f t="shared" si="1"/>
        <v/>
      </c>
      <c r="H121" s="25"/>
      <c r="I121" s="26"/>
      <c r="J121" s="141">
        <v>0</v>
      </c>
    </row>
    <row r="122" spans="1:10" ht="15.75" hidden="1" thickBot="1" x14ac:dyDescent="0.3">
      <c r="A122" s="226"/>
      <c r="B122" s="244"/>
      <c r="C122" s="28"/>
      <c r="D122" s="28"/>
      <c r="E122" s="29"/>
      <c r="F122" s="39" t="s">
        <v>523</v>
      </c>
      <c r="G122" s="27" t="str">
        <f t="shared" si="1"/>
        <v/>
      </c>
      <c r="H122" s="31"/>
      <c r="I122" s="27"/>
      <c r="J122" s="141">
        <v>0</v>
      </c>
    </row>
    <row r="123" spans="1:10" ht="15.75" hidden="1" thickBot="1" x14ac:dyDescent="0.3">
      <c r="A123" s="226"/>
      <c r="B123" s="244"/>
      <c r="C123" s="32" t="s">
        <v>39</v>
      </c>
      <c r="D123" s="43" t="s">
        <v>12</v>
      </c>
      <c r="E123" s="33">
        <v>0.17499999999999999</v>
      </c>
      <c r="F123" s="27">
        <v>24.300999999999998</v>
      </c>
      <c r="G123" s="30">
        <f t="shared" si="1"/>
        <v>4.2526749999999991</v>
      </c>
      <c r="H123" s="35">
        <f>SUM(G123:G124)</f>
        <v>9.7788249999999994</v>
      </c>
      <c r="I123" s="36"/>
      <c r="J123" s="141">
        <v>0</v>
      </c>
    </row>
    <row r="124" spans="1:10" ht="15.75" hidden="1" thickBot="1" x14ac:dyDescent="0.3">
      <c r="A124" s="226"/>
      <c r="B124" s="244"/>
      <c r="C124" s="32" t="s">
        <v>23</v>
      </c>
      <c r="D124" s="43" t="s">
        <v>12</v>
      </c>
      <c r="E124" s="33">
        <v>0.3</v>
      </c>
      <c r="F124" s="27">
        <v>18.420500000000001</v>
      </c>
      <c r="G124" s="30">
        <f t="shared" si="1"/>
        <v>5.5261500000000003</v>
      </c>
      <c r="H124" s="31"/>
      <c r="I124" s="27"/>
      <c r="J124" s="141">
        <v>0</v>
      </c>
    </row>
    <row r="125" spans="1:10" ht="15.75" hidden="1" thickBot="1" x14ac:dyDescent="0.3">
      <c r="A125" s="227"/>
      <c r="B125" s="230"/>
      <c r="C125" s="32"/>
      <c r="D125" s="32"/>
      <c r="E125" s="33"/>
      <c r="F125" s="27" t="s">
        <v>523</v>
      </c>
      <c r="G125" s="27" t="str">
        <f t="shared" si="1"/>
        <v/>
      </c>
      <c r="H125" s="31"/>
      <c r="I125" s="27"/>
      <c r="J125" s="141">
        <v>0</v>
      </c>
    </row>
    <row r="126" spans="1:10" ht="15.75" hidden="1" thickBot="1" x14ac:dyDescent="0.3">
      <c r="A126" s="225" t="s">
        <v>57</v>
      </c>
      <c r="B126" s="228" t="str">
        <f>INDEX(Orçamentária!A:B,MATCH(Composições!A126,Orçamentária!A:A,0),2)</f>
        <v>Remoção de esquadrias metálicas</v>
      </c>
      <c r="C126" s="37"/>
      <c r="D126" s="22" t="str">
        <f>TRIM(INDEX(Orçamentária!C:C,MATCH(Composições!A126,Orçamentária!A:A,0),1))</f>
        <v>m2</v>
      </c>
      <c r="E126" s="23"/>
      <c r="F126" s="38" t="s">
        <v>523</v>
      </c>
      <c r="G126" s="24" t="str">
        <f t="shared" si="1"/>
        <v/>
      </c>
      <c r="H126" s="25"/>
      <c r="I126" s="26"/>
      <c r="J126" s="141">
        <v>0</v>
      </c>
    </row>
    <row r="127" spans="1:10" ht="15.75" hidden="1" thickBot="1" x14ac:dyDescent="0.3">
      <c r="A127" s="226"/>
      <c r="B127" s="244"/>
      <c r="C127" s="28"/>
      <c r="D127" s="28"/>
      <c r="E127" s="29"/>
      <c r="F127" s="39" t="s">
        <v>523</v>
      </c>
      <c r="G127" s="27" t="str">
        <f t="shared" si="1"/>
        <v/>
      </c>
      <c r="H127" s="31"/>
      <c r="I127" s="27"/>
      <c r="J127" s="141">
        <v>0</v>
      </c>
    </row>
    <row r="128" spans="1:10" ht="15.75" hidden="1" thickBot="1" x14ac:dyDescent="0.3">
      <c r="A128" s="226"/>
      <c r="B128" s="244"/>
      <c r="C128" s="32" t="s">
        <v>22</v>
      </c>
      <c r="D128" s="32" t="s">
        <v>12</v>
      </c>
      <c r="E128" s="33">
        <v>0.05</v>
      </c>
      <c r="F128" s="27">
        <v>24.889999999999997</v>
      </c>
      <c r="G128" s="30">
        <f t="shared" si="1"/>
        <v>1.2444999999999999</v>
      </c>
      <c r="H128" s="35">
        <f>SUM(G128:G129)</f>
        <v>10.454750000000001</v>
      </c>
      <c r="I128" s="36"/>
      <c r="J128" s="141">
        <v>0</v>
      </c>
    </row>
    <row r="129" spans="1:10" ht="15.75" hidden="1" thickBot="1" x14ac:dyDescent="0.3">
      <c r="A129" s="226"/>
      <c r="B129" s="244"/>
      <c r="C129" s="32" t="s">
        <v>23</v>
      </c>
      <c r="D129" s="32" t="s">
        <v>12</v>
      </c>
      <c r="E129" s="33">
        <v>0.5</v>
      </c>
      <c r="F129" s="27">
        <v>18.420500000000001</v>
      </c>
      <c r="G129" s="30">
        <f t="shared" si="1"/>
        <v>9.2102500000000003</v>
      </c>
      <c r="H129" s="41"/>
      <c r="I129" s="42"/>
      <c r="J129" s="141">
        <v>0</v>
      </c>
    </row>
    <row r="130" spans="1:10" ht="15.75" hidden="1" thickBot="1" x14ac:dyDescent="0.3">
      <c r="A130" s="227"/>
      <c r="B130" s="230"/>
      <c r="C130" s="32"/>
      <c r="D130" s="32"/>
      <c r="E130" s="33"/>
      <c r="F130" s="27" t="s">
        <v>523</v>
      </c>
      <c r="G130" s="27" t="str">
        <f t="shared" si="1"/>
        <v/>
      </c>
      <c r="H130" s="31"/>
      <c r="I130" s="27"/>
      <c r="J130" s="141">
        <v>0</v>
      </c>
    </row>
    <row r="131" spans="1:10" ht="15.75" hidden="1" thickBot="1" x14ac:dyDescent="0.3">
      <c r="A131" s="225" t="s">
        <v>58</v>
      </c>
      <c r="B131" s="228" t="str">
        <f>INDEX(Orçamentária!A:B,MATCH(Composições!A131,Orçamentária!A:A,0),2)</f>
        <v>Remoção de exaustor</v>
      </c>
      <c r="C131" s="37"/>
      <c r="D131" s="22" t="str">
        <f>TRIM(INDEX(Orçamentária!C:C,MATCH(Composições!A131,Orçamentária!A:A,0),1))</f>
        <v>un</v>
      </c>
      <c r="E131" s="23"/>
      <c r="F131" s="38" t="s">
        <v>523</v>
      </c>
      <c r="G131" s="24" t="str">
        <f t="shared" si="1"/>
        <v/>
      </c>
      <c r="H131" s="25"/>
      <c r="I131" s="26"/>
      <c r="J131" s="141">
        <v>0</v>
      </c>
    </row>
    <row r="132" spans="1:10" ht="15.75" hidden="1" thickBot="1" x14ac:dyDescent="0.3">
      <c r="A132" s="226"/>
      <c r="B132" s="244"/>
      <c r="C132" s="28"/>
      <c r="D132" s="28"/>
      <c r="E132" s="29"/>
      <c r="F132" s="39" t="s">
        <v>523</v>
      </c>
      <c r="G132" s="27" t="str">
        <f t="shared" si="1"/>
        <v/>
      </c>
      <c r="H132" s="31"/>
      <c r="I132" s="27"/>
      <c r="J132" s="141">
        <v>0</v>
      </c>
    </row>
    <row r="133" spans="1:10" ht="15.75" hidden="1" thickBot="1" x14ac:dyDescent="0.3">
      <c r="A133" s="226"/>
      <c r="B133" s="244"/>
      <c r="C133" s="32" t="s">
        <v>30</v>
      </c>
      <c r="D133" s="32" t="s">
        <v>12</v>
      </c>
      <c r="E133" s="33">
        <v>0.3</v>
      </c>
      <c r="F133" s="27">
        <v>25.146499999999996</v>
      </c>
      <c r="G133" s="27">
        <f t="shared" si="1"/>
        <v>7.5439499999999988</v>
      </c>
      <c r="H133" s="35">
        <f>SUM(G133:G133)</f>
        <v>7.5439499999999988</v>
      </c>
      <c r="I133" s="36"/>
      <c r="J133" s="141">
        <v>0</v>
      </c>
    </row>
    <row r="134" spans="1:10" ht="15.75" hidden="1" thickBot="1" x14ac:dyDescent="0.3">
      <c r="A134" s="227"/>
      <c r="B134" s="230"/>
      <c r="C134" s="32"/>
      <c r="D134" s="32"/>
      <c r="E134" s="33"/>
      <c r="F134" s="27" t="s">
        <v>523</v>
      </c>
      <c r="G134" s="27" t="str">
        <f t="shared" ref="G134:G197" si="2">IF(ISNUMBER(F134),E134*F134,"")</f>
        <v/>
      </c>
      <c r="H134" s="31"/>
      <c r="I134" s="27"/>
      <c r="J134" s="141">
        <v>0</v>
      </c>
    </row>
    <row r="135" spans="1:10" ht="15.75" hidden="1" thickBot="1" x14ac:dyDescent="0.3">
      <c r="A135" s="225" t="s">
        <v>59</v>
      </c>
      <c r="B135" s="228" t="str">
        <f>INDEX(Orçamentária!A:B,MATCH(Composições!A135,Orçamentária!A:A,0),2)</f>
        <v>Remoção de fechadura/puxador de porta</v>
      </c>
      <c r="C135" s="37"/>
      <c r="D135" s="22" t="str">
        <f>TRIM(INDEX(Orçamentária!C:C,MATCH(Composições!A135,Orçamentária!A:A,0),1))</f>
        <v>un</v>
      </c>
      <c r="E135" s="23"/>
      <c r="F135" s="38" t="s">
        <v>523</v>
      </c>
      <c r="G135" s="24" t="str">
        <f t="shared" si="2"/>
        <v/>
      </c>
      <c r="H135" s="25"/>
      <c r="I135" s="26"/>
      <c r="J135" s="141">
        <v>0</v>
      </c>
    </row>
    <row r="136" spans="1:10" ht="15.75" hidden="1" thickBot="1" x14ac:dyDescent="0.3">
      <c r="A136" s="226"/>
      <c r="B136" s="244"/>
      <c r="C136" s="28"/>
      <c r="D136" s="28"/>
      <c r="E136" s="29"/>
      <c r="F136" s="39" t="s">
        <v>523</v>
      </c>
      <c r="G136" s="27" t="str">
        <f t="shared" si="2"/>
        <v/>
      </c>
      <c r="H136" s="31"/>
      <c r="I136" s="27"/>
      <c r="J136" s="141">
        <v>0</v>
      </c>
    </row>
    <row r="137" spans="1:10" ht="15.75" hidden="1" thickBot="1" x14ac:dyDescent="0.3">
      <c r="A137" s="226"/>
      <c r="B137" s="244"/>
      <c r="C137" s="32" t="s">
        <v>44</v>
      </c>
      <c r="D137" s="32" t="s">
        <v>12</v>
      </c>
      <c r="E137" s="33">
        <f>0.25</f>
        <v>0.25</v>
      </c>
      <c r="F137" s="27">
        <v>23.616999999999997</v>
      </c>
      <c r="G137" s="30">
        <f t="shared" si="2"/>
        <v>5.9042499999999993</v>
      </c>
      <c r="H137" s="35">
        <f>SUM(G137:G137)</f>
        <v>5.9042499999999993</v>
      </c>
      <c r="I137" s="36"/>
      <c r="J137" s="141">
        <v>0</v>
      </c>
    </row>
    <row r="138" spans="1:10" ht="15.75" hidden="1" thickBot="1" x14ac:dyDescent="0.3">
      <c r="A138" s="226"/>
      <c r="B138" s="244"/>
      <c r="C138" s="32"/>
      <c r="D138" s="32"/>
      <c r="E138" s="33"/>
      <c r="F138" s="27" t="s">
        <v>523</v>
      </c>
      <c r="G138" s="27" t="str">
        <f t="shared" si="2"/>
        <v/>
      </c>
      <c r="H138" s="31"/>
      <c r="I138" s="27"/>
      <c r="J138" s="141">
        <v>0</v>
      </c>
    </row>
    <row r="139" spans="1:10" ht="15.75" hidden="1" thickBot="1" x14ac:dyDescent="0.3">
      <c r="A139" s="225" t="s">
        <v>60</v>
      </c>
      <c r="B139" s="228" t="str">
        <f>INDEX(Orçamentária!A:B,MATCH(Composições!A139,Orçamentária!A:A,0),2)</f>
        <v>Remoção de folha de porta e dobradiças / pivôs</v>
      </c>
      <c r="C139" s="37"/>
      <c r="D139" s="22" t="str">
        <f>TRIM(INDEX(Orçamentária!C:C,MATCH(Composições!A139,Orçamentária!A:A,0),1))</f>
        <v>un</v>
      </c>
      <c r="E139" s="23"/>
      <c r="F139" s="38" t="s">
        <v>523</v>
      </c>
      <c r="G139" s="24" t="str">
        <f t="shared" si="2"/>
        <v/>
      </c>
      <c r="H139" s="25"/>
      <c r="I139" s="26"/>
      <c r="J139" s="141">
        <v>0</v>
      </c>
    </row>
    <row r="140" spans="1:10" ht="15.75" hidden="1" thickBot="1" x14ac:dyDescent="0.3">
      <c r="A140" s="226"/>
      <c r="B140" s="244"/>
      <c r="C140" s="28"/>
      <c r="D140" s="28"/>
      <c r="E140" s="29"/>
      <c r="F140" s="39" t="s">
        <v>523</v>
      </c>
      <c r="G140" s="27" t="str">
        <f t="shared" si="2"/>
        <v/>
      </c>
      <c r="H140" s="31"/>
      <c r="I140" s="27"/>
      <c r="J140" s="141">
        <v>0</v>
      </c>
    </row>
    <row r="141" spans="1:10" ht="15.75" hidden="1" thickBot="1" x14ac:dyDescent="0.3">
      <c r="A141" s="226"/>
      <c r="B141" s="244"/>
      <c r="C141" s="32" t="s">
        <v>22</v>
      </c>
      <c r="D141" s="32" t="s">
        <v>12</v>
      </c>
      <c r="E141" s="33">
        <v>0.13150000000000001</v>
      </c>
      <c r="F141" s="27">
        <v>24.889999999999997</v>
      </c>
      <c r="G141" s="30">
        <f t="shared" si="2"/>
        <v>3.2730349999999997</v>
      </c>
      <c r="H141" s="35">
        <f>SUM(G141:G142)</f>
        <v>8.0292081</v>
      </c>
      <c r="I141" s="36"/>
      <c r="J141" s="141">
        <v>0</v>
      </c>
    </row>
    <row r="142" spans="1:10" ht="15.75" hidden="1" thickBot="1" x14ac:dyDescent="0.3">
      <c r="A142" s="226"/>
      <c r="B142" s="244"/>
      <c r="C142" s="32" t="s">
        <v>23</v>
      </c>
      <c r="D142" s="43" t="s">
        <v>12</v>
      </c>
      <c r="E142" s="33">
        <v>0.25819999999999999</v>
      </c>
      <c r="F142" s="27">
        <v>18.420500000000001</v>
      </c>
      <c r="G142" s="30">
        <f t="shared" si="2"/>
        <v>4.7561730999999998</v>
      </c>
      <c r="H142" s="41"/>
      <c r="I142" s="42"/>
      <c r="J142" s="141">
        <v>0</v>
      </c>
    </row>
    <row r="143" spans="1:10" ht="15.75" hidden="1" thickBot="1" x14ac:dyDescent="0.3">
      <c r="A143" s="227"/>
      <c r="B143" s="230"/>
      <c r="C143" s="32"/>
      <c r="D143" s="32"/>
      <c r="E143" s="33"/>
      <c r="F143" s="27" t="s">
        <v>523</v>
      </c>
      <c r="G143" s="27" t="str">
        <f t="shared" si="2"/>
        <v/>
      </c>
      <c r="H143" s="31"/>
      <c r="I143" s="27"/>
      <c r="J143" s="141">
        <v>0</v>
      </c>
    </row>
    <row r="144" spans="1:10" ht="15.75" hidden="1" thickBot="1" x14ac:dyDescent="0.3">
      <c r="A144" s="225" t="s">
        <v>61</v>
      </c>
      <c r="B144" s="228" t="str">
        <f>INDEX(Orçamentária!A:B,MATCH(Composições!A144,Orçamentária!A:A,0),2)</f>
        <v>Remoção de laminado melamínico (LDAP), em PVC ou vinílico</v>
      </c>
      <c r="C144" s="37"/>
      <c r="D144" s="22" t="str">
        <f>TRIM(INDEX(Orçamentária!C:C,MATCH(Composições!A144,Orçamentária!A:A,0),1))</f>
        <v>m2</v>
      </c>
      <c r="E144" s="23"/>
      <c r="F144" s="38" t="s">
        <v>523</v>
      </c>
      <c r="G144" s="24" t="str">
        <f t="shared" si="2"/>
        <v/>
      </c>
      <c r="H144" s="25"/>
      <c r="I144" s="26"/>
      <c r="J144" s="141">
        <v>0</v>
      </c>
    </row>
    <row r="145" spans="1:10" ht="15.75" hidden="1" thickBot="1" x14ac:dyDescent="0.3">
      <c r="A145" s="226"/>
      <c r="B145" s="244"/>
      <c r="C145" s="28"/>
      <c r="D145" s="28"/>
      <c r="E145" s="29"/>
      <c r="F145" s="39" t="s">
        <v>523</v>
      </c>
      <c r="G145" s="27" t="str">
        <f t="shared" si="2"/>
        <v/>
      </c>
      <c r="H145" s="31"/>
      <c r="I145" s="27"/>
      <c r="J145" s="141">
        <v>0</v>
      </c>
    </row>
    <row r="146" spans="1:10" ht="15.75" hidden="1" thickBot="1" x14ac:dyDescent="0.3">
      <c r="A146" s="226"/>
      <c r="B146" s="244"/>
      <c r="C146" s="32" t="s">
        <v>22</v>
      </c>
      <c r="D146" s="32" t="s">
        <v>12</v>
      </c>
      <c r="E146" s="33">
        <v>0.09</v>
      </c>
      <c r="F146" s="27">
        <v>24.889999999999997</v>
      </c>
      <c r="G146" s="30">
        <f t="shared" si="2"/>
        <v>2.2400999999999995</v>
      </c>
      <c r="H146" s="35">
        <f>SUM(G146:G147)</f>
        <v>18.818549999999998</v>
      </c>
      <c r="I146" s="36"/>
      <c r="J146" s="141">
        <v>0</v>
      </c>
    </row>
    <row r="147" spans="1:10" ht="15.75" hidden="1" thickBot="1" x14ac:dyDescent="0.3">
      <c r="A147" s="226"/>
      <c r="B147" s="244"/>
      <c r="C147" s="32" t="s">
        <v>23</v>
      </c>
      <c r="D147" s="32" t="s">
        <v>12</v>
      </c>
      <c r="E147" s="33">
        <v>0.9</v>
      </c>
      <c r="F147" s="27">
        <v>18.420500000000001</v>
      </c>
      <c r="G147" s="30">
        <f t="shared" si="2"/>
        <v>16.57845</v>
      </c>
      <c r="H147" s="31"/>
      <c r="I147" s="27"/>
      <c r="J147" s="141">
        <v>0</v>
      </c>
    </row>
    <row r="148" spans="1:10" ht="15.75" hidden="1" thickBot="1" x14ac:dyDescent="0.3">
      <c r="A148" s="227"/>
      <c r="B148" s="230"/>
      <c r="C148" s="32"/>
      <c r="D148" s="32"/>
      <c r="E148" s="33"/>
      <c r="F148" s="27" t="s">
        <v>523</v>
      </c>
      <c r="G148" s="27" t="str">
        <f t="shared" si="2"/>
        <v/>
      </c>
      <c r="H148" s="31"/>
      <c r="I148" s="27"/>
      <c r="J148" s="141">
        <v>0</v>
      </c>
    </row>
    <row r="149" spans="1:10" ht="15.75" hidden="1" thickBot="1" x14ac:dyDescent="0.3">
      <c r="A149" s="225" t="s">
        <v>62</v>
      </c>
      <c r="B149" s="228" t="str">
        <f>INDEX(Orçamentária!A:B,MATCH(Composições!A149,Orçamentária!A:A,0),2)</f>
        <v>Remoção de louças</v>
      </c>
      <c r="C149" s="37"/>
      <c r="D149" s="22" t="str">
        <f>TRIM(INDEX(Orçamentária!C:C,MATCH(Composições!A149,Orçamentária!A:A,0),1))</f>
        <v>un</v>
      </c>
      <c r="E149" s="23"/>
      <c r="F149" s="38" t="s">
        <v>523</v>
      </c>
      <c r="G149" s="24" t="str">
        <f t="shared" si="2"/>
        <v/>
      </c>
      <c r="H149" s="25"/>
      <c r="I149" s="26"/>
      <c r="J149" s="141">
        <v>0</v>
      </c>
    </row>
    <row r="150" spans="1:10" ht="15.75" hidden="1" thickBot="1" x14ac:dyDescent="0.3">
      <c r="A150" s="226"/>
      <c r="B150" s="244"/>
      <c r="C150" s="28"/>
      <c r="D150" s="28"/>
      <c r="E150" s="29"/>
      <c r="F150" s="39" t="s">
        <v>523</v>
      </c>
      <c r="G150" s="27" t="str">
        <f t="shared" si="2"/>
        <v/>
      </c>
      <c r="H150" s="31"/>
      <c r="I150" s="27"/>
      <c r="J150" s="141">
        <v>0</v>
      </c>
    </row>
    <row r="151" spans="1:10" ht="15.75" hidden="1" thickBot="1" x14ac:dyDescent="0.3">
      <c r="A151" s="226"/>
      <c r="B151" s="244"/>
      <c r="C151" s="32" t="s">
        <v>39</v>
      </c>
      <c r="D151" s="43" t="s">
        <v>12</v>
      </c>
      <c r="E151" s="33">
        <v>0.17549999999999999</v>
      </c>
      <c r="F151" s="27">
        <v>24.300999999999998</v>
      </c>
      <c r="G151" s="30">
        <f t="shared" si="2"/>
        <v>4.2648254999999997</v>
      </c>
      <c r="H151" s="35">
        <f>SUM(G151:G152)</f>
        <v>10.6162139</v>
      </c>
      <c r="I151" s="36"/>
      <c r="J151" s="141">
        <v>0</v>
      </c>
    </row>
    <row r="152" spans="1:10" ht="15.75" hidden="1" thickBot="1" x14ac:dyDescent="0.3">
      <c r="A152" s="226"/>
      <c r="B152" s="244"/>
      <c r="C152" s="32" t="s">
        <v>23</v>
      </c>
      <c r="D152" s="32" t="s">
        <v>12</v>
      </c>
      <c r="E152" s="33">
        <v>0.3448</v>
      </c>
      <c r="F152" s="27">
        <v>18.420500000000001</v>
      </c>
      <c r="G152" s="30">
        <f t="shared" si="2"/>
        <v>6.3513884000000003</v>
      </c>
      <c r="H152" s="40"/>
      <c r="I152" s="36"/>
      <c r="J152" s="141">
        <v>0</v>
      </c>
    </row>
    <row r="153" spans="1:10" ht="15.75" hidden="1" thickBot="1" x14ac:dyDescent="0.3">
      <c r="A153" s="227"/>
      <c r="B153" s="230"/>
      <c r="C153" s="32"/>
      <c r="D153" s="32"/>
      <c r="E153" s="33"/>
      <c r="F153" s="27" t="s">
        <v>523</v>
      </c>
      <c r="G153" s="27" t="str">
        <f t="shared" si="2"/>
        <v/>
      </c>
      <c r="H153" s="31"/>
      <c r="I153" s="27"/>
      <c r="J153" s="141">
        <v>0</v>
      </c>
    </row>
    <row r="154" spans="1:10" ht="15.75" hidden="1" thickBot="1" x14ac:dyDescent="0.3">
      <c r="A154" s="225" t="s">
        <v>63</v>
      </c>
      <c r="B154" s="228" t="str">
        <f>INDEX(Orçamentária!A:B,MATCH(Composições!A154,Orçamentária!A:A,0),2)</f>
        <v>Remoção de luminária</v>
      </c>
      <c r="C154" s="37"/>
      <c r="D154" s="22" t="str">
        <f>TRIM(INDEX(Orçamentária!C:C,MATCH(Composições!A154,Orçamentária!A:A,0),1))</f>
        <v>un</v>
      </c>
      <c r="E154" s="23"/>
      <c r="F154" s="38" t="s">
        <v>523</v>
      </c>
      <c r="G154" s="24" t="str">
        <f t="shared" si="2"/>
        <v/>
      </c>
      <c r="H154" s="25"/>
      <c r="I154" s="26"/>
      <c r="J154" s="141">
        <v>0</v>
      </c>
    </row>
    <row r="155" spans="1:10" ht="15.75" hidden="1" thickBot="1" x14ac:dyDescent="0.3">
      <c r="A155" s="231"/>
      <c r="B155" s="244"/>
      <c r="C155" s="28"/>
      <c r="D155" s="28"/>
      <c r="E155" s="29"/>
      <c r="F155" s="39" t="s">
        <v>523</v>
      </c>
      <c r="G155" s="27" t="str">
        <f t="shared" si="2"/>
        <v/>
      </c>
      <c r="H155" s="31"/>
      <c r="I155" s="27"/>
      <c r="J155" s="141">
        <v>0</v>
      </c>
    </row>
    <row r="156" spans="1:10" ht="15.75" hidden="1" thickBot="1" x14ac:dyDescent="0.3">
      <c r="A156" s="231"/>
      <c r="B156" s="244"/>
      <c r="C156" s="32" t="s">
        <v>30</v>
      </c>
      <c r="D156" s="43" t="s">
        <v>12</v>
      </c>
      <c r="E156" s="33">
        <f>0.0183*5</f>
        <v>9.1499999999999998E-2</v>
      </c>
      <c r="F156" s="27">
        <v>25.146499999999996</v>
      </c>
      <c r="G156" s="30">
        <f t="shared" si="2"/>
        <v>2.3009047499999995</v>
      </c>
      <c r="H156" s="35">
        <f>SUM(G156:G157)</f>
        <v>5.6073844999999993</v>
      </c>
      <c r="I156" s="36"/>
      <c r="J156" s="141">
        <v>0</v>
      </c>
    </row>
    <row r="157" spans="1:10" ht="15.75" hidden="1" thickBot="1" x14ac:dyDescent="0.3">
      <c r="A157" s="231"/>
      <c r="B157" s="244"/>
      <c r="C157" s="32" t="s">
        <v>23</v>
      </c>
      <c r="D157" s="43" t="s">
        <v>12</v>
      </c>
      <c r="E157" s="33">
        <f>0.0359*5</f>
        <v>0.17949999999999999</v>
      </c>
      <c r="F157" s="27">
        <v>18.420500000000001</v>
      </c>
      <c r="G157" s="30">
        <f t="shared" si="2"/>
        <v>3.3064797499999998</v>
      </c>
      <c r="H157" s="41"/>
      <c r="I157" s="42"/>
      <c r="J157" s="141">
        <v>0</v>
      </c>
    </row>
    <row r="158" spans="1:10" ht="15.75" hidden="1" thickBot="1" x14ac:dyDescent="0.3">
      <c r="A158" s="231"/>
      <c r="B158" s="244"/>
      <c r="C158" s="32"/>
      <c r="D158" s="32"/>
      <c r="E158" s="33"/>
      <c r="F158" s="27" t="s">
        <v>523</v>
      </c>
      <c r="G158" s="27" t="str">
        <f t="shared" si="2"/>
        <v/>
      </c>
      <c r="H158" s="31"/>
      <c r="I158" s="27"/>
      <c r="J158" s="141">
        <v>0</v>
      </c>
    </row>
    <row r="159" spans="1:10" ht="15.75" hidden="1" thickBot="1" x14ac:dyDescent="0.3">
      <c r="A159" s="231"/>
      <c r="B159" s="244"/>
      <c r="C159" s="44" t="s">
        <v>64</v>
      </c>
      <c r="D159" s="32"/>
      <c r="E159" s="33"/>
      <c r="F159" s="27" t="s">
        <v>523</v>
      </c>
      <c r="G159" s="27" t="str">
        <f t="shared" si="2"/>
        <v/>
      </c>
      <c r="H159" s="31"/>
      <c r="I159" s="27"/>
      <c r="J159" s="141">
        <v>0</v>
      </c>
    </row>
    <row r="160" spans="1:10" ht="15.75" hidden="1" thickBot="1" x14ac:dyDescent="0.3">
      <c r="A160" s="232"/>
      <c r="B160" s="230"/>
      <c r="C160" s="32"/>
      <c r="D160" s="32"/>
      <c r="E160" s="33"/>
      <c r="F160" s="27" t="s">
        <v>523</v>
      </c>
      <c r="G160" s="27" t="str">
        <f t="shared" si="2"/>
        <v/>
      </c>
      <c r="H160" s="31"/>
      <c r="I160" s="27"/>
      <c r="J160" s="141">
        <v>0</v>
      </c>
    </row>
    <row r="161" spans="1:10" ht="15.75" hidden="1" thickBot="1" x14ac:dyDescent="0.3">
      <c r="A161" s="225" t="s">
        <v>65</v>
      </c>
      <c r="B161" s="228" t="str">
        <f>INDEX(Orçamentária!A:B,MATCH(Composições!A161,Orçamentária!A:A,0),2)</f>
        <v>Remoção de metais e acessórios</v>
      </c>
      <c r="C161" s="37"/>
      <c r="D161" s="22" t="str">
        <f>TRIM(INDEX(Orçamentária!C:C,MATCH(Composições!A161,Orçamentária!A:A,0),1))</f>
        <v>un</v>
      </c>
      <c r="E161" s="23"/>
      <c r="F161" s="38" t="s">
        <v>523</v>
      </c>
      <c r="G161" s="24" t="str">
        <f t="shared" si="2"/>
        <v/>
      </c>
      <c r="H161" s="25"/>
      <c r="I161" s="26"/>
      <c r="J161" s="141">
        <v>0</v>
      </c>
    </row>
    <row r="162" spans="1:10" ht="15.75" hidden="1" thickBot="1" x14ac:dyDescent="0.3">
      <c r="A162" s="226"/>
      <c r="B162" s="244"/>
      <c r="C162" s="28"/>
      <c r="D162" s="28"/>
      <c r="E162" s="29"/>
      <c r="F162" s="39" t="s">
        <v>523</v>
      </c>
      <c r="G162" s="27" t="str">
        <f t="shared" si="2"/>
        <v/>
      </c>
      <c r="H162" s="31"/>
      <c r="I162" s="27"/>
      <c r="J162" s="141">
        <v>0</v>
      </c>
    </row>
    <row r="163" spans="1:10" ht="15.75" hidden="1" thickBot="1" x14ac:dyDescent="0.3">
      <c r="A163" s="226"/>
      <c r="B163" s="244"/>
      <c r="C163" s="32" t="s">
        <v>39</v>
      </c>
      <c r="D163" s="43" t="s">
        <v>12</v>
      </c>
      <c r="E163" s="33">
        <v>0.128</v>
      </c>
      <c r="F163" s="27">
        <v>24.300999999999998</v>
      </c>
      <c r="G163" s="30">
        <f t="shared" si="2"/>
        <v>3.110528</v>
      </c>
      <c r="H163" s="35">
        <f>SUM(G163:G164)</f>
        <v>7.7414417000000011</v>
      </c>
      <c r="I163" s="36"/>
      <c r="J163" s="141">
        <v>0</v>
      </c>
    </row>
    <row r="164" spans="1:10" ht="15.75" hidden="1" thickBot="1" x14ac:dyDescent="0.3">
      <c r="A164" s="226"/>
      <c r="B164" s="244"/>
      <c r="C164" s="32" t="s">
        <v>23</v>
      </c>
      <c r="D164" s="32" t="s">
        <v>12</v>
      </c>
      <c r="E164" s="33">
        <v>0.25140000000000001</v>
      </c>
      <c r="F164" s="27">
        <v>18.420500000000001</v>
      </c>
      <c r="G164" s="30">
        <f t="shared" si="2"/>
        <v>4.6309137000000007</v>
      </c>
      <c r="H164" s="40"/>
      <c r="I164" s="36"/>
      <c r="J164" s="141">
        <v>0</v>
      </c>
    </row>
    <row r="165" spans="1:10" ht="15.75" hidden="1" thickBot="1" x14ac:dyDescent="0.3">
      <c r="A165" s="227"/>
      <c r="B165" s="230"/>
      <c r="C165" s="32"/>
      <c r="D165" s="32"/>
      <c r="E165" s="33"/>
      <c r="F165" s="27" t="s">
        <v>523</v>
      </c>
      <c r="G165" s="27" t="str">
        <f t="shared" si="2"/>
        <v/>
      </c>
      <c r="H165" s="31"/>
      <c r="I165" s="27"/>
      <c r="J165" s="141">
        <v>0</v>
      </c>
    </row>
    <row r="166" spans="1:10" ht="15.75" hidden="1" thickBot="1" x14ac:dyDescent="0.3">
      <c r="A166" s="225" t="s">
        <v>66</v>
      </c>
      <c r="B166" s="228" t="str">
        <f>INDEX(Orçamentária!A:B,MATCH(Composições!A166,Orçamentária!A:A,0),2)</f>
        <v>Remoção de painéis de vidro temperado</v>
      </c>
      <c r="C166" s="37"/>
      <c r="D166" s="22" t="str">
        <f>TRIM(INDEX(Orçamentária!C:C,MATCH(Composições!A166,Orçamentária!A:A,0),1))</f>
        <v>m2</v>
      </c>
      <c r="E166" s="23"/>
      <c r="F166" s="38" t="s">
        <v>523</v>
      </c>
      <c r="G166" s="24" t="str">
        <f t="shared" si="2"/>
        <v/>
      </c>
      <c r="H166" s="25"/>
      <c r="I166" s="26"/>
      <c r="J166" s="141">
        <v>0</v>
      </c>
    </row>
    <row r="167" spans="1:10" ht="15.75" hidden="1" thickBot="1" x14ac:dyDescent="0.3">
      <c r="A167" s="226"/>
      <c r="B167" s="244"/>
      <c r="C167" s="28"/>
      <c r="D167" s="28"/>
      <c r="E167" s="29"/>
      <c r="F167" s="39" t="s">
        <v>523</v>
      </c>
      <c r="G167" s="27" t="str">
        <f t="shared" si="2"/>
        <v/>
      </c>
      <c r="H167" s="31"/>
      <c r="I167" s="27"/>
      <c r="J167" s="141">
        <v>0</v>
      </c>
    </row>
    <row r="168" spans="1:10" ht="15.75" hidden="1" thickBot="1" x14ac:dyDescent="0.3">
      <c r="A168" s="226"/>
      <c r="B168" s="244"/>
      <c r="C168" s="32" t="s">
        <v>23</v>
      </c>
      <c r="D168" s="32" t="s">
        <v>12</v>
      </c>
      <c r="E168" s="33">
        <v>0.33800000000000002</v>
      </c>
      <c r="F168" s="27">
        <v>18.420500000000001</v>
      </c>
      <c r="G168" s="30">
        <f t="shared" si="2"/>
        <v>6.2261290000000002</v>
      </c>
      <c r="H168" s="35">
        <f>SUM(G168:G169)</f>
        <v>14.216730999999999</v>
      </c>
      <c r="I168" s="36"/>
      <c r="J168" s="141">
        <v>0</v>
      </c>
    </row>
    <row r="169" spans="1:10" ht="15.75" hidden="1" thickBot="1" x14ac:dyDescent="0.3">
      <c r="A169" s="226"/>
      <c r="B169" s="244"/>
      <c r="C169" s="32" t="s">
        <v>68</v>
      </c>
      <c r="D169" s="32" t="s">
        <v>12</v>
      </c>
      <c r="E169" s="33">
        <v>0.34799999999999998</v>
      </c>
      <c r="F169" s="27">
        <v>22.961500000000001</v>
      </c>
      <c r="G169" s="30">
        <f t="shared" si="2"/>
        <v>7.990602</v>
      </c>
      <c r="H169" s="31"/>
      <c r="I169" s="27"/>
      <c r="J169" s="141">
        <v>0</v>
      </c>
    </row>
    <row r="170" spans="1:10" ht="15.75" hidden="1" thickBot="1" x14ac:dyDescent="0.3">
      <c r="A170" s="227"/>
      <c r="B170" s="230"/>
      <c r="C170" s="32"/>
      <c r="D170" s="32"/>
      <c r="E170" s="33"/>
      <c r="F170" s="27" t="s">
        <v>523</v>
      </c>
      <c r="G170" s="27" t="str">
        <f t="shared" si="2"/>
        <v/>
      </c>
      <c r="H170" s="31"/>
      <c r="I170" s="27"/>
      <c r="J170" s="141">
        <v>0</v>
      </c>
    </row>
    <row r="171" spans="1:10" ht="15.75" hidden="1" thickBot="1" x14ac:dyDescent="0.3">
      <c r="A171" s="225" t="s">
        <v>67</v>
      </c>
      <c r="B171" s="228" t="str">
        <f>INDEX(Orçamentária!A:B,MATCH(Composições!A171,Orçamentária!A:A,0),2)</f>
        <v>Remoção de película</v>
      </c>
      <c r="C171" s="37"/>
      <c r="D171" s="22" t="str">
        <f>TRIM(INDEX(Orçamentária!C:C,MATCH(Composições!A171,Orçamentária!A:A,0),1))</f>
        <v>m2</v>
      </c>
      <c r="E171" s="23"/>
      <c r="F171" s="38" t="s">
        <v>523</v>
      </c>
      <c r="G171" s="24" t="str">
        <f t="shared" si="2"/>
        <v/>
      </c>
      <c r="H171" s="25"/>
      <c r="I171" s="26"/>
      <c r="J171" s="141">
        <v>0</v>
      </c>
    </row>
    <row r="172" spans="1:10" ht="15.75" hidden="1" thickBot="1" x14ac:dyDescent="0.3">
      <c r="A172" s="226"/>
      <c r="B172" s="244"/>
      <c r="C172" s="28"/>
      <c r="D172" s="28"/>
      <c r="E172" s="29"/>
      <c r="F172" s="39" t="s">
        <v>523</v>
      </c>
      <c r="G172" s="27" t="str">
        <f t="shared" si="2"/>
        <v/>
      </c>
      <c r="H172" s="31"/>
      <c r="I172" s="27"/>
      <c r="J172" s="141">
        <v>0</v>
      </c>
    </row>
    <row r="173" spans="1:10" ht="15.75" hidden="1" thickBot="1" x14ac:dyDescent="0.3">
      <c r="A173" s="226"/>
      <c r="B173" s="244"/>
      <c r="C173" s="32" t="s">
        <v>68</v>
      </c>
      <c r="D173" s="32" t="s">
        <v>12</v>
      </c>
      <c r="E173" s="33">
        <v>0.4</v>
      </c>
      <c r="F173" s="27">
        <v>22.961500000000001</v>
      </c>
      <c r="G173" s="30">
        <f t="shared" si="2"/>
        <v>9.1846000000000014</v>
      </c>
      <c r="H173" s="35">
        <f>SUM(G173:G173)</f>
        <v>9.1846000000000014</v>
      </c>
      <c r="I173" s="36"/>
      <c r="J173" s="141">
        <v>0</v>
      </c>
    </row>
    <row r="174" spans="1:10" ht="15.75" hidden="1" thickBot="1" x14ac:dyDescent="0.3">
      <c r="A174" s="227"/>
      <c r="B174" s="230"/>
      <c r="C174" s="32"/>
      <c r="D174" s="32"/>
      <c r="E174" s="33"/>
      <c r="F174" s="27" t="s">
        <v>523</v>
      </c>
      <c r="G174" s="27" t="str">
        <f t="shared" si="2"/>
        <v/>
      </c>
      <c r="H174" s="31"/>
      <c r="I174" s="27"/>
      <c r="J174" s="141">
        <v>0</v>
      </c>
    </row>
    <row r="175" spans="1:10" ht="15.75" hidden="1" thickBot="1" x14ac:dyDescent="0.3">
      <c r="A175" s="225" t="s">
        <v>69</v>
      </c>
      <c r="B175" s="228" t="str">
        <f>INDEX(Orçamentária!A:B,MATCH(Composições!A175,Orçamentária!A:A,0),2)</f>
        <v>Remoção de persianas</v>
      </c>
      <c r="C175" s="37"/>
      <c r="D175" s="22" t="str">
        <f>TRIM(INDEX(Orçamentária!C:C,MATCH(Composições!A175,Orçamentária!A:A,0),1))</f>
        <v>m</v>
      </c>
      <c r="E175" s="23"/>
      <c r="F175" s="38" t="s">
        <v>523</v>
      </c>
      <c r="G175" s="24" t="str">
        <f t="shared" si="2"/>
        <v/>
      </c>
      <c r="H175" s="25"/>
      <c r="I175" s="26"/>
      <c r="J175" s="141">
        <v>0</v>
      </c>
    </row>
    <row r="176" spans="1:10" ht="15.75" hidden="1" thickBot="1" x14ac:dyDescent="0.3">
      <c r="A176" s="226"/>
      <c r="B176" s="244"/>
      <c r="C176" s="28"/>
      <c r="D176" s="28"/>
      <c r="E176" s="29"/>
      <c r="F176" s="39" t="s">
        <v>523</v>
      </c>
      <c r="G176" s="27" t="str">
        <f t="shared" si="2"/>
        <v/>
      </c>
      <c r="H176" s="31"/>
      <c r="I176" s="27"/>
      <c r="J176" s="141">
        <v>0</v>
      </c>
    </row>
    <row r="177" spans="1:10" ht="15.75" hidden="1" thickBot="1" x14ac:dyDescent="0.3">
      <c r="A177" s="226"/>
      <c r="B177" s="244"/>
      <c r="C177" s="32" t="s">
        <v>50</v>
      </c>
      <c r="D177" s="32" t="s">
        <v>12</v>
      </c>
      <c r="E177" s="33">
        <f>ROUND(1/6,4)</f>
        <v>0.16669999999999999</v>
      </c>
      <c r="F177" s="27">
        <v>19.474999999999998</v>
      </c>
      <c r="G177" s="30">
        <f t="shared" si="2"/>
        <v>3.2464824999999995</v>
      </c>
      <c r="H177" s="35">
        <f>SUM(G177:G177)</f>
        <v>3.2464824999999995</v>
      </c>
      <c r="I177" s="36"/>
      <c r="J177" s="141">
        <v>0</v>
      </c>
    </row>
    <row r="178" spans="1:10" ht="15.75" hidden="1" thickBot="1" x14ac:dyDescent="0.3">
      <c r="A178" s="227"/>
      <c r="B178" s="230"/>
      <c r="C178" s="32"/>
      <c r="D178" s="32"/>
      <c r="E178" s="33"/>
      <c r="F178" s="27" t="s">
        <v>523</v>
      </c>
      <c r="G178" s="27" t="str">
        <f t="shared" si="2"/>
        <v/>
      </c>
      <c r="H178" s="31"/>
      <c r="I178" s="27"/>
      <c r="J178" s="141">
        <v>0</v>
      </c>
    </row>
    <row r="179" spans="1:10" ht="15.75" hidden="1" thickBot="1" x14ac:dyDescent="0.3">
      <c r="A179" s="225" t="s">
        <v>70</v>
      </c>
      <c r="B179" s="228" t="str">
        <f>INDEX(Orçamentária!A:B,MATCH(Composições!A179,Orçamentária!A:A,0),2)</f>
        <v>Remoção de pintura ou textura</v>
      </c>
      <c r="C179" s="37"/>
      <c r="D179" s="22" t="str">
        <f>TRIM(INDEX(Orçamentária!C:C,MATCH(Composições!A179,Orçamentária!A:A,0),1))</f>
        <v>m2</v>
      </c>
      <c r="E179" s="23"/>
      <c r="F179" s="38" t="s">
        <v>523</v>
      </c>
      <c r="G179" s="24" t="str">
        <f t="shared" si="2"/>
        <v/>
      </c>
      <c r="H179" s="25"/>
      <c r="I179" s="26"/>
      <c r="J179" s="141">
        <v>0</v>
      </c>
    </row>
    <row r="180" spans="1:10" ht="15.75" hidden="1" thickBot="1" x14ac:dyDescent="0.3">
      <c r="A180" s="226"/>
      <c r="B180" s="244"/>
      <c r="C180" s="28"/>
      <c r="D180" s="28"/>
      <c r="E180" s="29"/>
      <c r="F180" s="39" t="s">
        <v>523</v>
      </c>
      <c r="G180" s="27" t="str">
        <f t="shared" si="2"/>
        <v/>
      </c>
      <c r="H180" s="31"/>
      <c r="I180" s="27"/>
      <c r="J180" s="141">
        <v>0</v>
      </c>
    </row>
    <row r="181" spans="1:10" ht="15.75" hidden="1" thickBot="1" x14ac:dyDescent="0.3">
      <c r="A181" s="226"/>
      <c r="B181" s="244"/>
      <c r="C181" s="32" t="s">
        <v>23</v>
      </c>
      <c r="D181" s="32" t="s">
        <v>12</v>
      </c>
      <c r="E181" s="33">
        <v>0.4</v>
      </c>
      <c r="F181" s="27">
        <v>18.420500000000001</v>
      </c>
      <c r="G181" s="30">
        <f t="shared" si="2"/>
        <v>7.3682000000000007</v>
      </c>
      <c r="H181" s="35">
        <f>SUM(G181:G181)</f>
        <v>7.3682000000000007</v>
      </c>
      <c r="I181" s="36"/>
      <c r="J181" s="141">
        <v>0</v>
      </c>
    </row>
    <row r="182" spans="1:10" ht="15.75" hidden="1" thickBot="1" x14ac:dyDescent="0.3">
      <c r="A182" s="227"/>
      <c r="B182" s="230"/>
      <c r="C182" s="32"/>
      <c r="D182" s="32"/>
      <c r="E182" s="33"/>
      <c r="F182" s="27" t="s">
        <v>523</v>
      </c>
      <c r="G182" s="27" t="str">
        <f t="shared" si="2"/>
        <v/>
      </c>
      <c r="H182" s="31"/>
      <c r="I182" s="27"/>
      <c r="J182" s="141">
        <v>0</v>
      </c>
    </row>
    <row r="183" spans="1:10" ht="15.75" thickBot="1" x14ac:dyDescent="0.3">
      <c r="A183" s="225" t="s">
        <v>71</v>
      </c>
      <c r="B183" s="228" t="str">
        <f>INDEX(Orçamentária!A:B,MATCH(Composições!A183,Orçamentária!A:A,0),2)</f>
        <v>Remoção de placas de forro</v>
      </c>
      <c r="C183" s="37"/>
      <c r="D183" s="22" t="str">
        <f>TRIM(INDEX(Orçamentária!C:C,MATCH(Composições!A183,Orçamentária!A:A,0),1))</f>
        <v>m2</v>
      </c>
      <c r="E183" s="23"/>
      <c r="F183" s="38" t="s">
        <v>523</v>
      </c>
      <c r="G183" s="24" t="str">
        <f t="shared" si="2"/>
        <v/>
      </c>
      <c r="H183" s="25"/>
      <c r="I183" s="26"/>
      <c r="J183" s="141">
        <v>1054.2</v>
      </c>
    </row>
    <row r="184" spans="1:10" x14ac:dyDescent="0.25">
      <c r="A184" s="226"/>
      <c r="B184" s="244"/>
      <c r="C184" s="28"/>
      <c r="D184" s="28"/>
      <c r="E184" s="29"/>
      <c r="F184" s="39" t="s">
        <v>523</v>
      </c>
      <c r="G184" s="27" t="str">
        <f t="shared" si="2"/>
        <v/>
      </c>
      <c r="H184" s="31"/>
      <c r="I184" s="27"/>
      <c r="J184" s="141">
        <v>1054.2</v>
      </c>
    </row>
    <row r="185" spans="1:10" x14ac:dyDescent="0.25">
      <c r="A185" s="226"/>
      <c r="B185" s="244"/>
      <c r="C185" s="32" t="s">
        <v>27</v>
      </c>
      <c r="D185" s="32" t="s">
        <v>12</v>
      </c>
      <c r="E185" s="33">
        <f>0.0258*3</f>
        <v>7.7399999999999997E-2</v>
      </c>
      <c r="F185" s="27">
        <v>18.933499999999999</v>
      </c>
      <c r="G185" s="30">
        <f t="shared" si="2"/>
        <v>1.4654528999999998</v>
      </c>
      <c r="H185" s="35">
        <f>SUM(G185:G186)</f>
        <v>4.2672109499999999</v>
      </c>
      <c r="I185" s="36"/>
      <c r="J185" s="141">
        <v>1054.2</v>
      </c>
    </row>
    <row r="186" spans="1:10" x14ac:dyDescent="0.25">
      <c r="A186" s="226"/>
      <c r="B186" s="244"/>
      <c r="C186" s="32" t="s">
        <v>23</v>
      </c>
      <c r="D186" s="32" t="s">
        <v>12</v>
      </c>
      <c r="E186" s="33">
        <f>0.0507*3</f>
        <v>0.15210000000000001</v>
      </c>
      <c r="F186" s="27">
        <v>18.420500000000001</v>
      </c>
      <c r="G186" s="30">
        <f t="shared" si="2"/>
        <v>2.8017580500000001</v>
      </c>
      <c r="H186" s="31"/>
      <c r="I186" s="27"/>
      <c r="J186" s="141">
        <v>1054.2</v>
      </c>
    </row>
    <row r="187" spans="1:10" x14ac:dyDescent="0.25">
      <c r="A187" s="226"/>
      <c r="B187" s="244"/>
      <c r="C187" s="32"/>
      <c r="D187" s="32"/>
      <c r="E187" s="33"/>
      <c r="F187" s="27" t="s">
        <v>523</v>
      </c>
      <c r="G187" s="30" t="str">
        <f t="shared" si="2"/>
        <v/>
      </c>
      <c r="H187" s="31"/>
      <c r="I187" s="27"/>
      <c r="J187" s="141">
        <v>1054.2</v>
      </c>
    </row>
    <row r="188" spans="1:10" x14ac:dyDescent="0.25">
      <c r="A188" s="226"/>
      <c r="B188" s="244"/>
      <c r="C188" s="44" t="s">
        <v>72</v>
      </c>
      <c r="D188" s="32"/>
      <c r="E188" s="33"/>
      <c r="F188" s="27" t="s">
        <v>523</v>
      </c>
      <c r="G188" s="30" t="str">
        <f t="shared" si="2"/>
        <v/>
      </c>
      <c r="H188" s="31"/>
      <c r="I188" s="27"/>
      <c r="J188" s="141">
        <v>1054.2</v>
      </c>
    </row>
    <row r="189" spans="1:10" ht="15.75" thickBot="1" x14ac:dyDescent="0.3">
      <c r="A189" s="227"/>
      <c r="B189" s="230"/>
      <c r="C189" s="32"/>
      <c r="D189" s="32"/>
      <c r="E189" s="33"/>
      <c r="F189" s="27" t="s">
        <v>523</v>
      </c>
      <c r="G189" s="27" t="str">
        <f t="shared" si="2"/>
        <v/>
      </c>
      <c r="H189" s="31"/>
      <c r="I189" s="27"/>
      <c r="J189" s="141">
        <v>1054.2</v>
      </c>
    </row>
    <row r="190" spans="1:10" ht="15.75" hidden="1" thickBot="1" x14ac:dyDescent="0.3">
      <c r="A190" s="225" t="s">
        <v>73</v>
      </c>
      <c r="B190" s="228" t="str">
        <f>INDEX(Orçamentária!A:B,MATCH(Composições!A190,Orçamentária!A:A,0),2)</f>
        <v>Remoção de quadros de elétricos ou de telecomunicações</v>
      </c>
      <c r="C190" s="37"/>
      <c r="D190" s="22" t="str">
        <f>TRIM(INDEX(Orçamentária!C:C,MATCH(Composições!A190,Orçamentária!A:A,0),1))</f>
        <v>un</v>
      </c>
      <c r="E190" s="23"/>
      <c r="F190" s="38" t="s">
        <v>523</v>
      </c>
      <c r="G190" s="24" t="str">
        <f t="shared" si="2"/>
        <v/>
      </c>
      <c r="H190" s="25"/>
      <c r="I190" s="26"/>
      <c r="J190" s="141">
        <v>0</v>
      </c>
    </row>
    <row r="191" spans="1:10" ht="15.75" hidden="1" thickBot="1" x14ac:dyDescent="0.3">
      <c r="A191" s="226"/>
      <c r="B191" s="244"/>
      <c r="C191" s="28"/>
      <c r="D191" s="28"/>
      <c r="E191" s="29"/>
      <c r="F191" s="39" t="s">
        <v>523</v>
      </c>
      <c r="G191" s="27" t="str">
        <f t="shared" si="2"/>
        <v/>
      </c>
      <c r="H191" s="31"/>
      <c r="I191" s="27"/>
      <c r="J191" s="141">
        <v>0</v>
      </c>
    </row>
    <row r="192" spans="1:10" ht="15.75" hidden="1" thickBot="1" x14ac:dyDescent="0.3">
      <c r="A192" s="226"/>
      <c r="B192" s="244"/>
      <c r="C192" s="32" t="s">
        <v>74</v>
      </c>
      <c r="D192" s="32" t="s">
        <v>12</v>
      </c>
      <c r="E192" s="33">
        <v>0.5</v>
      </c>
      <c r="F192" s="27">
        <v>19.4085</v>
      </c>
      <c r="G192" s="30">
        <f t="shared" si="2"/>
        <v>9.70425</v>
      </c>
      <c r="H192" s="35">
        <f>SUM(G192:G195)</f>
        <v>65.587999999999994</v>
      </c>
      <c r="I192" s="36"/>
      <c r="J192" s="141">
        <v>0</v>
      </c>
    </row>
    <row r="193" spans="1:10" ht="15.75" hidden="1" thickBot="1" x14ac:dyDescent="0.3">
      <c r="A193" s="226"/>
      <c r="B193" s="244"/>
      <c r="C193" s="32" t="s">
        <v>30</v>
      </c>
      <c r="D193" s="32" t="s">
        <v>12</v>
      </c>
      <c r="E193" s="33">
        <v>0.5</v>
      </c>
      <c r="F193" s="27">
        <v>25.146499999999996</v>
      </c>
      <c r="G193" s="30">
        <f t="shared" si="2"/>
        <v>12.573249999999998</v>
      </c>
      <c r="H193" s="31"/>
      <c r="I193" s="27"/>
      <c r="J193" s="141">
        <v>0</v>
      </c>
    </row>
    <row r="194" spans="1:10" ht="15.75" hidden="1" thickBot="1" x14ac:dyDescent="0.3">
      <c r="A194" s="226"/>
      <c r="B194" s="244"/>
      <c r="C194" s="32" t="s">
        <v>22</v>
      </c>
      <c r="D194" s="32" t="s">
        <v>12</v>
      </c>
      <c r="E194" s="33">
        <v>1</v>
      </c>
      <c r="F194" s="27">
        <v>24.889999999999997</v>
      </c>
      <c r="G194" s="30">
        <f t="shared" si="2"/>
        <v>24.889999999999997</v>
      </c>
      <c r="H194" s="31"/>
      <c r="I194" s="27"/>
      <c r="J194" s="141">
        <v>0</v>
      </c>
    </row>
    <row r="195" spans="1:10" ht="15.75" hidden="1" thickBot="1" x14ac:dyDescent="0.3">
      <c r="A195" s="226"/>
      <c r="B195" s="244"/>
      <c r="C195" s="32" t="s">
        <v>23</v>
      </c>
      <c r="D195" s="32" t="s">
        <v>12</v>
      </c>
      <c r="E195" s="33">
        <v>1</v>
      </c>
      <c r="F195" s="27">
        <v>18.420500000000001</v>
      </c>
      <c r="G195" s="30">
        <f t="shared" si="2"/>
        <v>18.420500000000001</v>
      </c>
      <c r="H195" s="31"/>
      <c r="I195" s="27"/>
      <c r="J195" s="141">
        <v>0</v>
      </c>
    </row>
    <row r="196" spans="1:10" ht="15.75" hidden="1" thickBot="1" x14ac:dyDescent="0.3">
      <c r="A196" s="227"/>
      <c r="B196" s="230"/>
      <c r="C196" s="32"/>
      <c r="D196" s="32"/>
      <c r="E196" s="33"/>
      <c r="F196" s="27" t="s">
        <v>523</v>
      </c>
      <c r="G196" s="27" t="str">
        <f t="shared" si="2"/>
        <v/>
      </c>
      <c r="H196" s="31"/>
      <c r="I196" s="27"/>
      <c r="J196" s="141">
        <v>0</v>
      </c>
    </row>
    <row r="197" spans="1:10" ht="15.75" hidden="1" thickBot="1" x14ac:dyDescent="0.3">
      <c r="A197" s="225" t="s">
        <v>75</v>
      </c>
      <c r="B197" s="228" t="str">
        <f>INDEX(Orçamentária!A:B,MATCH(Composições!A197,Orçamentária!A:A,0),2)</f>
        <v>Remoção de revestimento acústico</v>
      </c>
      <c r="C197" s="37"/>
      <c r="D197" s="22" t="str">
        <f>TRIM(INDEX(Orçamentária!C:C,MATCH(Composições!A197,Orçamentária!A:A,0),1))</f>
        <v>m2</v>
      </c>
      <c r="E197" s="23"/>
      <c r="F197" s="38" t="s">
        <v>523</v>
      </c>
      <c r="G197" s="24" t="str">
        <f t="shared" si="2"/>
        <v/>
      </c>
      <c r="H197" s="25"/>
      <c r="I197" s="26"/>
      <c r="J197" s="141">
        <v>0</v>
      </c>
    </row>
    <row r="198" spans="1:10" ht="15.75" hidden="1" thickBot="1" x14ac:dyDescent="0.3">
      <c r="A198" s="226"/>
      <c r="B198" s="244"/>
      <c r="C198" s="28"/>
      <c r="D198" s="28"/>
      <c r="E198" s="29"/>
      <c r="F198" s="39" t="s">
        <v>523</v>
      </c>
      <c r="G198" s="27" t="str">
        <f t="shared" ref="G198:G261" si="3">IF(ISNUMBER(F198),E198*F198,"")</f>
        <v/>
      </c>
      <c r="H198" s="31"/>
      <c r="I198" s="27"/>
      <c r="J198" s="141">
        <v>0</v>
      </c>
    </row>
    <row r="199" spans="1:10" ht="15.75" hidden="1" thickBot="1" x14ac:dyDescent="0.3">
      <c r="A199" s="226"/>
      <c r="B199" s="244"/>
      <c r="C199" s="32" t="s">
        <v>23</v>
      </c>
      <c r="D199" s="32" t="s">
        <v>12</v>
      </c>
      <c r="E199" s="33">
        <v>0.2</v>
      </c>
      <c r="F199" s="27">
        <v>18.420500000000001</v>
      </c>
      <c r="G199" s="30">
        <f t="shared" si="3"/>
        <v>3.6841000000000004</v>
      </c>
      <c r="H199" s="35">
        <f>SUM(G199:G199)</f>
        <v>3.6841000000000004</v>
      </c>
      <c r="I199" s="36"/>
      <c r="J199" s="141">
        <v>0</v>
      </c>
    </row>
    <row r="200" spans="1:10" ht="15.75" hidden="1" thickBot="1" x14ac:dyDescent="0.3">
      <c r="A200" s="227"/>
      <c r="B200" s="230"/>
      <c r="C200" s="32"/>
      <c r="D200" s="32"/>
      <c r="E200" s="33"/>
      <c r="F200" s="27" t="s">
        <v>523</v>
      </c>
      <c r="G200" s="27" t="str">
        <f t="shared" si="3"/>
        <v/>
      </c>
      <c r="H200" s="31"/>
      <c r="I200" s="27"/>
      <c r="J200" s="141">
        <v>0</v>
      </c>
    </row>
    <row r="201" spans="1:10" ht="15.75" hidden="1" thickBot="1" x14ac:dyDescent="0.3">
      <c r="A201" s="225" t="s">
        <v>76</v>
      </c>
      <c r="B201" s="228" t="str">
        <f>INDEX(Orçamentária!A:B,MATCH(Composições!A201,Orçamentária!A:A,0),2)</f>
        <v>Remoção de rodapé/rodabanca de mármore ou granito</v>
      </c>
      <c r="C201" s="37"/>
      <c r="D201" s="22" t="str">
        <f>TRIM(INDEX(Orçamentária!C:C,MATCH(Composições!A201,Orçamentária!A:A,0),1))</f>
        <v>m</v>
      </c>
      <c r="E201" s="23"/>
      <c r="F201" s="38" t="s">
        <v>523</v>
      </c>
      <c r="G201" s="24" t="str">
        <f t="shared" si="3"/>
        <v/>
      </c>
      <c r="H201" s="25"/>
      <c r="I201" s="26"/>
      <c r="J201" s="141">
        <v>0</v>
      </c>
    </row>
    <row r="202" spans="1:10" ht="15.75" hidden="1" thickBot="1" x14ac:dyDescent="0.3">
      <c r="A202" s="226"/>
      <c r="B202" s="244"/>
      <c r="C202" s="28"/>
      <c r="D202" s="28"/>
      <c r="E202" s="29"/>
      <c r="F202" s="39" t="s">
        <v>523</v>
      </c>
      <c r="G202" s="27" t="str">
        <f t="shared" si="3"/>
        <v/>
      </c>
      <c r="H202" s="31"/>
      <c r="I202" s="27"/>
      <c r="J202" s="141">
        <v>0</v>
      </c>
    </row>
    <row r="203" spans="1:10" ht="15.75" hidden="1" thickBot="1" x14ac:dyDescent="0.3">
      <c r="A203" s="226"/>
      <c r="B203" s="244"/>
      <c r="C203" s="32" t="s">
        <v>23</v>
      </c>
      <c r="D203" s="32" t="s">
        <v>12</v>
      </c>
      <c r="E203" s="33">
        <f>0.437*0.2</f>
        <v>8.7400000000000005E-2</v>
      </c>
      <c r="F203" s="27">
        <v>18.420500000000001</v>
      </c>
      <c r="G203" s="30">
        <f t="shared" si="3"/>
        <v>1.6099517000000001</v>
      </c>
      <c r="H203" s="35">
        <f>SUM(G203:G203)</f>
        <v>1.6099517000000001</v>
      </c>
      <c r="I203" s="36"/>
      <c r="J203" s="141">
        <v>0</v>
      </c>
    </row>
    <row r="204" spans="1:10" ht="15.75" hidden="1" thickBot="1" x14ac:dyDescent="0.3">
      <c r="A204" s="226"/>
      <c r="B204" s="244"/>
      <c r="C204" s="32"/>
      <c r="D204" s="32"/>
      <c r="E204" s="33"/>
      <c r="F204" s="27" t="s">
        <v>523</v>
      </c>
      <c r="G204" s="30" t="str">
        <f t="shared" si="3"/>
        <v/>
      </c>
      <c r="H204" s="31"/>
      <c r="I204" s="27"/>
      <c r="J204" s="141">
        <v>0</v>
      </c>
    </row>
    <row r="205" spans="1:10" ht="15.75" hidden="1" thickBot="1" x14ac:dyDescent="0.3">
      <c r="A205" s="225" t="s">
        <v>77</v>
      </c>
      <c r="B205" s="228" t="str">
        <f>INDEX(Orçamentária!A:B,MATCH(Composições!A205,Orçamentária!A:A,0),2)</f>
        <v>Remoção de rodapés de madeira</v>
      </c>
      <c r="C205" s="37"/>
      <c r="D205" s="22" t="str">
        <f>TRIM(INDEX(Orçamentária!C:C,MATCH(Composições!A205,Orçamentária!A:A,0),1))</f>
        <v>m2</v>
      </c>
      <c r="E205" s="23"/>
      <c r="F205" s="38" t="s">
        <v>523</v>
      </c>
      <c r="G205" s="24" t="str">
        <f t="shared" si="3"/>
        <v/>
      </c>
      <c r="H205" s="25"/>
      <c r="I205" s="26"/>
      <c r="J205" s="141">
        <v>0</v>
      </c>
    </row>
    <row r="206" spans="1:10" ht="15.75" hidden="1" thickBot="1" x14ac:dyDescent="0.3">
      <c r="A206" s="226"/>
      <c r="B206" s="244"/>
      <c r="C206" s="28"/>
      <c r="D206" s="28"/>
      <c r="E206" s="29"/>
      <c r="F206" s="39" t="s">
        <v>523</v>
      </c>
      <c r="G206" s="27" t="str">
        <f t="shared" si="3"/>
        <v/>
      </c>
      <c r="H206" s="31"/>
      <c r="I206" s="27"/>
      <c r="J206" s="141">
        <v>0</v>
      </c>
    </row>
    <row r="207" spans="1:10" ht="15.75" hidden="1" thickBot="1" x14ac:dyDescent="0.3">
      <c r="A207" s="226"/>
      <c r="B207" s="244"/>
      <c r="C207" s="32" t="s">
        <v>78</v>
      </c>
      <c r="D207" s="32" t="s">
        <v>12</v>
      </c>
      <c r="E207" s="33">
        <v>0.25</v>
      </c>
      <c r="F207" s="27">
        <v>24.633499999999998</v>
      </c>
      <c r="G207" s="27">
        <f t="shared" si="3"/>
        <v>6.1583749999999995</v>
      </c>
      <c r="H207" s="35">
        <f>SUM(G207:G208)</f>
        <v>6.6188874999999996</v>
      </c>
      <c r="I207" s="36"/>
      <c r="J207" s="141">
        <v>0</v>
      </c>
    </row>
    <row r="208" spans="1:10" ht="15.75" hidden="1" thickBot="1" x14ac:dyDescent="0.3">
      <c r="A208" s="226"/>
      <c r="B208" s="244"/>
      <c r="C208" s="32" t="s">
        <v>23</v>
      </c>
      <c r="D208" s="43" t="s">
        <v>12</v>
      </c>
      <c r="E208" s="33">
        <v>2.5000000000000001E-2</v>
      </c>
      <c r="F208" s="27">
        <v>18.420500000000001</v>
      </c>
      <c r="G208" s="30">
        <f t="shared" si="3"/>
        <v>0.46051250000000005</v>
      </c>
      <c r="H208" s="31"/>
      <c r="I208" s="27"/>
      <c r="J208" s="141">
        <v>0</v>
      </c>
    </row>
    <row r="209" spans="1:10" ht="15.75" hidden="1" thickBot="1" x14ac:dyDescent="0.3">
      <c r="A209" s="227"/>
      <c r="B209" s="230"/>
      <c r="C209" s="32"/>
      <c r="D209" s="32"/>
      <c r="E209" s="33"/>
      <c r="F209" s="27" t="s">
        <v>523</v>
      </c>
      <c r="G209" s="27" t="str">
        <f t="shared" si="3"/>
        <v/>
      </c>
      <c r="H209" s="31"/>
      <c r="I209" s="27"/>
      <c r="J209" s="141">
        <v>0</v>
      </c>
    </row>
    <row r="210" spans="1:10" ht="15.75" hidden="1" thickBot="1" x14ac:dyDescent="0.3">
      <c r="A210" s="225" t="s">
        <v>79</v>
      </c>
      <c r="B210" s="228" t="str">
        <f>INDEX(Orçamentária!A:B,MATCH(Composições!A210,Orçamentária!A:A,0),2)</f>
        <v>Remoção de soleira de mármore ou granito</v>
      </c>
      <c r="C210" s="37"/>
      <c r="D210" s="22" t="str">
        <f>TRIM(INDEX(Orçamentária!C:C,MATCH(Composições!A210,Orçamentária!A:A,0),1))</f>
        <v>m</v>
      </c>
      <c r="E210" s="23"/>
      <c r="F210" s="38" t="s">
        <v>523</v>
      </c>
      <c r="G210" s="24" t="str">
        <f t="shared" si="3"/>
        <v/>
      </c>
      <c r="H210" s="25"/>
      <c r="I210" s="26"/>
      <c r="J210" s="141">
        <v>0</v>
      </c>
    </row>
    <row r="211" spans="1:10" ht="15.75" hidden="1" thickBot="1" x14ac:dyDescent="0.3">
      <c r="A211" s="226"/>
      <c r="B211" s="244"/>
      <c r="C211" s="28"/>
      <c r="D211" s="28"/>
      <c r="E211" s="29"/>
      <c r="F211" s="39" t="s">
        <v>523</v>
      </c>
      <c r="G211" s="27" t="str">
        <f t="shared" si="3"/>
        <v/>
      </c>
      <c r="H211" s="31"/>
      <c r="I211" s="27"/>
      <c r="J211" s="141">
        <v>0</v>
      </c>
    </row>
    <row r="212" spans="1:10" ht="15.75" hidden="1" thickBot="1" x14ac:dyDescent="0.3">
      <c r="A212" s="226"/>
      <c r="B212" s="244"/>
      <c r="C212" s="32" t="s">
        <v>23</v>
      </c>
      <c r="D212" s="32" t="s">
        <v>12</v>
      </c>
      <c r="E212" s="33">
        <v>0.55000000000000004</v>
      </c>
      <c r="F212" s="27">
        <v>18.420500000000001</v>
      </c>
      <c r="G212" s="30">
        <f t="shared" si="3"/>
        <v>10.131275</v>
      </c>
      <c r="H212" s="35">
        <f>SUM(G212:G212)</f>
        <v>10.131275</v>
      </c>
      <c r="I212" s="36"/>
      <c r="J212" s="141">
        <v>0</v>
      </c>
    </row>
    <row r="213" spans="1:10" ht="15.75" hidden="1" thickBot="1" x14ac:dyDescent="0.3">
      <c r="A213" s="227"/>
      <c r="B213" s="230"/>
      <c r="C213" s="32"/>
      <c r="D213" s="32"/>
      <c r="E213" s="33"/>
      <c r="F213" s="27" t="s">
        <v>523</v>
      </c>
      <c r="G213" s="27" t="str">
        <f t="shared" si="3"/>
        <v/>
      </c>
      <c r="H213" s="31"/>
      <c r="I213" s="27"/>
      <c r="J213" s="141">
        <v>0</v>
      </c>
    </row>
    <row r="214" spans="1:10" ht="15.75" hidden="1" thickBot="1" x14ac:dyDescent="0.3">
      <c r="A214" s="225" t="s">
        <v>80</v>
      </c>
      <c r="B214" s="228" t="str">
        <f>INDEX(Orçamentária!A:B,MATCH(Composições!A214,Orçamentária!A:A,0),2)</f>
        <v>Remoção de split/fancolete/ACJ (equipamento unitário)</v>
      </c>
      <c r="C214" s="37"/>
      <c r="D214" s="22" t="str">
        <f>TRIM(INDEX(Orçamentária!C:C,MATCH(Composições!A214,Orçamentária!A:A,0),1))</f>
        <v>un</v>
      </c>
      <c r="E214" s="23"/>
      <c r="F214" s="38" t="s">
        <v>523</v>
      </c>
      <c r="G214" s="24" t="str">
        <f t="shared" si="3"/>
        <v/>
      </c>
      <c r="H214" s="25"/>
      <c r="I214" s="26"/>
      <c r="J214" s="141">
        <v>0</v>
      </c>
    </row>
    <row r="215" spans="1:10" ht="15.75" hidden="1" thickBot="1" x14ac:dyDescent="0.3">
      <c r="A215" s="226"/>
      <c r="B215" s="244"/>
      <c r="C215" s="28"/>
      <c r="D215" s="28"/>
      <c r="E215" s="29"/>
      <c r="F215" s="39" t="s">
        <v>523</v>
      </c>
      <c r="G215" s="27" t="str">
        <f t="shared" si="3"/>
        <v/>
      </c>
      <c r="H215" s="31"/>
      <c r="I215" s="27"/>
      <c r="J215" s="141">
        <v>0</v>
      </c>
    </row>
    <row r="216" spans="1:10" ht="15.75" hidden="1" thickBot="1" x14ac:dyDescent="0.3">
      <c r="A216" s="226"/>
      <c r="B216" s="244"/>
      <c r="C216" s="32" t="s">
        <v>81</v>
      </c>
      <c r="D216" s="43" t="s">
        <v>12</v>
      </c>
      <c r="E216" s="33">
        <v>1</v>
      </c>
      <c r="F216" s="27">
        <v>26.419499999999999</v>
      </c>
      <c r="G216" s="27">
        <f t="shared" si="3"/>
        <v>26.419499999999999</v>
      </c>
      <c r="H216" s="35">
        <f>SUM(G216:G217)</f>
        <v>47.604500000000002</v>
      </c>
      <c r="I216" s="36"/>
      <c r="J216" s="141">
        <v>0</v>
      </c>
    </row>
    <row r="217" spans="1:10" ht="15.75" hidden="1" thickBot="1" x14ac:dyDescent="0.3">
      <c r="A217" s="226"/>
      <c r="B217" s="244"/>
      <c r="C217" s="32" t="s">
        <v>52</v>
      </c>
      <c r="D217" s="43" t="s">
        <v>12</v>
      </c>
      <c r="E217" s="33">
        <v>1</v>
      </c>
      <c r="F217" s="27">
        <v>21.184999999999999</v>
      </c>
      <c r="G217" s="30">
        <f t="shared" si="3"/>
        <v>21.184999999999999</v>
      </c>
      <c r="H217" s="31"/>
      <c r="I217" s="27"/>
      <c r="J217" s="141">
        <v>0</v>
      </c>
    </row>
    <row r="218" spans="1:10" ht="15.75" hidden="1" thickBot="1" x14ac:dyDescent="0.3">
      <c r="A218" s="227"/>
      <c r="B218" s="230"/>
      <c r="C218" s="32"/>
      <c r="D218" s="32"/>
      <c r="E218" s="33"/>
      <c r="F218" s="27" t="s">
        <v>523</v>
      </c>
      <c r="G218" s="27" t="str">
        <f t="shared" si="3"/>
        <v/>
      </c>
      <c r="H218" s="31"/>
      <c r="I218" s="27"/>
      <c r="J218" s="141">
        <v>0</v>
      </c>
    </row>
    <row r="219" spans="1:10" ht="15.75" hidden="1" thickBot="1" x14ac:dyDescent="0.3">
      <c r="A219" s="225" t="s">
        <v>82</v>
      </c>
      <c r="B219" s="228" t="str">
        <f>INDEX(Orçamentária!A:B,MATCH(Composições!A219,Orçamentária!A:A,0),2)</f>
        <v>Remoção de vidro comum / espelho</v>
      </c>
      <c r="C219" s="37"/>
      <c r="D219" s="22" t="str">
        <f>TRIM(INDEX(Orçamentária!C:C,MATCH(Composições!A219,Orçamentária!A:A,0),1))</f>
        <v>m2</v>
      </c>
      <c r="E219" s="23"/>
      <c r="F219" s="38" t="s">
        <v>523</v>
      </c>
      <c r="G219" s="24" t="str">
        <f t="shared" si="3"/>
        <v/>
      </c>
      <c r="H219" s="25"/>
      <c r="I219" s="26"/>
      <c r="J219" s="141">
        <v>0</v>
      </c>
    </row>
    <row r="220" spans="1:10" ht="15.75" hidden="1" thickBot="1" x14ac:dyDescent="0.3">
      <c r="A220" s="226"/>
      <c r="B220" s="244"/>
      <c r="C220" s="28"/>
      <c r="D220" s="28"/>
      <c r="E220" s="29"/>
      <c r="F220" s="39" t="s">
        <v>523</v>
      </c>
      <c r="G220" s="27" t="str">
        <f t="shared" si="3"/>
        <v/>
      </c>
      <c r="H220" s="31"/>
      <c r="I220" s="27"/>
      <c r="J220" s="141">
        <v>0</v>
      </c>
    </row>
    <row r="221" spans="1:10" ht="15.75" hidden="1" thickBot="1" x14ac:dyDescent="0.3">
      <c r="A221" s="226"/>
      <c r="B221" s="244"/>
      <c r="C221" s="32" t="s">
        <v>23</v>
      </c>
      <c r="D221" s="32" t="s">
        <v>12</v>
      </c>
      <c r="E221" s="33">
        <v>0.39</v>
      </c>
      <c r="F221" s="27">
        <v>18.420500000000001</v>
      </c>
      <c r="G221" s="30">
        <f t="shared" si="3"/>
        <v>7.1839950000000004</v>
      </c>
      <c r="H221" s="35">
        <f>SUM(G221:G222)</f>
        <v>16.3915565</v>
      </c>
      <c r="I221" s="36"/>
      <c r="J221" s="141">
        <v>0</v>
      </c>
    </row>
    <row r="222" spans="1:10" ht="15.75" hidden="1" thickBot="1" x14ac:dyDescent="0.3">
      <c r="A222" s="226"/>
      <c r="B222" s="244"/>
      <c r="C222" s="32" t="s">
        <v>68</v>
      </c>
      <c r="D222" s="32" t="s">
        <v>12</v>
      </c>
      <c r="E222" s="33">
        <v>0.40100000000000002</v>
      </c>
      <c r="F222" s="27">
        <v>22.961500000000001</v>
      </c>
      <c r="G222" s="30">
        <f t="shared" si="3"/>
        <v>9.2075615000000006</v>
      </c>
      <c r="H222" s="31"/>
      <c r="I222" s="27"/>
      <c r="J222" s="141">
        <v>0</v>
      </c>
    </row>
    <row r="223" spans="1:10" ht="15.75" hidden="1" thickBot="1" x14ac:dyDescent="0.3">
      <c r="A223" s="227"/>
      <c r="B223" s="230"/>
      <c r="C223" s="32"/>
      <c r="D223" s="32"/>
      <c r="E223" s="33"/>
      <c r="F223" s="27" t="s">
        <v>523</v>
      </c>
      <c r="G223" s="27" t="str">
        <f t="shared" si="3"/>
        <v/>
      </c>
      <c r="H223" s="31"/>
      <c r="I223" s="27"/>
      <c r="J223" s="141">
        <v>0</v>
      </c>
    </row>
    <row r="224" spans="1:10" ht="15.75" hidden="1" thickBot="1" x14ac:dyDescent="0.3">
      <c r="A224" s="246" t="s">
        <v>83</v>
      </c>
      <c r="B224" s="228" t="str">
        <f>INDEX(Orçamentária!A:B,MATCH(Composições!A224,Orçamentária!A:A,0),2)</f>
        <v>Retirada de entulhos</v>
      </c>
      <c r="C224" s="37"/>
      <c r="D224" s="22" t="str">
        <f>TRIM(INDEX(Orçamentária!C:C,MATCH(Composições!A224,Orçamentária!A:A,0),1))</f>
        <v>m3</v>
      </c>
      <c r="E224" s="23"/>
      <c r="F224" s="38" t="s">
        <v>523</v>
      </c>
      <c r="G224" s="24" t="str">
        <f t="shared" si="3"/>
        <v/>
      </c>
      <c r="H224" s="25"/>
      <c r="I224" s="26"/>
      <c r="J224" s="141">
        <v>0</v>
      </c>
    </row>
    <row r="225" spans="1:10" ht="15.75" hidden="1" thickBot="1" x14ac:dyDescent="0.3">
      <c r="A225" s="247"/>
      <c r="B225" s="244"/>
      <c r="C225" s="28"/>
      <c r="D225" s="28"/>
      <c r="E225" s="29"/>
      <c r="F225" s="39" t="s">
        <v>523</v>
      </c>
      <c r="G225" s="27" t="str">
        <f t="shared" si="3"/>
        <v/>
      </c>
      <c r="H225" s="31"/>
      <c r="I225" s="27"/>
      <c r="J225" s="141">
        <v>0</v>
      </c>
    </row>
    <row r="226" spans="1:10" ht="15.75" hidden="1" thickBot="1" x14ac:dyDescent="0.3">
      <c r="A226" s="247"/>
      <c r="B226" s="244"/>
      <c r="C226" s="32" t="s">
        <v>23</v>
      </c>
      <c r="D226" s="32" t="s">
        <v>12</v>
      </c>
      <c r="E226" s="33">
        <v>1</v>
      </c>
      <c r="F226" s="27">
        <v>18.420500000000001</v>
      </c>
      <c r="G226" s="30">
        <f t="shared" si="3"/>
        <v>18.420500000000001</v>
      </c>
      <c r="H226" s="35">
        <f>SUM(G226:G226)</f>
        <v>18.420500000000001</v>
      </c>
      <c r="I226" s="36"/>
      <c r="J226" s="141">
        <v>0</v>
      </c>
    </row>
    <row r="227" spans="1:10" ht="15.75" hidden="1" thickBot="1" x14ac:dyDescent="0.3">
      <c r="A227" s="247"/>
      <c r="B227" s="244"/>
      <c r="C227" s="32"/>
      <c r="D227" s="32"/>
      <c r="E227" s="33"/>
      <c r="F227" s="27" t="s">
        <v>523</v>
      </c>
      <c r="G227" s="27" t="str">
        <f t="shared" si="3"/>
        <v/>
      </c>
      <c r="H227" s="31"/>
      <c r="I227" s="27"/>
      <c r="J227" s="141">
        <v>0</v>
      </c>
    </row>
    <row r="228" spans="1:10" ht="15.75" hidden="1" thickBot="1" x14ac:dyDescent="0.3">
      <c r="A228" s="246" t="s">
        <v>84</v>
      </c>
      <c r="B228" s="228" t="str">
        <f>INDEX(Orçamentária!A:B,MATCH(Composições!A228,Orçamentária!A:A,0),2)</f>
        <v>Andaime fachadeiro</v>
      </c>
      <c r="C228" s="37"/>
      <c r="D228" s="22" t="str">
        <f>TRIM(INDEX(Orçamentária!C:C,MATCH(Composições!A228,Orçamentária!A:A,0),1))</f>
        <v>m2 x mês</v>
      </c>
      <c r="E228" s="23"/>
      <c r="F228" s="38" t="s">
        <v>523</v>
      </c>
      <c r="G228" s="24" t="str">
        <f t="shared" si="3"/>
        <v/>
      </c>
      <c r="H228" s="25"/>
      <c r="I228" s="26"/>
      <c r="J228" s="141">
        <v>0</v>
      </c>
    </row>
    <row r="229" spans="1:10" ht="15.75" hidden="1" thickBot="1" x14ac:dyDescent="0.3">
      <c r="A229" s="247"/>
      <c r="B229" s="244"/>
      <c r="C229" s="28"/>
      <c r="D229" s="28"/>
      <c r="E229" s="29"/>
      <c r="F229" s="39" t="s">
        <v>523</v>
      </c>
      <c r="G229" s="27" t="str">
        <f t="shared" si="3"/>
        <v/>
      </c>
      <c r="H229" s="31"/>
      <c r="I229" s="27"/>
      <c r="J229" s="141">
        <v>0</v>
      </c>
    </row>
    <row r="230" spans="1:10" ht="39" hidden="1" thickBot="1" x14ac:dyDescent="0.3">
      <c r="A230" s="247"/>
      <c r="B230" s="244"/>
      <c r="C230" s="32" t="s">
        <v>85</v>
      </c>
      <c r="D230" s="32" t="s">
        <v>86</v>
      </c>
      <c r="E230" s="33">
        <v>1</v>
      </c>
      <c r="F230" s="27">
        <v>6.0134999999999996</v>
      </c>
      <c r="G230" s="30">
        <f t="shared" si="3"/>
        <v>6.0134999999999996</v>
      </c>
      <c r="H230" s="35">
        <f>SUM(G230:G230)</f>
        <v>6.0134999999999996</v>
      </c>
      <c r="I230" s="36"/>
      <c r="J230" s="141">
        <v>0</v>
      </c>
    </row>
    <row r="231" spans="1:10" ht="15.75" hidden="1" thickBot="1" x14ac:dyDescent="0.3">
      <c r="A231" s="247"/>
      <c r="B231" s="244"/>
      <c r="C231" s="32"/>
      <c r="D231" s="32"/>
      <c r="E231" s="33"/>
      <c r="F231" s="27" t="s">
        <v>523</v>
      </c>
      <c r="G231" s="27" t="str">
        <f t="shared" si="3"/>
        <v/>
      </c>
      <c r="H231" s="31"/>
      <c r="I231" s="27"/>
      <c r="J231" s="141">
        <v>0</v>
      </c>
    </row>
    <row r="232" spans="1:10" ht="15.75" hidden="1" thickBot="1" x14ac:dyDescent="0.3">
      <c r="A232" s="225" t="s">
        <v>87</v>
      </c>
      <c r="B232" s="228" t="str">
        <f>INDEX(Orçamentária!A:B,MATCH(Composições!A232,Orçamentária!A:A,0),2)</f>
        <v>Andaime tubular (aluguel/mês)</v>
      </c>
      <c r="C232" s="37"/>
      <c r="D232" s="22" t="str">
        <f>TRIM(INDEX(Orçamentária!C:C,MATCH(Composições!A232,Orçamentária!A:A,0),1))</f>
        <v>m x mês</v>
      </c>
      <c r="E232" s="23"/>
      <c r="F232" s="38" t="s">
        <v>523</v>
      </c>
      <c r="G232" s="24" t="str">
        <f t="shared" si="3"/>
        <v/>
      </c>
      <c r="H232" s="25"/>
      <c r="I232" s="26"/>
      <c r="J232" s="141">
        <v>0</v>
      </c>
    </row>
    <row r="233" spans="1:10" ht="15.75" hidden="1" thickBot="1" x14ac:dyDescent="0.3">
      <c r="A233" s="226"/>
      <c r="B233" s="244"/>
      <c r="C233" s="28"/>
      <c r="D233" s="28"/>
      <c r="E233" s="29"/>
      <c r="F233" s="39" t="s">
        <v>523</v>
      </c>
      <c r="G233" s="27" t="str">
        <f t="shared" si="3"/>
        <v/>
      </c>
      <c r="H233" s="31"/>
      <c r="I233" s="27"/>
      <c r="J233" s="141">
        <v>0</v>
      </c>
    </row>
    <row r="234" spans="1:10" ht="39" hidden="1" thickBot="1" x14ac:dyDescent="0.3">
      <c r="A234" s="226"/>
      <c r="B234" s="244"/>
      <c r="C234" s="32" t="s">
        <v>3736</v>
      </c>
      <c r="D234" s="43" t="s">
        <v>88</v>
      </c>
      <c r="E234" s="33">
        <v>1</v>
      </c>
      <c r="F234" s="27">
        <v>18.05</v>
      </c>
      <c r="G234" s="27">
        <f t="shared" si="3"/>
        <v>18.05</v>
      </c>
      <c r="H234" s="35">
        <f>SUM(G234:G234)</f>
        <v>18.05</v>
      </c>
      <c r="I234" s="36"/>
      <c r="J234" s="141">
        <v>0</v>
      </c>
    </row>
    <row r="235" spans="1:10" ht="15.75" hidden="1" thickBot="1" x14ac:dyDescent="0.3">
      <c r="A235" s="227"/>
      <c r="B235" s="230"/>
      <c r="C235" s="32"/>
      <c r="D235" s="32"/>
      <c r="E235" s="33"/>
      <c r="F235" s="27" t="s">
        <v>523</v>
      </c>
      <c r="G235" s="27" t="str">
        <f t="shared" si="3"/>
        <v/>
      </c>
      <c r="H235" s="31"/>
      <c r="I235" s="27"/>
      <c r="J235" s="141">
        <v>0</v>
      </c>
    </row>
    <row r="236" spans="1:10" ht="15.75" hidden="1" thickBot="1" x14ac:dyDescent="0.3">
      <c r="A236" s="246" t="s">
        <v>89</v>
      </c>
      <c r="B236" s="228" t="str">
        <f>INDEX(Orçamentária!A:B,MATCH(Composições!A236,Orçamentária!A:A,0),2)</f>
        <v>Corda de poliamida 12 mm tipo bombeiro, para trabalho em altura</v>
      </c>
      <c r="C236" s="37"/>
      <c r="D236" s="22" t="str">
        <f>TRIM(INDEX(Orçamentária!C:C,MATCH(Composições!A236,Orçamentária!A:A,0),1))</f>
        <v>m</v>
      </c>
      <c r="E236" s="23"/>
      <c r="F236" s="38" t="s">
        <v>523</v>
      </c>
      <c r="G236" s="24" t="str">
        <f t="shared" si="3"/>
        <v/>
      </c>
      <c r="H236" s="25"/>
      <c r="I236" s="26"/>
      <c r="J236" s="141">
        <v>0</v>
      </c>
    </row>
    <row r="237" spans="1:10" ht="15.75" hidden="1" thickBot="1" x14ac:dyDescent="0.3">
      <c r="A237" s="247"/>
      <c r="B237" s="244"/>
      <c r="C237" s="28"/>
      <c r="D237" s="28"/>
      <c r="E237" s="29"/>
      <c r="F237" s="39" t="s">
        <v>523</v>
      </c>
      <c r="G237" s="27" t="str">
        <f t="shared" si="3"/>
        <v/>
      </c>
      <c r="H237" s="31"/>
      <c r="I237" s="27"/>
      <c r="J237" s="141">
        <v>0</v>
      </c>
    </row>
    <row r="238" spans="1:10" ht="26.25" hidden="1" thickBot="1" x14ac:dyDescent="0.3">
      <c r="A238" s="247"/>
      <c r="B238" s="244"/>
      <c r="C238" s="32" t="s">
        <v>90</v>
      </c>
      <c r="D238" s="32" t="s">
        <v>91</v>
      </c>
      <c r="E238" s="33">
        <v>0.01</v>
      </c>
      <c r="F238" s="27">
        <v>632.14899999999989</v>
      </c>
      <c r="G238" s="30">
        <f t="shared" si="3"/>
        <v>6.3214899999999989</v>
      </c>
      <c r="H238" s="35">
        <f>SUM(G238:G238)</f>
        <v>6.3214899999999989</v>
      </c>
      <c r="I238" s="36"/>
      <c r="J238" s="141">
        <v>0</v>
      </c>
    </row>
    <row r="239" spans="1:10" ht="15.75" hidden="1" thickBot="1" x14ac:dyDescent="0.3">
      <c r="A239" s="247"/>
      <c r="B239" s="244"/>
      <c r="C239" s="32"/>
      <c r="D239" s="32"/>
      <c r="E239" s="33"/>
      <c r="F239" s="27" t="s">
        <v>523</v>
      </c>
      <c r="G239" s="27" t="str">
        <f t="shared" si="3"/>
        <v/>
      </c>
      <c r="H239" s="31"/>
      <c r="I239" s="27"/>
      <c r="J239" s="141">
        <v>0</v>
      </c>
    </row>
    <row r="240" spans="1:10" ht="15.75" hidden="1" thickBot="1" x14ac:dyDescent="0.3">
      <c r="A240" s="225" t="s">
        <v>92</v>
      </c>
      <c r="B240" s="228" t="str">
        <f>INDEX(Orçamentária!A:B,MATCH(Composições!A240,Orçamentária!A:A,0),2)</f>
        <v>Isolamento de obra com tela plástica com malha de 5mm e estrutura de madeira pontaleteada</v>
      </c>
      <c r="C240" s="37"/>
      <c r="D240" s="22" t="str">
        <f>TRIM(INDEX(Orçamentária!C:C,MATCH(Composições!A240,Orçamentária!A:A,0),1))</f>
        <v>m2</v>
      </c>
      <c r="E240" s="23"/>
      <c r="F240" s="45" t="s">
        <v>523</v>
      </c>
      <c r="G240" s="24" t="str">
        <f t="shared" si="3"/>
        <v/>
      </c>
      <c r="H240" s="25"/>
      <c r="I240" s="26"/>
      <c r="J240" s="141">
        <v>0</v>
      </c>
    </row>
    <row r="241" spans="1:10" ht="15.75" hidden="1" thickBot="1" x14ac:dyDescent="0.3">
      <c r="A241" s="226"/>
      <c r="B241" s="244"/>
      <c r="C241" s="28"/>
      <c r="D241" s="28"/>
      <c r="E241" s="29"/>
      <c r="F241" s="27" t="s">
        <v>523</v>
      </c>
      <c r="G241" s="27" t="str">
        <f t="shared" si="3"/>
        <v/>
      </c>
      <c r="H241" s="31"/>
      <c r="I241" s="27"/>
      <c r="J241" s="141">
        <v>0</v>
      </c>
    </row>
    <row r="242" spans="1:10" ht="15.75" hidden="1" thickBot="1" x14ac:dyDescent="0.3">
      <c r="A242" s="226"/>
      <c r="B242" s="244"/>
      <c r="C242" s="32" t="s">
        <v>23</v>
      </c>
      <c r="D242" s="32" t="s">
        <v>12</v>
      </c>
      <c r="E242" s="33">
        <v>0.15</v>
      </c>
      <c r="F242" s="27">
        <v>18.420500000000001</v>
      </c>
      <c r="G242" s="27">
        <f t="shared" si="3"/>
        <v>2.7630750000000002</v>
      </c>
      <c r="H242" s="35">
        <f>SUM(G242:G246)</f>
        <v>28.374124999999999</v>
      </c>
      <c r="I242" s="36"/>
      <c r="J242" s="141">
        <v>0</v>
      </c>
    </row>
    <row r="243" spans="1:10" ht="15.75" hidden="1" thickBot="1" x14ac:dyDescent="0.3">
      <c r="A243" s="226"/>
      <c r="B243" s="244"/>
      <c r="C243" s="32" t="s">
        <v>78</v>
      </c>
      <c r="D243" s="32" t="s">
        <v>12</v>
      </c>
      <c r="E243" s="33">
        <v>0.3</v>
      </c>
      <c r="F243" s="27">
        <v>24.633499999999998</v>
      </c>
      <c r="G243" s="27">
        <f t="shared" si="3"/>
        <v>7.3900499999999987</v>
      </c>
      <c r="H243" s="31"/>
      <c r="I243" s="27"/>
      <c r="J243" s="141">
        <v>0</v>
      </c>
    </row>
    <row r="244" spans="1:10" ht="26.25" hidden="1" thickBot="1" x14ac:dyDescent="0.3">
      <c r="A244" s="226"/>
      <c r="B244" s="244"/>
      <c r="C244" s="32" t="s">
        <v>3709</v>
      </c>
      <c r="D244" s="32" t="s">
        <v>93</v>
      </c>
      <c r="E244" s="33">
        <v>1.5</v>
      </c>
      <c r="F244" s="30">
        <v>8.5879999999999992</v>
      </c>
      <c r="G244" s="27">
        <f t="shared" si="3"/>
        <v>12.881999999999998</v>
      </c>
      <c r="H244" s="31"/>
      <c r="I244" s="27"/>
      <c r="J244" s="141">
        <v>0</v>
      </c>
    </row>
    <row r="245" spans="1:10" ht="15.75" hidden="1" thickBot="1" x14ac:dyDescent="0.3">
      <c r="A245" s="226"/>
      <c r="B245" s="244"/>
      <c r="C245" s="32" t="s">
        <v>94</v>
      </c>
      <c r="D245" s="32" t="s">
        <v>42</v>
      </c>
      <c r="E245" s="33">
        <v>0.1</v>
      </c>
      <c r="F245" s="30">
        <v>21.7075</v>
      </c>
      <c r="G245" s="27">
        <f t="shared" si="3"/>
        <v>2.17075</v>
      </c>
      <c r="H245" s="31"/>
      <c r="I245" s="27"/>
      <c r="J245" s="141">
        <v>0</v>
      </c>
    </row>
    <row r="246" spans="1:10" ht="26.25" hidden="1" thickBot="1" x14ac:dyDescent="0.3">
      <c r="A246" s="226"/>
      <c r="B246" s="244"/>
      <c r="C246" s="32" t="s">
        <v>3375</v>
      </c>
      <c r="D246" s="32" t="s">
        <v>93</v>
      </c>
      <c r="E246" s="33">
        <v>1.1499999999999999</v>
      </c>
      <c r="F246" s="30">
        <v>2.7549999999999999</v>
      </c>
      <c r="G246" s="27">
        <f t="shared" si="3"/>
        <v>3.1682499999999996</v>
      </c>
      <c r="H246" s="31"/>
      <c r="I246" s="27"/>
      <c r="J246" s="141">
        <v>0</v>
      </c>
    </row>
    <row r="247" spans="1:10" ht="15.75" hidden="1" thickBot="1" x14ac:dyDescent="0.3">
      <c r="A247" s="227"/>
      <c r="B247" s="230"/>
      <c r="C247" s="32"/>
      <c r="D247" s="32"/>
      <c r="E247" s="33"/>
      <c r="F247" s="27" t="s">
        <v>523</v>
      </c>
      <c r="G247" s="27" t="str">
        <f t="shared" si="3"/>
        <v/>
      </c>
      <c r="H247" s="31"/>
      <c r="I247" s="27"/>
      <c r="J247" s="141">
        <v>0</v>
      </c>
    </row>
    <row r="248" spans="1:10" ht="15.75" hidden="1" thickBot="1" x14ac:dyDescent="0.3">
      <c r="A248" s="225" t="s">
        <v>96</v>
      </c>
      <c r="B248" s="228" t="str">
        <f>INDEX(Orçamentária!A:B,MATCH(Composições!A248,Orçamentária!A:A,0),2)</f>
        <v>Tapume</v>
      </c>
      <c r="C248" s="37"/>
      <c r="D248" s="22" t="str">
        <f>TRIM(INDEX(Orçamentária!C:C,MATCH(Composições!A248,Orçamentária!A:A,0),1))</f>
        <v>m2</v>
      </c>
      <c r="E248" s="23"/>
      <c r="F248" s="38" t="s">
        <v>523</v>
      </c>
      <c r="G248" s="24" t="str">
        <f t="shared" si="3"/>
        <v/>
      </c>
      <c r="H248" s="25"/>
      <c r="I248" s="26"/>
      <c r="J248" s="141">
        <v>0</v>
      </c>
    </row>
    <row r="249" spans="1:10" ht="15.75" hidden="1" thickBot="1" x14ac:dyDescent="0.3">
      <c r="A249" s="226"/>
      <c r="B249" s="244"/>
      <c r="C249" s="28"/>
      <c r="D249" s="28"/>
      <c r="E249" s="29"/>
      <c r="F249" s="39" t="s">
        <v>523</v>
      </c>
      <c r="G249" s="27" t="str">
        <f t="shared" si="3"/>
        <v/>
      </c>
      <c r="H249" s="31"/>
      <c r="I249" s="27"/>
      <c r="J249" s="141">
        <v>0</v>
      </c>
    </row>
    <row r="250" spans="1:10" ht="15.75" hidden="1" thickBot="1" x14ac:dyDescent="0.3">
      <c r="A250" s="226"/>
      <c r="B250" s="244"/>
      <c r="C250" s="32" t="s">
        <v>78</v>
      </c>
      <c r="D250" s="32" t="s">
        <v>12</v>
      </c>
      <c r="E250" s="33">
        <v>0.4</v>
      </c>
      <c r="F250" s="27">
        <v>24.633499999999998</v>
      </c>
      <c r="G250" s="27">
        <f t="shared" si="3"/>
        <v>9.8534000000000006</v>
      </c>
      <c r="H250" s="35">
        <f>SUM(G250:G261)</f>
        <v>77.558175750000018</v>
      </c>
      <c r="I250" s="36"/>
      <c r="J250" s="141">
        <v>0</v>
      </c>
    </row>
    <row r="251" spans="1:10" ht="15.75" hidden="1" thickBot="1" x14ac:dyDescent="0.3">
      <c r="A251" s="226"/>
      <c r="B251" s="244"/>
      <c r="C251" s="32" t="s">
        <v>23</v>
      </c>
      <c r="D251" s="32" t="s">
        <v>12</v>
      </c>
      <c r="E251" s="33">
        <v>0.4</v>
      </c>
      <c r="F251" s="27">
        <v>18.420500000000001</v>
      </c>
      <c r="G251" s="27">
        <f t="shared" si="3"/>
        <v>7.3682000000000007</v>
      </c>
      <c r="H251" s="31"/>
      <c r="I251" s="27"/>
      <c r="J251" s="141">
        <v>0</v>
      </c>
    </row>
    <row r="252" spans="1:10" ht="15.75" hidden="1" thickBot="1" x14ac:dyDescent="0.3">
      <c r="A252" s="226"/>
      <c r="B252" s="244"/>
      <c r="C252" s="32" t="s">
        <v>97</v>
      </c>
      <c r="D252" s="32" t="s">
        <v>95</v>
      </c>
      <c r="E252" s="33">
        <v>1.1000000000000001</v>
      </c>
      <c r="F252" s="27">
        <v>0</v>
      </c>
      <c r="G252" s="27">
        <f t="shared" si="3"/>
        <v>0</v>
      </c>
      <c r="H252" s="31"/>
      <c r="I252" s="27"/>
      <c r="J252" s="141">
        <v>0</v>
      </c>
    </row>
    <row r="253" spans="1:10" ht="26.25" hidden="1" thickBot="1" x14ac:dyDescent="0.3">
      <c r="A253" s="226"/>
      <c r="B253" s="244"/>
      <c r="C253" s="32" t="s">
        <v>3709</v>
      </c>
      <c r="D253" s="32" t="s">
        <v>93</v>
      </c>
      <c r="E253" s="33">
        <v>1.6</v>
      </c>
      <c r="F253" s="30">
        <v>8.5879999999999992</v>
      </c>
      <c r="G253" s="27">
        <f t="shared" si="3"/>
        <v>13.7408</v>
      </c>
      <c r="H253" s="31"/>
      <c r="I253" s="27"/>
      <c r="J253" s="141">
        <v>0</v>
      </c>
    </row>
    <row r="254" spans="1:10" ht="26.25" hidden="1" thickBot="1" x14ac:dyDescent="0.3">
      <c r="A254" s="226"/>
      <c r="B254" s="244"/>
      <c r="C254" s="32" t="s">
        <v>6623</v>
      </c>
      <c r="D254" s="32" t="s">
        <v>93</v>
      </c>
      <c r="E254" s="33">
        <v>1.65</v>
      </c>
      <c r="F254" s="30">
        <v>10.592499999999999</v>
      </c>
      <c r="G254" s="27">
        <f t="shared" si="3"/>
        <v>17.477625</v>
      </c>
      <c r="H254" s="31"/>
      <c r="I254" s="27"/>
      <c r="J254" s="141">
        <v>0</v>
      </c>
    </row>
    <row r="255" spans="1:10" ht="26.25" hidden="1" thickBot="1" x14ac:dyDescent="0.3">
      <c r="A255" s="226"/>
      <c r="B255" s="244"/>
      <c r="C255" s="32" t="s">
        <v>3759</v>
      </c>
      <c r="D255" s="32" t="s">
        <v>93</v>
      </c>
      <c r="E255" s="33">
        <v>0.5</v>
      </c>
      <c r="F255" s="30">
        <v>30.950999999999997</v>
      </c>
      <c r="G255" s="27">
        <f t="shared" si="3"/>
        <v>15.475499999999998</v>
      </c>
      <c r="H255" s="31"/>
      <c r="I255" s="27"/>
      <c r="J255" s="141">
        <v>0</v>
      </c>
    </row>
    <row r="256" spans="1:10" ht="15.75" hidden="1" thickBot="1" x14ac:dyDescent="0.3">
      <c r="A256" s="226"/>
      <c r="B256" s="244"/>
      <c r="C256" s="32" t="s">
        <v>98</v>
      </c>
      <c r="D256" s="32" t="s">
        <v>42</v>
      </c>
      <c r="E256" s="33">
        <v>0.1</v>
      </c>
      <c r="F256" s="30">
        <v>22.077999999999996</v>
      </c>
      <c r="G256" s="27">
        <f t="shared" si="3"/>
        <v>2.2077999999999998</v>
      </c>
      <c r="H256" s="31"/>
      <c r="I256" s="27"/>
      <c r="J256" s="141">
        <v>0</v>
      </c>
    </row>
    <row r="257" spans="1:10" ht="15.75" hidden="1" thickBot="1" x14ac:dyDescent="0.3">
      <c r="A257" s="226"/>
      <c r="B257" s="244"/>
      <c r="C257" s="32" t="s">
        <v>99</v>
      </c>
      <c r="D257" s="32" t="s">
        <v>705</v>
      </c>
      <c r="E257" s="33">
        <v>1.5E-3</v>
      </c>
      <c r="F257" s="30">
        <v>20.700499999999998</v>
      </c>
      <c r="G257" s="27">
        <f t="shared" si="3"/>
        <v>3.1050749999999998E-2</v>
      </c>
      <c r="H257" s="31"/>
      <c r="I257" s="27"/>
      <c r="J257" s="141">
        <v>0</v>
      </c>
    </row>
    <row r="258" spans="1:10" ht="15.75" hidden="1" thickBot="1" x14ac:dyDescent="0.3">
      <c r="A258" s="226"/>
      <c r="B258" s="244"/>
      <c r="C258" s="32" t="s">
        <v>100</v>
      </c>
      <c r="D258" s="32" t="s">
        <v>12</v>
      </c>
      <c r="E258" s="33">
        <v>0.4</v>
      </c>
      <c r="F258" s="30">
        <v>25.887499999999999</v>
      </c>
      <c r="G258" s="27">
        <f t="shared" si="3"/>
        <v>10.355</v>
      </c>
      <c r="H258" s="31"/>
      <c r="I258" s="27"/>
      <c r="J258" s="141">
        <v>0</v>
      </c>
    </row>
    <row r="259" spans="1:10" ht="15.75" hidden="1" thickBot="1" x14ac:dyDescent="0.3">
      <c r="A259" s="226"/>
      <c r="B259" s="244"/>
      <c r="C259" s="32" t="s">
        <v>101</v>
      </c>
      <c r="D259" s="32" t="s">
        <v>102</v>
      </c>
      <c r="E259" s="33">
        <v>2.2499999999999999E-2</v>
      </c>
      <c r="F259" s="30">
        <v>0</v>
      </c>
      <c r="G259" s="27">
        <f t="shared" si="3"/>
        <v>0</v>
      </c>
      <c r="H259" s="31"/>
      <c r="I259" s="27"/>
      <c r="J259" s="141">
        <v>0</v>
      </c>
    </row>
    <row r="260" spans="1:10" ht="15.75" hidden="1" thickBot="1" x14ac:dyDescent="0.3">
      <c r="A260" s="226"/>
      <c r="B260" s="244"/>
      <c r="C260" s="32" t="s">
        <v>103</v>
      </c>
      <c r="D260" s="32" t="s">
        <v>42</v>
      </c>
      <c r="E260" s="33">
        <v>0.6</v>
      </c>
      <c r="F260" s="30">
        <v>1.748</v>
      </c>
      <c r="G260" s="27">
        <f t="shared" si="3"/>
        <v>1.0488</v>
      </c>
      <c r="H260" s="31"/>
      <c r="I260" s="27"/>
      <c r="J260" s="141">
        <v>0</v>
      </c>
    </row>
    <row r="261" spans="1:10" ht="15.75" hidden="1" thickBot="1" x14ac:dyDescent="0.3">
      <c r="A261" s="226"/>
      <c r="B261" s="244"/>
      <c r="C261" s="32" t="s">
        <v>104</v>
      </c>
      <c r="D261" s="32" t="s">
        <v>42</v>
      </c>
      <c r="E261" s="33">
        <v>1.4999999999999999E-2</v>
      </c>
      <c r="F261" s="30">
        <v>0</v>
      </c>
      <c r="G261" s="27">
        <f t="shared" si="3"/>
        <v>0</v>
      </c>
      <c r="H261" s="31"/>
      <c r="I261" s="27"/>
      <c r="J261" s="141">
        <v>0</v>
      </c>
    </row>
    <row r="262" spans="1:10" ht="15.75" hidden="1" thickBot="1" x14ac:dyDescent="0.3">
      <c r="A262" s="227"/>
      <c r="B262" s="230"/>
      <c r="C262" s="32"/>
      <c r="D262" s="32"/>
      <c r="E262" s="33"/>
      <c r="F262" s="27" t="s">
        <v>523</v>
      </c>
      <c r="G262" s="27" t="str">
        <f t="shared" ref="G262:G325" si="4">IF(ISNUMBER(F262),E262*F262,"")</f>
        <v/>
      </c>
      <c r="H262" s="31"/>
      <c r="I262" s="27"/>
      <c r="J262" s="141">
        <v>0</v>
      </c>
    </row>
    <row r="263" spans="1:10" ht="15.75" hidden="1" thickBot="1" x14ac:dyDescent="0.3">
      <c r="A263" s="225" t="s">
        <v>105</v>
      </c>
      <c r="B263" s="228" t="str">
        <f>INDEX(Orçamentária!A:B,MATCH(Composições!A263,Orçamentária!A:A,0),2)</f>
        <v>Limpeza final</v>
      </c>
      <c r="C263" s="37"/>
      <c r="D263" s="22" t="str">
        <f>TRIM(INDEX(Orçamentária!C:C,MATCH(Composições!A263,Orçamentária!A:A,0),1))</f>
        <v>m2</v>
      </c>
      <c r="E263" s="23"/>
      <c r="F263" s="38" t="s">
        <v>523</v>
      </c>
      <c r="G263" s="24" t="str">
        <f t="shared" si="4"/>
        <v/>
      </c>
      <c r="H263" s="25"/>
      <c r="I263" s="26"/>
      <c r="J263" s="141">
        <v>0</v>
      </c>
    </row>
    <row r="264" spans="1:10" ht="15.75" hidden="1" thickBot="1" x14ac:dyDescent="0.3">
      <c r="A264" s="226"/>
      <c r="B264" s="244"/>
      <c r="C264" s="28"/>
      <c r="D264" s="28"/>
      <c r="E264" s="29"/>
      <c r="F264" s="39" t="s">
        <v>523</v>
      </c>
      <c r="G264" s="27" t="str">
        <f t="shared" si="4"/>
        <v/>
      </c>
      <c r="H264" s="31"/>
      <c r="I264" s="27"/>
      <c r="J264" s="141">
        <v>0</v>
      </c>
    </row>
    <row r="265" spans="1:10" ht="15.75" hidden="1" thickBot="1" x14ac:dyDescent="0.3">
      <c r="A265" s="226"/>
      <c r="B265" s="244"/>
      <c r="C265" s="32" t="s">
        <v>23</v>
      </c>
      <c r="D265" s="46" t="s">
        <v>12</v>
      </c>
      <c r="E265" s="33">
        <v>2.5000000000000001E-2</v>
      </c>
      <c r="F265" s="27">
        <v>18.420500000000001</v>
      </c>
      <c r="G265" s="27">
        <f t="shared" si="4"/>
        <v>0.46051250000000005</v>
      </c>
      <c r="H265" s="35">
        <f>SUM(G265:G266)</f>
        <v>2.2473010000000002</v>
      </c>
      <c r="I265" s="36"/>
      <c r="J265" s="141">
        <v>0</v>
      </c>
    </row>
    <row r="266" spans="1:10" ht="15.75" hidden="1" thickBot="1" x14ac:dyDescent="0.3">
      <c r="A266" s="226"/>
      <c r="B266" s="244"/>
      <c r="C266" s="32" t="s">
        <v>23</v>
      </c>
      <c r="D266" s="46" t="s">
        <v>12</v>
      </c>
      <c r="E266" s="33">
        <v>9.7000000000000003E-2</v>
      </c>
      <c r="F266" s="27">
        <v>18.420500000000001</v>
      </c>
      <c r="G266" s="27">
        <f t="shared" si="4"/>
        <v>1.7867885000000001</v>
      </c>
      <c r="H266" s="31"/>
      <c r="I266" s="36"/>
      <c r="J266" s="141">
        <v>0</v>
      </c>
    </row>
    <row r="267" spans="1:10" ht="15.75" hidden="1" thickBot="1" x14ac:dyDescent="0.3">
      <c r="A267" s="227"/>
      <c r="B267" s="230"/>
      <c r="C267" s="32"/>
      <c r="D267" s="32"/>
      <c r="E267" s="33"/>
      <c r="F267" s="27" t="s">
        <v>523</v>
      </c>
      <c r="G267" s="27" t="str">
        <f t="shared" si="4"/>
        <v/>
      </c>
      <c r="H267" s="31"/>
      <c r="I267" s="27"/>
      <c r="J267" s="141">
        <v>0</v>
      </c>
    </row>
    <row r="268" spans="1:10" ht="15.75" thickBot="1" x14ac:dyDescent="0.3">
      <c r="A268" s="225" t="s">
        <v>106</v>
      </c>
      <c r="B268" s="228" t="str">
        <f>INDEX(Orçamentária!A:B,MATCH(Composições!A268,Orçamentária!A:A,0),2)</f>
        <v>Abertura/fechamento rasgo em alvenaria</v>
      </c>
      <c r="C268" s="37"/>
      <c r="D268" s="22" t="str">
        <f>TRIM(INDEX(Orçamentária!C:C,MATCH(Composições!A268,Orçamentária!A:A,0),1))</f>
        <v>m</v>
      </c>
      <c r="E268" s="23"/>
      <c r="F268" s="38" t="s">
        <v>523</v>
      </c>
      <c r="G268" s="24" t="str">
        <f t="shared" si="4"/>
        <v/>
      </c>
      <c r="H268" s="25"/>
      <c r="I268" s="26"/>
      <c r="J268" s="141">
        <v>44.9</v>
      </c>
    </row>
    <row r="269" spans="1:10" x14ac:dyDescent="0.25">
      <c r="A269" s="226"/>
      <c r="B269" s="244"/>
      <c r="C269" s="28"/>
      <c r="D269" s="28"/>
      <c r="E269" s="29"/>
      <c r="F269" s="39" t="s">
        <v>523</v>
      </c>
      <c r="G269" s="27" t="str">
        <f t="shared" si="4"/>
        <v/>
      </c>
      <c r="H269" s="31"/>
      <c r="I269" s="27"/>
      <c r="J269" s="141">
        <v>44.9</v>
      </c>
    </row>
    <row r="270" spans="1:10" x14ac:dyDescent="0.25">
      <c r="A270" s="226"/>
      <c r="B270" s="244"/>
      <c r="C270" s="32" t="s">
        <v>74</v>
      </c>
      <c r="D270" s="32" t="s">
        <v>12</v>
      </c>
      <c r="E270" s="33">
        <v>3.4000000000000002E-2</v>
      </c>
      <c r="F270" s="27">
        <v>19.4085</v>
      </c>
      <c r="G270" s="27">
        <f t="shared" si="4"/>
        <v>0.65988900000000006</v>
      </c>
      <c r="H270" s="35">
        <f>SUM(G270:G274)</f>
        <v>18.761617048434996</v>
      </c>
      <c r="I270" s="36"/>
      <c r="J270" s="141">
        <v>44.9</v>
      </c>
    </row>
    <row r="271" spans="1:10" x14ac:dyDescent="0.25">
      <c r="A271" s="226"/>
      <c r="B271" s="244"/>
      <c r="C271" s="32" t="s">
        <v>30</v>
      </c>
      <c r="D271" s="32" t="s">
        <v>12</v>
      </c>
      <c r="E271" s="33">
        <v>0.216</v>
      </c>
      <c r="F271" s="27">
        <v>25.146499999999996</v>
      </c>
      <c r="G271" s="27">
        <f t="shared" si="4"/>
        <v>5.4316439999999995</v>
      </c>
      <c r="H271" s="31"/>
      <c r="I271" s="27"/>
      <c r="J271" s="141">
        <v>44.9</v>
      </c>
    </row>
    <row r="272" spans="1:10" ht="25.5" x14ac:dyDescent="0.25">
      <c r="A272" s="226"/>
      <c r="B272" s="244"/>
      <c r="C272" s="32" t="s">
        <v>107</v>
      </c>
      <c r="D272" s="32" t="s">
        <v>12</v>
      </c>
      <c r="E272" s="33">
        <v>5.5E-2</v>
      </c>
      <c r="F272" s="27">
        <v>19.094999999999999</v>
      </c>
      <c r="G272" s="27">
        <f t="shared" si="4"/>
        <v>1.050225</v>
      </c>
      <c r="H272" s="31"/>
      <c r="I272" s="27"/>
      <c r="J272" s="141">
        <v>44.9</v>
      </c>
    </row>
    <row r="273" spans="1:10" x14ac:dyDescent="0.25">
      <c r="A273" s="226"/>
      <c r="B273" s="244"/>
      <c r="C273" s="32" t="s">
        <v>39</v>
      </c>
      <c r="D273" s="43" t="s">
        <v>12</v>
      </c>
      <c r="E273" s="33">
        <v>0.39100000000000001</v>
      </c>
      <c r="F273" s="27">
        <v>24.300999999999998</v>
      </c>
      <c r="G273" s="27">
        <f t="shared" si="4"/>
        <v>9.5016909999999992</v>
      </c>
      <c r="H273" s="31"/>
      <c r="I273" s="27"/>
      <c r="J273" s="141">
        <v>44.9</v>
      </c>
    </row>
    <row r="274" spans="1:10" ht="25.5" x14ac:dyDescent="0.25">
      <c r="A274" s="226"/>
      <c r="B274" s="244"/>
      <c r="C274" s="32" t="s">
        <v>108</v>
      </c>
      <c r="D274" s="32" t="s">
        <v>109</v>
      </c>
      <c r="E274" s="33">
        <v>3.0000000000000001E-3</v>
      </c>
      <c r="F274" s="30">
        <v>706.05601614500006</v>
      </c>
      <c r="G274" s="30">
        <f t="shared" si="4"/>
        <v>2.1181680484350003</v>
      </c>
      <c r="H274" s="31"/>
      <c r="I274" s="27"/>
      <c r="J274" s="141">
        <v>44.9</v>
      </c>
    </row>
    <row r="275" spans="1:10" ht="15.75" thickBot="1" x14ac:dyDescent="0.3">
      <c r="A275" s="227"/>
      <c r="B275" s="230"/>
      <c r="C275" s="32"/>
      <c r="D275" s="32"/>
      <c r="E275" s="33"/>
      <c r="F275" s="27" t="s">
        <v>523</v>
      </c>
      <c r="G275" s="27" t="str">
        <f t="shared" si="4"/>
        <v/>
      </c>
      <c r="H275" s="31"/>
      <c r="I275" s="27"/>
      <c r="J275" s="141">
        <v>44.9</v>
      </c>
    </row>
    <row r="276" spans="1:10" ht="15.75" thickBot="1" x14ac:dyDescent="0.3">
      <c r="A276" s="225" t="s">
        <v>110</v>
      </c>
      <c r="B276" s="228" t="str">
        <f>INDEX(Orçamentária!A:B,MATCH(Composições!A276,Orçamentária!A:A,0),2)</f>
        <v>Furo em concreto de 40mm até 75mm de diâmetro</v>
      </c>
      <c r="C276" s="37"/>
      <c r="D276" s="22" t="str">
        <f>TRIM(INDEX(Orçamentária!C:C,MATCH(Composições!A276,Orçamentária!A:A,0),1))</f>
        <v>un</v>
      </c>
      <c r="E276" s="23"/>
      <c r="F276" s="38" t="s">
        <v>523</v>
      </c>
      <c r="G276" s="24" t="str">
        <f t="shared" si="4"/>
        <v/>
      </c>
      <c r="H276" s="25"/>
      <c r="I276" s="26"/>
      <c r="J276" s="141">
        <v>16</v>
      </c>
    </row>
    <row r="277" spans="1:10" x14ac:dyDescent="0.25">
      <c r="A277" s="226"/>
      <c r="B277" s="244"/>
      <c r="C277" s="28"/>
      <c r="D277" s="28"/>
      <c r="E277" s="29"/>
      <c r="F277" s="39" t="s">
        <v>523</v>
      </c>
      <c r="G277" s="27" t="str">
        <f t="shared" si="4"/>
        <v/>
      </c>
      <c r="H277" s="31"/>
      <c r="I277" s="27"/>
      <c r="J277" s="141">
        <v>16</v>
      </c>
    </row>
    <row r="278" spans="1:10" ht="25.5" x14ac:dyDescent="0.25">
      <c r="A278" s="226"/>
      <c r="B278" s="244"/>
      <c r="C278" s="32" t="s">
        <v>32</v>
      </c>
      <c r="D278" s="32" t="s">
        <v>33</v>
      </c>
      <c r="E278" s="33">
        <v>0.58699999999999997</v>
      </c>
      <c r="F278" s="30">
        <v>22.229999999999997</v>
      </c>
      <c r="G278" s="30">
        <f t="shared" si="4"/>
        <v>13.049009999999997</v>
      </c>
      <c r="H278" s="35">
        <f>SUM(G278:G281)</f>
        <v>91.217821999999984</v>
      </c>
      <c r="I278" s="36"/>
      <c r="J278" s="141">
        <v>16</v>
      </c>
    </row>
    <row r="279" spans="1:10" ht="25.5" x14ac:dyDescent="0.25">
      <c r="A279" s="226"/>
      <c r="B279" s="244"/>
      <c r="C279" s="32" t="s">
        <v>34</v>
      </c>
      <c r="D279" s="32" t="s">
        <v>35</v>
      </c>
      <c r="E279" s="33">
        <v>1.29</v>
      </c>
      <c r="F279" s="30">
        <v>20.9</v>
      </c>
      <c r="G279" s="30">
        <f t="shared" si="4"/>
        <v>26.960999999999999</v>
      </c>
      <c r="H279" s="31"/>
      <c r="I279" s="27"/>
      <c r="J279" s="141">
        <v>16</v>
      </c>
    </row>
    <row r="280" spans="1:10" ht="25.5" x14ac:dyDescent="0.25">
      <c r="A280" s="226"/>
      <c r="B280" s="244"/>
      <c r="C280" s="32" t="s">
        <v>107</v>
      </c>
      <c r="D280" s="32" t="s">
        <v>12</v>
      </c>
      <c r="E280" s="33">
        <v>0.29299999999999998</v>
      </c>
      <c r="F280" s="27">
        <v>19.094999999999999</v>
      </c>
      <c r="G280" s="30">
        <f t="shared" si="4"/>
        <v>5.5948349999999989</v>
      </c>
      <c r="H280" s="31"/>
      <c r="I280" s="27"/>
      <c r="J280" s="141">
        <v>16</v>
      </c>
    </row>
    <row r="281" spans="1:10" x14ac:dyDescent="0.25">
      <c r="A281" s="226"/>
      <c r="B281" s="244"/>
      <c r="C281" s="32" t="s">
        <v>39</v>
      </c>
      <c r="D281" s="43" t="s">
        <v>12</v>
      </c>
      <c r="E281" s="33">
        <v>1.877</v>
      </c>
      <c r="F281" s="27">
        <v>24.300999999999998</v>
      </c>
      <c r="G281" s="30">
        <f t="shared" si="4"/>
        <v>45.612976999999994</v>
      </c>
      <c r="H281" s="31"/>
      <c r="I281" s="27"/>
      <c r="J281" s="141">
        <v>16</v>
      </c>
    </row>
    <row r="282" spans="1:10" ht="15.75" thickBot="1" x14ac:dyDescent="0.3">
      <c r="A282" s="227"/>
      <c r="B282" s="230"/>
      <c r="C282" s="32"/>
      <c r="D282" s="32"/>
      <c r="E282" s="33"/>
      <c r="F282" s="27" t="s">
        <v>523</v>
      </c>
      <c r="G282" s="27" t="str">
        <f t="shared" si="4"/>
        <v/>
      </c>
      <c r="H282" s="31"/>
      <c r="I282" s="27"/>
      <c r="J282" s="141">
        <v>16</v>
      </c>
    </row>
    <row r="283" spans="1:10" ht="15.75" hidden="1" thickBot="1" x14ac:dyDescent="0.3">
      <c r="A283" s="225" t="s">
        <v>111</v>
      </c>
      <c r="B283" s="228" t="str">
        <f>INDEX(Orçamentária!A:B,MATCH(Composições!A283,Orçamentária!A:A,0),2)</f>
        <v>Furo em concreto para diâmetros maiores que 75mm</v>
      </c>
      <c r="C283" s="37"/>
      <c r="D283" s="22" t="str">
        <f>TRIM(INDEX(Orçamentária!C:C,MATCH(Composições!A283,Orçamentária!A:A,0),1))</f>
        <v>un</v>
      </c>
      <c r="E283" s="23"/>
      <c r="F283" s="38" t="s">
        <v>523</v>
      </c>
      <c r="G283" s="24" t="str">
        <f t="shared" si="4"/>
        <v/>
      </c>
      <c r="H283" s="25"/>
      <c r="I283" s="26"/>
      <c r="J283" s="141">
        <v>0</v>
      </c>
    </row>
    <row r="284" spans="1:10" ht="15.75" hidden="1" thickBot="1" x14ac:dyDescent="0.3">
      <c r="A284" s="226"/>
      <c r="B284" s="244"/>
      <c r="C284" s="28"/>
      <c r="D284" s="28"/>
      <c r="E284" s="29"/>
      <c r="F284" s="39" t="s">
        <v>523</v>
      </c>
      <c r="G284" s="27" t="str">
        <f t="shared" si="4"/>
        <v/>
      </c>
      <c r="H284" s="31"/>
      <c r="I284" s="27"/>
      <c r="J284" s="141">
        <v>0</v>
      </c>
    </row>
    <row r="285" spans="1:10" ht="26.25" hidden="1" thickBot="1" x14ac:dyDescent="0.3">
      <c r="A285" s="226"/>
      <c r="B285" s="244"/>
      <c r="C285" s="32" t="s">
        <v>32</v>
      </c>
      <c r="D285" s="32" t="s">
        <v>33</v>
      </c>
      <c r="E285" s="33">
        <v>0.75</v>
      </c>
      <c r="F285" s="30">
        <v>22.229999999999997</v>
      </c>
      <c r="G285" s="30">
        <f t="shared" si="4"/>
        <v>16.672499999999999</v>
      </c>
      <c r="H285" s="35">
        <f>SUM(G285:G288)</f>
        <v>116.50492199999999</v>
      </c>
      <c r="I285" s="36"/>
      <c r="J285" s="141">
        <v>0</v>
      </c>
    </row>
    <row r="286" spans="1:10" ht="26.25" hidden="1" thickBot="1" x14ac:dyDescent="0.3">
      <c r="A286" s="226"/>
      <c r="B286" s="244"/>
      <c r="C286" s="32" t="s">
        <v>34</v>
      </c>
      <c r="D286" s="32" t="s">
        <v>35</v>
      </c>
      <c r="E286" s="33">
        <v>1.647</v>
      </c>
      <c r="F286" s="30">
        <v>20.9</v>
      </c>
      <c r="G286" s="30">
        <f t="shared" si="4"/>
        <v>34.4223</v>
      </c>
      <c r="H286" s="31"/>
      <c r="I286" s="27"/>
      <c r="J286" s="141">
        <v>0</v>
      </c>
    </row>
    <row r="287" spans="1:10" ht="26.25" hidden="1" thickBot="1" x14ac:dyDescent="0.3">
      <c r="A287" s="226"/>
      <c r="B287" s="244"/>
      <c r="C287" s="32" t="s">
        <v>107</v>
      </c>
      <c r="D287" s="32" t="s">
        <v>12</v>
      </c>
      <c r="E287" s="33">
        <v>0.375</v>
      </c>
      <c r="F287" s="27">
        <v>19.094999999999999</v>
      </c>
      <c r="G287" s="30">
        <f t="shared" si="4"/>
        <v>7.1606249999999996</v>
      </c>
      <c r="H287" s="31"/>
      <c r="I287" s="27"/>
      <c r="J287" s="141">
        <v>0</v>
      </c>
    </row>
    <row r="288" spans="1:10" ht="15.75" hidden="1" thickBot="1" x14ac:dyDescent="0.3">
      <c r="A288" s="226"/>
      <c r="B288" s="244"/>
      <c r="C288" s="32" t="s">
        <v>39</v>
      </c>
      <c r="D288" s="43" t="s">
        <v>12</v>
      </c>
      <c r="E288" s="33">
        <v>2.3969999999999998</v>
      </c>
      <c r="F288" s="27">
        <v>24.300999999999998</v>
      </c>
      <c r="G288" s="30">
        <f t="shared" si="4"/>
        <v>58.249496999999991</v>
      </c>
      <c r="H288" s="31"/>
      <c r="I288" s="27"/>
      <c r="J288" s="141">
        <v>0</v>
      </c>
    </row>
    <row r="289" spans="1:10" ht="15.75" hidden="1" thickBot="1" x14ac:dyDescent="0.3">
      <c r="A289" s="227"/>
      <c r="B289" s="230"/>
      <c r="C289" s="32"/>
      <c r="D289" s="32"/>
      <c r="E289" s="33"/>
      <c r="F289" s="27" t="s">
        <v>523</v>
      </c>
      <c r="G289" s="27" t="str">
        <f t="shared" si="4"/>
        <v/>
      </c>
      <c r="H289" s="31"/>
      <c r="I289" s="27"/>
      <c r="J289" s="141">
        <v>0</v>
      </c>
    </row>
    <row r="290" spans="1:10" ht="15.75" hidden="1" thickBot="1" x14ac:dyDescent="0.3">
      <c r="A290" s="225" t="s">
        <v>112</v>
      </c>
      <c r="B290" s="228" t="str">
        <f>INDEX(Orçamentária!A:B,MATCH(Composições!A290,Orçamentária!A:A,0),2)</f>
        <v>Concreto virado em betoneira, fck = 15 MPa</v>
      </c>
      <c r="C290" s="37"/>
      <c r="D290" s="22" t="str">
        <f>TRIM(INDEX(Orçamentária!C:C,MATCH(Composições!A290,Orçamentária!A:A,0),1))</f>
        <v>m3</v>
      </c>
      <c r="E290" s="23"/>
      <c r="F290" s="38" t="s">
        <v>523</v>
      </c>
      <c r="G290" s="24" t="str">
        <f t="shared" si="4"/>
        <v/>
      </c>
      <c r="H290" s="25"/>
      <c r="I290" s="26"/>
      <c r="J290" s="141">
        <v>0</v>
      </c>
    </row>
    <row r="291" spans="1:10" ht="15.75" hidden="1" thickBot="1" x14ac:dyDescent="0.3">
      <c r="A291" s="226"/>
      <c r="B291" s="244"/>
      <c r="C291" s="28"/>
      <c r="D291" s="28"/>
      <c r="E291" s="29"/>
      <c r="F291" s="39" t="s">
        <v>523</v>
      </c>
      <c r="G291" s="27" t="str">
        <f t="shared" si="4"/>
        <v/>
      </c>
      <c r="H291" s="31"/>
      <c r="I291" s="27"/>
      <c r="J291" s="141">
        <v>0</v>
      </c>
    </row>
    <row r="292" spans="1:10" ht="26.25" hidden="1" thickBot="1" x14ac:dyDescent="0.3">
      <c r="A292" s="226"/>
      <c r="B292" s="244"/>
      <c r="C292" s="32" t="s">
        <v>7723</v>
      </c>
      <c r="D292" s="43" t="s">
        <v>109</v>
      </c>
      <c r="E292" s="33">
        <v>1</v>
      </c>
      <c r="F292" s="27">
        <v>259.64763500000004</v>
      </c>
      <c r="G292" s="30">
        <f t="shared" si="4"/>
        <v>259.64763500000004</v>
      </c>
      <c r="H292" s="35">
        <f>SUM(G292:G301)</f>
        <v>803.402160579</v>
      </c>
      <c r="I292" s="36"/>
      <c r="J292" s="141">
        <v>0</v>
      </c>
    </row>
    <row r="293" spans="1:10" ht="15.75" hidden="1" thickBot="1" x14ac:dyDescent="0.3">
      <c r="A293" s="226"/>
      <c r="B293" s="244"/>
      <c r="C293" s="32" t="s">
        <v>113</v>
      </c>
      <c r="D293" s="43" t="s">
        <v>109</v>
      </c>
      <c r="E293" s="33">
        <v>0.80459999999999998</v>
      </c>
      <c r="F293" s="30">
        <v>160.53099999999998</v>
      </c>
      <c r="G293" s="30">
        <f t="shared" si="4"/>
        <v>129.16324259999999</v>
      </c>
      <c r="H293" s="31"/>
      <c r="I293" s="27"/>
      <c r="J293" s="141">
        <v>0</v>
      </c>
    </row>
    <row r="294" spans="1:10" ht="15.75" hidden="1" thickBot="1" x14ac:dyDescent="0.3">
      <c r="A294" s="226"/>
      <c r="B294" s="244"/>
      <c r="C294" s="32" t="s">
        <v>114</v>
      </c>
      <c r="D294" s="43" t="s">
        <v>42</v>
      </c>
      <c r="E294" s="33">
        <v>273.06299999999999</v>
      </c>
      <c r="F294" s="30">
        <v>0.64600000000000002</v>
      </c>
      <c r="G294" s="30">
        <f t="shared" si="4"/>
        <v>176.398698</v>
      </c>
      <c r="H294" s="31"/>
      <c r="I294" s="27"/>
      <c r="J294" s="141">
        <v>0</v>
      </c>
    </row>
    <row r="295" spans="1:10" ht="15.75" hidden="1" thickBot="1" x14ac:dyDescent="0.3">
      <c r="A295" s="226"/>
      <c r="B295" s="244"/>
      <c r="C295" s="32" t="s">
        <v>115</v>
      </c>
      <c r="D295" s="43" t="s">
        <v>109</v>
      </c>
      <c r="E295" s="33">
        <v>0.57199999999999995</v>
      </c>
      <c r="F295" s="30">
        <v>147.041</v>
      </c>
      <c r="G295" s="30">
        <f t="shared" si="4"/>
        <v>84.107451999999995</v>
      </c>
      <c r="H295" s="31"/>
      <c r="I295" s="27"/>
      <c r="J295" s="141">
        <v>0</v>
      </c>
    </row>
    <row r="296" spans="1:10" ht="26.25" hidden="1" thickBot="1" x14ac:dyDescent="0.3">
      <c r="A296" s="226"/>
      <c r="B296" s="244"/>
      <c r="C296" s="32" t="s">
        <v>116</v>
      </c>
      <c r="D296" s="43" t="s">
        <v>12</v>
      </c>
      <c r="E296" s="33">
        <v>1.4695</v>
      </c>
      <c r="F296" s="27">
        <v>18.534500000000001</v>
      </c>
      <c r="G296" s="30">
        <f t="shared" si="4"/>
        <v>27.236447750000004</v>
      </c>
      <c r="H296" s="31"/>
      <c r="I296" s="27"/>
      <c r="J296" s="141">
        <v>0</v>
      </c>
    </row>
    <row r="297" spans="1:10" ht="15.75" hidden="1" thickBot="1" x14ac:dyDescent="0.3">
      <c r="A297" s="226"/>
      <c r="B297" s="244"/>
      <c r="C297" s="32" t="s">
        <v>23</v>
      </c>
      <c r="D297" s="32" t="s">
        <v>12</v>
      </c>
      <c r="E297" s="33">
        <v>2.3275000000000001</v>
      </c>
      <c r="F297" s="27">
        <v>18.420500000000001</v>
      </c>
      <c r="G297" s="30">
        <f t="shared" si="4"/>
        <v>42.87371375</v>
      </c>
      <c r="H297" s="31"/>
      <c r="I297" s="27"/>
      <c r="J297" s="141">
        <v>0</v>
      </c>
    </row>
    <row r="298" spans="1:10" ht="39" hidden="1" thickBot="1" x14ac:dyDescent="0.3">
      <c r="A298" s="226"/>
      <c r="B298" s="244"/>
      <c r="C298" s="32" t="s">
        <v>117</v>
      </c>
      <c r="D298" s="43" t="s">
        <v>33</v>
      </c>
      <c r="E298" s="33">
        <v>0.75629999999999997</v>
      </c>
      <c r="F298" s="30">
        <v>1.3964999999999999</v>
      </c>
      <c r="G298" s="30">
        <f t="shared" si="4"/>
        <v>1.0561729499999999</v>
      </c>
      <c r="H298" s="31"/>
      <c r="I298" s="27"/>
      <c r="J298" s="141">
        <v>0</v>
      </c>
    </row>
    <row r="299" spans="1:10" ht="39" hidden="1" thickBot="1" x14ac:dyDescent="0.3">
      <c r="A299" s="226"/>
      <c r="B299" s="244"/>
      <c r="C299" s="32" t="s">
        <v>118</v>
      </c>
      <c r="D299" s="43" t="s">
        <v>35</v>
      </c>
      <c r="E299" s="33">
        <v>0.71309999999999996</v>
      </c>
      <c r="F299" s="30">
        <v>0.3705</v>
      </c>
      <c r="G299" s="30">
        <f t="shared" si="4"/>
        <v>0.26420354999999995</v>
      </c>
      <c r="H299" s="31"/>
      <c r="I299" s="27"/>
      <c r="J299" s="141">
        <v>0</v>
      </c>
    </row>
    <row r="300" spans="1:10" ht="51.75" hidden="1" thickBot="1" x14ac:dyDescent="0.3">
      <c r="A300" s="226"/>
      <c r="B300" s="244"/>
      <c r="C300" s="32" t="s">
        <v>3532</v>
      </c>
      <c r="D300" s="32" t="s">
        <v>120</v>
      </c>
      <c r="E300" s="33">
        <f>1*(E293+E295)</f>
        <v>1.3765999999999998</v>
      </c>
      <c r="F300" s="30">
        <v>7.6983819999999996</v>
      </c>
      <c r="G300" s="30">
        <f t="shared" si="4"/>
        <v>10.597592661199998</v>
      </c>
      <c r="H300" s="31"/>
      <c r="I300" s="27"/>
      <c r="J300" s="141">
        <v>0</v>
      </c>
    </row>
    <row r="301" spans="1:10" ht="39" hidden="1" thickBot="1" x14ac:dyDescent="0.3">
      <c r="A301" s="226"/>
      <c r="B301" s="244"/>
      <c r="C301" s="32" t="s">
        <v>121</v>
      </c>
      <c r="D301" s="43" t="s">
        <v>122</v>
      </c>
      <c r="E301" s="33">
        <f>(E293+E295)*20</f>
        <v>27.531999999999996</v>
      </c>
      <c r="F301" s="30">
        <v>2.6172091499999994</v>
      </c>
      <c r="G301" s="30">
        <f t="shared" si="4"/>
        <v>72.05700231779997</v>
      </c>
      <c r="H301" s="31"/>
      <c r="I301" s="27"/>
      <c r="J301" s="141">
        <v>0</v>
      </c>
    </row>
    <row r="302" spans="1:10" ht="15.75" hidden="1" thickBot="1" x14ac:dyDescent="0.3">
      <c r="A302" s="226"/>
      <c r="B302" s="244"/>
      <c r="C302" s="47"/>
      <c r="D302" s="43"/>
      <c r="E302" s="33"/>
      <c r="F302" s="30" t="s">
        <v>523</v>
      </c>
      <c r="G302" s="30" t="str">
        <f t="shared" si="4"/>
        <v/>
      </c>
      <c r="H302" s="31"/>
      <c r="I302" s="27"/>
      <c r="J302" s="141">
        <v>0</v>
      </c>
    </row>
    <row r="303" spans="1:10" ht="26.25" hidden="1" thickBot="1" x14ac:dyDescent="0.3">
      <c r="A303" s="226"/>
      <c r="B303" s="244"/>
      <c r="C303" s="44" t="s">
        <v>123</v>
      </c>
      <c r="D303" s="43"/>
      <c r="E303" s="33"/>
      <c r="F303" s="30" t="s">
        <v>523</v>
      </c>
      <c r="G303" s="30" t="str">
        <f t="shared" si="4"/>
        <v/>
      </c>
      <c r="H303" s="31"/>
      <c r="I303" s="27"/>
      <c r="J303" s="141">
        <v>0</v>
      </c>
    </row>
    <row r="304" spans="1:10" ht="15.75" hidden="1" thickBot="1" x14ac:dyDescent="0.3">
      <c r="A304" s="227"/>
      <c r="B304" s="230"/>
      <c r="C304" s="32"/>
      <c r="D304" s="32"/>
      <c r="E304" s="33"/>
      <c r="F304" s="27" t="s">
        <v>523</v>
      </c>
      <c r="G304" s="27" t="str">
        <f t="shared" si="4"/>
        <v/>
      </c>
      <c r="H304" s="31"/>
      <c r="I304" s="27"/>
      <c r="J304" s="141">
        <v>0</v>
      </c>
    </row>
    <row r="305" spans="1:10" ht="15.75" hidden="1" thickBot="1" x14ac:dyDescent="0.3">
      <c r="A305" s="225" t="s">
        <v>124</v>
      </c>
      <c r="B305" s="228" t="str">
        <f>INDEX(Orçamentária!A:B,MATCH(Composições!A305,Orçamentária!A:A,0),2)</f>
        <v>Concreto virado em betoneira, fck = 25MPa</v>
      </c>
      <c r="C305" s="37"/>
      <c r="D305" s="22" t="str">
        <f>TRIM(INDEX(Orçamentária!C:C,MATCH(Composições!A305,Orçamentária!A:A,0),1))</f>
        <v>m3</v>
      </c>
      <c r="E305" s="23"/>
      <c r="F305" s="38" t="s">
        <v>523</v>
      </c>
      <c r="G305" s="24" t="str">
        <f t="shared" si="4"/>
        <v/>
      </c>
      <c r="H305" s="25"/>
      <c r="I305" s="26"/>
      <c r="J305" s="141">
        <v>0</v>
      </c>
    </row>
    <row r="306" spans="1:10" ht="15.75" hidden="1" thickBot="1" x14ac:dyDescent="0.3">
      <c r="A306" s="226"/>
      <c r="B306" s="244"/>
      <c r="C306" s="28"/>
      <c r="D306" s="28"/>
      <c r="E306" s="29"/>
      <c r="F306" s="39" t="s">
        <v>523</v>
      </c>
      <c r="G306" s="27" t="str">
        <f t="shared" si="4"/>
        <v/>
      </c>
      <c r="H306" s="31"/>
      <c r="I306" s="27"/>
      <c r="J306" s="141">
        <v>0</v>
      </c>
    </row>
    <row r="307" spans="1:10" ht="26.25" hidden="1" thickBot="1" x14ac:dyDescent="0.3">
      <c r="A307" s="226"/>
      <c r="B307" s="244"/>
      <c r="C307" s="32" t="s">
        <v>7723</v>
      </c>
      <c r="D307" s="43" t="s">
        <v>109</v>
      </c>
      <c r="E307" s="33">
        <v>1</v>
      </c>
      <c r="F307" s="27">
        <v>259.64763500000004</v>
      </c>
      <c r="G307" s="30">
        <f t="shared" si="4"/>
        <v>259.64763500000004</v>
      </c>
      <c r="H307" s="35">
        <f>SUM(G307:G316)</f>
        <v>847.28756275950002</v>
      </c>
      <c r="I307" s="36"/>
      <c r="J307" s="141">
        <v>0</v>
      </c>
    </row>
    <row r="308" spans="1:10" ht="15.75" hidden="1" thickBot="1" x14ac:dyDescent="0.3">
      <c r="A308" s="226"/>
      <c r="B308" s="244"/>
      <c r="C308" s="32" t="s">
        <v>113</v>
      </c>
      <c r="D308" s="43" t="s">
        <v>109</v>
      </c>
      <c r="E308" s="33">
        <v>0.72289999999999999</v>
      </c>
      <c r="F308" s="30">
        <v>160.53099999999998</v>
      </c>
      <c r="G308" s="27">
        <f t="shared" si="4"/>
        <v>116.04785989999998</v>
      </c>
      <c r="H308" s="31"/>
      <c r="I308" s="27"/>
      <c r="J308" s="141">
        <v>0</v>
      </c>
    </row>
    <row r="309" spans="1:10" ht="15.75" hidden="1" thickBot="1" x14ac:dyDescent="0.3">
      <c r="A309" s="226"/>
      <c r="B309" s="244"/>
      <c r="C309" s="32" t="s">
        <v>114</v>
      </c>
      <c r="D309" s="43" t="s">
        <v>42</v>
      </c>
      <c r="E309" s="33">
        <v>362.65789999999998</v>
      </c>
      <c r="F309" s="30">
        <v>0.64600000000000002</v>
      </c>
      <c r="G309" s="27">
        <f t="shared" si="4"/>
        <v>234.27700339999998</v>
      </c>
      <c r="H309" s="31"/>
      <c r="I309" s="27"/>
      <c r="J309" s="141">
        <v>0</v>
      </c>
    </row>
    <row r="310" spans="1:10" ht="15.75" hidden="1" thickBot="1" x14ac:dyDescent="0.3">
      <c r="A310" s="226"/>
      <c r="B310" s="244"/>
      <c r="C310" s="32" t="s">
        <v>115</v>
      </c>
      <c r="D310" s="43" t="s">
        <v>109</v>
      </c>
      <c r="E310" s="33">
        <v>0.59340000000000004</v>
      </c>
      <c r="F310" s="30">
        <v>147.041</v>
      </c>
      <c r="G310" s="27">
        <f t="shared" si="4"/>
        <v>87.254129400000011</v>
      </c>
      <c r="H310" s="31"/>
      <c r="I310" s="27"/>
      <c r="J310" s="141">
        <v>0</v>
      </c>
    </row>
    <row r="311" spans="1:10" ht="15.75" hidden="1" thickBot="1" x14ac:dyDescent="0.3">
      <c r="A311" s="226"/>
      <c r="B311" s="244"/>
      <c r="C311" s="32" t="s">
        <v>23</v>
      </c>
      <c r="D311" s="43" t="s">
        <v>12</v>
      </c>
      <c r="E311" s="33">
        <v>2.3117000000000001</v>
      </c>
      <c r="F311" s="27">
        <v>18.420500000000001</v>
      </c>
      <c r="G311" s="27">
        <f t="shared" si="4"/>
        <v>42.582669850000002</v>
      </c>
      <c r="H311" s="31"/>
      <c r="I311" s="27"/>
      <c r="J311" s="141">
        <v>0</v>
      </c>
    </row>
    <row r="312" spans="1:10" ht="26.25" hidden="1" thickBot="1" x14ac:dyDescent="0.3">
      <c r="A312" s="226"/>
      <c r="B312" s="244"/>
      <c r="C312" s="32" t="s">
        <v>116</v>
      </c>
      <c r="D312" s="43" t="s">
        <v>12</v>
      </c>
      <c r="E312" s="33">
        <v>1.4637</v>
      </c>
      <c r="F312" s="27">
        <v>18.534500000000001</v>
      </c>
      <c r="G312" s="27">
        <f t="shared" si="4"/>
        <v>27.128947650000001</v>
      </c>
      <c r="H312" s="31"/>
      <c r="I312" s="27"/>
      <c r="J312" s="141">
        <v>0</v>
      </c>
    </row>
    <row r="313" spans="1:10" ht="39" hidden="1" thickBot="1" x14ac:dyDescent="0.3">
      <c r="A313" s="226"/>
      <c r="B313" s="244"/>
      <c r="C313" s="32" t="s">
        <v>117</v>
      </c>
      <c r="D313" s="43" t="s">
        <v>33</v>
      </c>
      <c r="E313" s="33">
        <v>0.75339999999999996</v>
      </c>
      <c r="F313" s="30">
        <v>1.3964999999999999</v>
      </c>
      <c r="G313" s="27">
        <f t="shared" si="4"/>
        <v>1.0521230999999998</v>
      </c>
      <c r="H313" s="31"/>
      <c r="I313" s="27"/>
      <c r="J313" s="141">
        <v>0</v>
      </c>
    </row>
    <row r="314" spans="1:10" ht="39" hidden="1" thickBot="1" x14ac:dyDescent="0.3">
      <c r="A314" s="226"/>
      <c r="B314" s="244"/>
      <c r="C314" s="32" t="s">
        <v>118</v>
      </c>
      <c r="D314" s="32" t="s">
        <v>35</v>
      </c>
      <c r="E314" s="33">
        <v>0.71030000000000004</v>
      </c>
      <c r="F314" s="30">
        <v>0.3705</v>
      </c>
      <c r="G314" s="27">
        <f t="shared" si="4"/>
        <v>0.26316614999999999</v>
      </c>
      <c r="H314" s="31"/>
      <c r="I314" s="27"/>
      <c r="J314" s="141">
        <v>0</v>
      </c>
    </row>
    <row r="315" spans="1:10" ht="51.75" hidden="1" thickBot="1" x14ac:dyDescent="0.3">
      <c r="A315" s="226"/>
      <c r="B315" s="244"/>
      <c r="C315" s="32" t="s">
        <v>3532</v>
      </c>
      <c r="D315" s="32" t="s">
        <v>120</v>
      </c>
      <c r="E315" s="33">
        <f>1*(E308+E310)</f>
        <v>1.3163</v>
      </c>
      <c r="F315" s="30">
        <v>7.6983819999999996</v>
      </c>
      <c r="G315" s="30">
        <f t="shared" si="4"/>
        <v>10.1333802266</v>
      </c>
      <c r="H315" s="31"/>
      <c r="I315" s="27"/>
      <c r="J315" s="141">
        <v>0</v>
      </c>
    </row>
    <row r="316" spans="1:10" ht="39" hidden="1" thickBot="1" x14ac:dyDescent="0.3">
      <c r="A316" s="226"/>
      <c r="B316" s="244"/>
      <c r="C316" s="32" t="s">
        <v>121</v>
      </c>
      <c r="D316" s="43" t="s">
        <v>122</v>
      </c>
      <c r="E316" s="33">
        <f>(E308+E310)*20</f>
        <v>26.326000000000001</v>
      </c>
      <c r="F316" s="30">
        <v>2.6172091499999994</v>
      </c>
      <c r="G316" s="30">
        <f t="shared" si="4"/>
        <v>68.900648082899991</v>
      </c>
      <c r="H316" s="31"/>
      <c r="I316" s="27"/>
      <c r="J316" s="141">
        <v>0</v>
      </c>
    </row>
    <row r="317" spans="1:10" ht="15.75" hidden="1" thickBot="1" x14ac:dyDescent="0.3">
      <c r="A317" s="226"/>
      <c r="B317" s="244"/>
      <c r="C317" s="47"/>
      <c r="D317" s="43"/>
      <c r="E317" s="33"/>
      <c r="F317" s="30" t="s">
        <v>523</v>
      </c>
      <c r="G317" s="30" t="str">
        <f t="shared" si="4"/>
        <v/>
      </c>
      <c r="H317" s="31"/>
      <c r="I317" s="27"/>
      <c r="J317" s="141">
        <v>0</v>
      </c>
    </row>
    <row r="318" spans="1:10" ht="26.25" hidden="1" thickBot="1" x14ac:dyDescent="0.3">
      <c r="A318" s="226"/>
      <c r="B318" s="244"/>
      <c r="C318" s="44" t="s">
        <v>123</v>
      </c>
      <c r="D318" s="43"/>
      <c r="E318" s="33"/>
      <c r="F318" s="30" t="s">
        <v>523</v>
      </c>
      <c r="G318" s="30" t="str">
        <f t="shared" si="4"/>
        <v/>
      </c>
      <c r="H318" s="31"/>
      <c r="I318" s="27"/>
      <c r="J318" s="141">
        <v>0</v>
      </c>
    </row>
    <row r="319" spans="1:10" ht="15.75" hidden="1" thickBot="1" x14ac:dyDescent="0.3">
      <c r="A319" s="227"/>
      <c r="B319" s="230"/>
      <c r="C319" s="32"/>
      <c r="D319" s="32"/>
      <c r="E319" s="33"/>
      <c r="F319" s="27" t="s">
        <v>523</v>
      </c>
      <c r="G319" s="27" t="str">
        <f t="shared" si="4"/>
        <v/>
      </c>
      <c r="H319" s="31"/>
      <c r="I319" s="27"/>
      <c r="J319" s="141">
        <v>0</v>
      </c>
    </row>
    <row r="320" spans="1:10" ht="15.75" hidden="1" thickBot="1" x14ac:dyDescent="0.3">
      <c r="A320" s="225" t="s">
        <v>125</v>
      </c>
      <c r="B320" s="228" t="str">
        <f>INDEX(Orçamentária!A:B,MATCH(Composições!A320,Orçamentária!A:A,0),2)</f>
        <v>Escoramento metálico</v>
      </c>
      <c r="C320" s="37"/>
      <c r="D320" s="22" t="str">
        <f>TRIM(INDEX(Orçamentária!C:C,MATCH(Composições!A320,Orçamentária!A:A,0),1))</f>
        <v>m2 x mês</v>
      </c>
      <c r="E320" s="23"/>
      <c r="F320" s="38" t="s">
        <v>523</v>
      </c>
      <c r="G320" s="24" t="str">
        <f t="shared" si="4"/>
        <v/>
      </c>
      <c r="H320" s="25"/>
      <c r="I320" s="26"/>
      <c r="J320" s="141">
        <v>0</v>
      </c>
    </row>
    <row r="321" spans="1:10" ht="15.75" hidden="1" thickBot="1" x14ac:dyDescent="0.3">
      <c r="A321" s="226"/>
      <c r="B321" s="244"/>
      <c r="C321" s="28"/>
      <c r="D321" s="28"/>
      <c r="E321" s="29"/>
      <c r="F321" s="27" t="s">
        <v>523</v>
      </c>
      <c r="G321" s="27" t="str">
        <f t="shared" si="4"/>
        <v/>
      </c>
      <c r="H321" s="31"/>
      <c r="I321" s="27"/>
      <c r="J321" s="141">
        <v>0</v>
      </c>
    </row>
    <row r="322" spans="1:10" ht="39" hidden="1" thickBot="1" x14ac:dyDescent="0.3">
      <c r="A322" s="226"/>
      <c r="B322" s="244"/>
      <c r="C322" s="32" t="s">
        <v>126</v>
      </c>
      <c r="D322" s="43" t="s">
        <v>127</v>
      </c>
      <c r="E322" s="33">
        <v>0.85</v>
      </c>
      <c r="F322" s="27">
        <v>8.2649999999999988</v>
      </c>
      <c r="G322" s="27">
        <f t="shared" si="4"/>
        <v>7.0252499999999989</v>
      </c>
      <c r="H322" s="35">
        <f>SUM(G322:G324)</f>
        <v>20.370849999999997</v>
      </c>
      <c r="I322" s="36"/>
      <c r="J322" s="141">
        <v>0</v>
      </c>
    </row>
    <row r="323" spans="1:10" ht="15.75" hidden="1" thickBot="1" x14ac:dyDescent="0.3">
      <c r="A323" s="226"/>
      <c r="B323" s="244"/>
      <c r="C323" s="32" t="s">
        <v>128</v>
      </c>
      <c r="D323" s="43" t="s">
        <v>12</v>
      </c>
      <c r="E323" s="33">
        <v>0.2</v>
      </c>
      <c r="F323" s="27">
        <v>19.494</v>
      </c>
      <c r="G323" s="27">
        <f t="shared" si="4"/>
        <v>3.8988</v>
      </c>
      <c r="H323" s="31"/>
      <c r="I323" s="27"/>
      <c r="J323" s="141">
        <v>0</v>
      </c>
    </row>
    <row r="324" spans="1:10" ht="26.25" hidden="1" thickBot="1" x14ac:dyDescent="0.3">
      <c r="A324" s="226"/>
      <c r="B324" s="244"/>
      <c r="C324" s="32" t="s">
        <v>3709</v>
      </c>
      <c r="D324" s="43" t="s">
        <v>93</v>
      </c>
      <c r="E324" s="33">
        <v>1.1000000000000001</v>
      </c>
      <c r="F324" s="27">
        <v>8.5879999999999992</v>
      </c>
      <c r="G324" s="27">
        <f t="shared" si="4"/>
        <v>9.4467999999999996</v>
      </c>
      <c r="H324" s="31"/>
      <c r="I324" s="27"/>
      <c r="J324" s="141">
        <v>0</v>
      </c>
    </row>
    <row r="325" spans="1:10" ht="15.75" hidden="1" thickBot="1" x14ac:dyDescent="0.3">
      <c r="A325" s="226"/>
      <c r="B325" s="244"/>
      <c r="C325" s="32"/>
      <c r="D325" s="32"/>
      <c r="E325" s="33"/>
      <c r="F325" s="27" t="s">
        <v>523</v>
      </c>
      <c r="G325" s="27" t="str">
        <f t="shared" si="4"/>
        <v/>
      </c>
      <c r="H325" s="31"/>
      <c r="I325" s="27"/>
      <c r="J325" s="141">
        <v>0</v>
      </c>
    </row>
    <row r="326" spans="1:10" ht="15.75" hidden="1" thickBot="1" x14ac:dyDescent="0.3">
      <c r="A326" s="225" t="s">
        <v>129</v>
      </c>
      <c r="B326" s="228" t="str">
        <f>INDEX(Orçamentária!A:B,MATCH(Composições!A326,Orçamentária!A:A,0),2)</f>
        <v>Estrutura metálica em aço</v>
      </c>
      <c r="C326" s="37"/>
      <c r="D326" s="22" t="str">
        <f>TRIM(INDEX(Orçamentária!C:C,MATCH(Composições!A326,Orçamentária!A:A,0),1))</f>
        <v>kg</v>
      </c>
      <c r="E326" s="23"/>
      <c r="F326" s="38" t="s">
        <v>523</v>
      </c>
      <c r="G326" s="24" t="str">
        <f t="shared" ref="G326:G389" si="5">IF(ISNUMBER(F326),E326*F326,"")</f>
        <v/>
      </c>
      <c r="H326" s="25"/>
      <c r="I326" s="26"/>
      <c r="J326" s="141">
        <v>0</v>
      </c>
    </row>
    <row r="327" spans="1:10" ht="15.75" hidden="1" thickBot="1" x14ac:dyDescent="0.3">
      <c r="A327" s="226"/>
      <c r="B327" s="244"/>
      <c r="C327" s="28"/>
      <c r="D327" s="28"/>
      <c r="E327" s="29"/>
      <c r="F327" s="39" t="s">
        <v>523</v>
      </c>
      <c r="G327" s="27" t="str">
        <f t="shared" si="5"/>
        <v/>
      </c>
      <c r="H327" s="31"/>
      <c r="I327" s="27"/>
      <c r="J327" s="141">
        <v>0</v>
      </c>
    </row>
    <row r="328" spans="1:10" ht="39" hidden="1" thickBot="1" x14ac:dyDescent="0.3">
      <c r="A328" s="226"/>
      <c r="B328" s="244"/>
      <c r="C328" s="32" t="s">
        <v>7716</v>
      </c>
      <c r="D328" s="43" t="s">
        <v>42</v>
      </c>
      <c r="E328" s="33">
        <v>0.01</v>
      </c>
      <c r="F328" s="30">
        <v>53.798499999999997</v>
      </c>
      <c r="G328" s="30">
        <f t="shared" si="5"/>
        <v>0.53798499999999994</v>
      </c>
      <c r="H328" s="35">
        <f>SUM(G328:G339)</f>
        <v>14.596655</v>
      </c>
      <c r="I328" s="36"/>
      <c r="J328" s="141">
        <v>0</v>
      </c>
    </row>
    <row r="329" spans="1:10" ht="26.25" hidden="1" thickBot="1" x14ac:dyDescent="0.3">
      <c r="A329" s="226"/>
      <c r="B329" s="244"/>
      <c r="C329" s="32" t="s">
        <v>130</v>
      </c>
      <c r="D329" s="43" t="s">
        <v>42</v>
      </c>
      <c r="E329" s="33">
        <v>0.27</v>
      </c>
      <c r="F329" s="30">
        <v>11.856</v>
      </c>
      <c r="G329" s="30">
        <f t="shared" si="5"/>
        <v>3.20112</v>
      </c>
      <c r="H329" s="31"/>
      <c r="I329" s="27"/>
      <c r="J329" s="141">
        <v>0</v>
      </c>
    </row>
    <row r="330" spans="1:10" ht="15.75" hidden="1" thickBot="1" x14ac:dyDescent="0.3">
      <c r="A330" s="226"/>
      <c r="B330" s="244"/>
      <c r="C330" s="32" t="s">
        <v>131</v>
      </c>
      <c r="D330" s="43" t="s">
        <v>42</v>
      </c>
      <c r="E330" s="33">
        <v>0.33</v>
      </c>
      <c r="F330" s="30">
        <v>0</v>
      </c>
      <c r="G330" s="30">
        <f t="shared" si="5"/>
        <v>0</v>
      </c>
      <c r="H330" s="31"/>
      <c r="I330" s="27"/>
      <c r="J330" s="141">
        <v>0</v>
      </c>
    </row>
    <row r="331" spans="1:10" ht="15.75" hidden="1" thickBot="1" x14ac:dyDescent="0.3">
      <c r="A331" s="226"/>
      <c r="B331" s="244"/>
      <c r="C331" s="32" t="s">
        <v>132</v>
      </c>
      <c r="D331" s="43" t="s">
        <v>42</v>
      </c>
      <c r="E331" s="33">
        <v>2.5000000000000001E-2</v>
      </c>
      <c r="F331" s="30">
        <v>34.104999999999997</v>
      </c>
      <c r="G331" s="30">
        <f t="shared" si="5"/>
        <v>0.85262499999999997</v>
      </c>
      <c r="H331" s="31"/>
      <c r="I331" s="27"/>
      <c r="J331" s="141">
        <v>0</v>
      </c>
    </row>
    <row r="332" spans="1:10" ht="26.25" hidden="1" thickBot="1" x14ac:dyDescent="0.3">
      <c r="A332" s="226"/>
      <c r="B332" s="244"/>
      <c r="C332" s="32" t="s">
        <v>133</v>
      </c>
      <c r="D332" s="43" t="s">
        <v>109</v>
      </c>
      <c r="E332" s="33">
        <v>0.05</v>
      </c>
      <c r="F332" s="30">
        <v>11.7895</v>
      </c>
      <c r="G332" s="30">
        <f t="shared" si="5"/>
        <v>0.58947500000000008</v>
      </c>
      <c r="H332" s="31"/>
      <c r="I332" s="27"/>
      <c r="J332" s="141">
        <v>0</v>
      </c>
    </row>
    <row r="333" spans="1:10" ht="15.75" hidden="1" thickBot="1" x14ac:dyDescent="0.3">
      <c r="A333" s="226"/>
      <c r="B333" s="244"/>
      <c r="C333" s="32" t="s">
        <v>134</v>
      </c>
      <c r="D333" s="43" t="s">
        <v>42</v>
      </c>
      <c r="E333" s="33">
        <v>0.4</v>
      </c>
      <c r="F333" s="30">
        <v>0</v>
      </c>
      <c r="G333" s="30">
        <f t="shared" si="5"/>
        <v>0</v>
      </c>
      <c r="H333" s="31"/>
      <c r="I333" s="27"/>
      <c r="J333" s="141">
        <v>0</v>
      </c>
    </row>
    <row r="334" spans="1:10" ht="15.75" hidden="1" thickBot="1" x14ac:dyDescent="0.3">
      <c r="A334" s="226"/>
      <c r="B334" s="244"/>
      <c r="C334" s="32" t="s">
        <v>27</v>
      </c>
      <c r="D334" s="43" t="s">
        <v>12</v>
      </c>
      <c r="E334" s="33">
        <f>0.2+0.2</f>
        <v>0.4</v>
      </c>
      <c r="F334" s="27">
        <v>18.933499999999999</v>
      </c>
      <c r="G334" s="30">
        <f t="shared" si="5"/>
        <v>7.5733999999999995</v>
      </c>
      <c r="H334" s="31"/>
      <c r="I334" s="27"/>
      <c r="J334" s="141">
        <v>0</v>
      </c>
    </row>
    <row r="335" spans="1:10" ht="15.75" hidden="1" thickBot="1" x14ac:dyDescent="0.3">
      <c r="A335" s="226"/>
      <c r="B335" s="244"/>
      <c r="C335" s="32" t="s">
        <v>23</v>
      </c>
      <c r="D335" s="43" t="s">
        <v>12</v>
      </c>
      <c r="E335" s="33">
        <v>0.1</v>
      </c>
      <c r="F335" s="27">
        <v>18.420500000000001</v>
      </c>
      <c r="G335" s="30">
        <f t="shared" si="5"/>
        <v>1.8420500000000002</v>
      </c>
      <c r="H335" s="31"/>
      <c r="I335" s="27"/>
      <c r="J335" s="141">
        <v>0</v>
      </c>
    </row>
    <row r="336" spans="1:10" ht="26.25" hidden="1" thickBot="1" x14ac:dyDescent="0.3">
      <c r="A336" s="226"/>
      <c r="B336" s="244"/>
      <c r="C336" s="32" t="s">
        <v>135</v>
      </c>
      <c r="D336" s="43" t="s">
        <v>42</v>
      </c>
      <c r="E336" s="33">
        <v>0.05</v>
      </c>
      <c r="F336" s="30">
        <v>0</v>
      </c>
      <c r="G336" s="30">
        <f t="shared" si="5"/>
        <v>0</v>
      </c>
      <c r="H336" s="31"/>
      <c r="I336" s="27"/>
      <c r="J336" s="141">
        <v>0</v>
      </c>
    </row>
    <row r="337" spans="1:10" ht="39" hidden="1" thickBot="1" x14ac:dyDescent="0.3">
      <c r="A337" s="226"/>
      <c r="B337" s="244"/>
      <c r="C337" s="32" t="s">
        <v>136</v>
      </c>
      <c r="D337" s="43" t="s">
        <v>95</v>
      </c>
      <c r="E337" s="33">
        <v>0.05</v>
      </c>
      <c r="F337" s="30">
        <v>0</v>
      </c>
      <c r="G337" s="30">
        <f t="shared" si="5"/>
        <v>0</v>
      </c>
      <c r="H337" s="31"/>
      <c r="I337" s="27"/>
      <c r="J337" s="141">
        <v>0</v>
      </c>
    </row>
    <row r="338" spans="1:10" ht="15.75" hidden="1" thickBot="1" x14ac:dyDescent="0.3">
      <c r="A338" s="226"/>
      <c r="B338" s="244"/>
      <c r="C338" s="32" t="s">
        <v>137</v>
      </c>
      <c r="D338" s="43" t="s">
        <v>12</v>
      </c>
      <c r="E338" s="33">
        <v>2.5000000000000001E-2</v>
      </c>
      <c r="F338" s="30">
        <v>0</v>
      </c>
      <c r="G338" s="30">
        <f t="shared" si="5"/>
        <v>0</v>
      </c>
      <c r="H338" s="31"/>
      <c r="I338" s="27"/>
      <c r="J338" s="141">
        <v>0</v>
      </c>
    </row>
    <row r="339" spans="1:10" ht="51.75" hidden="1" thickBot="1" x14ac:dyDescent="0.3">
      <c r="A339" s="226"/>
      <c r="B339" s="244"/>
      <c r="C339" s="32" t="s">
        <v>138</v>
      </c>
      <c r="D339" s="43" t="s">
        <v>12</v>
      </c>
      <c r="E339" s="33">
        <v>0.5</v>
      </c>
      <c r="F339" s="30">
        <v>0</v>
      </c>
      <c r="G339" s="30">
        <f t="shared" si="5"/>
        <v>0</v>
      </c>
      <c r="H339" s="31"/>
      <c r="I339" s="27"/>
      <c r="J339" s="141">
        <v>0</v>
      </c>
    </row>
    <row r="340" spans="1:10" ht="15.75" hidden="1" thickBot="1" x14ac:dyDescent="0.3">
      <c r="A340" s="227"/>
      <c r="B340" s="230"/>
      <c r="C340" s="32"/>
      <c r="D340" s="32"/>
      <c r="E340" s="33"/>
      <c r="F340" s="27" t="s">
        <v>523</v>
      </c>
      <c r="G340" s="27" t="str">
        <f t="shared" si="5"/>
        <v/>
      </c>
      <c r="H340" s="31"/>
      <c r="I340" s="27"/>
      <c r="J340" s="141">
        <v>0</v>
      </c>
    </row>
    <row r="341" spans="1:10" ht="15.75" hidden="1" thickBot="1" x14ac:dyDescent="0.3">
      <c r="A341" s="225" t="s">
        <v>139</v>
      </c>
      <c r="B341" s="228" t="str">
        <f>INDEX(Orçamentária!A:B,MATCH(Composições!A341,Orçamentária!A:A,0),2)</f>
        <v>Forma para estruturas de concreto</v>
      </c>
      <c r="C341" s="37"/>
      <c r="D341" s="22" t="str">
        <f>TRIM(INDEX(Orçamentária!C:C,MATCH(Composições!A341,Orçamentária!A:A,0),1))</f>
        <v>m2</v>
      </c>
      <c r="E341" s="23"/>
      <c r="F341" s="38" t="s">
        <v>523</v>
      </c>
      <c r="G341" s="24" t="str">
        <f t="shared" si="5"/>
        <v/>
      </c>
      <c r="H341" s="25"/>
      <c r="I341" s="26"/>
      <c r="J341" s="141">
        <v>0</v>
      </c>
    </row>
    <row r="342" spans="1:10" ht="15.75" hidden="1" thickBot="1" x14ac:dyDescent="0.3">
      <c r="A342" s="226"/>
      <c r="B342" s="244"/>
      <c r="C342" s="28"/>
      <c r="D342" s="28"/>
      <c r="E342" s="29"/>
      <c r="F342" s="39" t="s">
        <v>523</v>
      </c>
      <c r="G342" s="27" t="str">
        <f t="shared" si="5"/>
        <v/>
      </c>
      <c r="H342" s="31"/>
      <c r="I342" s="27"/>
      <c r="J342" s="141">
        <v>0</v>
      </c>
    </row>
    <row r="343" spans="1:10" ht="26.25" hidden="1" thickBot="1" x14ac:dyDescent="0.3">
      <c r="A343" s="226"/>
      <c r="B343" s="244"/>
      <c r="C343" s="32" t="s">
        <v>1155</v>
      </c>
      <c r="D343" s="46" t="s">
        <v>102</v>
      </c>
      <c r="E343" s="33">
        <v>0.01</v>
      </c>
      <c r="F343" s="30">
        <v>7.1819999999999995</v>
      </c>
      <c r="G343" s="30">
        <f t="shared" si="5"/>
        <v>7.1819999999999995E-2</v>
      </c>
      <c r="H343" s="35">
        <f>SUM(G343:G349)</f>
        <v>185.800176217</v>
      </c>
      <c r="I343" s="36"/>
      <c r="J343" s="141">
        <v>0</v>
      </c>
    </row>
    <row r="344" spans="1:10" ht="26.25" hidden="1" thickBot="1" x14ac:dyDescent="0.3">
      <c r="A344" s="226"/>
      <c r="B344" s="244"/>
      <c r="C344" s="32" t="s">
        <v>6624</v>
      </c>
      <c r="D344" s="32" t="s">
        <v>480</v>
      </c>
      <c r="E344" s="33">
        <v>0.47399999999999998</v>
      </c>
      <c r="F344" s="30">
        <v>21.213499999999996</v>
      </c>
      <c r="G344" s="30">
        <f t="shared" si="5"/>
        <v>10.055198999999998</v>
      </c>
      <c r="H344" s="31"/>
      <c r="I344" s="27"/>
      <c r="J344" s="141">
        <v>0</v>
      </c>
    </row>
    <row r="345" spans="1:10" ht="15.75" hidden="1" thickBot="1" x14ac:dyDescent="0.3">
      <c r="A345" s="226"/>
      <c r="B345" s="244"/>
      <c r="C345" s="32" t="s">
        <v>3354</v>
      </c>
      <c r="D345" s="32" t="s">
        <v>901</v>
      </c>
      <c r="E345" s="33">
        <v>4.9000000000000002E-2</v>
      </c>
      <c r="F345" s="30">
        <v>27.255500000000001</v>
      </c>
      <c r="G345" s="30">
        <f t="shared" si="5"/>
        <v>1.3355195000000002</v>
      </c>
      <c r="H345" s="31"/>
      <c r="I345" s="27"/>
      <c r="J345" s="141">
        <v>0</v>
      </c>
    </row>
    <row r="346" spans="1:10" ht="15.75" hidden="1" thickBot="1" x14ac:dyDescent="0.3">
      <c r="A346" s="226"/>
      <c r="B346" s="244"/>
      <c r="C346" s="32" t="s">
        <v>788</v>
      </c>
      <c r="D346" s="32" t="s">
        <v>705</v>
      </c>
      <c r="E346" s="33">
        <v>0.20499999999999999</v>
      </c>
      <c r="F346" s="27">
        <v>19.494</v>
      </c>
      <c r="G346" s="30">
        <f t="shared" si="5"/>
        <v>3.9962699999999995</v>
      </c>
      <c r="H346" s="31"/>
      <c r="I346" s="27"/>
      <c r="J346" s="141">
        <v>0</v>
      </c>
    </row>
    <row r="347" spans="1:10" ht="15.75" hidden="1" thickBot="1" x14ac:dyDescent="0.3">
      <c r="A347" s="226"/>
      <c r="B347" s="244"/>
      <c r="C347" s="32" t="s">
        <v>996</v>
      </c>
      <c r="D347" s="32" t="s">
        <v>705</v>
      </c>
      <c r="E347" s="33">
        <v>1.1200000000000001</v>
      </c>
      <c r="F347" s="27">
        <v>24.633499999999998</v>
      </c>
      <c r="G347" s="30">
        <f t="shared" si="5"/>
        <v>27.58952</v>
      </c>
      <c r="H347" s="31"/>
      <c r="I347" s="27"/>
      <c r="J347" s="141">
        <v>0</v>
      </c>
    </row>
    <row r="348" spans="1:10" ht="26.25" hidden="1" thickBot="1" x14ac:dyDescent="0.3">
      <c r="A348" s="226"/>
      <c r="B348" s="244"/>
      <c r="C348" s="32" t="s">
        <v>3692</v>
      </c>
      <c r="D348" s="32" t="s">
        <v>995</v>
      </c>
      <c r="E348" s="33">
        <v>0.621</v>
      </c>
      <c r="F348" s="30">
        <v>119.324085</v>
      </c>
      <c r="G348" s="30">
        <f t="shared" si="5"/>
        <v>74.100256784999999</v>
      </c>
      <c r="H348" s="31"/>
      <c r="I348" s="27"/>
      <c r="J348" s="141">
        <v>0</v>
      </c>
    </row>
    <row r="349" spans="1:10" ht="26.25" hidden="1" thickBot="1" x14ac:dyDescent="0.3">
      <c r="A349" s="226"/>
      <c r="B349" s="244"/>
      <c r="C349" s="32" t="s">
        <v>3694</v>
      </c>
      <c r="D349" s="32" t="s">
        <v>480</v>
      </c>
      <c r="E349" s="33">
        <v>1.8160000000000001</v>
      </c>
      <c r="F349" s="30">
        <v>37.803739500000013</v>
      </c>
      <c r="G349" s="30">
        <f t="shared" si="5"/>
        <v>68.651590932000019</v>
      </c>
      <c r="H349" s="31"/>
      <c r="I349" s="27"/>
      <c r="J349" s="141">
        <v>0</v>
      </c>
    </row>
    <row r="350" spans="1:10" ht="15.75" hidden="1" thickBot="1" x14ac:dyDescent="0.3">
      <c r="A350" s="227"/>
      <c r="B350" s="230"/>
      <c r="C350" s="32"/>
      <c r="D350" s="32"/>
      <c r="E350" s="33"/>
      <c r="F350" s="27" t="s">
        <v>523</v>
      </c>
      <c r="G350" s="27" t="str">
        <f t="shared" si="5"/>
        <v/>
      </c>
      <c r="H350" s="31"/>
      <c r="I350" s="27"/>
      <c r="J350" s="141">
        <v>0</v>
      </c>
    </row>
    <row r="351" spans="1:10" ht="15.75" hidden="1" thickBot="1" x14ac:dyDescent="0.3">
      <c r="A351" s="225" t="s">
        <v>140</v>
      </c>
      <c r="B351" s="228" t="str">
        <f>INDEX(Orçamentária!A:B,MATCH(Composições!A351,Orçamentária!A:A,0),2)</f>
        <v>Verga/contraverga/cinta em bloco de concreto canaleta 11,5 x 19 x 39 cm</v>
      </c>
      <c r="C351" s="37"/>
      <c r="D351" s="22" t="str">
        <f>TRIM(INDEX(Orçamentária!C:C,MATCH(Composições!A351,Orçamentária!A:A,0),1))</f>
        <v>m</v>
      </c>
      <c r="E351" s="23"/>
      <c r="F351" s="38" t="s">
        <v>523</v>
      </c>
      <c r="G351" s="24" t="str">
        <f t="shared" si="5"/>
        <v/>
      </c>
      <c r="H351" s="25"/>
      <c r="I351" s="26"/>
      <c r="J351" s="141">
        <v>0</v>
      </c>
    </row>
    <row r="352" spans="1:10" ht="15.75" hidden="1" thickBot="1" x14ac:dyDescent="0.3">
      <c r="A352" s="231"/>
      <c r="B352" s="244"/>
      <c r="C352" s="28"/>
      <c r="D352" s="28"/>
      <c r="E352" s="29"/>
      <c r="F352" s="39" t="s">
        <v>523</v>
      </c>
      <c r="G352" s="27" t="str">
        <f t="shared" si="5"/>
        <v/>
      </c>
      <c r="H352" s="31"/>
      <c r="I352" s="27"/>
      <c r="J352" s="141">
        <v>0</v>
      </c>
    </row>
    <row r="353" spans="1:10" ht="15.75" hidden="1" thickBot="1" x14ac:dyDescent="0.3">
      <c r="A353" s="231"/>
      <c r="B353" s="244"/>
      <c r="C353" s="32" t="s">
        <v>23</v>
      </c>
      <c r="D353" s="43" t="s">
        <v>12</v>
      </c>
      <c r="E353" s="33">
        <v>0.4</v>
      </c>
      <c r="F353" s="27">
        <v>18.420500000000001</v>
      </c>
      <c r="G353" s="30">
        <f t="shared" si="5"/>
        <v>7.3682000000000007</v>
      </c>
      <c r="H353" s="35">
        <f>SUM(G353:G361)</f>
        <v>25.500521299999999</v>
      </c>
      <c r="I353" s="36"/>
      <c r="J353" s="141">
        <v>0</v>
      </c>
    </row>
    <row r="354" spans="1:10" ht="15.75" hidden="1" thickBot="1" x14ac:dyDescent="0.3">
      <c r="A354" s="231"/>
      <c r="B354" s="244"/>
      <c r="C354" s="32" t="s">
        <v>141</v>
      </c>
      <c r="D354" s="43" t="s">
        <v>12</v>
      </c>
      <c r="E354" s="33">
        <v>0.3</v>
      </c>
      <c r="F354" s="27">
        <v>24.889999999999997</v>
      </c>
      <c r="G354" s="30">
        <f t="shared" si="5"/>
        <v>7.4669999999999987</v>
      </c>
      <c r="H354" s="31"/>
      <c r="I354" s="27"/>
      <c r="J354" s="141">
        <v>0</v>
      </c>
    </row>
    <row r="355" spans="1:10" ht="15.75" hidden="1" thickBot="1" x14ac:dyDescent="0.3">
      <c r="A355" s="231"/>
      <c r="B355" s="244"/>
      <c r="C355" s="32" t="s">
        <v>113</v>
      </c>
      <c r="D355" s="32" t="s">
        <v>109</v>
      </c>
      <c r="E355" s="33">
        <v>0.01</v>
      </c>
      <c r="F355" s="30">
        <v>160.53099999999998</v>
      </c>
      <c r="G355" s="30">
        <f t="shared" si="5"/>
        <v>1.6053099999999998</v>
      </c>
      <c r="H355" s="31"/>
      <c r="I355" s="27"/>
      <c r="J355" s="141">
        <v>0</v>
      </c>
    </row>
    <row r="356" spans="1:10" ht="15.75" hidden="1" thickBot="1" x14ac:dyDescent="0.3">
      <c r="A356" s="231"/>
      <c r="B356" s="244"/>
      <c r="C356" s="32" t="s">
        <v>142</v>
      </c>
      <c r="D356" s="32" t="s">
        <v>109</v>
      </c>
      <c r="E356" s="33">
        <v>0.01</v>
      </c>
      <c r="F356" s="30">
        <v>147.82</v>
      </c>
      <c r="G356" s="30">
        <f t="shared" si="5"/>
        <v>1.4782</v>
      </c>
      <c r="H356" s="31"/>
      <c r="I356" s="27"/>
      <c r="J356" s="141">
        <v>0</v>
      </c>
    </row>
    <row r="357" spans="1:10" ht="15.75" hidden="1" thickBot="1" x14ac:dyDescent="0.3">
      <c r="A357" s="231"/>
      <c r="B357" s="244"/>
      <c r="C357" s="32" t="s">
        <v>114</v>
      </c>
      <c r="D357" s="43" t="s">
        <v>42</v>
      </c>
      <c r="E357" s="33">
        <v>2.0099999999999998</v>
      </c>
      <c r="F357" s="30">
        <v>0.64600000000000002</v>
      </c>
      <c r="G357" s="30">
        <f t="shared" si="5"/>
        <v>1.2984599999999999</v>
      </c>
      <c r="H357" s="31"/>
      <c r="I357" s="27"/>
      <c r="J357" s="141">
        <v>0</v>
      </c>
    </row>
    <row r="358" spans="1:10" ht="15.75" hidden="1" thickBot="1" x14ac:dyDescent="0.3">
      <c r="A358" s="231"/>
      <c r="B358" s="244"/>
      <c r="C358" s="32" t="s">
        <v>143</v>
      </c>
      <c r="D358" s="43" t="s">
        <v>144</v>
      </c>
      <c r="E358" s="33">
        <v>2.5</v>
      </c>
      <c r="F358" s="27">
        <v>0</v>
      </c>
      <c r="G358" s="30">
        <f t="shared" si="5"/>
        <v>0</v>
      </c>
      <c r="H358" s="31"/>
      <c r="I358" s="27"/>
      <c r="J358" s="141">
        <v>0</v>
      </c>
    </row>
    <row r="359" spans="1:10" ht="15.75" hidden="1" thickBot="1" x14ac:dyDescent="0.3">
      <c r="A359" s="231"/>
      <c r="B359" s="244"/>
      <c r="C359" s="32" t="s">
        <v>145</v>
      </c>
      <c r="D359" s="43" t="s">
        <v>42</v>
      </c>
      <c r="E359" s="33">
        <v>0.5</v>
      </c>
      <c r="F359" s="30">
        <v>10.164999999999999</v>
      </c>
      <c r="G359" s="30">
        <f t="shared" si="5"/>
        <v>5.0824999999999996</v>
      </c>
      <c r="H359" s="31"/>
      <c r="I359" s="27"/>
      <c r="J359" s="141">
        <v>0</v>
      </c>
    </row>
    <row r="360" spans="1:10" ht="51.75" hidden="1" thickBot="1" x14ac:dyDescent="0.3">
      <c r="A360" s="231"/>
      <c r="B360" s="244"/>
      <c r="C360" s="32" t="s">
        <v>3532</v>
      </c>
      <c r="D360" s="32" t="s">
        <v>120</v>
      </c>
      <c r="E360" s="33">
        <f>1*(E355+E356)</f>
        <v>0.02</v>
      </c>
      <c r="F360" s="30">
        <v>7.6983819999999996</v>
      </c>
      <c r="G360" s="30">
        <f t="shared" si="5"/>
        <v>0.15396763999999999</v>
      </c>
      <c r="H360" s="31"/>
      <c r="I360" s="27"/>
      <c r="J360" s="141">
        <v>0</v>
      </c>
    </row>
    <row r="361" spans="1:10" ht="39" hidden="1" thickBot="1" x14ac:dyDescent="0.3">
      <c r="A361" s="231"/>
      <c r="B361" s="244"/>
      <c r="C361" s="32" t="s">
        <v>121</v>
      </c>
      <c r="D361" s="43" t="s">
        <v>122</v>
      </c>
      <c r="E361" s="33">
        <f>(E355+E356)*20</f>
        <v>0.4</v>
      </c>
      <c r="F361" s="30">
        <v>2.6172091499999994</v>
      </c>
      <c r="G361" s="30">
        <f t="shared" si="5"/>
        <v>1.0468836599999998</v>
      </c>
      <c r="H361" s="31"/>
      <c r="I361" s="27"/>
      <c r="J361" s="141">
        <v>0</v>
      </c>
    </row>
    <row r="362" spans="1:10" ht="15.75" hidden="1" thickBot="1" x14ac:dyDescent="0.3">
      <c r="A362" s="231"/>
      <c r="B362" s="244"/>
      <c r="C362" s="47"/>
      <c r="D362" s="43"/>
      <c r="E362" s="33"/>
      <c r="F362" s="30" t="s">
        <v>523</v>
      </c>
      <c r="G362" s="30" t="str">
        <f t="shared" si="5"/>
        <v/>
      </c>
      <c r="H362" s="31"/>
      <c r="I362" s="27"/>
      <c r="J362" s="141">
        <v>0</v>
      </c>
    </row>
    <row r="363" spans="1:10" ht="26.25" hidden="1" thickBot="1" x14ac:dyDescent="0.3">
      <c r="A363" s="231"/>
      <c r="B363" s="244"/>
      <c r="C363" s="44" t="s">
        <v>123</v>
      </c>
      <c r="D363" s="43"/>
      <c r="E363" s="33"/>
      <c r="F363" s="30" t="s">
        <v>523</v>
      </c>
      <c r="G363" s="30" t="str">
        <f t="shared" si="5"/>
        <v/>
      </c>
      <c r="H363" s="31"/>
      <c r="I363" s="27"/>
      <c r="J363" s="141">
        <v>0</v>
      </c>
    </row>
    <row r="364" spans="1:10" ht="15.75" hidden="1" thickBot="1" x14ac:dyDescent="0.3">
      <c r="A364" s="232"/>
      <c r="B364" s="230"/>
      <c r="C364" s="32"/>
      <c r="D364" s="32"/>
      <c r="E364" s="33"/>
      <c r="F364" s="27" t="s">
        <v>523</v>
      </c>
      <c r="G364" s="27" t="str">
        <f t="shared" si="5"/>
        <v/>
      </c>
      <c r="H364" s="31"/>
      <c r="I364" s="27"/>
      <c r="J364" s="141">
        <v>0</v>
      </c>
    </row>
    <row r="365" spans="1:10" ht="15.75" hidden="1" thickBot="1" x14ac:dyDescent="0.3">
      <c r="A365" s="225" t="s">
        <v>146</v>
      </c>
      <c r="B365" s="228" t="str">
        <f>INDEX(Orçamentária!A:B,MATCH(Composições!A365,Orçamentária!A:A,0),2)</f>
        <v>Impermeabilização de superfície com revestimento bicomponente semi flexível</v>
      </c>
      <c r="C365" s="37"/>
      <c r="D365" s="22" t="str">
        <f>TRIM(INDEX(Orçamentária!C:C,MATCH(Composições!A365,Orçamentária!A:A,0),1))</f>
        <v>m2</v>
      </c>
      <c r="E365" s="23"/>
      <c r="F365" s="38" t="s">
        <v>523</v>
      </c>
      <c r="G365" s="24" t="str">
        <f t="shared" si="5"/>
        <v/>
      </c>
      <c r="H365" s="25"/>
      <c r="I365" s="26"/>
      <c r="J365" s="141">
        <v>0</v>
      </c>
    </row>
    <row r="366" spans="1:10" ht="15.75" hidden="1" thickBot="1" x14ac:dyDescent="0.3">
      <c r="A366" s="226"/>
      <c r="B366" s="244"/>
      <c r="C366" s="28"/>
      <c r="D366" s="28"/>
      <c r="E366" s="29"/>
      <c r="F366" s="39" t="s">
        <v>523</v>
      </c>
      <c r="G366" s="27" t="str">
        <f t="shared" si="5"/>
        <v/>
      </c>
      <c r="H366" s="31"/>
      <c r="I366" s="27"/>
      <c r="J366" s="141">
        <v>0</v>
      </c>
    </row>
    <row r="367" spans="1:10" ht="26.25" hidden="1" thickBot="1" x14ac:dyDescent="0.3">
      <c r="A367" s="226"/>
      <c r="B367" s="244"/>
      <c r="C367" s="32" t="s">
        <v>147</v>
      </c>
      <c r="D367" s="32" t="s">
        <v>42</v>
      </c>
      <c r="E367" s="33">
        <v>3.2</v>
      </c>
      <c r="F367" s="30">
        <v>3.4294999999999995</v>
      </c>
      <c r="G367" s="27">
        <f t="shared" si="5"/>
        <v>10.974399999999999</v>
      </c>
      <c r="H367" s="35">
        <f>SUM(G367:G369)</f>
        <v>26.319179999999999</v>
      </c>
      <c r="I367" s="36"/>
      <c r="J367" s="141">
        <v>0</v>
      </c>
    </row>
    <row r="368" spans="1:10" ht="15.75" hidden="1" thickBot="1" x14ac:dyDescent="0.3">
      <c r="A368" s="226"/>
      <c r="B368" s="244"/>
      <c r="C368" s="32" t="s">
        <v>50</v>
      </c>
      <c r="D368" s="46" t="s">
        <v>12</v>
      </c>
      <c r="E368" s="33">
        <v>0.108</v>
      </c>
      <c r="F368" s="27">
        <v>19.474999999999998</v>
      </c>
      <c r="G368" s="27">
        <f t="shared" si="5"/>
        <v>2.1032999999999999</v>
      </c>
      <c r="H368" s="31"/>
      <c r="I368" s="27"/>
      <c r="J368" s="141">
        <v>0</v>
      </c>
    </row>
    <row r="369" spans="1:10" ht="15.75" hidden="1" thickBot="1" x14ac:dyDescent="0.3">
      <c r="A369" s="226"/>
      <c r="B369" s="244"/>
      <c r="C369" s="32" t="s">
        <v>148</v>
      </c>
      <c r="D369" s="46" t="s">
        <v>12</v>
      </c>
      <c r="E369" s="33">
        <v>0.53200000000000003</v>
      </c>
      <c r="F369" s="27">
        <v>24.889999999999997</v>
      </c>
      <c r="G369" s="27">
        <f t="shared" si="5"/>
        <v>13.241479999999999</v>
      </c>
      <c r="H369" s="31"/>
      <c r="I369" s="27"/>
      <c r="J369" s="141">
        <v>0</v>
      </c>
    </row>
    <row r="370" spans="1:10" ht="15.75" hidden="1" thickBot="1" x14ac:dyDescent="0.3">
      <c r="A370" s="227"/>
      <c r="B370" s="230"/>
      <c r="C370" s="32"/>
      <c r="D370" s="32"/>
      <c r="E370" s="33"/>
      <c r="F370" s="27" t="s">
        <v>523</v>
      </c>
      <c r="G370" s="27" t="str">
        <f t="shared" si="5"/>
        <v/>
      </c>
      <c r="H370" s="31"/>
      <c r="I370" s="27"/>
      <c r="J370" s="141">
        <v>0</v>
      </c>
    </row>
    <row r="371" spans="1:10" ht="15.75" thickBot="1" x14ac:dyDescent="0.3">
      <c r="A371" s="225" t="s">
        <v>149</v>
      </c>
      <c r="B371" s="228" t="str">
        <f>INDEX(Orçamentária!A:B,MATCH(Composições!A371,Orçamentária!A:A,0),2)</f>
        <v>Alvenaria de vedação</v>
      </c>
      <c r="C371" s="37"/>
      <c r="D371" s="22" t="str">
        <f>TRIM(INDEX(Orçamentária!C:C,MATCH(Composições!A371,Orçamentária!A:A,0),1))</f>
        <v>m2</v>
      </c>
      <c r="E371" s="23"/>
      <c r="F371" s="38" t="s">
        <v>523</v>
      </c>
      <c r="G371" s="24" t="str">
        <f t="shared" si="5"/>
        <v/>
      </c>
      <c r="H371" s="25"/>
      <c r="I371" s="26"/>
      <c r="J371" s="141">
        <v>1.1000000000000001</v>
      </c>
    </row>
    <row r="372" spans="1:10" x14ac:dyDescent="0.25">
      <c r="A372" s="226"/>
      <c r="B372" s="244"/>
      <c r="C372" s="28"/>
      <c r="D372" s="28"/>
      <c r="E372" s="29"/>
      <c r="F372" s="39" t="s">
        <v>523</v>
      </c>
      <c r="G372" s="27" t="str">
        <f t="shared" si="5"/>
        <v/>
      </c>
      <c r="H372" s="31"/>
      <c r="I372" s="27"/>
      <c r="J372" s="141">
        <v>1.1000000000000001</v>
      </c>
    </row>
    <row r="373" spans="1:10" ht="25.5" x14ac:dyDescent="0.25">
      <c r="A373" s="226"/>
      <c r="B373" s="244"/>
      <c r="C373" s="32" t="s">
        <v>6796</v>
      </c>
      <c r="D373" s="32" t="s">
        <v>20</v>
      </c>
      <c r="E373" s="33">
        <v>28.31</v>
      </c>
      <c r="F373" s="30">
        <v>0.83599999999999997</v>
      </c>
      <c r="G373" s="30">
        <f t="shared" si="5"/>
        <v>23.667159999999999</v>
      </c>
      <c r="H373" s="35">
        <f>SUM(G373:G378)</f>
        <v>86.077793750865993</v>
      </c>
      <c r="I373" s="36"/>
      <c r="J373" s="141">
        <v>1.1000000000000001</v>
      </c>
    </row>
    <row r="374" spans="1:10" ht="25.5" x14ac:dyDescent="0.25">
      <c r="A374" s="226"/>
      <c r="B374" s="244"/>
      <c r="C374" s="32" t="s">
        <v>151</v>
      </c>
      <c r="D374" s="43" t="s">
        <v>93</v>
      </c>
      <c r="E374" s="33">
        <v>0.42</v>
      </c>
      <c r="F374" s="30">
        <v>3.3249999999999997</v>
      </c>
      <c r="G374" s="30">
        <f t="shared" si="5"/>
        <v>1.3964999999999999</v>
      </c>
      <c r="H374" s="31"/>
      <c r="I374" s="27"/>
      <c r="J374" s="141">
        <v>1.1000000000000001</v>
      </c>
    </row>
    <row r="375" spans="1:10" x14ac:dyDescent="0.25">
      <c r="A375" s="226"/>
      <c r="B375" s="244"/>
      <c r="C375" s="32" t="s">
        <v>152</v>
      </c>
      <c r="D375" s="43" t="s">
        <v>153</v>
      </c>
      <c r="E375" s="33">
        <v>5.0000000000000001E-3</v>
      </c>
      <c r="F375" s="30">
        <v>38.313499999999998</v>
      </c>
      <c r="G375" s="30">
        <f t="shared" si="5"/>
        <v>0.1915675</v>
      </c>
      <c r="H375" s="31"/>
      <c r="I375" s="27"/>
      <c r="J375" s="141">
        <v>1.1000000000000001</v>
      </c>
    </row>
    <row r="376" spans="1:10" ht="51" x14ac:dyDescent="0.25">
      <c r="A376" s="226"/>
      <c r="B376" s="244"/>
      <c r="C376" s="32" t="s">
        <v>154</v>
      </c>
      <c r="D376" s="43" t="s">
        <v>109</v>
      </c>
      <c r="E376" s="33">
        <v>9.1000000000000004E-3</v>
      </c>
      <c r="F376" s="30">
        <v>650.67733525999995</v>
      </c>
      <c r="G376" s="30">
        <f t="shared" si="5"/>
        <v>5.9211637508659996</v>
      </c>
      <c r="H376" s="31"/>
      <c r="I376" s="27"/>
      <c r="J376" s="141">
        <v>1.1000000000000001</v>
      </c>
    </row>
    <row r="377" spans="1:10" x14ac:dyDescent="0.25">
      <c r="A377" s="226"/>
      <c r="B377" s="244"/>
      <c r="C377" s="32" t="s">
        <v>22</v>
      </c>
      <c r="D377" s="43" t="s">
        <v>12</v>
      </c>
      <c r="E377" s="33">
        <v>1.61</v>
      </c>
      <c r="F377" s="27">
        <v>24.889999999999997</v>
      </c>
      <c r="G377" s="27">
        <f t="shared" si="5"/>
        <v>40.072899999999997</v>
      </c>
      <c r="H377" s="31"/>
      <c r="I377" s="27"/>
      <c r="J377" s="141">
        <v>1.1000000000000001</v>
      </c>
    </row>
    <row r="378" spans="1:10" x14ac:dyDescent="0.25">
      <c r="A378" s="226"/>
      <c r="B378" s="244"/>
      <c r="C378" s="32" t="s">
        <v>23</v>
      </c>
      <c r="D378" s="43" t="s">
        <v>12</v>
      </c>
      <c r="E378" s="33">
        <v>0.80500000000000005</v>
      </c>
      <c r="F378" s="27">
        <v>18.420500000000001</v>
      </c>
      <c r="G378" s="27">
        <f t="shared" si="5"/>
        <v>14.828502500000001</v>
      </c>
      <c r="H378" s="31"/>
      <c r="I378" s="27"/>
      <c r="J378" s="141">
        <v>1.1000000000000001</v>
      </c>
    </row>
    <row r="379" spans="1:10" ht="15.75" thickBot="1" x14ac:dyDescent="0.3">
      <c r="A379" s="227"/>
      <c r="B379" s="230"/>
      <c r="C379" s="32"/>
      <c r="D379" s="32"/>
      <c r="E379" s="33"/>
      <c r="F379" s="27" t="s">
        <v>523</v>
      </c>
      <c r="G379" s="27" t="str">
        <f t="shared" si="5"/>
        <v/>
      </c>
      <c r="H379" s="31"/>
      <c r="I379" s="27"/>
      <c r="J379" s="141">
        <v>1.1000000000000001</v>
      </c>
    </row>
    <row r="380" spans="1:10" ht="15.75" thickBot="1" x14ac:dyDescent="0.3">
      <c r="A380" s="225" t="s">
        <v>155</v>
      </c>
      <c r="B380" s="228" t="str">
        <f>INDEX(Orçamentária!A:B,MATCH(Composições!A380,Orçamentária!A:A,0),2)</f>
        <v>Fechamento ou shaft em gesso acartonado tipo drywall</v>
      </c>
      <c r="C380" s="37"/>
      <c r="D380" s="22" t="str">
        <f>TRIM(INDEX(Orçamentária!C:C,MATCH(Composições!A380,Orçamentária!A:A,0),1))</f>
        <v>m2</v>
      </c>
      <c r="E380" s="23"/>
      <c r="F380" s="38" t="s">
        <v>523</v>
      </c>
      <c r="G380" s="24" t="str">
        <f t="shared" si="5"/>
        <v/>
      </c>
      <c r="H380" s="25"/>
      <c r="I380" s="26"/>
      <c r="J380" s="141">
        <v>46</v>
      </c>
    </row>
    <row r="381" spans="1:10" x14ac:dyDescent="0.25">
      <c r="A381" s="226"/>
      <c r="B381" s="244"/>
      <c r="C381" s="28"/>
      <c r="D381" s="28"/>
      <c r="E381" s="29"/>
      <c r="F381" s="39" t="s">
        <v>523</v>
      </c>
      <c r="G381" s="27" t="str">
        <f t="shared" si="5"/>
        <v/>
      </c>
      <c r="H381" s="31"/>
      <c r="I381" s="27"/>
      <c r="J381" s="141">
        <v>46</v>
      </c>
    </row>
    <row r="382" spans="1:10" ht="25.5" x14ac:dyDescent="0.25">
      <c r="A382" s="226"/>
      <c r="B382" s="244"/>
      <c r="C382" s="32" t="s">
        <v>156</v>
      </c>
      <c r="D382" s="32" t="s">
        <v>153</v>
      </c>
      <c r="E382" s="33">
        <v>2.4299999999999999E-2</v>
      </c>
      <c r="F382" s="30">
        <v>44.564499999999995</v>
      </c>
      <c r="G382" s="30">
        <f t="shared" si="5"/>
        <v>1.0829173499999998</v>
      </c>
      <c r="H382" s="35">
        <f>SUM(G382:G392)</f>
        <v>57.706994749999986</v>
      </c>
      <c r="I382" s="36"/>
      <c r="J382" s="141">
        <v>46</v>
      </c>
    </row>
    <row r="383" spans="1:10" ht="25.5" x14ac:dyDescent="0.25">
      <c r="A383" s="226"/>
      <c r="B383" s="244"/>
      <c r="C383" s="32" t="s">
        <v>3707</v>
      </c>
      <c r="D383" s="32" t="s">
        <v>95</v>
      </c>
      <c r="E383" s="33">
        <v>1.0529999999999999</v>
      </c>
      <c r="F383" s="30">
        <v>18.496499999999997</v>
      </c>
      <c r="G383" s="30">
        <f t="shared" si="5"/>
        <v>19.476814499999996</v>
      </c>
      <c r="H383" s="41"/>
      <c r="I383" s="42"/>
      <c r="J383" s="141">
        <v>46</v>
      </c>
    </row>
    <row r="384" spans="1:10" ht="25.5" x14ac:dyDescent="0.25">
      <c r="A384" s="226"/>
      <c r="B384" s="244"/>
      <c r="C384" s="32" t="s">
        <v>157</v>
      </c>
      <c r="D384" s="32" t="s">
        <v>93</v>
      </c>
      <c r="E384" s="33">
        <v>0.76039999999999996</v>
      </c>
      <c r="F384" s="30">
        <v>7.7995000000000001</v>
      </c>
      <c r="G384" s="30">
        <f t="shared" si="5"/>
        <v>5.9307397999999996</v>
      </c>
      <c r="H384" s="41"/>
      <c r="I384" s="42"/>
      <c r="J384" s="141">
        <v>46</v>
      </c>
    </row>
    <row r="385" spans="1:10" ht="25.5" x14ac:dyDescent="0.25">
      <c r="A385" s="226"/>
      <c r="B385" s="244"/>
      <c r="C385" s="32" t="s">
        <v>158</v>
      </c>
      <c r="D385" s="32" t="s">
        <v>93</v>
      </c>
      <c r="E385" s="33">
        <v>1.9910000000000001</v>
      </c>
      <c r="F385" s="30">
        <v>8.8539999999999992</v>
      </c>
      <c r="G385" s="30">
        <f t="shared" si="5"/>
        <v>17.628314</v>
      </c>
      <c r="H385" s="41"/>
      <c r="I385" s="42"/>
      <c r="J385" s="141">
        <v>46</v>
      </c>
    </row>
    <row r="386" spans="1:10" ht="25.5" x14ac:dyDescent="0.25">
      <c r="A386" s="226"/>
      <c r="B386" s="244"/>
      <c r="C386" s="32" t="s">
        <v>159</v>
      </c>
      <c r="D386" s="32" t="s">
        <v>93</v>
      </c>
      <c r="E386" s="33">
        <v>1.2513000000000001</v>
      </c>
      <c r="F386" s="30">
        <v>0.28499999999999998</v>
      </c>
      <c r="G386" s="30">
        <f t="shared" si="5"/>
        <v>0.35662050000000001</v>
      </c>
      <c r="H386" s="41"/>
      <c r="I386" s="42"/>
      <c r="J386" s="141">
        <v>46</v>
      </c>
    </row>
    <row r="387" spans="1:10" ht="25.5" x14ac:dyDescent="0.25">
      <c r="A387" s="226"/>
      <c r="B387" s="244"/>
      <c r="C387" s="32" t="s">
        <v>160</v>
      </c>
      <c r="D387" s="32" t="s">
        <v>93</v>
      </c>
      <c r="E387" s="33">
        <v>0.74070000000000003</v>
      </c>
      <c r="F387" s="30">
        <v>2.5554999999999999</v>
      </c>
      <c r="G387" s="30">
        <f t="shared" si="5"/>
        <v>1.8928588499999999</v>
      </c>
      <c r="H387" s="41"/>
      <c r="I387" s="42"/>
      <c r="J387" s="141">
        <v>46</v>
      </c>
    </row>
    <row r="388" spans="1:10" ht="38.25" x14ac:dyDescent="0.25">
      <c r="A388" s="226"/>
      <c r="B388" s="244"/>
      <c r="C388" s="32" t="s">
        <v>3705</v>
      </c>
      <c r="D388" s="32" t="s">
        <v>42</v>
      </c>
      <c r="E388" s="33">
        <v>0.51639999999999997</v>
      </c>
      <c r="F388" s="30">
        <v>3.2014999999999998</v>
      </c>
      <c r="G388" s="30">
        <f t="shared" si="5"/>
        <v>1.6532545999999997</v>
      </c>
      <c r="H388" s="41"/>
      <c r="I388" s="42"/>
      <c r="J388" s="141">
        <v>46</v>
      </c>
    </row>
    <row r="389" spans="1:10" ht="25.5" x14ac:dyDescent="0.25">
      <c r="A389" s="226"/>
      <c r="B389" s="244"/>
      <c r="C389" s="32" t="s">
        <v>161</v>
      </c>
      <c r="D389" s="32" t="s">
        <v>20</v>
      </c>
      <c r="E389" s="33">
        <v>10.0039</v>
      </c>
      <c r="F389" s="30">
        <v>9.5000000000000001E-2</v>
      </c>
      <c r="G389" s="30">
        <f t="shared" si="5"/>
        <v>0.95037050000000001</v>
      </c>
      <c r="H389" s="41"/>
      <c r="I389" s="42"/>
      <c r="J389" s="141">
        <v>46</v>
      </c>
    </row>
    <row r="390" spans="1:10" ht="25.5" x14ac:dyDescent="0.25">
      <c r="A390" s="226"/>
      <c r="B390" s="244"/>
      <c r="C390" s="32" t="s">
        <v>162</v>
      </c>
      <c r="D390" s="32" t="s">
        <v>20</v>
      </c>
      <c r="E390" s="33">
        <v>0.80759999999999998</v>
      </c>
      <c r="F390" s="30">
        <v>0.2185</v>
      </c>
      <c r="G390" s="30">
        <f t="shared" ref="G390:G453" si="6">IF(ISNUMBER(F390),E390*F390,"")</f>
        <v>0.1764606</v>
      </c>
      <c r="H390" s="41"/>
      <c r="I390" s="42"/>
      <c r="J390" s="141">
        <v>46</v>
      </c>
    </row>
    <row r="391" spans="1:10" x14ac:dyDescent="0.25">
      <c r="A391" s="226"/>
      <c r="B391" s="244"/>
      <c r="C391" s="32" t="s">
        <v>27</v>
      </c>
      <c r="D391" s="32" t="s">
        <v>12</v>
      </c>
      <c r="E391" s="33">
        <v>0.36359999999999998</v>
      </c>
      <c r="F391" s="27">
        <v>18.933499999999999</v>
      </c>
      <c r="G391" s="30">
        <f t="shared" si="6"/>
        <v>6.884220599999999</v>
      </c>
      <c r="H391" s="41"/>
      <c r="I391" s="42"/>
      <c r="J391" s="141">
        <v>46</v>
      </c>
    </row>
    <row r="392" spans="1:10" x14ac:dyDescent="0.25">
      <c r="A392" s="226"/>
      <c r="B392" s="244"/>
      <c r="C392" s="32" t="s">
        <v>23</v>
      </c>
      <c r="D392" s="32" t="s">
        <v>12</v>
      </c>
      <c r="E392" s="33">
        <v>9.0899999999999995E-2</v>
      </c>
      <c r="F392" s="27">
        <v>18.420500000000001</v>
      </c>
      <c r="G392" s="30">
        <f t="shared" si="6"/>
        <v>1.6744234499999999</v>
      </c>
      <c r="H392" s="41"/>
      <c r="I392" s="42"/>
      <c r="J392" s="141">
        <v>46</v>
      </c>
    </row>
    <row r="393" spans="1:10" ht="15.75" thickBot="1" x14ac:dyDescent="0.3">
      <c r="A393" s="227"/>
      <c r="B393" s="230"/>
      <c r="C393" s="32"/>
      <c r="D393" s="32"/>
      <c r="E393" s="33"/>
      <c r="F393" s="27" t="s">
        <v>523</v>
      </c>
      <c r="G393" s="27" t="str">
        <f t="shared" si="6"/>
        <v/>
      </c>
      <c r="H393" s="31"/>
      <c r="I393" s="27"/>
      <c r="J393" s="141">
        <v>46</v>
      </c>
    </row>
    <row r="394" spans="1:10" ht="15.75" hidden="1" thickBot="1" x14ac:dyDescent="0.3">
      <c r="A394" s="225" t="s">
        <v>163</v>
      </c>
      <c r="B394" s="228" t="str">
        <f>INDEX(Orçamentária!A:B,MATCH(Composições!A394,Orçamentária!A:A,0),2)</f>
        <v>Fixação (encunhamento) de Alvenaria de Vedação</v>
      </c>
      <c r="C394" s="37"/>
      <c r="D394" s="22" t="str">
        <f>TRIM(INDEX(Orçamentária!C:C,MATCH(Composições!A394,Orçamentária!A:A,0),1))</f>
        <v>m</v>
      </c>
      <c r="E394" s="23"/>
      <c r="F394" s="38" t="s">
        <v>523</v>
      </c>
      <c r="G394" s="24" t="str">
        <f t="shared" si="6"/>
        <v/>
      </c>
      <c r="H394" s="25"/>
      <c r="I394" s="26"/>
      <c r="J394" s="141">
        <v>0</v>
      </c>
    </row>
    <row r="395" spans="1:10" ht="15.75" hidden="1" thickBot="1" x14ac:dyDescent="0.3">
      <c r="A395" s="226"/>
      <c r="B395" s="244"/>
      <c r="C395" s="28"/>
      <c r="D395" s="28"/>
      <c r="E395" s="29"/>
      <c r="F395" s="39" t="s">
        <v>523</v>
      </c>
      <c r="G395" s="27" t="str">
        <f t="shared" si="6"/>
        <v/>
      </c>
      <c r="H395" s="31"/>
      <c r="I395" s="27"/>
      <c r="J395" s="141">
        <v>0</v>
      </c>
    </row>
    <row r="396" spans="1:10" ht="15.75" hidden="1" thickBot="1" x14ac:dyDescent="0.3">
      <c r="A396" s="226"/>
      <c r="B396" s="244"/>
      <c r="C396" s="32" t="s">
        <v>3523</v>
      </c>
      <c r="D396" s="43" t="s">
        <v>20</v>
      </c>
      <c r="E396" s="33">
        <v>11.2</v>
      </c>
      <c r="F396" s="30">
        <v>0.71249999999999991</v>
      </c>
      <c r="G396" s="27">
        <f t="shared" si="6"/>
        <v>7.9799999999999986</v>
      </c>
      <c r="H396" s="35">
        <f>SUM(G396:G399)</f>
        <v>26.373136972996001</v>
      </c>
      <c r="I396" s="36"/>
      <c r="J396" s="141">
        <v>0</v>
      </c>
    </row>
    <row r="397" spans="1:10" ht="51.75" hidden="1" thickBot="1" x14ac:dyDescent="0.3">
      <c r="A397" s="226"/>
      <c r="B397" s="244"/>
      <c r="C397" s="32" t="s">
        <v>164</v>
      </c>
      <c r="D397" s="43" t="s">
        <v>109</v>
      </c>
      <c r="E397" s="33">
        <v>5.1999999999999998E-3</v>
      </c>
      <c r="F397" s="30">
        <v>629.56807173000004</v>
      </c>
      <c r="G397" s="27">
        <f t="shared" si="6"/>
        <v>3.2737539729959999</v>
      </c>
      <c r="H397" s="41"/>
      <c r="I397" s="42"/>
      <c r="J397" s="141">
        <v>0</v>
      </c>
    </row>
    <row r="398" spans="1:10" ht="15.75" hidden="1" thickBot="1" x14ac:dyDescent="0.3">
      <c r="A398" s="226"/>
      <c r="B398" s="244"/>
      <c r="C398" s="32" t="s">
        <v>22</v>
      </c>
      <c r="D398" s="43" t="s">
        <v>12</v>
      </c>
      <c r="E398" s="33">
        <v>0.52900000000000003</v>
      </c>
      <c r="F398" s="27">
        <v>24.889999999999997</v>
      </c>
      <c r="G398" s="27">
        <f t="shared" si="6"/>
        <v>13.16681</v>
      </c>
      <c r="H398" s="41"/>
      <c r="I398" s="42"/>
      <c r="J398" s="141">
        <v>0</v>
      </c>
    </row>
    <row r="399" spans="1:10" ht="15.75" hidden="1" thickBot="1" x14ac:dyDescent="0.3">
      <c r="A399" s="226"/>
      <c r="B399" s="244"/>
      <c r="C399" s="32" t="s">
        <v>23</v>
      </c>
      <c r="D399" s="43" t="s">
        <v>12</v>
      </c>
      <c r="E399" s="33">
        <v>0.106</v>
      </c>
      <c r="F399" s="27">
        <v>18.420500000000001</v>
      </c>
      <c r="G399" s="27">
        <f t="shared" si="6"/>
        <v>1.9525729999999999</v>
      </c>
      <c r="H399" s="41"/>
      <c r="I399" s="42"/>
      <c r="J399" s="141">
        <v>0</v>
      </c>
    </row>
    <row r="400" spans="1:10" ht="15.75" hidden="1" thickBot="1" x14ac:dyDescent="0.3">
      <c r="A400" s="226"/>
      <c r="B400" s="244"/>
      <c r="C400" s="32"/>
      <c r="D400" s="43"/>
      <c r="E400" s="33"/>
      <c r="F400" s="30" t="s">
        <v>523</v>
      </c>
      <c r="G400" s="30" t="str">
        <f t="shared" si="6"/>
        <v/>
      </c>
      <c r="H400" s="41"/>
      <c r="I400" s="42"/>
      <c r="J400" s="141">
        <v>0</v>
      </c>
    </row>
    <row r="401" spans="1:10" ht="15.75" hidden="1" thickBot="1" x14ac:dyDescent="0.3">
      <c r="A401" s="225" t="s">
        <v>165</v>
      </c>
      <c r="B401" s="228" t="str">
        <f>INDEX(Orçamentária!A:B,MATCH(Composições!A401,Orçamentária!A:A,0),2)</f>
        <v>Parede em gesso acartonado (drywall)</v>
      </c>
      <c r="C401" s="37"/>
      <c r="D401" s="22" t="str">
        <f>TRIM(INDEX(Orçamentária!C:C,MATCH(Composições!A401,Orçamentária!A:A,0),1))</f>
        <v>m2</v>
      </c>
      <c r="E401" s="23"/>
      <c r="F401" s="38" t="s">
        <v>523</v>
      </c>
      <c r="G401" s="24" t="str">
        <f t="shared" si="6"/>
        <v/>
      </c>
      <c r="H401" s="25"/>
      <c r="I401" s="26"/>
      <c r="J401" s="141">
        <v>0</v>
      </c>
    </row>
    <row r="402" spans="1:10" ht="15.75" hidden="1" thickBot="1" x14ac:dyDescent="0.3">
      <c r="A402" s="226"/>
      <c r="B402" s="244"/>
      <c r="C402" s="28"/>
      <c r="D402" s="28"/>
      <c r="E402" s="29"/>
      <c r="F402" s="39" t="s">
        <v>523</v>
      </c>
      <c r="G402" s="27" t="str">
        <f t="shared" si="6"/>
        <v/>
      </c>
      <c r="H402" s="31"/>
      <c r="I402" s="27"/>
      <c r="J402" s="141">
        <v>0</v>
      </c>
    </row>
    <row r="403" spans="1:10" ht="26.25" hidden="1" thickBot="1" x14ac:dyDescent="0.3">
      <c r="A403" s="226"/>
      <c r="B403" s="244"/>
      <c r="C403" s="32" t="s">
        <v>166</v>
      </c>
      <c r="D403" s="43" t="s">
        <v>153</v>
      </c>
      <c r="E403" s="33">
        <v>2.4299999999999999E-2</v>
      </c>
      <c r="F403" s="30">
        <v>44.564499999999995</v>
      </c>
      <c r="G403" s="27">
        <f t="shared" si="6"/>
        <v>1.0829173499999998</v>
      </c>
      <c r="H403" s="35">
        <f>SUM(G403:G413)</f>
        <v>84.410845899999998</v>
      </c>
      <c r="I403" s="36"/>
      <c r="J403" s="141">
        <v>0</v>
      </c>
    </row>
    <row r="404" spans="1:10" ht="26.25" hidden="1" thickBot="1" x14ac:dyDescent="0.3">
      <c r="A404" s="226"/>
      <c r="B404" s="244"/>
      <c r="C404" s="32" t="s">
        <v>3707</v>
      </c>
      <c r="D404" s="43" t="s">
        <v>95</v>
      </c>
      <c r="E404" s="33">
        <v>2.1059999999999999</v>
      </c>
      <c r="F404" s="30">
        <v>18.496499999999997</v>
      </c>
      <c r="G404" s="27">
        <f t="shared" si="6"/>
        <v>38.953628999999992</v>
      </c>
      <c r="H404" s="31"/>
      <c r="I404" s="27"/>
      <c r="J404" s="141">
        <v>0</v>
      </c>
    </row>
    <row r="405" spans="1:10" ht="26.25" hidden="1" thickBot="1" x14ac:dyDescent="0.3">
      <c r="A405" s="226"/>
      <c r="B405" s="244"/>
      <c r="C405" s="32" t="s">
        <v>167</v>
      </c>
      <c r="D405" s="43" t="s">
        <v>93</v>
      </c>
      <c r="E405" s="33">
        <v>0.76039999999999996</v>
      </c>
      <c r="F405" s="30">
        <v>7.7995000000000001</v>
      </c>
      <c r="G405" s="27">
        <f t="shared" si="6"/>
        <v>5.9307397999999996</v>
      </c>
      <c r="H405" s="31"/>
      <c r="I405" s="27"/>
      <c r="J405" s="141">
        <v>0</v>
      </c>
    </row>
    <row r="406" spans="1:10" ht="26.25" hidden="1" thickBot="1" x14ac:dyDescent="0.3">
      <c r="A406" s="226"/>
      <c r="B406" s="244"/>
      <c r="C406" s="32" t="s">
        <v>168</v>
      </c>
      <c r="D406" s="43" t="s">
        <v>93</v>
      </c>
      <c r="E406" s="33">
        <v>1.9910000000000001</v>
      </c>
      <c r="F406" s="30">
        <v>8.8539999999999992</v>
      </c>
      <c r="G406" s="27">
        <f t="shared" si="6"/>
        <v>17.628314</v>
      </c>
      <c r="H406" s="31"/>
      <c r="I406" s="27"/>
      <c r="J406" s="141">
        <v>0</v>
      </c>
    </row>
    <row r="407" spans="1:10" ht="26.25" hidden="1" thickBot="1" x14ac:dyDescent="0.3">
      <c r="A407" s="226"/>
      <c r="B407" s="244"/>
      <c r="C407" s="32" t="s">
        <v>169</v>
      </c>
      <c r="D407" s="43" t="s">
        <v>93</v>
      </c>
      <c r="E407" s="33">
        <v>2.5026999999999999</v>
      </c>
      <c r="F407" s="30">
        <v>0.28499999999999998</v>
      </c>
      <c r="G407" s="27">
        <f t="shared" si="6"/>
        <v>0.71326949999999989</v>
      </c>
      <c r="H407" s="31"/>
      <c r="I407" s="27"/>
      <c r="J407" s="141">
        <v>0</v>
      </c>
    </row>
    <row r="408" spans="1:10" ht="26.25" hidden="1" thickBot="1" x14ac:dyDescent="0.3">
      <c r="A408" s="226"/>
      <c r="B408" s="244"/>
      <c r="C408" s="32" t="s">
        <v>170</v>
      </c>
      <c r="D408" s="43" t="s">
        <v>93</v>
      </c>
      <c r="E408" s="33">
        <v>0.74070000000000003</v>
      </c>
      <c r="F408" s="30">
        <v>2.5554999999999999</v>
      </c>
      <c r="G408" s="27">
        <f t="shared" si="6"/>
        <v>1.8928588499999999</v>
      </c>
      <c r="H408" s="31"/>
      <c r="I408" s="27"/>
      <c r="J408" s="141">
        <v>0</v>
      </c>
    </row>
    <row r="409" spans="1:10" ht="39" hidden="1" thickBot="1" x14ac:dyDescent="0.3">
      <c r="A409" s="226"/>
      <c r="B409" s="244"/>
      <c r="C409" s="32" t="s">
        <v>3705</v>
      </c>
      <c r="D409" s="43" t="s">
        <v>42</v>
      </c>
      <c r="E409" s="33">
        <v>1.0327</v>
      </c>
      <c r="F409" s="30">
        <v>3.2014999999999998</v>
      </c>
      <c r="G409" s="27">
        <f t="shared" si="6"/>
        <v>3.3061890499999995</v>
      </c>
      <c r="H409" s="31"/>
      <c r="I409" s="27"/>
      <c r="J409" s="141">
        <v>0</v>
      </c>
    </row>
    <row r="410" spans="1:10" ht="26.25" hidden="1" thickBot="1" x14ac:dyDescent="0.3">
      <c r="A410" s="226"/>
      <c r="B410" s="244"/>
      <c r="C410" s="32" t="s">
        <v>171</v>
      </c>
      <c r="D410" s="43" t="s">
        <v>20</v>
      </c>
      <c r="E410" s="33">
        <v>20.0077</v>
      </c>
      <c r="F410" s="30">
        <v>9.5000000000000001E-2</v>
      </c>
      <c r="G410" s="27">
        <f t="shared" si="6"/>
        <v>1.9007315</v>
      </c>
      <c r="H410" s="31"/>
      <c r="I410" s="27"/>
      <c r="J410" s="141">
        <v>0</v>
      </c>
    </row>
    <row r="411" spans="1:10" ht="26.25" hidden="1" thickBot="1" x14ac:dyDescent="0.3">
      <c r="A411" s="226"/>
      <c r="B411" s="244"/>
      <c r="C411" s="32" t="s">
        <v>172</v>
      </c>
      <c r="D411" s="43" t="s">
        <v>20</v>
      </c>
      <c r="E411" s="33">
        <v>0.80759999999999998</v>
      </c>
      <c r="F411" s="30">
        <v>0.2185</v>
      </c>
      <c r="G411" s="27">
        <f t="shared" si="6"/>
        <v>0.1764606</v>
      </c>
      <c r="H411" s="31"/>
      <c r="I411" s="27"/>
      <c r="J411" s="141">
        <v>0</v>
      </c>
    </row>
    <row r="412" spans="1:10" ht="15.75" hidden="1" thickBot="1" x14ac:dyDescent="0.3">
      <c r="A412" s="226"/>
      <c r="B412" s="244"/>
      <c r="C412" s="32" t="s">
        <v>27</v>
      </c>
      <c r="D412" s="43" t="s">
        <v>12</v>
      </c>
      <c r="E412" s="33">
        <v>0.54490000000000005</v>
      </c>
      <c r="F412" s="27">
        <v>18.933499999999999</v>
      </c>
      <c r="G412" s="27">
        <f t="shared" si="6"/>
        <v>10.316864150000001</v>
      </c>
      <c r="H412" s="31"/>
      <c r="I412" s="27"/>
      <c r="J412" s="141">
        <v>0</v>
      </c>
    </row>
    <row r="413" spans="1:10" ht="15.75" hidden="1" thickBot="1" x14ac:dyDescent="0.3">
      <c r="A413" s="226"/>
      <c r="B413" s="244"/>
      <c r="C413" s="32" t="s">
        <v>23</v>
      </c>
      <c r="D413" s="43" t="s">
        <v>12</v>
      </c>
      <c r="E413" s="33">
        <v>0.13619999999999999</v>
      </c>
      <c r="F413" s="27">
        <v>18.420500000000001</v>
      </c>
      <c r="G413" s="27">
        <f t="shared" si="6"/>
        <v>2.5088721</v>
      </c>
      <c r="H413" s="31"/>
      <c r="I413" s="27"/>
      <c r="J413" s="141">
        <v>0</v>
      </c>
    </row>
    <row r="414" spans="1:10" ht="15.75" hidden="1" thickBot="1" x14ac:dyDescent="0.3">
      <c r="A414" s="227"/>
      <c r="B414" s="230"/>
      <c r="C414" s="32"/>
      <c r="D414" s="32"/>
      <c r="E414" s="33"/>
      <c r="F414" s="27" t="s">
        <v>523</v>
      </c>
      <c r="G414" s="27" t="str">
        <f t="shared" si="6"/>
        <v/>
      </c>
      <c r="H414" s="31"/>
      <c r="I414" s="27"/>
      <c r="J414" s="141">
        <v>0</v>
      </c>
    </row>
    <row r="415" spans="1:10" ht="15.75" hidden="1" thickBot="1" x14ac:dyDescent="0.3">
      <c r="A415" s="225" t="s">
        <v>173</v>
      </c>
      <c r="B415" s="228" t="str">
        <f>INDEX(Orçamentária!A:B,MATCH(Composições!A415,Orçamentária!A:A,0),2)</f>
        <v>Reparos superficiais em painéis de gesso acartonado</v>
      </c>
      <c r="C415" s="37"/>
      <c r="D415" s="22" t="str">
        <f>TRIM(INDEX(Orçamentária!C:C,MATCH(Composições!A415,Orçamentária!A:A,0),1))</f>
        <v>m2</v>
      </c>
      <c r="E415" s="23"/>
      <c r="F415" s="38" t="s">
        <v>523</v>
      </c>
      <c r="G415" s="24" t="str">
        <f t="shared" si="6"/>
        <v/>
      </c>
      <c r="H415" s="25"/>
      <c r="I415" s="26"/>
      <c r="J415" s="141">
        <v>0</v>
      </c>
    </row>
    <row r="416" spans="1:10" ht="15.75" hidden="1" thickBot="1" x14ac:dyDescent="0.3">
      <c r="A416" s="226"/>
      <c r="B416" s="244"/>
      <c r="C416" s="28"/>
      <c r="D416" s="28"/>
      <c r="E416" s="29"/>
      <c r="F416" s="39" t="s">
        <v>523</v>
      </c>
      <c r="G416" s="27" t="str">
        <f t="shared" si="6"/>
        <v/>
      </c>
      <c r="H416" s="31"/>
      <c r="I416" s="27"/>
      <c r="J416" s="141">
        <v>0</v>
      </c>
    </row>
    <row r="417" spans="1:10" ht="26.25" hidden="1" thickBot="1" x14ac:dyDescent="0.3">
      <c r="A417" s="226"/>
      <c r="B417" s="244"/>
      <c r="C417" s="32" t="s">
        <v>169</v>
      </c>
      <c r="D417" s="43" t="s">
        <v>93</v>
      </c>
      <c r="E417" s="33">
        <v>1.2513000000000001</v>
      </c>
      <c r="F417" s="30">
        <v>0.28499999999999998</v>
      </c>
      <c r="G417" s="27">
        <f t="shared" si="6"/>
        <v>0.35662050000000001</v>
      </c>
      <c r="H417" s="35">
        <f>SUM(G417:G420)</f>
        <v>5.4761590999999994</v>
      </c>
      <c r="I417" s="36"/>
      <c r="J417" s="141">
        <v>0</v>
      </c>
    </row>
    <row r="418" spans="1:10" ht="39" hidden="1" thickBot="1" x14ac:dyDescent="0.3">
      <c r="A418" s="226"/>
      <c r="B418" s="244"/>
      <c r="C418" s="32" t="s">
        <v>3705</v>
      </c>
      <c r="D418" s="43" t="s">
        <v>42</v>
      </c>
      <c r="E418" s="33">
        <v>0.51639999999999997</v>
      </c>
      <c r="F418" s="30">
        <v>3.2014999999999998</v>
      </c>
      <c r="G418" s="27">
        <f t="shared" si="6"/>
        <v>1.6532545999999997</v>
      </c>
      <c r="H418" s="41"/>
      <c r="I418" s="42"/>
      <c r="J418" s="141">
        <v>0</v>
      </c>
    </row>
    <row r="419" spans="1:10" ht="15.75" hidden="1" thickBot="1" x14ac:dyDescent="0.3">
      <c r="A419" s="226"/>
      <c r="B419" s="244"/>
      <c r="C419" s="32" t="s">
        <v>27</v>
      </c>
      <c r="D419" s="43" t="s">
        <v>12</v>
      </c>
      <c r="E419" s="33">
        <f>0.3636/3</f>
        <v>0.12119999999999999</v>
      </c>
      <c r="F419" s="27">
        <v>18.933499999999999</v>
      </c>
      <c r="G419" s="27">
        <f t="shared" si="6"/>
        <v>2.2947401999999997</v>
      </c>
      <c r="H419" s="41"/>
      <c r="I419" s="42"/>
      <c r="J419" s="141">
        <v>0</v>
      </c>
    </row>
    <row r="420" spans="1:10" ht="15.75" hidden="1" thickBot="1" x14ac:dyDescent="0.3">
      <c r="A420" s="226"/>
      <c r="B420" s="244"/>
      <c r="C420" s="32" t="s">
        <v>23</v>
      </c>
      <c r="D420" s="43" t="s">
        <v>12</v>
      </c>
      <c r="E420" s="33">
        <f>ROUND(0.0909*0.7,4)</f>
        <v>6.3600000000000004E-2</v>
      </c>
      <c r="F420" s="27">
        <v>18.420500000000001</v>
      </c>
      <c r="G420" s="27">
        <f t="shared" si="6"/>
        <v>1.1715438</v>
      </c>
      <c r="H420" s="41"/>
      <c r="I420" s="42"/>
      <c r="J420" s="141">
        <v>0</v>
      </c>
    </row>
    <row r="421" spans="1:10" ht="15.75" hidden="1" thickBot="1" x14ac:dyDescent="0.3">
      <c r="A421" s="226"/>
      <c r="B421" s="244"/>
      <c r="C421" s="32"/>
      <c r="D421" s="43"/>
      <c r="E421" s="33"/>
      <c r="F421" s="30" t="s">
        <v>523</v>
      </c>
      <c r="G421" s="30" t="str">
        <f t="shared" si="6"/>
        <v/>
      </c>
      <c r="H421" s="41"/>
      <c r="I421" s="42"/>
      <c r="J421" s="141">
        <v>0</v>
      </c>
    </row>
    <row r="422" spans="1:10" ht="15.75" hidden="1" thickBot="1" x14ac:dyDescent="0.3">
      <c r="A422" s="225" t="s">
        <v>174</v>
      </c>
      <c r="B422" s="228" t="str">
        <f>INDEX(Orçamentária!A:B,MATCH(Composições!A422,Orçamentária!A:A,0),2)</f>
        <v>Sóculo h=10 cm</v>
      </c>
      <c r="C422" s="37"/>
      <c r="D422" s="22" t="str">
        <f>TRIM(INDEX(Orçamentária!C:C,MATCH(Composições!A422,Orçamentária!A:A,0),1))</f>
        <v>m2</v>
      </c>
      <c r="E422" s="23"/>
      <c r="F422" s="38" t="s">
        <v>523</v>
      </c>
      <c r="G422" s="24" t="str">
        <f t="shared" si="6"/>
        <v/>
      </c>
      <c r="H422" s="25"/>
      <c r="I422" s="26"/>
      <c r="J422" s="141">
        <v>0</v>
      </c>
    </row>
    <row r="423" spans="1:10" ht="15.75" hidden="1" thickBot="1" x14ac:dyDescent="0.3">
      <c r="A423" s="226"/>
      <c r="B423" s="244"/>
      <c r="C423" s="28"/>
      <c r="D423" s="28"/>
      <c r="E423" s="29"/>
      <c r="F423" s="39" t="s">
        <v>523</v>
      </c>
      <c r="G423" s="27" t="str">
        <f t="shared" si="6"/>
        <v/>
      </c>
      <c r="H423" s="31"/>
      <c r="I423" s="27"/>
      <c r="J423" s="141">
        <v>0</v>
      </c>
    </row>
    <row r="424" spans="1:10" ht="26.25" hidden="1" thickBot="1" x14ac:dyDescent="0.3">
      <c r="A424" s="226"/>
      <c r="B424" s="244"/>
      <c r="C424" s="32" t="s">
        <v>3372</v>
      </c>
      <c r="D424" s="43" t="s">
        <v>480</v>
      </c>
      <c r="E424" s="33">
        <v>0.42</v>
      </c>
      <c r="F424" s="30">
        <v>3.3249999999999997</v>
      </c>
      <c r="G424" s="30">
        <f t="shared" si="6"/>
        <v>1.3964999999999999</v>
      </c>
      <c r="H424" s="35">
        <f>SUM(G424:G432)</f>
        <v>86.187710027741986</v>
      </c>
      <c r="I424" s="36"/>
      <c r="J424" s="141">
        <v>0</v>
      </c>
    </row>
    <row r="425" spans="1:10" ht="15.75" hidden="1" thickBot="1" x14ac:dyDescent="0.3">
      <c r="A425" s="226"/>
      <c r="B425" s="244"/>
      <c r="C425" s="32" t="s">
        <v>3351</v>
      </c>
      <c r="D425" s="43" t="s">
        <v>1253</v>
      </c>
      <c r="E425" s="33">
        <v>5.0000000000000001E-3</v>
      </c>
      <c r="F425" s="30">
        <v>38.313499999999998</v>
      </c>
      <c r="G425" s="30">
        <f t="shared" si="6"/>
        <v>0.1915675</v>
      </c>
      <c r="H425" s="31"/>
      <c r="I425" s="27"/>
      <c r="J425" s="141">
        <v>0</v>
      </c>
    </row>
    <row r="426" spans="1:10" ht="26.25" hidden="1" thickBot="1" x14ac:dyDescent="0.3">
      <c r="A426" s="226"/>
      <c r="B426" s="244"/>
      <c r="C426" s="32" t="s">
        <v>6795</v>
      </c>
      <c r="D426" s="43" t="s">
        <v>280</v>
      </c>
      <c r="E426" s="33">
        <v>13.6</v>
      </c>
      <c r="F426" s="30">
        <v>2.1564999999999999</v>
      </c>
      <c r="G426" s="30">
        <f t="shared" si="6"/>
        <v>29.328399999999998</v>
      </c>
      <c r="H426" s="31"/>
      <c r="I426" s="27"/>
      <c r="J426" s="141">
        <v>0</v>
      </c>
    </row>
    <row r="427" spans="1:10" ht="51.75" hidden="1" thickBot="1" x14ac:dyDescent="0.3">
      <c r="A427" s="226"/>
      <c r="B427" s="244"/>
      <c r="C427" s="32" t="s">
        <v>154</v>
      </c>
      <c r="D427" s="43" t="s">
        <v>120</v>
      </c>
      <c r="E427" s="33">
        <v>1.04E-2</v>
      </c>
      <c r="F427" s="30">
        <v>650.67733525999995</v>
      </c>
      <c r="G427" s="30">
        <f t="shared" si="6"/>
        <v>6.7670442867039995</v>
      </c>
      <c r="H427" s="31"/>
      <c r="I427" s="27"/>
      <c r="J427" s="141">
        <v>0</v>
      </c>
    </row>
    <row r="428" spans="1:10" ht="15.75" hidden="1" thickBot="1" x14ac:dyDescent="0.3">
      <c r="A428" s="226"/>
      <c r="B428" s="244"/>
      <c r="C428" s="32" t="s">
        <v>713</v>
      </c>
      <c r="D428" s="43" t="s">
        <v>705</v>
      </c>
      <c r="E428" s="33">
        <v>0.59</v>
      </c>
      <c r="F428" s="27">
        <v>24.889999999999997</v>
      </c>
      <c r="G428" s="30">
        <f t="shared" si="6"/>
        <v>14.685099999999997</v>
      </c>
      <c r="H428" s="31"/>
      <c r="I428" s="27"/>
      <c r="J428" s="141">
        <v>0</v>
      </c>
    </row>
    <row r="429" spans="1:10" ht="15.75" hidden="1" thickBot="1" x14ac:dyDescent="0.3">
      <c r="A429" s="226"/>
      <c r="B429" s="244"/>
      <c r="C429" s="32" t="s">
        <v>706</v>
      </c>
      <c r="D429" s="43" t="s">
        <v>705</v>
      </c>
      <c r="E429" s="33">
        <v>0.29499999999999998</v>
      </c>
      <c r="F429" s="27">
        <v>18.420500000000001</v>
      </c>
      <c r="G429" s="30">
        <f t="shared" si="6"/>
        <v>5.4340475000000001</v>
      </c>
      <c r="H429" s="31"/>
      <c r="I429" s="27"/>
      <c r="J429" s="141">
        <v>0</v>
      </c>
    </row>
    <row r="430" spans="1:10" ht="51.75" hidden="1" thickBot="1" x14ac:dyDescent="0.3">
      <c r="A430" s="226"/>
      <c r="B430" s="244"/>
      <c r="C430" s="32" t="s">
        <v>154</v>
      </c>
      <c r="D430" s="43" t="s">
        <v>109</v>
      </c>
      <c r="E430" s="33">
        <v>2.1299999999999999E-2</v>
      </c>
      <c r="F430" s="30">
        <v>650.67733525999995</v>
      </c>
      <c r="G430" s="30">
        <f t="shared" si="6"/>
        <v>13.859427241037999</v>
      </c>
      <c r="H430" s="31"/>
      <c r="I430" s="27"/>
      <c r="J430" s="141">
        <v>0</v>
      </c>
    </row>
    <row r="431" spans="1:10" ht="15.75" hidden="1" thickBot="1" x14ac:dyDescent="0.3">
      <c r="A431" s="226"/>
      <c r="B431" s="244"/>
      <c r="C431" s="32" t="s">
        <v>22</v>
      </c>
      <c r="D431" s="43" t="s">
        <v>12</v>
      </c>
      <c r="E431" s="33">
        <v>0.46</v>
      </c>
      <c r="F431" s="27">
        <v>24.889999999999997</v>
      </c>
      <c r="G431" s="30">
        <f t="shared" si="6"/>
        <v>11.449399999999999</v>
      </c>
      <c r="H431" s="31"/>
      <c r="I431" s="27"/>
      <c r="J431" s="141">
        <v>0</v>
      </c>
    </row>
    <row r="432" spans="1:10" ht="15.75" hidden="1" thickBot="1" x14ac:dyDescent="0.3">
      <c r="A432" s="226"/>
      <c r="B432" s="244"/>
      <c r="C432" s="32" t="s">
        <v>23</v>
      </c>
      <c r="D432" s="43" t="s">
        <v>12</v>
      </c>
      <c r="E432" s="33">
        <v>0.16700000000000001</v>
      </c>
      <c r="F432" s="27">
        <v>18.420500000000001</v>
      </c>
      <c r="G432" s="30">
        <f t="shared" si="6"/>
        <v>3.0762235000000002</v>
      </c>
      <c r="H432" s="31"/>
      <c r="I432" s="27"/>
      <c r="J432" s="141">
        <v>0</v>
      </c>
    </row>
    <row r="433" spans="1:10" ht="15.75" hidden="1" thickBot="1" x14ac:dyDescent="0.3">
      <c r="A433" s="227"/>
      <c r="B433" s="230"/>
      <c r="C433" s="32"/>
      <c r="D433" s="32"/>
      <c r="E433" s="33"/>
      <c r="F433" s="27" t="s">
        <v>523</v>
      </c>
      <c r="G433" s="27" t="str">
        <f t="shared" si="6"/>
        <v/>
      </c>
      <c r="H433" s="31"/>
      <c r="I433" s="27"/>
      <c r="J433" s="141">
        <v>0</v>
      </c>
    </row>
    <row r="434" spans="1:10" ht="15.75" hidden="1" thickBot="1" x14ac:dyDescent="0.3">
      <c r="A434" s="225" t="s">
        <v>175</v>
      </c>
      <c r="B434" s="228" t="str">
        <f>INDEX(Orçamentária!A:B,MATCH(Composições!A434,Orçamentária!A:A,0),2)</f>
        <v>Chapisco colante industrializado em vigas e pilares</v>
      </c>
      <c r="C434" s="37"/>
      <c r="D434" s="22" t="str">
        <f>TRIM(INDEX(Orçamentária!C:C,MATCH(Composições!A434,Orçamentária!A:A,0),1))</f>
        <v>m2</v>
      </c>
      <c r="E434" s="23"/>
      <c r="F434" s="38" t="s">
        <v>523</v>
      </c>
      <c r="G434" s="24" t="str">
        <f t="shared" si="6"/>
        <v/>
      </c>
      <c r="H434" s="25"/>
      <c r="I434" s="26"/>
      <c r="J434" s="141">
        <v>0</v>
      </c>
    </row>
    <row r="435" spans="1:10" ht="15.75" hidden="1" thickBot="1" x14ac:dyDescent="0.3">
      <c r="A435" s="226"/>
      <c r="B435" s="244"/>
      <c r="C435" s="28"/>
      <c r="D435" s="28"/>
      <c r="E435" s="29"/>
      <c r="F435" s="39" t="s">
        <v>523</v>
      </c>
      <c r="G435" s="27" t="str">
        <f t="shared" si="6"/>
        <v/>
      </c>
      <c r="H435" s="31"/>
      <c r="I435" s="27"/>
      <c r="J435" s="141">
        <v>0</v>
      </c>
    </row>
    <row r="436" spans="1:10" ht="39" hidden="1" thickBot="1" x14ac:dyDescent="0.3">
      <c r="A436" s="226"/>
      <c r="B436" s="244"/>
      <c r="C436" s="32" t="s">
        <v>176</v>
      </c>
      <c r="D436" s="32" t="s">
        <v>109</v>
      </c>
      <c r="E436" s="33">
        <v>3.2000000000000002E-3</v>
      </c>
      <c r="F436" s="30">
        <v>2203.0695699999997</v>
      </c>
      <c r="G436" s="30">
        <f t="shared" si="6"/>
        <v>7.049822623999999</v>
      </c>
      <c r="H436" s="35">
        <f>SUM(G436:G438)</f>
        <v>10.819041673999999</v>
      </c>
      <c r="I436" s="36"/>
      <c r="J436" s="141">
        <v>0</v>
      </c>
    </row>
    <row r="437" spans="1:10" ht="15.75" hidden="1" thickBot="1" x14ac:dyDescent="0.3">
      <c r="A437" s="226"/>
      <c r="B437" s="244"/>
      <c r="C437" s="32" t="s">
        <v>22</v>
      </c>
      <c r="D437" s="32" t="s">
        <v>12</v>
      </c>
      <c r="E437" s="33">
        <v>0.14099999999999999</v>
      </c>
      <c r="F437" s="27">
        <v>24.889999999999997</v>
      </c>
      <c r="G437" s="30">
        <f t="shared" si="6"/>
        <v>3.5094899999999991</v>
      </c>
      <c r="H437" s="31"/>
      <c r="I437" s="27"/>
      <c r="J437" s="141">
        <v>0</v>
      </c>
    </row>
    <row r="438" spans="1:10" ht="15.75" hidden="1" thickBot="1" x14ac:dyDescent="0.3">
      <c r="A438" s="226"/>
      <c r="B438" s="244"/>
      <c r="C438" s="32" t="s">
        <v>23</v>
      </c>
      <c r="D438" s="32" t="s">
        <v>12</v>
      </c>
      <c r="E438" s="33">
        <v>1.41E-2</v>
      </c>
      <c r="F438" s="27">
        <v>18.420500000000001</v>
      </c>
      <c r="G438" s="30">
        <f t="shared" si="6"/>
        <v>0.25972905000000002</v>
      </c>
      <c r="H438" s="31"/>
      <c r="I438" s="27"/>
      <c r="J438" s="141">
        <v>0</v>
      </c>
    </row>
    <row r="439" spans="1:10" ht="15.75" hidden="1" thickBot="1" x14ac:dyDescent="0.3">
      <c r="A439" s="227"/>
      <c r="B439" s="230"/>
      <c r="C439" s="32"/>
      <c r="D439" s="32"/>
      <c r="E439" s="33"/>
      <c r="F439" s="27" t="s">
        <v>523</v>
      </c>
      <c r="G439" s="27" t="str">
        <f t="shared" si="6"/>
        <v/>
      </c>
      <c r="H439" s="31"/>
      <c r="I439" s="27"/>
      <c r="J439" s="141">
        <v>0</v>
      </c>
    </row>
    <row r="440" spans="1:10" ht="15.75" hidden="1" thickBot="1" x14ac:dyDescent="0.3">
      <c r="A440" s="225" t="s">
        <v>177</v>
      </c>
      <c r="B440" s="228" t="str">
        <f>INDEX(Orçamentária!A:B,MATCH(Composições!A440,Orçamentária!A:A,0),2)</f>
        <v>Chapisco com argamassa traço 1:3</v>
      </c>
      <c r="C440" s="37"/>
      <c r="D440" s="22" t="str">
        <f>TRIM(INDEX(Orçamentária!C:C,MATCH(Composições!A440,Orçamentária!A:A,0),1))</f>
        <v>m2</v>
      </c>
      <c r="E440" s="23"/>
      <c r="F440" s="38" t="s">
        <v>523</v>
      </c>
      <c r="G440" s="24" t="str">
        <f t="shared" si="6"/>
        <v/>
      </c>
      <c r="H440" s="25"/>
      <c r="I440" s="26"/>
      <c r="J440" s="141">
        <v>0</v>
      </c>
    </row>
    <row r="441" spans="1:10" ht="15.75" hidden="1" thickBot="1" x14ac:dyDescent="0.3">
      <c r="A441" s="226"/>
      <c r="B441" s="244"/>
      <c r="C441" s="28"/>
      <c r="D441" s="28"/>
      <c r="E441" s="29"/>
      <c r="F441" s="39" t="s">
        <v>523</v>
      </c>
      <c r="G441" s="27" t="str">
        <f t="shared" si="6"/>
        <v/>
      </c>
      <c r="H441" s="31"/>
      <c r="I441" s="27"/>
      <c r="J441" s="141">
        <v>0</v>
      </c>
    </row>
    <row r="442" spans="1:10" ht="39" hidden="1" thickBot="1" x14ac:dyDescent="0.3">
      <c r="A442" s="226"/>
      <c r="B442" s="244"/>
      <c r="C442" s="32" t="s">
        <v>178</v>
      </c>
      <c r="D442" s="32" t="s">
        <v>109</v>
      </c>
      <c r="E442" s="33">
        <v>4.1999999999999997E-3</v>
      </c>
      <c r="F442" s="30">
        <v>685.48044408999999</v>
      </c>
      <c r="G442" s="30">
        <f t="shared" si="6"/>
        <v>2.8790178651779996</v>
      </c>
      <c r="H442" s="35">
        <f>SUM(G442:G444)</f>
        <v>4.7502613651779999</v>
      </c>
      <c r="I442" s="36"/>
      <c r="J442" s="141">
        <v>0</v>
      </c>
    </row>
    <row r="443" spans="1:10" ht="15.75" hidden="1" thickBot="1" x14ac:dyDescent="0.3">
      <c r="A443" s="226"/>
      <c r="B443" s="244"/>
      <c r="C443" s="32" t="s">
        <v>22</v>
      </c>
      <c r="D443" s="32" t="s">
        <v>12</v>
      </c>
      <c r="E443" s="33">
        <v>7.0000000000000007E-2</v>
      </c>
      <c r="F443" s="27">
        <v>24.889999999999997</v>
      </c>
      <c r="G443" s="27">
        <f t="shared" si="6"/>
        <v>1.7423</v>
      </c>
      <c r="H443" s="31"/>
      <c r="I443" s="27"/>
      <c r="J443" s="141">
        <v>0</v>
      </c>
    </row>
    <row r="444" spans="1:10" ht="15.75" hidden="1" thickBot="1" x14ac:dyDescent="0.3">
      <c r="A444" s="226"/>
      <c r="B444" s="244"/>
      <c r="C444" s="32" t="s">
        <v>23</v>
      </c>
      <c r="D444" s="32" t="s">
        <v>12</v>
      </c>
      <c r="E444" s="33">
        <v>7.0000000000000001E-3</v>
      </c>
      <c r="F444" s="27">
        <v>18.420500000000001</v>
      </c>
      <c r="G444" s="27">
        <f t="shared" si="6"/>
        <v>0.12894350000000002</v>
      </c>
      <c r="H444" s="31"/>
      <c r="I444" s="27"/>
      <c r="J444" s="141">
        <v>0</v>
      </c>
    </row>
    <row r="445" spans="1:10" ht="15.75" hidden="1" thickBot="1" x14ac:dyDescent="0.3">
      <c r="A445" s="227"/>
      <c r="B445" s="230"/>
      <c r="C445" s="32"/>
      <c r="D445" s="32"/>
      <c r="E445" s="33"/>
      <c r="F445" s="27" t="s">
        <v>523</v>
      </c>
      <c r="G445" s="27" t="str">
        <f t="shared" si="6"/>
        <v/>
      </c>
      <c r="H445" s="31"/>
      <c r="I445" s="27"/>
      <c r="J445" s="141">
        <v>0</v>
      </c>
    </row>
    <row r="446" spans="1:10" ht="15.75" hidden="1" thickBot="1" x14ac:dyDescent="0.3">
      <c r="A446" s="225" t="s">
        <v>179</v>
      </c>
      <c r="B446" s="228" t="str">
        <f>INDEX(Orçamentária!A:B,MATCH(Composições!A446,Orçamentária!A:A,0),2)</f>
        <v>Gesso cola</v>
      </c>
      <c r="C446" s="37"/>
      <c r="D446" s="22" t="str">
        <f>TRIM(INDEX(Orçamentária!C:C,MATCH(Composições!A446,Orçamentária!A:A,0),1))</f>
        <v>m2</v>
      </c>
      <c r="E446" s="23"/>
      <c r="F446" s="38" t="s">
        <v>523</v>
      </c>
      <c r="G446" s="24" t="str">
        <f t="shared" si="6"/>
        <v/>
      </c>
      <c r="H446" s="25"/>
      <c r="I446" s="26"/>
      <c r="J446" s="141">
        <v>0</v>
      </c>
    </row>
    <row r="447" spans="1:10" ht="15.75" hidden="1" thickBot="1" x14ac:dyDescent="0.3">
      <c r="A447" s="231"/>
      <c r="B447" s="244"/>
      <c r="C447" s="28"/>
      <c r="D447" s="28"/>
      <c r="E447" s="29"/>
      <c r="F447" s="39" t="s">
        <v>523</v>
      </c>
      <c r="G447" s="27" t="str">
        <f t="shared" si="6"/>
        <v/>
      </c>
      <c r="H447" s="31"/>
      <c r="I447" s="27"/>
      <c r="J447" s="141">
        <v>0</v>
      </c>
    </row>
    <row r="448" spans="1:10" ht="15.75" hidden="1" thickBot="1" x14ac:dyDescent="0.3">
      <c r="A448" s="231"/>
      <c r="B448" s="244"/>
      <c r="C448" s="32" t="s">
        <v>180</v>
      </c>
      <c r="D448" s="32" t="s">
        <v>12</v>
      </c>
      <c r="E448" s="33">
        <v>0.4</v>
      </c>
      <c r="F448" s="27">
        <v>24.747499999999999</v>
      </c>
      <c r="G448" s="27">
        <f t="shared" si="6"/>
        <v>9.8990000000000009</v>
      </c>
      <c r="H448" s="35">
        <f>SUM(G448:G450)</f>
        <v>11.372640000000001</v>
      </c>
      <c r="I448" s="36"/>
      <c r="J448" s="141">
        <v>0</v>
      </c>
    </row>
    <row r="449" spans="1:10" ht="15.75" hidden="1" thickBot="1" x14ac:dyDescent="0.3">
      <c r="A449" s="231"/>
      <c r="B449" s="244"/>
      <c r="C449" s="32" t="s">
        <v>23</v>
      </c>
      <c r="D449" s="32" t="s">
        <v>12</v>
      </c>
      <c r="E449" s="33">
        <v>0.08</v>
      </c>
      <c r="F449" s="27">
        <v>18.420500000000001</v>
      </c>
      <c r="G449" s="27">
        <f t="shared" si="6"/>
        <v>1.4736400000000001</v>
      </c>
      <c r="H449" s="31"/>
      <c r="I449" s="27"/>
      <c r="J449" s="141">
        <v>0</v>
      </c>
    </row>
    <row r="450" spans="1:10" ht="15.75" hidden="1" thickBot="1" x14ac:dyDescent="0.3">
      <c r="A450" s="231"/>
      <c r="B450" s="244"/>
      <c r="C450" s="32" t="s">
        <v>181</v>
      </c>
      <c r="D450" s="32" t="s">
        <v>42</v>
      </c>
      <c r="E450" s="33">
        <v>0.75</v>
      </c>
      <c r="F450" s="27" t="s">
        <v>523</v>
      </c>
      <c r="G450" s="27" t="str">
        <f t="shared" si="6"/>
        <v/>
      </c>
      <c r="H450" s="31"/>
      <c r="I450" s="27"/>
      <c r="J450" s="141">
        <v>0</v>
      </c>
    </row>
    <row r="451" spans="1:10" ht="15.75" hidden="1" thickBot="1" x14ac:dyDescent="0.3">
      <c r="A451" s="231"/>
      <c r="B451" s="244"/>
      <c r="C451" s="32"/>
      <c r="D451" s="32"/>
      <c r="E451" s="33"/>
      <c r="F451" s="27" t="s">
        <v>523</v>
      </c>
      <c r="G451" s="27" t="str">
        <f t="shared" si="6"/>
        <v/>
      </c>
      <c r="H451" s="31"/>
      <c r="I451" s="27"/>
      <c r="J451" s="141">
        <v>0</v>
      </c>
    </row>
    <row r="452" spans="1:10" ht="26.25" hidden="1" thickBot="1" x14ac:dyDescent="0.3">
      <c r="A452" s="231"/>
      <c r="B452" s="244"/>
      <c r="C452" s="48" t="s">
        <v>182</v>
      </c>
      <c r="D452" s="48"/>
      <c r="E452" s="49"/>
      <c r="F452" s="30" t="s">
        <v>523</v>
      </c>
      <c r="G452" s="27" t="str">
        <f t="shared" si="6"/>
        <v/>
      </c>
      <c r="H452" s="31"/>
      <c r="I452" s="27"/>
      <c r="J452" s="141">
        <v>0</v>
      </c>
    </row>
    <row r="453" spans="1:10" ht="15.75" hidden="1" thickBot="1" x14ac:dyDescent="0.3">
      <c r="A453" s="232"/>
      <c r="B453" s="230"/>
      <c r="C453" s="32"/>
      <c r="D453" s="32"/>
      <c r="E453" s="33"/>
      <c r="F453" s="27" t="s">
        <v>523</v>
      </c>
      <c r="G453" s="27" t="str">
        <f t="shared" si="6"/>
        <v/>
      </c>
      <c r="H453" s="31"/>
      <c r="I453" s="27"/>
      <c r="J453" s="141">
        <v>0</v>
      </c>
    </row>
    <row r="454" spans="1:10" ht="15.75" thickBot="1" x14ac:dyDescent="0.3">
      <c r="A454" s="225" t="s">
        <v>183</v>
      </c>
      <c r="B454" s="228" t="str">
        <f>INDEX(Orçamentária!A:B,MATCH(Composições!A454,Orçamentária!A:A,0),2)</f>
        <v>Reboco com argamassa industrializada e=2,0 cm</v>
      </c>
      <c r="C454" s="37"/>
      <c r="D454" s="22" t="str">
        <f>TRIM(INDEX(Orçamentária!C:C,MATCH(Composições!A454,Orçamentária!A:A,0),1))</f>
        <v>m2</v>
      </c>
      <c r="E454" s="23"/>
      <c r="F454" s="38" t="s">
        <v>523</v>
      </c>
      <c r="G454" s="24" t="str">
        <f t="shared" ref="G454:G517" si="7">IF(ISNUMBER(F454),E454*F454,"")</f>
        <v/>
      </c>
      <c r="H454" s="25"/>
      <c r="I454" s="26"/>
      <c r="J454" s="141">
        <v>0.1</v>
      </c>
    </row>
    <row r="455" spans="1:10" x14ac:dyDescent="0.25">
      <c r="A455" s="226"/>
      <c r="B455" s="244"/>
      <c r="C455" s="28"/>
      <c r="D455" s="28"/>
      <c r="E455" s="29"/>
      <c r="F455" s="39" t="s">
        <v>523</v>
      </c>
      <c r="G455" s="27" t="str">
        <f t="shared" si="7"/>
        <v/>
      </c>
      <c r="H455" s="31"/>
      <c r="I455" s="27"/>
      <c r="J455" s="141">
        <v>0.1</v>
      </c>
    </row>
    <row r="456" spans="1:10" ht="25.5" x14ac:dyDescent="0.25">
      <c r="A456" s="226"/>
      <c r="B456" s="244"/>
      <c r="C456" s="32" t="s">
        <v>184</v>
      </c>
      <c r="D456" s="32" t="s">
        <v>42</v>
      </c>
      <c r="E456" s="33">
        <f>1890*0.02</f>
        <v>37.800000000000004</v>
      </c>
      <c r="F456" s="30">
        <v>0.56999999999999995</v>
      </c>
      <c r="G456" s="27">
        <f t="shared" si="7"/>
        <v>21.545999999999999</v>
      </c>
      <c r="H456" s="35">
        <f>SUM(G456:G459)</f>
        <v>39.797420900000006</v>
      </c>
      <c r="I456" s="36"/>
      <c r="J456" s="141">
        <v>0.1</v>
      </c>
    </row>
    <row r="457" spans="1:10" x14ac:dyDescent="0.25">
      <c r="A457" s="226"/>
      <c r="B457" s="244"/>
      <c r="C457" s="32" t="s">
        <v>23</v>
      </c>
      <c r="D457" s="32" t="s">
        <v>12</v>
      </c>
      <c r="E457" s="33">
        <f>12.59*0.02</f>
        <v>0.25180000000000002</v>
      </c>
      <c r="F457" s="27">
        <v>18.420500000000001</v>
      </c>
      <c r="G457" s="27">
        <f t="shared" si="7"/>
        <v>4.6382819000000008</v>
      </c>
      <c r="H457" s="41"/>
      <c r="I457" s="42"/>
      <c r="J457" s="141">
        <v>0.1</v>
      </c>
    </row>
    <row r="458" spans="1:10" x14ac:dyDescent="0.25">
      <c r="A458" s="226"/>
      <c r="B458" s="244"/>
      <c r="C458" s="32" t="s">
        <v>22</v>
      </c>
      <c r="D458" s="32" t="s">
        <v>12</v>
      </c>
      <c r="E458" s="33">
        <v>0.43</v>
      </c>
      <c r="F458" s="27">
        <v>24.889999999999997</v>
      </c>
      <c r="G458" s="27">
        <f t="shared" si="7"/>
        <v>10.702699999999998</v>
      </c>
      <c r="H458" s="31"/>
      <c r="I458" s="27"/>
      <c r="J458" s="141">
        <v>0.1</v>
      </c>
    </row>
    <row r="459" spans="1:10" x14ac:dyDescent="0.25">
      <c r="A459" s="226"/>
      <c r="B459" s="244"/>
      <c r="C459" s="32" t="s">
        <v>23</v>
      </c>
      <c r="D459" s="32" t="s">
        <v>12</v>
      </c>
      <c r="E459" s="33">
        <f>0.158</f>
        <v>0.158</v>
      </c>
      <c r="F459" s="27">
        <v>18.420500000000001</v>
      </c>
      <c r="G459" s="27">
        <f t="shared" si="7"/>
        <v>2.9104390000000002</v>
      </c>
      <c r="H459" s="31"/>
      <c r="I459" s="27"/>
      <c r="J459" s="141">
        <v>0.1</v>
      </c>
    </row>
    <row r="460" spans="1:10" x14ac:dyDescent="0.25">
      <c r="A460" s="226"/>
      <c r="B460" s="244"/>
      <c r="C460" s="32"/>
      <c r="D460" s="32"/>
      <c r="E460" s="33"/>
      <c r="F460" s="27" t="s">
        <v>523</v>
      </c>
      <c r="G460" s="27" t="str">
        <f t="shared" si="7"/>
        <v/>
      </c>
      <c r="H460" s="31"/>
      <c r="I460" s="27"/>
      <c r="J460" s="141">
        <v>0.1</v>
      </c>
    </row>
    <row r="461" spans="1:10" ht="38.25" x14ac:dyDescent="0.25">
      <c r="A461" s="226"/>
      <c r="B461" s="244"/>
      <c r="C461" s="48" t="s">
        <v>185</v>
      </c>
      <c r="D461" s="32"/>
      <c r="E461" s="33"/>
      <c r="F461" s="27" t="s">
        <v>523</v>
      </c>
      <c r="G461" s="27" t="str">
        <f t="shared" si="7"/>
        <v/>
      </c>
      <c r="H461" s="31"/>
      <c r="I461" s="27"/>
      <c r="J461" s="141">
        <v>0.1</v>
      </c>
    </row>
    <row r="462" spans="1:10" ht="30" x14ac:dyDescent="0.25">
      <c r="A462" s="226"/>
      <c r="B462" s="244"/>
      <c r="C462" s="132" t="s">
        <v>186</v>
      </c>
      <c r="D462" s="32"/>
      <c r="E462" s="33"/>
      <c r="F462" s="27" t="s">
        <v>523</v>
      </c>
      <c r="G462" s="27" t="str">
        <f t="shared" si="7"/>
        <v/>
      </c>
      <c r="H462" s="31"/>
      <c r="I462" s="27"/>
      <c r="J462" s="141">
        <v>0.1</v>
      </c>
    </row>
    <row r="463" spans="1:10" ht="15.75" thickBot="1" x14ac:dyDescent="0.3">
      <c r="A463" s="227"/>
      <c r="B463" s="230"/>
      <c r="C463" s="32"/>
      <c r="D463" s="32"/>
      <c r="E463" s="33"/>
      <c r="F463" s="27" t="s">
        <v>523</v>
      </c>
      <c r="G463" s="27" t="str">
        <f t="shared" si="7"/>
        <v/>
      </c>
      <c r="H463" s="31"/>
      <c r="I463" s="27"/>
      <c r="J463" s="141">
        <v>0.1</v>
      </c>
    </row>
    <row r="464" spans="1:10" ht="15.75" hidden="1" thickBot="1" x14ac:dyDescent="0.3">
      <c r="A464" s="225" t="s">
        <v>187</v>
      </c>
      <c r="B464" s="228" t="str">
        <f>INDEX(Orçamentária!A:B,MATCH(Composições!A464,Orçamentária!A:A,0),2)</f>
        <v>Regularização com argamassa industrializada e=0,5 cm</v>
      </c>
      <c r="C464" s="37"/>
      <c r="D464" s="22" t="str">
        <f>TRIM(INDEX(Orçamentária!C:C,MATCH(Composições!A464,Orçamentária!A:A,0),1))</f>
        <v>m2</v>
      </c>
      <c r="E464" s="23"/>
      <c r="F464" s="38" t="s">
        <v>523</v>
      </c>
      <c r="G464" s="24" t="str">
        <f t="shared" si="7"/>
        <v/>
      </c>
      <c r="H464" s="25"/>
      <c r="I464" s="26"/>
      <c r="J464" s="141">
        <v>0</v>
      </c>
    </row>
    <row r="465" spans="1:10" ht="15.75" hidden="1" thickBot="1" x14ac:dyDescent="0.3">
      <c r="A465" s="226"/>
      <c r="B465" s="244"/>
      <c r="C465" s="28"/>
      <c r="D465" s="28"/>
      <c r="E465" s="29"/>
      <c r="F465" s="39" t="s">
        <v>523</v>
      </c>
      <c r="G465" s="27" t="str">
        <f t="shared" si="7"/>
        <v/>
      </c>
      <c r="H465" s="31"/>
      <c r="I465" s="27"/>
      <c r="J465" s="141">
        <v>0</v>
      </c>
    </row>
    <row r="466" spans="1:10" ht="26.25" hidden="1" thickBot="1" x14ac:dyDescent="0.3">
      <c r="A466" s="226"/>
      <c r="B466" s="244"/>
      <c r="C466" s="32" t="s">
        <v>184</v>
      </c>
      <c r="D466" s="32" t="s">
        <v>42</v>
      </c>
      <c r="E466" s="33">
        <f>1890*0.005</f>
        <v>9.4500000000000011</v>
      </c>
      <c r="F466" s="30">
        <v>0.56999999999999995</v>
      </c>
      <c r="G466" s="27">
        <f t="shared" si="7"/>
        <v>5.3864999999999998</v>
      </c>
      <c r="H466" s="35">
        <f>SUM(G466:G469)</f>
        <v>13.417156374999999</v>
      </c>
      <c r="I466" s="36"/>
      <c r="J466" s="141">
        <v>0</v>
      </c>
    </row>
    <row r="467" spans="1:10" ht="15.75" hidden="1" thickBot="1" x14ac:dyDescent="0.3">
      <c r="A467" s="226"/>
      <c r="B467" s="244"/>
      <c r="C467" s="32" t="s">
        <v>23</v>
      </c>
      <c r="D467" s="32" t="s">
        <v>12</v>
      </c>
      <c r="E467" s="33">
        <f>12.59*0.005</f>
        <v>6.2950000000000006E-2</v>
      </c>
      <c r="F467" s="27">
        <v>18.420500000000001</v>
      </c>
      <c r="G467" s="27">
        <f t="shared" si="7"/>
        <v>1.1595704750000002</v>
      </c>
      <c r="H467" s="31"/>
      <c r="I467" s="27"/>
      <c r="J467" s="141">
        <v>0</v>
      </c>
    </row>
    <row r="468" spans="1:10" ht="15.75" hidden="1" thickBot="1" x14ac:dyDescent="0.3">
      <c r="A468" s="226"/>
      <c r="B468" s="244"/>
      <c r="C468" s="32" t="s">
        <v>22</v>
      </c>
      <c r="D468" s="32" t="s">
        <v>12</v>
      </c>
      <c r="E468" s="33">
        <f>0.31*0.7</f>
        <v>0.217</v>
      </c>
      <c r="F468" s="27">
        <v>24.889999999999997</v>
      </c>
      <c r="G468" s="27">
        <f t="shared" si="7"/>
        <v>5.4011299999999993</v>
      </c>
      <c r="H468" s="31"/>
      <c r="I468" s="27"/>
      <c r="J468" s="141">
        <v>0</v>
      </c>
    </row>
    <row r="469" spans="1:10" ht="15.75" hidden="1" thickBot="1" x14ac:dyDescent="0.3">
      <c r="A469" s="226"/>
      <c r="B469" s="244"/>
      <c r="C469" s="32" t="s">
        <v>23</v>
      </c>
      <c r="D469" s="32" t="s">
        <v>12</v>
      </c>
      <c r="E469" s="33">
        <f>0.114*0.7</f>
        <v>7.9799999999999996E-2</v>
      </c>
      <c r="F469" s="27">
        <v>18.420500000000001</v>
      </c>
      <c r="G469" s="27">
        <f t="shared" si="7"/>
        <v>1.4699559</v>
      </c>
      <c r="H469" s="31"/>
      <c r="I469" s="27"/>
      <c r="J469" s="141">
        <v>0</v>
      </c>
    </row>
    <row r="470" spans="1:10" ht="15.75" hidden="1" thickBot="1" x14ac:dyDescent="0.3">
      <c r="A470" s="227"/>
      <c r="B470" s="230"/>
      <c r="C470" s="32"/>
      <c r="D470" s="32"/>
      <c r="E470" s="33"/>
      <c r="F470" s="27" t="s">
        <v>523</v>
      </c>
      <c r="G470" s="27" t="str">
        <f t="shared" si="7"/>
        <v/>
      </c>
      <c r="H470" s="31"/>
      <c r="I470" s="27"/>
      <c r="J470" s="141">
        <v>0</v>
      </c>
    </row>
    <row r="471" spans="1:10" ht="15.75" hidden="1" thickBot="1" x14ac:dyDescent="0.3">
      <c r="A471" s="225" t="s">
        <v>188</v>
      </c>
      <c r="B471" s="228" t="str">
        <f>INDEX(Orçamentária!A:B,MATCH(Composições!A471,Orçamentária!A:A,0),2)</f>
        <v>Tratamento de trincas superficiais</v>
      </c>
      <c r="C471" s="37"/>
      <c r="D471" s="22" t="str">
        <f>TRIM(INDEX(Orçamentária!C:C,MATCH(Composições!A471,Orçamentária!A:A,0),1))</f>
        <v>m</v>
      </c>
      <c r="E471" s="23"/>
      <c r="F471" s="38" t="s">
        <v>523</v>
      </c>
      <c r="G471" s="24" t="str">
        <f t="shared" si="7"/>
        <v/>
      </c>
      <c r="H471" s="25"/>
      <c r="I471" s="26"/>
      <c r="J471" s="141">
        <v>0</v>
      </c>
    </row>
    <row r="472" spans="1:10" ht="15.75" hidden="1" thickBot="1" x14ac:dyDescent="0.3">
      <c r="A472" s="226"/>
      <c r="B472" s="244"/>
      <c r="C472" s="28"/>
      <c r="D472" s="28"/>
      <c r="E472" s="29"/>
      <c r="F472" s="39" t="s">
        <v>523</v>
      </c>
      <c r="G472" s="27" t="str">
        <f t="shared" si="7"/>
        <v/>
      </c>
      <c r="H472" s="31"/>
      <c r="I472" s="27"/>
      <c r="J472" s="141">
        <v>0</v>
      </c>
    </row>
    <row r="473" spans="1:10" ht="15.75" hidden="1" thickBot="1" x14ac:dyDescent="0.3">
      <c r="A473" s="226"/>
      <c r="B473" s="244"/>
      <c r="C473" s="32" t="s">
        <v>23</v>
      </c>
      <c r="D473" s="43" t="s">
        <v>12</v>
      </c>
      <c r="E473" s="33">
        <v>0.6</v>
      </c>
      <c r="F473" s="27">
        <v>18.420500000000001</v>
      </c>
      <c r="G473" s="30">
        <f t="shared" si="7"/>
        <v>11.052300000000001</v>
      </c>
      <c r="H473" s="35">
        <f>SUM(G473:G477)</f>
        <v>16.366425200000002</v>
      </c>
      <c r="I473" s="36"/>
      <c r="J473" s="141">
        <v>0</v>
      </c>
    </row>
    <row r="474" spans="1:10" ht="15.75" hidden="1" thickBot="1" x14ac:dyDescent="0.3">
      <c r="A474" s="226"/>
      <c r="B474" s="244"/>
      <c r="C474" s="32" t="s">
        <v>22</v>
      </c>
      <c r="D474" s="43" t="s">
        <v>12</v>
      </c>
      <c r="E474" s="33">
        <v>0.155</v>
      </c>
      <c r="F474" s="27">
        <v>24.889999999999997</v>
      </c>
      <c r="G474" s="30">
        <f t="shared" si="7"/>
        <v>3.8579499999999993</v>
      </c>
      <c r="H474" s="31"/>
      <c r="I474" s="27"/>
      <c r="J474" s="141">
        <v>0</v>
      </c>
    </row>
    <row r="475" spans="1:10" ht="15.75" hidden="1" thickBot="1" x14ac:dyDescent="0.3">
      <c r="A475" s="226"/>
      <c r="B475" s="244"/>
      <c r="C475" s="32" t="s">
        <v>189</v>
      </c>
      <c r="D475" s="43" t="s">
        <v>93</v>
      </c>
      <c r="E475" s="33">
        <v>1.05</v>
      </c>
      <c r="F475" s="30">
        <v>0.95</v>
      </c>
      <c r="G475" s="30">
        <f t="shared" si="7"/>
        <v>0.99749999999999994</v>
      </c>
      <c r="H475" s="31"/>
      <c r="I475" s="27"/>
      <c r="J475" s="141">
        <v>0</v>
      </c>
    </row>
    <row r="476" spans="1:10" ht="15.75" hidden="1" thickBot="1" x14ac:dyDescent="0.3">
      <c r="A476" s="226"/>
      <c r="B476" s="244"/>
      <c r="C476" s="32" t="s">
        <v>6803</v>
      </c>
      <c r="D476" s="46" t="s">
        <v>102</v>
      </c>
      <c r="E476" s="33">
        <f>ROUND(1*0.15/(165/18),4)</f>
        <v>1.6400000000000001E-2</v>
      </c>
      <c r="F476" s="30">
        <v>27.968</v>
      </c>
      <c r="G476" s="30">
        <f t="shared" si="7"/>
        <v>0.45867520000000006</v>
      </c>
      <c r="H476" s="31"/>
      <c r="I476" s="27"/>
      <c r="J476" s="141">
        <v>0</v>
      </c>
    </row>
    <row r="477" spans="1:10" ht="15.75" hidden="1" thickBot="1" x14ac:dyDescent="0.3">
      <c r="A477" s="226"/>
      <c r="B477" s="244"/>
      <c r="C477" s="32" t="s">
        <v>190</v>
      </c>
      <c r="D477" s="43" t="s">
        <v>6717</v>
      </c>
      <c r="E477" s="33">
        <v>0.4</v>
      </c>
      <c r="F477" s="30" t="s">
        <v>523</v>
      </c>
      <c r="G477" s="30" t="str">
        <f t="shared" si="7"/>
        <v/>
      </c>
      <c r="H477" s="31"/>
      <c r="I477" s="27"/>
      <c r="J477" s="141">
        <v>0</v>
      </c>
    </row>
    <row r="478" spans="1:10" ht="15.75" hidden="1" thickBot="1" x14ac:dyDescent="0.3">
      <c r="A478" s="226"/>
      <c r="B478" s="244"/>
      <c r="C478" s="32"/>
      <c r="D478" s="43"/>
      <c r="E478" s="33"/>
      <c r="F478" s="30" t="s">
        <v>523</v>
      </c>
      <c r="G478" s="30" t="str">
        <f t="shared" si="7"/>
        <v/>
      </c>
      <c r="H478" s="31"/>
      <c r="I478" s="27"/>
      <c r="J478" s="141">
        <v>0</v>
      </c>
    </row>
    <row r="479" spans="1:10" ht="51.75" hidden="1" thickBot="1" x14ac:dyDescent="0.3">
      <c r="A479" s="226"/>
      <c r="B479" s="244"/>
      <c r="C479" s="48" t="s">
        <v>6718</v>
      </c>
      <c r="D479" s="43"/>
      <c r="E479" s="33"/>
      <c r="F479" s="30" t="s">
        <v>523</v>
      </c>
      <c r="G479" s="30" t="str">
        <f t="shared" si="7"/>
        <v/>
      </c>
      <c r="H479" s="31"/>
      <c r="I479" s="27"/>
      <c r="J479" s="141">
        <v>0</v>
      </c>
    </row>
    <row r="480" spans="1:10" ht="30.75" hidden="1" thickBot="1" x14ac:dyDescent="0.3">
      <c r="A480" s="226"/>
      <c r="B480" s="244"/>
      <c r="C480" s="133" t="s">
        <v>6719</v>
      </c>
      <c r="D480" s="43"/>
      <c r="E480" s="33"/>
      <c r="F480" s="30" t="s">
        <v>523</v>
      </c>
      <c r="G480" s="30" t="str">
        <f t="shared" si="7"/>
        <v/>
      </c>
      <c r="H480" s="31"/>
      <c r="I480" s="27"/>
      <c r="J480" s="141">
        <v>0</v>
      </c>
    </row>
    <row r="481" spans="1:10" ht="30.75" hidden="1" thickBot="1" x14ac:dyDescent="0.3">
      <c r="A481" s="226"/>
      <c r="B481" s="244"/>
      <c r="C481" s="133" t="s">
        <v>191</v>
      </c>
      <c r="D481" s="43"/>
      <c r="E481" s="33"/>
      <c r="F481" s="30" t="s">
        <v>523</v>
      </c>
      <c r="G481" s="30" t="str">
        <f t="shared" si="7"/>
        <v/>
      </c>
      <c r="H481" s="31"/>
      <c r="I481" s="27"/>
      <c r="J481" s="141">
        <v>0</v>
      </c>
    </row>
    <row r="482" spans="1:10" ht="15.75" hidden="1" thickBot="1" x14ac:dyDescent="0.3">
      <c r="A482" s="227"/>
      <c r="B482" s="230"/>
      <c r="C482" s="32"/>
      <c r="D482" s="32"/>
      <c r="E482" s="33"/>
      <c r="F482" s="27" t="s">
        <v>523</v>
      </c>
      <c r="G482" s="27" t="str">
        <f t="shared" si="7"/>
        <v/>
      </c>
      <c r="H482" s="31"/>
      <c r="I482" s="27"/>
      <c r="J482" s="141">
        <v>0</v>
      </c>
    </row>
    <row r="483" spans="1:10" ht="15.75" hidden="1" thickBot="1" x14ac:dyDescent="0.3">
      <c r="A483" s="225" t="s">
        <v>192</v>
      </c>
      <c r="B483" s="228" t="str">
        <f>INDEX(Orçamentária!A:B,MATCH(Composições!A483,Orçamentária!A:A,0),2)</f>
        <v>Aplicação de fundo selador base água</v>
      </c>
      <c r="C483" s="37"/>
      <c r="D483" s="22" t="str">
        <f>TRIM(INDEX(Orçamentária!C:C,MATCH(Composições!A483,Orçamentária!A:A,0),1))</f>
        <v>m2</v>
      </c>
      <c r="E483" s="23"/>
      <c r="F483" s="38" t="s">
        <v>523</v>
      </c>
      <c r="G483" s="24" t="str">
        <f t="shared" si="7"/>
        <v/>
      </c>
      <c r="H483" s="25"/>
      <c r="I483" s="26"/>
      <c r="J483" s="141">
        <v>0</v>
      </c>
    </row>
    <row r="484" spans="1:10" ht="15.75" hidden="1" thickBot="1" x14ac:dyDescent="0.3">
      <c r="A484" s="226"/>
      <c r="B484" s="244"/>
      <c r="C484" s="28"/>
      <c r="D484" s="28"/>
      <c r="E484" s="29"/>
      <c r="F484" s="39" t="s">
        <v>523</v>
      </c>
      <c r="G484" s="27" t="str">
        <f t="shared" si="7"/>
        <v/>
      </c>
      <c r="H484" s="31"/>
      <c r="I484" s="27"/>
      <c r="J484" s="141">
        <v>0</v>
      </c>
    </row>
    <row r="485" spans="1:10" ht="15.75" hidden="1" thickBot="1" x14ac:dyDescent="0.3">
      <c r="A485" s="226"/>
      <c r="B485" s="244"/>
      <c r="C485" s="32" t="s">
        <v>100</v>
      </c>
      <c r="D485" s="43" t="s">
        <v>12</v>
      </c>
      <c r="E485" s="33">
        <v>0.106</v>
      </c>
      <c r="F485" s="27">
        <v>25.887499999999999</v>
      </c>
      <c r="G485" s="30">
        <f t="shared" si="7"/>
        <v>2.744075</v>
      </c>
      <c r="H485" s="35">
        <f>SUM(G485:G487)</f>
        <v>3.2414285</v>
      </c>
      <c r="I485" s="36"/>
      <c r="J485" s="141">
        <v>0</v>
      </c>
    </row>
    <row r="486" spans="1:10" ht="15.75" hidden="1" thickBot="1" x14ac:dyDescent="0.3">
      <c r="A486" s="226"/>
      <c r="B486" s="244"/>
      <c r="C486" s="32" t="s">
        <v>23</v>
      </c>
      <c r="D486" s="43" t="s">
        <v>12</v>
      </c>
      <c r="E486" s="33">
        <v>2.7E-2</v>
      </c>
      <c r="F486" s="27">
        <v>18.420500000000001</v>
      </c>
      <c r="G486" s="30">
        <f t="shared" si="7"/>
        <v>0.4973535</v>
      </c>
      <c r="H486" s="31"/>
      <c r="I486" s="27"/>
      <c r="J486" s="141">
        <v>0</v>
      </c>
    </row>
    <row r="487" spans="1:10" ht="15.75" hidden="1" thickBot="1" x14ac:dyDescent="0.3">
      <c r="A487" s="226"/>
      <c r="B487" s="244"/>
      <c r="C487" s="32" t="s">
        <v>193</v>
      </c>
      <c r="D487" s="46" t="s">
        <v>102</v>
      </c>
      <c r="E487" s="33">
        <v>0.16</v>
      </c>
      <c r="F487" s="30" t="s">
        <v>523</v>
      </c>
      <c r="G487" s="30" t="str">
        <f t="shared" si="7"/>
        <v/>
      </c>
      <c r="H487" s="31"/>
      <c r="I487" s="27"/>
      <c r="J487" s="141">
        <v>0</v>
      </c>
    </row>
    <row r="488" spans="1:10" ht="15.75" hidden="1" thickBot="1" x14ac:dyDescent="0.3">
      <c r="A488" s="227"/>
      <c r="B488" s="230"/>
      <c r="C488" s="32"/>
      <c r="D488" s="32"/>
      <c r="E488" s="33"/>
      <c r="F488" s="27" t="s">
        <v>523</v>
      </c>
      <c r="G488" s="27" t="str">
        <f t="shared" si="7"/>
        <v/>
      </c>
      <c r="H488" s="31"/>
      <c r="I488" s="27"/>
      <c r="J488" s="141">
        <v>0</v>
      </c>
    </row>
    <row r="489" spans="1:10" ht="15.75" hidden="1" thickBot="1" x14ac:dyDescent="0.3">
      <c r="A489" s="225" t="s">
        <v>194</v>
      </c>
      <c r="B489" s="228" t="str">
        <f>INDEX(Orçamentária!A:B,MATCH(Composições!A489,Orçamentária!A:A,0),2)</f>
        <v>Fundo anticorrosivo e de aderência</v>
      </c>
      <c r="C489" s="37"/>
      <c r="D489" s="22" t="str">
        <f>TRIM(INDEX(Orçamentária!C:C,MATCH(Composições!A489,Orçamentária!A:A,0),1))</f>
        <v>m2</v>
      </c>
      <c r="E489" s="23"/>
      <c r="F489" s="38" t="s">
        <v>523</v>
      </c>
      <c r="G489" s="24" t="str">
        <f t="shared" si="7"/>
        <v/>
      </c>
      <c r="H489" s="25"/>
      <c r="I489" s="26"/>
      <c r="J489" s="141">
        <v>0</v>
      </c>
    </row>
    <row r="490" spans="1:10" ht="15.75" hidden="1" thickBot="1" x14ac:dyDescent="0.3">
      <c r="A490" s="226"/>
      <c r="B490" s="244"/>
      <c r="C490" s="28"/>
      <c r="D490" s="28"/>
      <c r="E490" s="29"/>
      <c r="F490" s="39" t="s">
        <v>523</v>
      </c>
      <c r="G490" s="27" t="str">
        <f t="shared" si="7"/>
        <v/>
      </c>
      <c r="H490" s="31"/>
      <c r="I490" s="27"/>
      <c r="J490" s="141">
        <v>0</v>
      </c>
    </row>
    <row r="491" spans="1:10" ht="15.75" hidden="1" thickBot="1" x14ac:dyDescent="0.3">
      <c r="A491" s="226"/>
      <c r="B491" s="244"/>
      <c r="C491" s="32" t="s">
        <v>100</v>
      </c>
      <c r="D491" s="43" t="s">
        <v>12</v>
      </c>
      <c r="E491" s="33">
        <f>2*0.2149</f>
        <v>0.42980000000000002</v>
      </c>
      <c r="F491" s="27">
        <v>25.887499999999999</v>
      </c>
      <c r="G491" s="30">
        <f t="shared" si="7"/>
        <v>11.126447499999999</v>
      </c>
      <c r="H491" s="35">
        <f>SUM(G491:G492)</f>
        <v>11.126447499999999</v>
      </c>
      <c r="I491" s="36"/>
      <c r="J491" s="141">
        <v>0</v>
      </c>
    </row>
    <row r="492" spans="1:10" ht="15.75" hidden="1" thickBot="1" x14ac:dyDescent="0.3">
      <c r="A492" s="226"/>
      <c r="B492" s="244"/>
      <c r="C492" s="32" t="s">
        <v>195</v>
      </c>
      <c r="D492" s="46" t="s">
        <v>102</v>
      </c>
      <c r="E492" s="33">
        <f>2*(3.6/45)</f>
        <v>0.16</v>
      </c>
      <c r="F492" s="30" t="s">
        <v>523</v>
      </c>
      <c r="G492" s="30" t="str">
        <f t="shared" si="7"/>
        <v/>
      </c>
      <c r="H492" s="31"/>
      <c r="I492" s="27"/>
      <c r="J492" s="141">
        <v>0</v>
      </c>
    </row>
    <row r="493" spans="1:10" ht="15.75" hidden="1" thickBot="1" x14ac:dyDescent="0.3">
      <c r="A493" s="226"/>
      <c r="B493" s="244"/>
      <c r="C493" s="32"/>
      <c r="D493" s="43"/>
      <c r="E493" s="33"/>
      <c r="F493" s="30" t="s">
        <v>523</v>
      </c>
      <c r="G493" s="30" t="str">
        <f t="shared" si="7"/>
        <v/>
      </c>
      <c r="H493" s="31"/>
      <c r="I493" s="27"/>
      <c r="J493" s="141">
        <v>0</v>
      </c>
    </row>
    <row r="494" spans="1:10" ht="26.25" hidden="1" thickBot="1" x14ac:dyDescent="0.3">
      <c r="A494" s="226"/>
      <c r="B494" s="244"/>
      <c r="C494" s="48" t="s">
        <v>196</v>
      </c>
      <c r="D494" s="43"/>
      <c r="E494" s="33"/>
      <c r="F494" s="30" t="s">
        <v>523</v>
      </c>
      <c r="G494" s="30" t="str">
        <f t="shared" si="7"/>
        <v/>
      </c>
      <c r="H494" s="31"/>
      <c r="I494" s="27"/>
      <c r="J494" s="141">
        <v>0</v>
      </c>
    </row>
    <row r="495" spans="1:10" ht="30.75" hidden="1" thickBot="1" x14ac:dyDescent="0.3">
      <c r="A495" s="226"/>
      <c r="B495" s="244"/>
      <c r="C495" s="133" t="s">
        <v>197</v>
      </c>
      <c r="D495" s="43"/>
      <c r="E495" s="33"/>
      <c r="F495" s="30" t="s">
        <v>523</v>
      </c>
      <c r="G495" s="30" t="str">
        <f t="shared" si="7"/>
        <v/>
      </c>
      <c r="H495" s="31"/>
      <c r="I495" s="27"/>
      <c r="J495" s="141">
        <v>0</v>
      </c>
    </row>
    <row r="496" spans="1:10" ht="30.75" hidden="1" thickBot="1" x14ac:dyDescent="0.3">
      <c r="A496" s="227"/>
      <c r="B496" s="230"/>
      <c r="C496" s="133" t="s">
        <v>198</v>
      </c>
      <c r="D496" s="32"/>
      <c r="E496" s="33"/>
      <c r="F496" s="27" t="s">
        <v>523</v>
      </c>
      <c r="G496" s="27" t="str">
        <f t="shared" si="7"/>
        <v/>
      </c>
      <c r="H496" s="31"/>
      <c r="I496" s="27"/>
      <c r="J496" s="141">
        <v>0</v>
      </c>
    </row>
    <row r="497" spans="1:10" ht="15.75" hidden="1" thickBot="1" x14ac:dyDescent="0.3">
      <c r="A497" s="225" t="s">
        <v>199</v>
      </c>
      <c r="B497" s="228" t="str">
        <f>INDEX(Orçamentária!A:B,MATCH(Composições!A497,Orçamentária!A:A,0),2)</f>
        <v>Massa acrílica</v>
      </c>
      <c r="C497" s="37"/>
      <c r="D497" s="22" t="str">
        <f>TRIM(INDEX(Orçamentária!C:C,MATCH(Composições!A497,Orçamentária!A:A,0),1))</f>
        <v>m2</v>
      </c>
      <c r="E497" s="23"/>
      <c r="F497" s="38" t="s">
        <v>523</v>
      </c>
      <c r="G497" s="24" t="str">
        <f t="shared" si="7"/>
        <v/>
      </c>
      <c r="H497" s="25"/>
      <c r="I497" s="26"/>
      <c r="J497" s="141">
        <v>0</v>
      </c>
    </row>
    <row r="498" spans="1:10" ht="15.75" hidden="1" thickBot="1" x14ac:dyDescent="0.3">
      <c r="A498" s="226"/>
      <c r="B498" s="244"/>
      <c r="C498" s="28"/>
      <c r="D498" s="28"/>
      <c r="E498" s="29"/>
      <c r="F498" s="39" t="s">
        <v>523</v>
      </c>
      <c r="G498" s="27" t="str">
        <f t="shared" si="7"/>
        <v/>
      </c>
      <c r="H498" s="31"/>
      <c r="I498" s="27"/>
      <c r="J498" s="141">
        <v>0</v>
      </c>
    </row>
    <row r="499" spans="1:10" ht="26.25" hidden="1" thickBot="1" x14ac:dyDescent="0.3">
      <c r="A499" s="226"/>
      <c r="B499" s="244"/>
      <c r="C499" s="32" t="s">
        <v>6807</v>
      </c>
      <c r="D499" s="43" t="s">
        <v>20</v>
      </c>
      <c r="E499" s="33">
        <v>0.1</v>
      </c>
      <c r="F499" s="30">
        <v>1.3109999999999999</v>
      </c>
      <c r="G499" s="30">
        <f t="shared" si="7"/>
        <v>0.13109999999999999</v>
      </c>
      <c r="H499" s="35">
        <f>SUM(G499:G502)</f>
        <v>21.171634260000001</v>
      </c>
      <c r="I499" s="36"/>
      <c r="J499" s="141">
        <v>0</v>
      </c>
    </row>
    <row r="500" spans="1:10" ht="15.75" hidden="1" thickBot="1" x14ac:dyDescent="0.3">
      <c r="A500" s="226"/>
      <c r="B500" s="244"/>
      <c r="C500" s="32" t="s">
        <v>6808</v>
      </c>
      <c r="D500" s="43" t="s">
        <v>42</v>
      </c>
      <c r="E500" s="33">
        <v>1.5518400000000001</v>
      </c>
      <c r="F500" s="30">
        <v>7.0015000000000001</v>
      </c>
      <c r="G500" s="30">
        <f t="shared" si="7"/>
        <v>10.865207760000001</v>
      </c>
      <c r="H500" s="31"/>
      <c r="I500" s="27"/>
      <c r="J500" s="141">
        <v>0</v>
      </c>
    </row>
    <row r="501" spans="1:10" ht="15.75" hidden="1" thickBot="1" x14ac:dyDescent="0.3">
      <c r="A501" s="226"/>
      <c r="B501" s="244"/>
      <c r="C501" s="32" t="s">
        <v>100</v>
      </c>
      <c r="D501" s="43" t="s">
        <v>12</v>
      </c>
      <c r="E501" s="33">
        <v>0.33400000000000002</v>
      </c>
      <c r="F501" s="27">
        <v>25.887499999999999</v>
      </c>
      <c r="G501" s="30">
        <f t="shared" si="7"/>
        <v>8.6464250000000007</v>
      </c>
      <c r="H501" s="31"/>
      <c r="I501" s="27"/>
      <c r="J501" s="141">
        <v>0</v>
      </c>
    </row>
    <row r="502" spans="1:10" ht="15.75" hidden="1" thickBot="1" x14ac:dyDescent="0.3">
      <c r="A502" s="226"/>
      <c r="B502" s="244"/>
      <c r="C502" s="32" t="s">
        <v>23</v>
      </c>
      <c r="D502" s="43" t="s">
        <v>12</v>
      </c>
      <c r="E502" s="33">
        <v>8.3000000000000004E-2</v>
      </c>
      <c r="F502" s="27">
        <v>18.420500000000001</v>
      </c>
      <c r="G502" s="30">
        <f t="shared" si="7"/>
        <v>1.5289015000000001</v>
      </c>
      <c r="H502" s="31"/>
      <c r="I502" s="27"/>
      <c r="J502" s="141">
        <v>0</v>
      </c>
    </row>
    <row r="503" spans="1:10" ht="15.75" hidden="1" thickBot="1" x14ac:dyDescent="0.3">
      <c r="A503" s="227"/>
      <c r="B503" s="230"/>
      <c r="C503" s="32"/>
      <c r="D503" s="32"/>
      <c r="E503" s="33"/>
      <c r="F503" s="27" t="s">
        <v>523</v>
      </c>
      <c r="G503" s="27" t="str">
        <f t="shared" si="7"/>
        <v/>
      </c>
      <c r="H503" s="31"/>
      <c r="I503" s="27"/>
      <c r="J503" s="141">
        <v>0</v>
      </c>
    </row>
    <row r="504" spans="1:10" ht="15.75" thickBot="1" x14ac:dyDescent="0.3">
      <c r="A504" s="225" t="s">
        <v>200</v>
      </c>
      <c r="B504" s="228" t="str">
        <f>INDEX(Orçamentária!A:B,MATCH(Composições!A504,Orçamentária!A:A,0),2)</f>
        <v>Massa corrida</v>
      </c>
      <c r="C504" s="37"/>
      <c r="D504" s="22" t="str">
        <f>TRIM(INDEX(Orçamentária!C:C,MATCH(Composições!A504,Orçamentária!A:A,0),1))</f>
        <v>m2</v>
      </c>
      <c r="E504" s="23"/>
      <c r="F504" s="38" t="s">
        <v>523</v>
      </c>
      <c r="G504" s="24" t="str">
        <f t="shared" si="7"/>
        <v/>
      </c>
      <c r="H504" s="25"/>
      <c r="I504" s="26"/>
      <c r="J504" s="141">
        <v>125</v>
      </c>
    </row>
    <row r="505" spans="1:10" x14ac:dyDescent="0.25">
      <c r="A505" s="226"/>
      <c r="B505" s="244"/>
      <c r="C505" s="28"/>
      <c r="D505" s="28"/>
      <c r="E505" s="29"/>
      <c r="F505" s="39" t="s">
        <v>523</v>
      </c>
      <c r="G505" s="27" t="str">
        <f t="shared" si="7"/>
        <v/>
      </c>
      <c r="H505" s="31"/>
      <c r="I505" s="27"/>
      <c r="J505" s="141">
        <v>125</v>
      </c>
    </row>
    <row r="506" spans="1:10" ht="25.5" x14ac:dyDescent="0.25">
      <c r="A506" s="226"/>
      <c r="B506" s="244"/>
      <c r="C506" s="32" t="s">
        <v>6807</v>
      </c>
      <c r="D506" s="43" t="s">
        <v>20</v>
      </c>
      <c r="E506" s="33">
        <v>0.1</v>
      </c>
      <c r="F506" s="30">
        <v>1.3109999999999999</v>
      </c>
      <c r="G506" s="30">
        <f t="shared" si="7"/>
        <v>0.13109999999999999</v>
      </c>
      <c r="H506" s="35">
        <f>SUM(G506:G509)</f>
        <v>16.3647399</v>
      </c>
      <c r="I506" s="36"/>
      <c r="J506" s="141">
        <v>125</v>
      </c>
    </row>
    <row r="507" spans="1:10" x14ac:dyDescent="0.25">
      <c r="A507" s="226"/>
      <c r="B507" s="244"/>
      <c r="C507" s="32" t="s">
        <v>6809</v>
      </c>
      <c r="D507" s="43" t="s">
        <v>901</v>
      </c>
      <c r="E507" s="33">
        <v>1.5550200000000001</v>
      </c>
      <c r="F507" s="30">
        <v>3.8949999999999996</v>
      </c>
      <c r="G507" s="30">
        <f t="shared" si="7"/>
        <v>6.0568028999999992</v>
      </c>
      <c r="H507" s="31"/>
      <c r="I507" s="27"/>
      <c r="J507" s="141">
        <v>125</v>
      </c>
    </row>
    <row r="508" spans="1:10" x14ac:dyDescent="0.25">
      <c r="A508" s="226"/>
      <c r="B508" s="244"/>
      <c r="C508" s="32" t="s">
        <v>100</v>
      </c>
      <c r="D508" s="43" t="s">
        <v>12</v>
      </c>
      <c r="E508" s="33">
        <v>0.312</v>
      </c>
      <c r="F508" s="27">
        <v>25.887499999999999</v>
      </c>
      <c r="G508" s="30">
        <f t="shared" si="7"/>
        <v>8.0769000000000002</v>
      </c>
      <c r="H508" s="31"/>
      <c r="I508" s="27"/>
      <c r="J508" s="141">
        <v>125</v>
      </c>
    </row>
    <row r="509" spans="1:10" x14ac:dyDescent="0.25">
      <c r="A509" s="226"/>
      <c r="B509" s="244"/>
      <c r="C509" s="32" t="s">
        <v>23</v>
      </c>
      <c r="D509" s="43" t="s">
        <v>12</v>
      </c>
      <c r="E509" s="33">
        <v>0.114</v>
      </c>
      <c r="F509" s="27">
        <v>18.420500000000001</v>
      </c>
      <c r="G509" s="30">
        <f t="shared" si="7"/>
        <v>2.0999370000000002</v>
      </c>
      <c r="H509" s="31"/>
      <c r="I509" s="27"/>
      <c r="J509" s="141">
        <v>125</v>
      </c>
    </row>
    <row r="510" spans="1:10" ht="15.75" thickBot="1" x14ac:dyDescent="0.3">
      <c r="A510" s="227"/>
      <c r="B510" s="230"/>
      <c r="C510" s="32"/>
      <c r="D510" s="32"/>
      <c r="E510" s="33"/>
      <c r="F510" s="27" t="s">
        <v>523</v>
      </c>
      <c r="G510" s="27" t="str">
        <f t="shared" si="7"/>
        <v/>
      </c>
      <c r="H510" s="31"/>
      <c r="I510" s="27"/>
      <c r="J510" s="141">
        <v>125</v>
      </c>
    </row>
    <row r="511" spans="1:10" ht="15.75" thickBot="1" x14ac:dyDescent="0.3">
      <c r="A511" s="225" t="s">
        <v>201</v>
      </c>
      <c r="B511" s="228" t="str">
        <f>INDEX(Orçamentária!A:B,MATCH(Composições!A511,Orçamentária!A:A,0),2)</f>
        <v>Pintura com tinta látex acrílica Premium (paredes)</v>
      </c>
      <c r="C511" s="37"/>
      <c r="D511" s="22" t="str">
        <f>TRIM(INDEX(Orçamentária!C:C,MATCH(Composições!A511,Orçamentária!A:A,0),1))</f>
        <v>m2</v>
      </c>
      <c r="E511" s="23"/>
      <c r="F511" s="38" t="s">
        <v>523</v>
      </c>
      <c r="G511" s="24" t="str">
        <f t="shared" si="7"/>
        <v/>
      </c>
      <c r="H511" s="25"/>
      <c r="I511" s="26"/>
      <c r="J511" s="141">
        <v>650</v>
      </c>
    </row>
    <row r="512" spans="1:10" x14ac:dyDescent="0.25">
      <c r="A512" s="226"/>
      <c r="B512" s="244"/>
      <c r="C512" s="28"/>
      <c r="D512" s="28"/>
      <c r="E512" s="29"/>
      <c r="F512" s="39" t="s">
        <v>523</v>
      </c>
      <c r="G512" s="27" t="str">
        <f t="shared" si="7"/>
        <v/>
      </c>
      <c r="H512" s="31"/>
      <c r="I512" s="27"/>
      <c r="J512" s="141">
        <v>650</v>
      </c>
    </row>
    <row r="513" spans="1:10" x14ac:dyDescent="0.25">
      <c r="A513" s="226"/>
      <c r="B513" s="244"/>
      <c r="C513" s="32" t="s">
        <v>100</v>
      </c>
      <c r="D513" s="43" t="s">
        <v>12</v>
      </c>
      <c r="E513" s="33">
        <v>0.187</v>
      </c>
      <c r="F513" s="27">
        <v>25.887499999999999</v>
      </c>
      <c r="G513" s="30">
        <f t="shared" si="7"/>
        <v>4.8409624999999998</v>
      </c>
      <c r="H513" s="35">
        <f>SUM(G513:G515)</f>
        <v>14.441671999999999</v>
      </c>
      <c r="I513" s="36"/>
      <c r="J513" s="141">
        <v>650</v>
      </c>
    </row>
    <row r="514" spans="1:10" x14ac:dyDescent="0.25">
      <c r="A514" s="226"/>
      <c r="B514" s="244"/>
      <c r="C514" s="32" t="s">
        <v>23</v>
      </c>
      <c r="D514" s="43" t="s">
        <v>12</v>
      </c>
      <c r="E514" s="33">
        <v>6.9000000000000006E-2</v>
      </c>
      <c r="F514" s="27">
        <v>18.420500000000001</v>
      </c>
      <c r="G514" s="30">
        <f t="shared" si="7"/>
        <v>1.2710145000000002</v>
      </c>
      <c r="H514" s="31"/>
      <c r="I514" s="27"/>
      <c r="J514" s="141">
        <v>650</v>
      </c>
    </row>
    <row r="515" spans="1:10" x14ac:dyDescent="0.25">
      <c r="A515" s="226"/>
      <c r="B515" s="244"/>
      <c r="C515" s="32" t="s">
        <v>6804</v>
      </c>
      <c r="D515" s="46" t="s">
        <v>102</v>
      </c>
      <c r="E515" s="33">
        <v>0.33</v>
      </c>
      <c r="F515" s="30">
        <v>25.241499999999998</v>
      </c>
      <c r="G515" s="30">
        <f t="shared" si="7"/>
        <v>8.3296949999999992</v>
      </c>
      <c r="H515" s="31"/>
      <c r="I515" s="27"/>
      <c r="J515" s="141">
        <v>650</v>
      </c>
    </row>
    <row r="516" spans="1:10" ht="15.75" thickBot="1" x14ac:dyDescent="0.3">
      <c r="A516" s="227"/>
      <c r="B516" s="230"/>
      <c r="C516" s="32"/>
      <c r="D516" s="32"/>
      <c r="E516" s="33"/>
      <c r="F516" s="27" t="s">
        <v>523</v>
      </c>
      <c r="G516" s="27" t="str">
        <f t="shared" si="7"/>
        <v/>
      </c>
      <c r="H516" s="31"/>
      <c r="I516" s="27"/>
      <c r="J516" s="141">
        <v>650</v>
      </c>
    </row>
    <row r="517" spans="1:10" ht="15.75" hidden="1" thickBot="1" x14ac:dyDescent="0.3">
      <c r="A517" s="225" t="s">
        <v>202</v>
      </c>
      <c r="B517" s="228" t="str">
        <f>INDEX(Orçamentária!A:B,MATCH(Composições!A517,Orçamentária!A:A,0),2)</f>
        <v>Pintura em verniz sintético</v>
      </c>
      <c r="C517" s="37"/>
      <c r="D517" s="22" t="str">
        <f>TRIM(INDEX(Orçamentária!C:C,MATCH(Composições!A517,Orçamentária!A:A,0),1))</f>
        <v>m2</v>
      </c>
      <c r="E517" s="23"/>
      <c r="F517" s="38" t="s">
        <v>523</v>
      </c>
      <c r="G517" s="24" t="str">
        <f t="shared" si="7"/>
        <v/>
      </c>
      <c r="H517" s="25"/>
      <c r="I517" s="26"/>
      <c r="J517" s="141">
        <v>0</v>
      </c>
    </row>
    <row r="518" spans="1:10" ht="15.75" hidden="1" thickBot="1" x14ac:dyDescent="0.3">
      <c r="A518" s="226"/>
      <c r="B518" s="244"/>
      <c r="C518" s="28"/>
      <c r="D518" s="28"/>
      <c r="E518" s="29"/>
      <c r="F518" s="39" t="s">
        <v>523</v>
      </c>
      <c r="G518" s="27" t="str">
        <f t="shared" ref="G518:G520" si="8">IF(ISNUMBER(F518),E518*F518,"")</f>
        <v/>
      </c>
      <c r="H518" s="31"/>
      <c r="I518" s="27"/>
      <c r="J518" s="141">
        <v>0</v>
      </c>
    </row>
    <row r="519" spans="1:10" ht="15.75" hidden="1" thickBot="1" x14ac:dyDescent="0.3">
      <c r="A519" s="226"/>
      <c r="B519" s="244"/>
      <c r="C519" s="32" t="s">
        <v>203</v>
      </c>
      <c r="D519" s="46" t="s">
        <v>102</v>
      </c>
      <c r="E519" s="33">
        <f>ROUND(3*3.6/100,4)</f>
        <v>0.108</v>
      </c>
      <c r="F519" s="30">
        <v>46.56</v>
      </c>
      <c r="G519" s="27">
        <f t="shared" si="8"/>
        <v>5.0284800000000001</v>
      </c>
      <c r="H519" s="35">
        <f>SUM(G519:G520)</f>
        <v>23.346474999999998</v>
      </c>
      <c r="I519" s="36"/>
      <c r="J519" s="141">
        <v>0</v>
      </c>
    </row>
    <row r="520" spans="1:10" ht="15.75" hidden="1" thickBot="1" x14ac:dyDescent="0.3">
      <c r="A520" s="226"/>
      <c r="B520" s="244"/>
      <c r="C520" s="32" t="s">
        <v>100</v>
      </c>
      <c r="D520" s="32" t="s">
        <v>12</v>
      </c>
      <c r="E520" s="33">
        <v>0.70760000000000001</v>
      </c>
      <c r="F520" s="27">
        <v>25.887499999999999</v>
      </c>
      <c r="G520" s="27">
        <f t="shared" si="8"/>
        <v>18.317995</v>
      </c>
      <c r="H520" s="31"/>
      <c r="I520" s="27"/>
      <c r="J520" s="141">
        <v>0</v>
      </c>
    </row>
    <row r="521" spans="1:10" ht="15.75" hidden="1" thickBot="1" x14ac:dyDescent="0.3">
      <c r="A521" s="226"/>
      <c r="B521" s="244"/>
      <c r="C521" s="32"/>
      <c r="D521" s="32"/>
      <c r="E521" s="33"/>
      <c r="F521" s="27" t="s">
        <v>523</v>
      </c>
      <c r="G521" s="27"/>
      <c r="H521" s="31"/>
      <c r="I521" s="27"/>
      <c r="J521" s="141">
        <v>0</v>
      </c>
    </row>
    <row r="522" spans="1:10" ht="39" hidden="1" thickBot="1" x14ac:dyDescent="0.3">
      <c r="A522" s="226"/>
      <c r="B522" s="244"/>
      <c r="C522" s="48" t="s">
        <v>3396</v>
      </c>
      <c r="D522" s="32"/>
      <c r="E522" s="33"/>
      <c r="F522" s="27" t="s">
        <v>523</v>
      </c>
      <c r="G522" s="27"/>
      <c r="H522" s="31"/>
      <c r="I522" s="27"/>
      <c r="J522" s="141">
        <v>0</v>
      </c>
    </row>
    <row r="523" spans="1:10" ht="15.75" hidden="1" thickBot="1" x14ac:dyDescent="0.3">
      <c r="A523" s="227"/>
      <c r="B523" s="230"/>
      <c r="C523" s="32"/>
      <c r="D523" s="32"/>
      <c r="E523" s="33"/>
      <c r="F523" s="27" t="s">
        <v>523</v>
      </c>
      <c r="G523" s="27" t="str">
        <f>IF(ISNUMBER(F523),E523*F523,"")</f>
        <v/>
      </c>
      <c r="H523" s="31"/>
      <c r="I523" s="27"/>
      <c r="J523" s="141">
        <v>0</v>
      </c>
    </row>
    <row r="524" spans="1:10" ht="15.75" hidden="1" thickBot="1" x14ac:dyDescent="0.3">
      <c r="A524" s="225" t="s">
        <v>204</v>
      </c>
      <c r="B524" s="228" t="str">
        <f>INDEX(Orçamentária!A:B,MATCH(Composições!A524,Orçamentária!A:A,0),2)</f>
        <v>Pintura esmalte acetinado (metais e madeiras)</v>
      </c>
      <c r="C524" s="37"/>
      <c r="D524" s="22" t="str">
        <f>TRIM(INDEX(Orçamentária!C:C,MATCH(Composições!A524,Orçamentária!A:A,0),1))</f>
        <v>m2</v>
      </c>
      <c r="E524" s="23"/>
      <c r="F524" s="38" t="s">
        <v>523</v>
      </c>
      <c r="G524" s="24" t="str">
        <f>IF(ISNUMBER(F524),E524*F524,"")</f>
        <v/>
      </c>
      <c r="H524" s="25"/>
      <c r="I524" s="26"/>
      <c r="J524" s="141">
        <v>0</v>
      </c>
    </row>
    <row r="525" spans="1:10" ht="15.75" hidden="1" thickBot="1" x14ac:dyDescent="0.3">
      <c r="A525" s="226"/>
      <c r="B525" s="244"/>
      <c r="C525" s="28"/>
      <c r="D525" s="28"/>
      <c r="E525" s="29"/>
      <c r="F525" s="39" t="s">
        <v>523</v>
      </c>
      <c r="G525" s="27" t="str">
        <f>IF(ISNUMBER(F525),E525*F525,"")</f>
        <v/>
      </c>
      <c r="H525" s="31"/>
      <c r="I525" s="27"/>
      <c r="J525" s="141">
        <v>0</v>
      </c>
    </row>
    <row r="526" spans="1:10" ht="15.75" hidden="1" thickBot="1" x14ac:dyDescent="0.3">
      <c r="A526" s="226"/>
      <c r="B526" s="244"/>
      <c r="C526" s="32" t="s">
        <v>100</v>
      </c>
      <c r="D526" s="32" t="s">
        <v>705</v>
      </c>
      <c r="E526" s="33">
        <v>0.57079999999999997</v>
      </c>
      <c r="F526" s="27">
        <v>25.887499999999999</v>
      </c>
      <c r="G526" s="30">
        <f>IF(ISNUMBER(F526),E526*F526,"")</f>
        <v>14.776584999999999</v>
      </c>
      <c r="H526" s="35">
        <f>SUM(G526:G527)</f>
        <v>19.373064999999997</v>
      </c>
      <c r="I526" s="36"/>
      <c r="J526" s="141">
        <v>0</v>
      </c>
    </row>
    <row r="527" spans="1:10" ht="15.75" hidden="1" thickBot="1" x14ac:dyDescent="0.3">
      <c r="A527" s="226"/>
      <c r="B527" s="244"/>
      <c r="C527" s="32" t="s">
        <v>205</v>
      </c>
      <c r="D527" s="46" t="s">
        <v>102</v>
      </c>
      <c r="E527" s="33">
        <f>ROUND(3*3.6/75,4)</f>
        <v>0.14399999999999999</v>
      </c>
      <c r="F527" s="30">
        <v>31.92</v>
      </c>
      <c r="G527" s="30">
        <f>IF(ISNUMBER(F527),E527*F527,"")</f>
        <v>4.5964799999999997</v>
      </c>
      <c r="H527" s="31"/>
      <c r="I527" s="27"/>
      <c r="J527" s="141">
        <v>0</v>
      </c>
    </row>
    <row r="528" spans="1:10" ht="15.75" hidden="1" thickBot="1" x14ac:dyDescent="0.3">
      <c r="A528" s="226"/>
      <c r="B528" s="244"/>
      <c r="C528" s="32"/>
      <c r="D528" s="46"/>
      <c r="E528" s="33"/>
      <c r="F528" s="30" t="s">
        <v>523</v>
      </c>
      <c r="G528" s="30"/>
      <c r="H528" s="31"/>
      <c r="I528" s="27"/>
      <c r="J528" s="141">
        <v>0</v>
      </c>
    </row>
    <row r="529" spans="1:10" ht="39" hidden="1" thickBot="1" x14ac:dyDescent="0.3">
      <c r="A529" s="226"/>
      <c r="B529" s="244"/>
      <c r="C529" s="48" t="s">
        <v>3395</v>
      </c>
      <c r="D529" s="46"/>
      <c r="E529" s="33"/>
      <c r="F529" s="30" t="s">
        <v>523</v>
      </c>
      <c r="G529" s="30"/>
      <c r="H529" s="31"/>
      <c r="I529" s="27"/>
      <c r="J529" s="141">
        <v>0</v>
      </c>
    </row>
    <row r="530" spans="1:10" ht="15.75" hidden="1" thickBot="1" x14ac:dyDescent="0.3">
      <c r="A530" s="227"/>
      <c r="B530" s="230"/>
      <c r="C530" s="32"/>
      <c r="D530" s="32"/>
      <c r="E530" s="33"/>
      <c r="F530" s="27" t="s">
        <v>523</v>
      </c>
      <c r="G530" s="27" t="str">
        <f t="shared" ref="G530:G593" si="9">IF(ISNUMBER(F530),E530*F530,"")</f>
        <v/>
      </c>
      <c r="H530" s="31"/>
      <c r="I530" s="27"/>
      <c r="J530" s="141">
        <v>0</v>
      </c>
    </row>
    <row r="531" spans="1:10" ht="15.75" thickBot="1" x14ac:dyDescent="0.3">
      <c r="A531" s="225" t="s">
        <v>206</v>
      </c>
      <c r="B531" s="228" t="str">
        <f>INDEX(Orçamentária!A:B,MATCH(Composições!A531,Orçamentária!A:A,0),2)</f>
        <v>Pintura tinta látex acrílica standard (tetos)</v>
      </c>
      <c r="C531" s="37"/>
      <c r="D531" s="22" t="str">
        <f>TRIM(INDEX(Orçamentária!C:C,MATCH(Composições!A531,Orçamentária!A:A,0),1))</f>
        <v>m2</v>
      </c>
      <c r="E531" s="23"/>
      <c r="F531" s="38" t="s">
        <v>523</v>
      </c>
      <c r="G531" s="24" t="str">
        <f t="shared" si="9"/>
        <v/>
      </c>
      <c r="H531" s="25"/>
      <c r="I531" s="26"/>
      <c r="J531" s="141">
        <v>230</v>
      </c>
    </row>
    <row r="532" spans="1:10" x14ac:dyDescent="0.25">
      <c r="A532" s="226"/>
      <c r="B532" s="244"/>
      <c r="C532" s="28"/>
      <c r="D532" s="28"/>
      <c r="E532" s="29"/>
      <c r="F532" s="39" t="s">
        <v>523</v>
      </c>
      <c r="G532" s="27" t="str">
        <f t="shared" si="9"/>
        <v/>
      </c>
      <c r="H532" s="31"/>
      <c r="I532" s="27"/>
      <c r="J532" s="141">
        <v>230</v>
      </c>
    </row>
    <row r="533" spans="1:10" x14ac:dyDescent="0.25">
      <c r="A533" s="226"/>
      <c r="B533" s="244"/>
      <c r="C533" s="32" t="s">
        <v>100</v>
      </c>
      <c r="D533" s="32" t="s">
        <v>705</v>
      </c>
      <c r="E533" s="33">
        <v>0.24399999999999999</v>
      </c>
      <c r="F533" s="27">
        <v>25.887499999999999</v>
      </c>
      <c r="G533" s="30">
        <f t="shared" si="9"/>
        <v>6.3165499999999994</v>
      </c>
      <c r="H533" s="35">
        <f>SUM(G533:G535)</f>
        <v>16.285669499999997</v>
      </c>
      <c r="I533" s="36"/>
      <c r="J533" s="141">
        <v>230</v>
      </c>
    </row>
    <row r="534" spans="1:10" x14ac:dyDescent="0.25">
      <c r="A534" s="226"/>
      <c r="B534" s="244"/>
      <c r="C534" s="32" t="s">
        <v>23</v>
      </c>
      <c r="D534" s="32" t="s">
        <v>705</v>
      </c>
      <c r="E534" s="33">
        <v>8.8999999999999996E-2</v>
      </c>
      <c r="F534" s="27">
        <v>18.420500000000001</v>
      </c>
      <c r="G534" s="30">
        <f t="shared" si="9"/>
        <v>1.6394245000000001</v>
      </c>
      <c r="H534" s="31"/>
      <c r="I534" s="27"/>
      <c r="J534" s="141">
        <v>230</v>
      </c>
    </row>
    <row r="535" spans="1:10" x14ac:dyDescent="0.25">
      <c r="A535" s="226"/>
      <c r="B535" s="244"/>
      <c r="C535" s="32" t="s">
        <v>6804</v>
      </c>
      <c r="D535" s="46" t="s">
        <v>102</v>
      </c>
      <c r="E535" s="33">
        <v>0.33</v>
      </c>
      <c r="F535" s="30">
        <v>25.241499999999998</v>
      </c>
      <c r="G535" s="30">
        <f t="shared" si="9"/>
        <v>8.3296949999999992</v>
      </c>
      <c r="H535" s="31"/>
      <c r="I535" s="27"/>
      <c r="J535" s="141">
        <v>230</v>
      </c>
    </row>
    <row r="536" spans="1:10" ht="15.75" thickBot="1" x14ac:dyDescent="0.3">
      <c r="A536" s="227"/>
      <c r="B536" s="230"/>
      <c r="C536" s="32"/>
      <c r="D536" s="32"/>
      <c r="E536" s="33"/>
      <c r="F536" s="27" t="s">
        <v>523</v>
      </c>
      <c r="G536" s="27" t="str">
        <f t="shared" si="9"/>
        <v/>
      </c>
      <c r="H536" s="31"/>
      <c r="I536" s="27"/>
      <c r="J536" s="141">
        <v>230</v>
      </c>
    </row>
    <row r="537" spans="1:10" ht="15.75" hidden="1" thickBot="1" x14ac:dyDescent="0.3">
      <c r="A537" s="225" t="s">
        <v>207</v>
      </c>
      <c r="B537" s="228" t="str">
        <f>INDEX(Orçamentária!A:B,MATCH(Composições!A537,Orçamentária!A:A,0),2)</f>
        <v>Cerâmica para revestimento de superfícies internas ou externas – Linha Administrativa</v>
      </c>
      <c r="C537" s="37"/>
      <c r="D537" s="22" t="str">
        <f>TRIM(INDEX(Orçamentária!C:C,MATCH(Composições!A537,Orçamentária!A:A,0),1))</f>
        <v>m2</v>
      </c>
      <c r="E537" s="23"/>
      <c r="F537" s="38" t="s">
        <v>523</v>
      </c>
      <c r="G537" s="24" t="str">
        <f t="shared" si="9"/>
        <v/>
      </c>
      <c r="H537" s="25"/>
      <c r="I537" s="26"/>
      <c r="J537" s="141">
        <v>0</v>
      </c>
    </row>
    <row r="538" spans="1:10" ht="15.75" hidden="1" thickBot="1" x14ac:dyDescent="0.3">
      <c r="A538" s="226"/>
      <c r="B538" s="244"/>
      <c r="C538" s="28"/>
      <c r="D538" s="28"/>
      <c r="E538" s="29"/>
      <c r="F538" s="39" t="s">
        <v>523</v>
      </c>
      <c r="G538" s="27" t="str">
        <f t="shared" si="9"/>
        <v/>
      </c>
      <c r="H538" s="31"/>
      <c r="I538" s="27"/>
      <c r="J538" s="141">
        <v>0</v>
      </c>
    </row>
    <row r="539" spans="1:10" ht="26.25" hidden="1" thickBot="1" x14ac:dyDescent="0.3">
      <c r="A539" s="226"/>
      <c r="B539" s="244"/>
      <c r="C539" s="32" t="s">
        <v>208</v>
      </c>
      <c r="D539" s="32" t="s">
        <v>95</v>
      </c>
      <c r="E539" s="33">
        <v>1.08</v>
      </c>
      <c r="F539" s="30">
        <v>41.125499999999995</v>
      </c>
      <c r="G539" s="30">
        <f t="shared" si="9"/>
        <v>44.41554</v>
      </c>
      <c r="H539" s="35">
        <f>SUM(G539:G543)</f>
        <v>74.034260000000017</v>
      </c>
      <c r="I539" s="36"/>
      <c r="J539" s="141">
        <v>0</v>
      </c>
    </row>
    <row r="540" spans="1:10" ht="15.75" hidden="1" thickBot="1" x14ac:dyDescent="0.3">
      <c r="A540" s="226"/>
      <c r="B540" s="244"/>
      <c r="C540" s="32" t="s">
        <v>3538</v>
      </c>
      <c r="D540" s="32" t="s">
        <v>42</v>
      </c>
      <c r="E540" s="33">
        <v>6.14</v>
      </c>
      <c r="F540" s="30">
        <v>0.96899999999999997</v>
      </c>
      <c r="G540" s="30">
        <f t="shared" si="9"/>
        <v>5.9496599999999997</v>
      </c>
      <c r="H540" s="31"/>
      <c r="I540" s="27"/>
      <c r="J540" s="141">
        <v>0</v>
      </c>
    </row>
    <row r="541" spans="1:10" ht="15.75" hidden="1" thickBot="1" x14ac:dyDescent="0.3">
      <c r="A541" s="226"/>
      <c r="B541" s="244"/>
      <c r="C541" s="32" t="s">
        <v>3536</v>
      </c>
      <c r="D541" s="32" t="s">
        <v>42</v>
      </c>
      <c r="E541" s="33">
        <v>0.22</v>
      </c>
      <c r="F541" s="30">
        <v>3.0590000000000002</v>
      </c>
      <c r="G541" s="30">
        <f t="shared" si="9"/>
        <v>0.67298000000000002</v>
      </c>
      <c r="H541" s="31"/>
      <c r="I541" s="27"/>
      <c r="J541" s="141">
        <v>0</v>
      </c>
    </row>
    <row r="542" spans="1:10" ht="15.75" hidden="1" thickBot="1" x14ac:dyDescent="0.3">
      <c r="A542" s="226"/>
      <c r="B542" s="244"/>
      <c r="C542" s="32" t="s">
        <v>36</v>
      </c>
      <c r="D542" s="32" t="s">
        <v>12</v>
      </c>
      <c r="E542" s="33">
        <v>0.66</v>
      </c>
      <c r="F542" s="27">
        <v>24.795000000000002</v>
      </c>
      <c r="G542" s="30">
        <f t="shared" si="9"/>
        <v>16.364700000000003</v>
      </c>
      <c r="H542" s="31"/>
      <c r="I542" s="27"/>
      <c r="J542" s="141">
        <v>0</v>
      </c>
    </row>
    <row r="543" spans="1:10" ht="15.75" hidden="1" thickBot="1" x14ac:dyDescent="0.3">
      <c r="A543" s="226"/>
      <c r="B543" s="244"/>
      <c r="C543" s="32" t="s">
        <v>23</v>
      </c>
      <c r="D543" s="32" t="s">
        <v>12</v>
      </c>
      <c r="E543" s="33">
        <v>0.36</v>
      </c>
      <c r="F543" s="27">
        <v>18.420500000000001</v>
      </c>
      <c r="G543" s="30">
        <f t="shared" si="9"/>
        <v>6.6313800000000001</v>
      </c>
      <c r="H543" s="31"/>
      <c r="I543" s="27"/>
      <c r="J543" s="141">
        <v>0</v>
      </c>
    </row>
    <row r="544" spans="1:10" ht="15.75" hidden="1" thickBot="1" x14ac:dyDescent="0.3">
      <c r="A544" s="227"/>
      <c r="B544" s="230"/>
      <c r="C544" s="32"/>
      <c r="D544" s="32"/>
      <c r="E544" s="33"/>
      <c r="F544" s="27" t="s">
        <v>523</v>
      </c>
      <c r="G544" s="27" t="str">
        <f t="shared" si="9"/>
        <v/>
      </c>
      <c r="H544" s="31"/>
      <c r="I544" s="27"/>
      <c r="J544" s="141">
        <v>0</v>
      </c>
    </row>
    <row r="545" spans="1:10" ht="15.75" hidden="1" thickBot="1" x14ac:dyDescent="0.3">
      <c r="A545" s="225" t="s">
        <v>209</v>
      </c>
      <c r="B545" s="228" t="str">
        <f>INDEX(Orçamentária!A:B,MATCH(Composições!A545,Orçamentária!A:A,0),2)</f>
        <v>Contrapiso em argamassa</v>
      </c>
      <c r="C545" s="37"/>
      <c r="D545" s="22" t="str">
        <f>TRIM(INDEX(Orçamentária!C:C,MATCH(Composições!A545,Orçamentária!A:A,0),1))</f>
        <v>m2</v>
      </c>
      <c r="E545" s="23"/>
      <c r="F545" s="38" t="s">
        <v>523</v>
      </c>
      <c r="G545" s="24" t="str">
        <f t="shared" si="9"/>
        <v/>
      </c>
      <c r="H545" s="25"/>
      <c r="I545" s="26"/>
      <c r="J545" s="141">
        <v>0</v>
      </c>
    </row>
    <row r="546" spans="1:10" ht="15.75" hidden="1" thickBot="1" x14ac:dyDescent="0.3">
      <c r="A546" s="226"/>
      <c r="B546" s="244"/>
      <c r="C546" s="28"/>
      <c r="D546" s="28"/>
      <c r="E546" s="29"/>
      <c r="F546" s="39" t="s">
        <v>523</v>
      </c>
      <c r="G546" s="27" t="str">
        <f t="shared" si="9"/>
        <v/>
      </c>
      <c r="H546" s="31"/>
      <c r="I546" s="27"/>
      <c r="J546" s="141">
        <v>0</v>
      </c>
    </row>
    <row r="547" spans="1:10" ht="26.25" hidden="1" thickBot="1" x14ac:dyDescent="0.3">
      <c r="A547" s="226"/>
      <c r="B547" s="244"/>
      <c r="C547" s="32" t="s">
        <v>210</v>
      </c>
      <c r="D547" s="32" t="s">
        <v>109</v>
      </c>
      <c r="E547" s="33">
        <v>5.2999999999999999E-2</v>
      </c>
      <c r="F547" s="30">
        <v>794.66215172499983</v>
      </c>
      <c r="G547" s="30">
        <f t="shared" si="9"/>
        <v>42.117094041424991</v>
      </c>
      <c r="H547" s="35">
        <f>SUM(G547:G551)</f>
        <v>54.844567041424988</v>
      </c>
      <c r="I547" s="36"/>
      <c r="J547" s="141">
        <v>0</v>
      </c>
    </row>
    <row r="548" spans="1:10" ht="15.75" hidden="1" thickBot="1" x14ac:dyDescent="0.3">
      <c r="A548" s="226"/>
      <c r="B548" s="244"/>
      <c r="C548" s="32" t="s">
        <v>22</v>
      </c>
      <c r="D548" s="32" t="s">
        <v>12</v>
      </c>
      <c r="E548" s="33">
        <v>0.27100000000000002</v>
      </c>
      <c r="F548" s="27">
        <v>24.889999999999997</v>
      </c>
      <c r="G548" s="30">
        <f t="shared" si="9"/>
        <v>6.74519</v>
      </c>
      <c r="H548" s="31"/>
      <c r="I548" s="27"/>
      <c r="J548" s="141">
        <v>0</v>
      </c>
    </row>
    <row r="549" spans="1:10" ht="15.75" hidden="1" thickBot="1" x14ac:dyDescent="0.3">
      <c r="A549" s="226"/>
      <c r="B549" s="244"/>
      <c r="C549" s="32" t="s">
        <v>23</v>
      </c>
      <c r="D549" s="32" t="s">
        <v>12</v>
      </c>
      <c r="E549" s="33">
        <v>0.13600000000000001</v>
      </c>
      <c r="F549" s="27">
        <v>18.420500000000001</v>
      </c>
      <c r="G549" s="30">
        <f t="shared" si="9"/>
        <v>2.5051880000000004</v>
      </c>
      <c r="H549" s="31"/>
      <c r="I549" s="27"/>
      <c r="J549" s="141">
        <v>0</v>
      </c>
    </row>
    <row r="550" spans="1:10" ht="15.75" hidden="1" thickBot="1" x14ac:dyDescent="0.3">
      <c r="A550" s="226"/>
      <c r="B550" s="244"/>
      <c r="C550" s="32" t="s">
        <v>114</v>
      </c>
      <c r="D550" s="43" t="s">
        <v>42</v>
      </c>
      <c r="E550" s="33">
        <v>0.5</v>
      </c>
      <c r="F550" s="30">
        <v>0.64600000000000002</v>
      </c>
      <c r="G550" s="30">
        <f t="shared" si="9"/>
        <v>0.32300000000000001</v>
      </c>
      <c r="H550" s="31"/>
      <c r="I550" s="27"/>
      <c r="J550" s="141">
        <v>0</v>
      </c>
    </row>
    <row r="551" spans="1:10" ht="15.75" hidden="1" thickBot="1" x14ac:dyDescent="0.3">
      <c r="A551" s="226"/>
      <c r="B551" s="244"/>
      <c r="C551" s="32" t="s">
        <v>211</v>
      </c>
      <c r="D551" s="46" t="s">
        <v>102</v>
      </c>
      <c r="E551" s="33">
        <v>0.21</v>
      </c>
      <c r="F551" s="30">
        <v>15.019499999999999</v>
      </c>
      <c r="G551" s="30">
        <f t="shared" si="9"/>
        <v>3.1540949999999999</v>
      </c>
      <c r="H551" s="31"/>
      <c r="I551" s="27"/>
      <c r="J551" s="141">
        <v>0</v>
      </c>
    </row>
    <row r="552" spans="1:10" ht="15.75" hidden="1" thickBot="1" x14ac:dyDescent="0.3">
      <c r="A552" s="227"/>
      <c r="B552" s="230"/>
      <c r="C552" s="32"/>
      <c r="D552" s="32"/>
      <c r="E552" s="33"/>
      <c r="F552" s="27" t="s">
        <v>523</v>
      </c>
      <c r="G552" s="27" t="str">
        <f t="shared" si="9"/>
        <v/>
      </c>
      <c r="H552" s="31"/>
      <c r="I552" s="27"/>
      <c r="J552" s="141">
        <v>0</v>
      </c>
    </row>
    <row r="553" spans="1:10" ht="15.75" hidden="1" thickBot="1" x14ac:dyDescent="0.3">
      <c r="A553" s="225" t="s">
        <v>212</v>
      </c>
      <c r="B553" s="228" t="str">
        <f>INDEX(Orçamentária!A:B,MATCH(Composições!A553,Orçamentária!A:A,0),2)</f>
        <v>Contrapiso em argamassa (e=2cm) ou Regularização de contrapiso existente</v>
      </c>
      <c r="C553" s="37"/>
      <c r="D553" s="22" t="str">
        <f>TRIM(INDEX(Orçamentária!C:C,MATCH(Composições!A553,Orçamentária!A:A,0),1))</f>
        <v>m2</v>
      </c>
      <c r="E553" s="23"/>
      <c r="F553" s="38" t="s">
        <v>523</v>
      </c>
      <c r="G553" s="24" t="str">
        <f t="shared" si="9"/>
        <v/>
      </c>
      <c r="H553" s="25"/>
      <c r="I553" s="26"/>
      <c r="J553" s="141">
        <v>0</v>
      </c>
    </row>
    <row r="554" spans="1:10" ht="15.75" hidden="1" thickBot="1" x14ac:dyDescent="0.3">
      <c r="A554" s="226"/>
      <c r="B554" s="244"/>
      <c r="C554" s="28"/>
      <c r="D554" s="28"/>
      <c r="E554" s="29"/>
      <c r="F554" s="39" t="s">
        <v>523</v>
      </c>
      <c r="G554" s="27" t="str">
        <f t="shared" si="9"/>
        <v/>
      </c>
      <c r="H554" s="31"/>
      <c r="I554" s="27"/>
      <c r="J554" s="141">
        <v>0</v>
      </c>
    </row>
    <row r="555" spans="1:10" ht="15.75" hidden="1" thickBot="1" x14ac:dyDescent="0.3">
      <c r="A555" s="226"/>
      <c r="B555" s="244"/>
      <c r="C555" s="32" t="s">
        <v>114</v>
      </c>
      <c r="D555" s="32" t="s">
        <v>42</v>
      </c>
      <c r="E555" s="33">
        <v>0.5</v>
      </c>
      <c r="F555" s="30">
        <v>0.64600000000000002</v>
      </c>
      <c r="G555" s="30">
        <f t="shared" si="9"/>
        <v>0.32300000000000001</v>
      </c>
      <c r="H555" s="35">
        <f>SUM(G555:G559)</f>
        <v>35.409075203474991</v>
      </c>
      <c r="I555" s="36"/>
      <c r="J555" s="141">
        <v>0</v>
      </c>
    </row>
    <row r="556" spans="1:10" ht="15.75" hidden="1" thickBot="1" x14ac:dyDescent="0.3">
      <c r="A556" s="226"/>
      <c r="B556" s="244"/>
      <c r="C556" s="32" t="s">
        <v>211</v>
      </c>
      <c r="D556" s="46" t="s">
        <v>102</v>
      </c>
      <c r="E556" s="33">
        <v>0.21</v>
      </c>
      <c r="F556" s="30">
        <v>15.019499999999999</v>
      </c>
      <c r="G556" s="30">
        <f t="shared" si="9"/>
        <v>3.1540949999999999</v>
      </c>
      <c r="H556" s="31"/>
      <c r="I556" s="27"/>
      <c r="J556" s="141">
        <v>0</v>
      </c>
    </row>
    <row r="557" spans="1:10" ht="26.25" hidden="1" thickBot="1" x14ac:dyDescent="0.3">
      <c r="A557" s="226"/>
      <c r="B557" s="244"/>
      <c r="C557" s="32" t="s">
        <v>210</v>
      </c>
      <c r="D557" s="32" t="s">
        <v>109</v>
      </c>
      <c r="E557" s="33">
        <v>3.1E-2</v>
      </c>
      <c r="F557" s="30">
        <v>794.66215172499983</v>
      </c>
      <c r="G557" s="30">
        <f t="shared" si="9"/>
        <v>24.634526703474993</v>
      </c>
      <c r="H557" s="31"/>
      <c r="I557" s="27"/>
      <c r="J557" s="141">
        <v>0</v>
      </c>
    </row>
    <row r="558" spans="1:10" ht="15.75" hidden="1" thickBot="1" x14ac:dyDescent="0.3">
      <c r="A558" s="226"/>
      <c r="B558" s="244"/>
      <c r="C558" s="32" t="s">
        <v>22</v>
      </c>
      <c r="D558" s="43" t="s">
        <v>12</v>
      </c>
      <c r="E558" s="33">
        <v>0.214</v>
      </c>
      <c r="F558" s="27">
        <v>24.889999999999997</v>
      </c>
      <c r="G558" s="30">
        <f t="shared" si="9"/>
        <v>5.3264599999999991</v>
      </c>
      <c r="H558" s="31"/>
      <c r="I558" s="27"/>
      <c r="J558" s="141">
        <v>0</v>
      </c>
    </row>
    <row r="559" spans="1:10" ht="15.75" hidden="1" thickBot="1" x14ac:dyDescent="0.3">
      <c r="A559" s="226"/>
      <c r="B559" s="244"/>
      <c r="C559" s="32" t="s">
        <v>23</v>
      </c>
      <c r="D559" s="43" t="s">
        <v>12</v>
      </c>
      <c r="E559" s="33">
        <v>0.107</v>
      </c>
      <c r="F559" s="27">
        <v>18.420500000000001</v>
      </c>
      <c r="G559" s="30">
        <f t="shared" si="9"/>
        <v>1.9709935000000001</v>
      </c>
      <c r="H559" s="31"/>
      <c r="I559" s="27"/>
      <c r="J559" s="141">
        <v>0</v>
      </c>
    </row>
    <row r="560" spans="1:10" ht="15.75" hidden="1" thickBot="1" x14ac:dyDescent="0.3">
      <c r="A560" s="227"/>
      <c r="B560" s="230"/>
      <c r="C560" s="32"/>
      <c r="D560" s="32"/>
      <c r="E560" s="33"/>
      <c r="F560" s="27" t="s">
        <v>523</v>
      </c>
      <c r="G560" s="27" t="str">
        <f t="shared" si="9"/>
        <v/>
      </c>
      <c r="H560" s="31"/>
      <c r="I560" s="27"/>
      <c r="J560" s="141">
        <v>0</v>
      </c>
    </row>
    <row r="561" spans="1:10" ht="15.75" hidden="1" thickBot="1" x14ac:dyDescent="0.3">
      <c r="A561" s="225" t="s">
        <v>213</v>
      </c>
      <c r="B561" s="228" t="str">
        <f>INDEX(Orçamentária!A:B,MATCH(Composições!A561,Orçamentária!A:A,0),2)</f>
        <v>Granito cinza andorinha para piso</v>
      </c>
      <c r="C561" s="37"/>
      <c r="D561" s="22" t="str">
        <f>TRIM(INDEX(Orçamentária!C:C,MATCH(Composições!A561,Orçamentária!A:A,0),1))</f>
        <v>m2</v>
      </c>
      <c r="E561" s="23"/>
      <c r="F561" s="38" t="s">
        <v>523</v>
      </c>
      <c r="G561" s="24" t="str">
        <f t="shared" si="9"/>
        <v/>
      </c>
      <c r="H561" s="25"/>
      <c r="I561" s="26"/>
      <c r="J561" s="141">
        <v>0</v>
      </c>
    </row>
    <row r="562" spans="1:10" ht="15.75" hidden="1" thickBot="1" x14ac:dyDescent="0.3">
      <c r="A562" s="226"/>
      <c r="B562" s="244"/>
      <c r="C562" s="28"/>
      <c r="D562" s="28"/>
      <c r="E562" s="29"/>
      <c r="F562" s="39" t="s">
        <v>523</v>
      </c>
      <c r="G562" s="27" t="str">
        <f t="shared" si="9"/>
        <v/>
      </c>
      <c r="H562" s="31"/>
      <c r="I562" s="27"/>
      <c r="J562" s="141">
        <v>0</v>
      </c>
    </row>
    <row r="563" spans="1:10" ht="15.75" hidden="1" thickBot="1" x14ac:dyDescent="0.3">
      <c r="A563" s="226"/>
      <c r="B563" s="244"/>
      <c r="C563" s="32" t="s">
        <v>3537</v>
      </c>
      <c r="D563" s="32" t="s">
        <v>42</v>
      </c>
      <c r="E563" s="33">
        <v>8.6199999999999992</v>
      </c>
      <c r="F563" s="30">
        <v>1.6054999999999999</v>
      </c>
      <c r="G563" s="30">
        <f t="shared" si="9"/>
        <v>13.839409999999997</v>
      </c>
      <c r="H563" s="35">
        <f>SUM(G563:G567)</f>
        <v>54.665906999999997</v>
      </c>
      <c r="I563" s="36"/>
      <c r="J563" s="141">
        <v>0</v>
      </c>
    </row>
    <row r="564" spans="1:10" ht="15.75" hidden="1" thickBot="1" x14ac:dyDescent="0.3">
      <c r="A564" s="226"/>
      <c r="B564" s="244"/>
      <c r="C564" s="32" t="s">
        <v>54</v>
      </c>
      <c r="D564" s="32" t="s">
        <v>12</v>
      </c>
      <c r="E564" s="33">
        <v>1.1879999999999999</v>
      </c>
      <c r="F564" s="27">
        <v>24.795000000000002</v>
      </c>
      <c r="G564" s="30">
        <f t="shared" si="9"/>
        <v>29.45646</v>
      </c>
      <c r="H564" s="31"/>
      <c r="I564" s="27"/>
      <c r="J564" s="141">
        <v>0</v>
      </c>
    </row>
    <row r="565" spans="1:10" ht="15.75" hidden="1" thickBot="1" x14ac:dyDescent="0.3">
      <c r="A565" s="226"/>
      <c r="B565" s="244"/>
      <c r="C565" s="32" t="s">
        <v>23</v>
      </c>
      <c r="D565" s="32" t="s">
        <v>12</v>
      </c>
      <c r="E565" s="33">
        <v>0.59399999999999997</v>
      </c>
      <c r="F565" s="27">
        <v>18.420500000000001</v>
      </c>
      <c r="G565" s="30">
        <f t="shared" si="9"/>
        <v>10.941777</v>
      </c>
      <c r="H565" s="31"/>
      <c r="I565" s="27"/>
      <c r="J565" s="141">
        <v>0</v>
      </c>
    </row>
    <row r="566" spans="1:10" ht="15.75" hidden="1" thickBot="1" x14ac:dyDescent="0.3">
      <c r="A566" s="226"/>
      <c r="B566" s="244"/>
      <c r="C566" s="32" t="s">
        <v>3536</v>
      </c>
      <c r="D566" s="32" t="s">
        <v>42</v>
      </c>
      <c r="E566" s="33">
        <v>0.14000000000000001</v>
      </c>
      <c r="F566" s="30">
        <v>3.0590000000000002</v>
      </c>
      <c r="G566" s="30">
        <f t="shared" si="9"/>
        <v>0.42826000000000009</v>
      </c>
      <c r="H566" s="31"/>
      <c r="I566" s="27"/>
      <c r="J566" s="141">
        <v>0</v>
      </c>
    </row>
    <row r="567" spans="1:10" ht="15.75" hidden="1" thickBot="1" x14ac:dyDescent="0.3">
      <c r="A567" s="226"/>
      <c r="B567" s="244"/>
      <c r="C567" s="32" t="s">
        <v>214</v>
      </c>
      <c r="D567" s="32" t="s">
        <v>95</v>
      </c>
      <c r="E567" s="33">
        <v>1.1599999999999999</v>
      </c>
      <c r="F567" s="30" t="s">
        <v>523</v>
      </c>
      <c r="G567" s="50" t="str">
        <f t="shared" si="9"/>
        <v/>
      </c>
      <c r="H567" s="31"/>
      <c r="I567" s="27"/>
      <c r="J567" s="141">
        <v>0</v>
      </c>
    </row>
    <row r="568" spans="1:10" ht="15.75" hidden="1" thickBot="1" x14ac:dyDescent="0.3">
      <c r="A568" s="227"/>
      <c r="B568" s="230"/>
      <c r="C568" s="32"/>
      <c r="D568" s="32"/>
      <c r="E568" s="33"/>
      <c r="F568" s="27" t="s">
        <v>523</v>
      </c>
      <c r="G568" s="27" t="str">
        <f t="shared" si="9"/>
        <v/>
      </c>
      <c r="H568" s="31"/>
      <c r="I568" s="27"/>
      <c r="J568" s="141">
        <v>0</v>
      </c>
    </row>
    <row r="569" spans="1:10" ht="15.75" hidden="1" thickBot="1" x14ac:dyDescent="0.3">
      <c r="A569" s="225" t="s">
        <v>215</v>
      </c>
      <c r="B569" s="228" t="str">
        <f>INDEX(Orçamentária!A:B,MATCH(Composições!A569,Orçamentária!A:A,0),2)</f>
        <v>Granito Cinza Andorinha para rodapé</v>
      </c>
      <c r="C569" s="37"/>
      <c r="D569" s="22" t="str">
        <f>TRIM(INDEX(Orçamentária!C:C,MATCH(Composições!A569,Orçamentária!A:A,0),1))</f>
        <v>m2</v>
      </c>
      <c r="E569" s="23"/>
      <c r="F569" s="38" t="s">
        <v>523</v>
      </c>
      <c r="G569" s="24" t="str">
        <f t="shared" si="9"/>
        <v/>
      </c>
      <c r="H569" s="25"/>
      <c r="I569" s="26"/>
      <c r="J569" s="141">
        <v>0</v>
      </c>
    </row>
    <row r="570" spans="1:10" ht="15.75" hidden="1" thickBot="1" x14ac:dyDescent="0.3">
      <c r="A570" s="226"/>
      <c r="B570" s="244"/>
      <c r="C570" s="28"/>
      <c r="D570" s="28"/>
      <c r="E570" s="29"/>
      <c r="F570" s="39" t="s">
        <v>523</v>
      </c>
      <c r="G570" s="27" t="str">
        <f t="shared" si="9"/>
        <v/>
      </c>
      <c r="H570" s="31"/>
      <c r="I570" s="27"/>
      <c r="J570" s="141">
        <v>0</v>
      </c>
    </row>
    <row r="571" spans="1:10" ht="26.25" hidden="1" thickBot="1" x14ac:dyDescent="0.3">
      <c r="A571" s="226"/>
      <c r="B571" s="244"/>
      <c r="C571" s="32" t="s">
        <v>216</v>
      </c>
      <c r="D571" s="32" t="s">
        <v>93</v>
      </c>
      <c r="E571" s="33">
        <f>ROUND(1.04/0.07,4)</f>
        <v>14.857100000000001</v>
      </c>
      <c r="F571" s="30" t="s">
        <v>523</v>
      </c>
      <c r="G571" s="30" t="str">
        <f t="shared" si="9"/>
        <v/>
      </c>
      <c r="H571" s="35">
        <f>SUM(G571:G575)</f>
        <v>119.26837699999999</v>
      </c>
      <c r="I571" s="36"/>
      <c r="J571" s="141">
        <v>0</v>
      </c>
    </row>
    <row r="572" spans="1:10" ht="15.75" hidden="1" thickBot="1" x14ac:dyDescent="0.3">
      <c r="A572" s="226"/>
      <c r="B572" s="244"/>
      <c r="C572" s="32" t="s">
        <v>3537</v>
      </c>
      <c r="D572" s="32" t="s">
        <v>42</v>
      </c>
      <c r="E572" s="33">
        <f>ROUND(0.8614/0.1,4)</f>
        <v>8.6140000000000008</v>
      </c>
      <c r="F572" s="30">
        <v>1.6054999999999999</v>
      </c>
      <c r="G572" s="30">
        <f t="shared" si="9"/>
        <v>13.829777</v>
      </c>
      <c r="H572" s="41"/>
      <c r="I572" s="42"/>
      <c r="J572" s="141">
        <v>0</v>
      </c>
    </row>
    <row r="573" spans="1:10" ht="15.75" hidden="1" thickBot="1" x14ac:dyDescent="0.3">
      <c r="A573" s="226"/>
      <c r="B573" s="244"/>
      <c r="C573" s="32" t="s">
        <v>54</v>
      </c>
      <c r="D573" s="32" t="s">
        <v>12</v>
      </c>
      <c r="E573" s="33">
        <f>0.299/0.1</f>
        <v>2.9899999999999998</v>
      </c>
      <c r="F573" s="27">
        <v>24.795000000000002</v>
      </c>
      <c r="G573" s="30">
        <f t="shared" si="9"/>
        <v>74.137050000000002</v>
      </c>
      <c r="H573" s="31"/>
      <c r="I573" s="27"/>
      <c r="J573" s="141">
        <v>0</v>
      </c>
    </row>
    <row r="574" spans="1:10" ht="15.75" hidden="1" thickBot="1" x14ac:dyDescent="0.3">
      <c r="A574" s="226"/>
      <c r="B574" s="244"/>
      <c r="C574" s="32" t="s">
        <v>23</v>
      </c>
      <c r="D574" s="32" t="s">
        <v>12</v>
      </c>
      <c r="E574" s="33">
        <f>0.15/0.1</f>
        <v>1.4999999999999998</v>
      </c>
      <c r="F574" s="27">
        <v>18.420500000000001</v>
      </c>
      <c r="G574" s="30">
        <f t="shared" si="9"/>
        <v>27.630749999999995</v>
      </c>
      <c r="H574" s="31"/>
      <c r="I574" s="27"/>
      <c r="J574" s="141">
        <v>0</v>
      </c>
    </row>
    <row r="575" spans="1:10" ht="15.75" hidden="1" thickBot="1" x14ac:dyDescent="0.3">
      <c r="A575" s="226"/>
      <c r="B575" s="244"/>
      <c r="C575" s="32" t="s">
        <v>3536</v>
      </c>
      <c r="D575" s="32" t="s">
        <v>42</v>
      </c>
      <c r="E575" s="33">
        <f>0.12/0.1</f>
        <v>1.2</v>
      </c>
      <c r="F575" s="30">
        <v>3.0590000000000002</v>
      </c>
      <c r="G575" s="30">
        <f t="shared" si="9"/>
        <v>3.6707999999999998</v>
      </c>
      <c r="H575" s="31"/>
      <c r="I575" s="27"/>
      <c r="J575" s="141">
        <v>0</v>
      </c>
    </row>
    <row r="576" spans="1:10" ht="15.75" hidden="1" thickBot="1" x14ac:dyDescent="0.3">
      <c r="A576" s="226"/>
      <c r="B576" s="244"/>
      <c r="C576" s="32"/>
      <c r="D576" s="32"/>
      <c r="E576" s="33"/>
      <c r="F576" s="30" t="s">
        <v>523</v>
      </c>
      <c r="G576" s="30" t="str">
        <f t="shared" si="9"/>
        <v/>
      </c>
      <c r="H576" s="31"/>
      <c r="I576" s="27"/>
      <c r="J576" s="141">
        <v>0</v>
      </c>
    </row>
    <row r="577" spans="1:10" ht="26.25" hidden="1" thickBot="1" x14ac:dyDescent="0.3">
      <c r="A577" s="226"/>
      <c r="B577" s="244"/>
      <c r="C577" s="44" t="s">
        <v>217</v>
      </c>
      <c r="D577" s="32"/>
      <c r="E577" s="33"/>
      <c r="F577" s="30" t="s">
        <v>523</v>
      </c>
      <c r="G577" s="30" t="str">
        <f t="shared" si="9"/>
        <v/>
      </c>
      <c r="H577" s="31"/>
      <c r="I577" s="27"/>
      <c r="J577" s="141">
        <v>0</v>
      </c>
    </row>
    <row r="578" spans="1:10" ht="15.75" hidden="1" thickBot="1" x14ac:dyDescent="0.3">
      <c r="A578" s="227"/>
      <c r="B578" s="230"/>
      <c r="C578" s="32"/>
      <c r="D578" s="32"/>
      <c r="E578" s="33"/>
      <c r="F578" s="27" t="s">
        <v>523</v>
      </c>
      <c r="G578" s="27" t="str">
        <f t="shared" si="9"/>
        <v/>
      </c>
      <c r="H578" s="31"/>
      <c r="I578" s="27"/>
      <c r="J578" s="141">
        <v>0</v>
      </c>
    </row>
    <row r="579" spans="1:10" ht="15.75" hidden="1" thickBot="1" x14ac:dyDescent="0.3">
      <c r="A579" s="225" t="s">
        <v>218</v>
      </c>
      <c r="B579" s="228" t="str">
        <f>INDEX(Orçamentária!A:B,MATCH(Composições!A579,Orçamentária!A:A,0),2)</f>
        <v>Granito Cinza Andorinha para soleira e peitoril</v>
      </c>
      <c r="C579" s="37"/>
      <c r="D579" s="22" t="str">
        <f>TRIM(INDEX(Orçamentária!C:C,MATCH(Composições!A579,Orçamentária!A:A,0),1))</f>
        <v>m2</v>
      </c>
      <c r="E579" s="23"/>
      <c r="F579" s="38" t="s">
        <v>523</v>
      </c>
      <c r="G579" s="24" t="str">
        <f t="shared" si="9"/>
        <v/>
      </c>
      <c r="H579" s="25"/>
      <c r="I579" s="26"/>
      <c r="J579" s="141">
        <v>0</v>
      </c>
    </row>
    <row r="580" spans="1:10" ht="15.75" hidden="1" thickBot="1" x14ac:dyDescent="0.3">
      <c r="A580" s="226"/>
      <c r="B580" s="244"/>
      <c r="C580" s="28"/>
      <c r="D580" s="28"/>
      <c r="E580" s="29"/>
      <c r="F580" s="39" t="s">
        <v>523</v>
      </c>
      <c r="G580" s="27" t="str">
        <f t="shared" si="9"/>
        <v/>
      </c>
      <c r="H580" s="31"/>
      <c r="I580" s="27"/>
      <c r="J580" s="141">
        <v>0</v>
      </c>
    </row>
    <row r="581" spans="1:10" ht="26.25" hidden="1" thickBot="1" x14ac:dyDescent="0.3">
      <c r="A581" s="226"/>
      <c r="B581" s="244"/>
      <c r="C581" s="32" t="s">
        <v>219</v>
      </c>
      <c r="D581" s="32" t="s">
        <v>93</v>
      </c>
      <c r="E581" s="33">
        <f>ROUND(1/0.15,4)</f>
        <v>6.6666999999999996</v>
      </c>
      <c r="F581" s="30" t="s">
        <v>523</v>
      </c>
      <c r="G581" s="30" t="str">
        <f t="shared" si="9"/>
        <v/>
      </c>
      <c r="H581" s="35">
        <f>SUM(G581:G584)</f>
        <v>137.75253650000002</v>
      </c>
      <c r="I581" s="36"/>
      <c r="J581" s="141">
        <v>0</v>
      </c>
    </row>
    <row r="582" spans="1:10" ht="15.75" hidden="1" thickBot="1" x14ac:dyDescent="0.3">
      <c r="A582" s="226"/>
      <c r="B582" s="244"/>
      <c r="C582" s="32" t="s">
        <v>3537</v>
      </c>
      <c r="D582" s="32" t="s">
        <v>42</v>
      </c>
      <c r="E582" s="33">
        <f>1.29/0.15</f>
        <v>8.6000000000000014</v>
      </c>
      <c r="F582" s="30">
        <v>1.6054999999999999</v>
      </c>
      <c r="G582" s="30">
        <f t="shared" si="9"/>
        <v>13.807300000000001</v>
      </c>
      <c r="H582" s="31"/>
      <c r="I582" s="27"/>
      <c r="J582" s="141">
        <v>0</v>
      </c>
    </row>
    <row r="583" spans="1:10" ht="15.75" hidden="1" thickBot="1" x14ac:dyDescent="0.3">
      <c r="A583" s="226"/>
      <c r="B583" s="244"/>
      <c r="C583" s="32" t="s">
        <v>54</v>
      </c>
      <c r="D583" s="32" t="s">
        <v>12</v>
      </c>
      <c r="E583" s="33">
        <f>ROUND(0.547/0.15,4)</f>
        <v>3.6467000000000001</v>
      </c>
      <c r="F583" s="27">
        <v>24.795000000000002</v>
      </c>
      <c r="G583" s="30">
        <f t="shared" si="9"/>
        <v>90.419926500000003</v>
      </c>
      <c r="H583" s="31"/>
      <c r="I583" s="27"/>
      <c r="J583" s="141">
        <v>0</v>
      </c>
    </row>
    <row r="584" spans="1:10" ht="15.75" hidden="1" thickBot="1" x14ac:dyDescent="0.3">
      <c r="A584" s="226"/>
      <c r="B584" s="244"/>
      <c r="C584" s="32" t="s">
        <v>23</v>
      </c>
      <c r="D584" s="32" t="s">
        <v>12</v>
      </c>
      <c r="E584" s="33">
        <f>ROUND(0.273/0.15,4)</f>
        <v>1.82</v>
      </c>
      <c r="F584" s="27">
        <v>18.420500000000001</v>
      </c>
      <c r="G584" s="30">
        <f t="shared" si="9"/>
        <v>33.525310000000005</v>
      </c>
      <c r="H584" s="31"/>
      <c r="I584" s="27"/>
      <c r="J584" s="141">
        <v>0</v>
      </c>
    </row>
    <row r="585" spans="1:10" ht="15.75" hidden="1" thickBot="1" x14ac:dyDescent="0.3">
      <c r="A585" s="226"/>
      <c r="B585" s="244"/>
      <c r="C585" s="32"/>
      <c r="D585" s="32"/>
      <c r="E585" s="33"/>
      <c r="F585" s="27" t="s">
        <v>523</v>
      </c>
      <c r="G585" s="30" t="str">
        <f t="shared" si="9"/>
        <v/>
      </c>
      <c r="H585" s="31"/>
      <c r="I585" s="27"/>
      <c r="J585" s="141">
        <v>0</v>
      </c>
    </row>
    <row r="586" spans="1:10" ht="26.25" hidden="1" thickBot="1" x14ac:dyDescent="0.3">
      <c r="A586" s="226"/>
      <c r="B586" s="244"/>
      <c r="C586" s="44" t="s">
        <v>220</v>
      </c>
      <c r="D586" s="32"/>
      <c r="E586" s="33"/>
      <c r="F586" s="27" t="s">
        <v>523</v>
      </c>
      <c r="G586" s="30" t="str">
        <f t="shared" si="9"/>
        <v/>
      </c>
      <c r="H586" s="31"/>
      <c r="I586" s="27"/>
      <c r="J586" s="141">
        <v>0</v>
      </c>
    </row>
    <row r="587" spans="1:10" ht="15.75" hidden="1" thickBot="1" x14ac:dyDescent="0.3">
      <c r="A587" s="227"/>
      <c r="B587" s="230"/>
      <c r="C587" s="32"/>
      <c r="D587" s="32"/>
      <c r="E587" s="33"/>
      <c r="F587" s="27" t="s">
        <v>523</v>
      </c>
      <c r="G587" s="27" t="str">
        <f t="shared" si="9"/>
        <v/>
      </c>
      <c r="H587" s="31"/>
      <c r="I587" s="27"/>
      <c r="J587" s="141">
        <v>0</v>
      </c>
    </row>
    <row r="588" spans="1:10" ht="15.75" hidden="1" thickBot="1" x14ac:dyDescent="0.3">
      <c r="A588" s="225" t="s">
        <v>221</v>
      </c>
      <c r="B588" s="228" t="str">
        <f>INDEX(Orçamentária!A:B,MATCH(Composições!A588,Orçamentária!A:A,0),2)</f>
        <v>Granito Preto São Gabriel para piso</v>
      </c>
      <c r="C588" s="37"/>
      <c r="D588" s="22" t="str">
        <f>TRIM(INDEX(Orçamentária!C:C,MATCH(Composições!A588,Orçamentária!A:A,0),1))</f>
        <v>m2</v>
      </c>
      <c r="E588" s="23"/>
      <c r="F588" s="38" t="s">
        <v>523</v>
      </c>
      <c r="G588" s="24" t="str">
        <f t="shared" si="9"/>
        <v/>
      </c>
      <c r="H588" s="25"/>
      <c r="I588" s="26"/>
      <c r="J588" s="141">
        <v>0</v>
      </c>
    </row>
    <row r="589" spans="1:10" ht="15.75" hidden="1" thickBot="1" x14ac:dyDescent="0.3">
      <c r="A589" s="226"/>
      <c r="B589" s="244"/>
      <c r="C589" s="28"/>
      <c r="D589" s="28"/>
      <c r="E589" s="29"/>
      <c r="F589" s="39" t="s">
        <v>523</v>
      </c>
      <c r="G589" s="27" t="str">
        <f t="shared" si="9"/>
        <v/>
      </c>
      <c r="H589" s="31"/>
      <c r="I589" s="27"/>
      <c r="J589" s="141">
        <v>0</v>
      </c>
    </row>
    <row r="590" spans="1:10" ht="15.75" hidden="1" thickBot="1" x14ac:dyDescent="0.3">
      <c r="A590" s="226"/>
      <c r="B590" s="244"/>
      <c r="C590" s="32" t="s">
        <v>3537</v>
      </c>
      <c r="D590" s="32" t="s">
        <v>42</v>
      </c>
      <c r="E590" s="33">
        <v>8.6199999999999992</v>
      </c>
      <c r="F590" s="30">
        <v>1.6054999999999999</v>
      </c>
      <c r="G590" s="30">
        <f t="shared" si="9"/>
        <v>13.839409999999997</v>
      </c>
      <c r="H590" s="35">
        <f>SUM(G590:G594)</f>
        <v>54.665906999999997</v>
      </c>
      <c r="I590" s="36"/>
      <c r="J590" s="141">
        <v>0</v>
      </c>
    </row>
    <row r="591" spans="1:10" ht="15.75" hidden="1" thickBot="1" x14ac:dyDescent="0.3">
      <c r="A591" s="226"/>
      <c r="B591" s="244"/>
      <c r="C591" s="32" t="s">
        <v>54</v>
      </c>
      <c r="D591" s="32" t="s">
        <v>12</v>
      </c>
      <c r="E591" s="33">
        <v>1.1879999999999999</v>
      </c>
      <c r="F591" s="27">
        <v>24.795000000000002</v>
      </c>
      <c r="G591" s="30">
        <f t="shared" si="9"/>
        <v>29.45646</v>
      </c>
      <c r="H591" s="31"/>
      <c r="I591" s="27"/>
      <c r="J591" s="141">
        <v>0</v>
      </c>
    </row>
    <row r="592" spans="1:10" ht="15.75" hidden="1" thickBot="1" x14ac:dyDescent="0.3">
      <c r="A592" s="226"/>
      <c r="B592" s="244"/>
      <c r="C592" s="32" t="s">
        <v>23</v>
      </c>
      <c r="D592" s="32" t="s">
        <v>12</v>
      </c>
      <c r="E592" s="33">
        <v>0.59399999999999997</v>
      </c>
      <c r="F592" s="27">
        <v>18.420500000000001</v>
      </c>
      <c r="G592" s="30">
        <f t="shared" si="9"/>
        <v>10.941777</v>
      </c>
      <c r="H592" s="31"/>
      <c r="I592" s="27"/>
      <c r="J592" s="141">
        <v>0</v>
      </c>
    </row>
    <row r="593" spans="1:10" ht="15.75" hidden="1" thickBot="1" x14ac:dyDescent="0.3">
      <c r="A593" s="226"/>
      <c r="B593" s="244"/>
      <c r="C593" s="32" t="s">
        <v>3536</v>
      </c>
      <c r="D593" s="32" t="s">
        <v>42</v>
      </c>
      <c r="E593" s="33">
        <v>0.14000000000000001</v>
      </c>
      <c r="F593" s="30">
        <v>3.0590000000000002</v>
      </c>
      <c r="G593" s="30">
        <f t="shared" si="9"/>
        <v>0.42826000000000009</v>
      </c>
      <c r="H593" s="31"/>
      <c r="I593" s="27"/>
      <c r="J593" s="141">
        <v>0</v>
      </c>
    </row>
    <row r="594" spans="1:10" ht="15.75" hidden="1" thickBot="1" x14ac:dyDescent="0.3">
      <c r="A594" s="226"/>
      <c r="B594" s="244"/>
      <c r="C594" s="32" t="s">
        <v>222</v>
      </c>
      <c r="D594" s="32" t="s">
        <v>95</v>
      </c>
      <c r="E594" s="33">
        <v>1.1599999999999999</v>
      </c>
      <c r="F594" s="30" t="s">
        <v>523</v>
      </c>
      <c r="G594" s="50" t="str">
        <f t="shared" ref="G594:G657" si="10">IF(ISNUMBER(F594),E594*F594,"")</f>
        <v/>
      </c>
      <c r="H594" s="31"/>
      <c r="I594" s="27"/>
      <c r="J594" s="141">
        <v>0</v>
      </c>
    </row>
    <row r="595" spans="1:10" ht="15.75" hidden="1" thickBot="1" x14ac:dyDescent="0.3">
      <c r="A595" s="227"/>
      <c r="B595" s="230"/>
      <c r="C595" s="32"/>
      <c r="D595" s="32"/>
      <c r="E595" s="33"/>
      <c r="F595" s="27" t="s">
        <v>523</v>
      </c>
      <c r="G595" s="27" t="str">
        <f t="shared" si="10"/>
        <v/>
      </c>
      <c r="H595" s="31"/>
      <c r="I595" s="27"/>
      <c r="J595" s="141">
        <v>0</v>
      </c>
    </row>
    <row r="596" spans="1:10" ht="15.75" hidden="1" thickBot="1" x14ac:dyDescent="0.3">
      <c r="A596" s="225" t="s">
        <v>223</v>
      </c>
      <c r="B596" s="228" t="str">
        <f>INDEX(Orçamentária!A:B,MATCH(Composições!A596,Orçamentária!A:A,0),2)</f>
        <v>Granito Preto São Gabriel para rodapé</v>
      </c>
      <c r="C596" s="37"/>
      <c r="D596" s="22" t="str">
        <f>TRIM(INDEX(Orçamentária!C:C,MATCH(Composições!A596,Orçamentária!A:A,0),1))</f>
        <v>m2</v>
      </c>
      <c r="E596" s="23"/>
      <c r="F596" s="38" t="s">
        <v>523</v>
      </c>
      <c r="G596" s="24" t="str">
        <f t="shared" si="10"/>
        <v/>
      </c>
      <c r="H596" s="25"/>
      <c r="I596" s="26"/>
      <c r="J596" s="141">
        <v>0</v>
      </c>
    </row>
    <row r="597" spans="1:10" ht="15.75" hidden="1" thickBot="1" x14ac:dyDescent="0.3">
      <c r="A597" s="226"/>
      <c r="B597" s="244"/>
      <c r="C597" s="28"/>
      <c r="D597" s="28"/>
      <c r="E597" s="29"/>
      <c r="F597" s="39" t="s">
        <v>523</v>
      </c>
      <c r="G597" s="27" t="str">
        <f t="shared" si="10"/>
        <v/>
      </c>
      <c r="H597" s="31"/>
      <c r="I597" s="27"/>
      <c r="J597" s="141">
        <v>0</v>
      </c>
    </row>
    <row r="598" spans="1:10" ht="26.25" hidden="1" thickBot="1" x14ac:dyDescent="0.3">
      <c r="A598" s="226"/>
      <c r="B598" s="244"/>
      <c r="C598" s="32" t="s">
        <v>224</v>
      </c>
      <c r="D598" s="32" t="s">
        <v>93</v>
      </c>
      <c r="E598" s="33">
        <f>ROUND(1.04/0.07,2)</f>
        <v>14.86</v>
      </c>
      <c r="F598" s="30" t="s">
        <v>523</v>
      </c>
      <c r="G598" s="30" t="str">
        <f t="shared" si="10"/>
        <v/>
      </c>
      <c r="H598" s="35">
        <f>SUM(G598:G602)</f>
        <v>119.26837699999999</v>
      </c>
      <c r="I598" s="36"/>
      <c r="J598" s="141">
        <v>0</v>
      </c>
    </row>
    <row r="599" spans="1:10" ht="15.75" hidden="1" thickBot="1" x14ac:dyDescent="0.3">
      <c r="A599" s="226"/>
      <c r="B599" s="244"/>
      <c r="C599" s="32" t="s">
        <v>3537</v>
      </c>
      <c r="D599" s="32" t="s">
        <v>42</v>
      </c>
      <c r="E599" s="33">
        <f>ROUND(0.8614/0.1,4)</f>
        <v>8.6140000000000008</v>
      </c>
      <c r="F599" s="30">
        <v>1.6054999999999999</v>
      </c>
      <c r="G599" s="30">
        <f t="shared" si="10"/>
        <v>13.829777</v>
      </c>
      <c r="H599" s="31"/>
      <c r="I599" s="27"/>
      <c r="J599" s="141">
        <v>0</v>
      </c>
    </row>
    <row r="600" spans="1:10" ht="15.75" hidden="1" thickBot="1" x14ac:dyDescent="0.3">
      <c r="A600" s="226"/>
      <c r="B600" s="244"/>
      <c r="C600" s="32" t="s">
        <v>54</v>
      </c>
      <c r="D600" s="32" t="s">
        <v>12</v>
      </c>
      <c r="E600" s="33">
        <f>0.299/0.1</f>
        <v>2.9899999999999998</v>
      </c>
      <c r="F600" s="27">
        <v>24.795000000000002</v>
      </c>
      <c r="G600" s="30">
        <f t="shared" si="10"/>
        <v>74.137050000000002</v>
      </c>
      <c r="H600" s="31"/>
      <c r="I600" s="27"/>
      <c r="J600" s="141">
        <v>0</v>
      </c>
    </row>
    <row r="601" spans="1:10" ht="15.75" hidden="1" thickBot="1" x14ac:dyDescent="0.3">
      <c r="A601" s="226"/>
      <c r="B601" s="244"/>
      <c r="C601" s="32" t="s">
        <v>23</v>
      </c>
      <c r="D601" s="32" t="s">
        <v>12</v>
      </c>
      <c r="E601" s="33">
        <f>0.15/0.1</f>
        <v>1.4999999999999998</v>
      </c>
      <c r="F601" s="27">
        <v>18.420500000000001</v>
      </c>
      <c r="G601" s="30">
        <f t="shared" si="10"/>
        <v>27.630749999999995</v>
      </c>
      <c r="H601" s="31"/>
      <c r="I601" s="27"/>
      <c r="J601" s="141">
        <v>0</v>
      </c>
    </row>
    <row r="602" spans="1:10" ht="15.75" hidden="1" thickBot="1" x14ac:dyDescent="0.3">
      <c r="A602" s="226"/>
      <c r="B602" s="244"/>
      <c r="C602" s="32" t="s">
        <v>3536</v>
      </c>
      <c r="D602" s="32" t="s">
        <v>42</v>
      </c>
      <c r="E602" s="33">
        <f>0.12/0.1</f>
        <v>1.2</v>
      </c>
      <c r="F602" s="30">
        <v>3.0590000000000002</v>
      </c>
      <c r="G602" s="30">
        <f t="shared" si="10"/>
        <v>3.6707999999999998</v>
      </c>
      <c r="H602" s="31"/>
      <c r="I602" s="27"/>
      <c r="J602" s="141">
        <v>0</v>
      </c>
    </row>
    <row r="603" spans="1:10" ht="15.75" hidden="1" thickBot="1" x14ac:dyDescent="0.3">
      <c r="A603" s="226"/>
      <c r="B603" s="244"/>
      <c r="C603" s="32"/>
      <c r="D603" s="32"/>
      <c r="E603" s="33"/>
      <c r="F603" s="30" t="s">
        <v>523</v>
      </c>
      <c r="G603" s="30" t="str">
        <f t="shared" si="10"/>
        <v/>
      </c>
      <c r="H603" s="31"/>
      <c r="I603" s="27"/>
      <c r="J603" s="141">
        <v>0</v>
      </c>
    </row>
    <row r="604" spans="1:10" ht="26.25" hidden="1" thickBot="1" x14ac:dyDescent="0.3">
      <c r="A604" s="226"/>
      <c r="B604" s="244"/>
      <c r="C604" s="44" t="s">
        <v>217</v>
      </c>
      <c r="D604" s="32"/>
      <c r="E604" s="33"/>
      <c r="F604" s="30" t="s">
        <v>523</v>
      </c>
      <c r="G604" s="30" t="str">
        <f t="shared" si="10"/>
        <v/>
      </c>
      <c r="H604" s="31"/>
      <c r="I604" s="27"/>
      <c r="J604" s="141">
        <v>0</v>
      </c>
    </row>
    <row r="605" spans="1:10" ht="15.75" hidden="1" thickBot="1" x14ac:dyDescent="0.3">
      <c r="A605" s="227"/>
      <c r="B605" s="230"/>
      <c r="C605" s="32"/>
      <c r="D605" s="32"/>
      <c r="E605" s="33"/>
      <c r="F605" s="27" t="s">
        <v>523</v>
      </c>
      <c r="G605" s="27" t="str">
        <f t="shared" si="10"/>
        <v/>
      </c>
      <c r="H605" s="31"/>
      <c r="I605" s="27"/>
      <c r="J605" s="141">
        <v>0</v>
      </c>
    </row>
    <row r="606" spans="1:10" ht="15.75" hidden="1" thickBot="1" x14ac:dyDescent="0.3">
      <c r="A606" s="225" t="s">
        <v>225</v>
      </c>
      <c r="B606" s="228" t="str">
        <f>INDEX(Orçamentária!A:B,MATCH(Composições!A606,Orçamentária!A:A,0),2)</f>
        <v>Granito Preto São Gabriel para soleira e peitoril</v>
      </c>
      <c r="C606" s="37"/>
      <c r="D606" s="22" t="str">
        <f>TRIM(INDEX(Orçamentária!C:C,MATCH(Composições!A606,Orçamentária!A:A,0),1))</f>
        <v>m2</v>
      </c>
      <c r="E606" s="23"/>
      <c r="F606" s="38" t="s">
        <v>523</v>
      </c>
      <c r="G606" s="24" t="str">
        <f t="shared" si="10"/>
        <v/>
      </c>
      <c r="H606" s="25"/>
      <c r="I606" s="26"/>
      <c r="J606" s="141">
        <v>0</v>
      </c>
    </row>
    <row r="607" spans="1:10" ht="15.75" hidden="1" thickBot="1" x14ac:dyDescent="0.3">
      <c r="A607" s="226"/>
      <c r="B607" s="244"/>
      <c r="C607" s="28"/>
      <c r="D607" s="28"/>
      <c r="E607" s="29"/>
      <c r="F607" s="39" t="s">
        <v>523</v>
      </c>
      <c r="G607" s="27" t="str">
        <f t="shared" si="10"/>
        <v/>
      </c>
      <c r="H607" s="31"/>
      <c r="I607" s="27"/>
      <c r="J607" s="141">
        <v>0</v>
      </c>
    </row>
    <row r="608" spans="1:10" ht="26.25" hidden="1" thickBot="1" x14ac:dyDescent="0.3">
      <c r="A608" s="226"/>
      <c r="B608" s="244"/>
      <c r="C608" s="32" t="s">
        <v>226</v>
      </c>
      <c r="D608" s="32" t="s">
        <v>93</v>
      </c>
      <c r="E608" s="33">
        <f>ROUND(1/0.15,4)</f>
        <v>6.6666999999999996</v>
      </c>
      <c r="F608" s="30" t="s">
        <v>523</v>
      </c>
      <c r="G608" s="30" t="str">
        <f t="shared" si="10"/>
        <v/>
      </c>
      <c r="H608" s="35">
        <f>SUM(G608:G611)</f>
        <v>137.75253650000002</v>
      </c>
      <c r="I608" s="36"/>
      <c r="J608" s="141">
        <v>0</v>
      </c>
    </row>
    <row r="609" spans="1:10" ht="15.75" hidden="1" thickBot="1" x14ac:dyDescent="0.3">
      <c r="A609" s="226"/>
      <c r="B609" s="244"/>
      <c r="C609" s="32" t="s">
        <v>3537</v>
      </c>
      <c r="D609" s="32" t="s">
        <v>42</v>
      </c>
      <c r="E609" s="33">
        <f>ROUND(1.29/0.15,4)</f>
        <v>8.6</v>
      </c>
      <c r="F609" s="30">
        <v>1.6054999999999999</v>
      </c>
      <c r="G609" s="30">
        <f t="shared" si="10"/>
        <v>13.8073</v>
      </c>
      <c r="H609" s="31"/>
      <c r="I609" s="27"/>
      <c r="J609" s="141">
        <v>0</v>
      </c>
    </row>
    <row r="610" spans="1:10" ht="15.75" hidden="1" thickBot="1" x14ac:dyDescent="0.3">
      <c r="A610" s="226"/>
      <c r="B610" s="244"/>
      <c r="C610" s="32" t="s">
        <v>54</v>
      </c>
      <c r="D610" s="32" t="s">
        <v>12</v>
      </c>
      <c r="E610" s="33">
        <f>ROUND(0.547/0.15,4)</f>
        <v>3.6467000000000001</v>
      </c>
      <c r="F610" s="27">
        <v>24.795000000000002</v>
      </c>
      <c r="G610" s="30">
        <f t="shared" si="10"/>
        <v>90.419926500000003</v>
      </c>
      <c r="H610" s="31"/>
      <c r="I610" s="27"/>
      <c r="J610" s="141">
        <v>0</v>
      </c>
    </row>
    <row r="611" spans="1:10" ht="15.75" hidden="1" thickBot="1" x14ac:dyDescent="0.3">
      <c r="A611" s="226"/>
      <c r="B611" s="244"/>
      <c r="C611" s="32" t="s">
        <v>23</v>
      </c>
      <c r="D611" s="32" t="s">
        <v>12</v>
      </c>
      <c r="E611" s="33">
        <f>ROUND(0.273/0.15,4)</f>
        <v>1.82</v>
      </c>
      <c r="F611" s="27">
        <v>18.420500000000001</v>
      </c>
      <c r="G611" s="30">
        <f t="shared" si="10"/>
        <v>33.525310000000005</v>
      </c>
      <c r="H611" s="31"/>
      <c r="I611" s="27"/>
      <c r="J611" s="141">
        <v>0</v>
      </c>
    </row>
    <row r="612" spans="1:10" ht="15.75" hidden="1" thickBot="1" x14ac:dyDescent="0.3">
      <c r="A612" s="226"/>
      <c r="B612" s="244"/>
      <c r="C612" s="32"/>
      <c r="D612" s="32"/>
      <c r="E612" s="33"/>
      <c r="F612" s="27" t="s">
        <v>523</v>
      </c>
      <c r="G612" s="30" t="str">
        <f t="shared" si="10"/>
        <v/>
      </c>
      <c r="H612" s="31"/>
      <c r="I612" s="27"/>
      <c r="J612" s="141">
        <v>0</v>
      </c>
    </row>
    <row r="613" spans="1:10" ht="26.25" hidden="1" thickBot="1" x14ac:dyDescent="0.3">
      <c r="A613" s="226"/>
      <c r="B613" s="244"/>
      <c r="C613" s="44" t="s">
        <v>220</v>
      </c>
      <c r="D613" s="32"/>
      <c r="E613" s="33"/>
      <c r="F613" s="27" t="s">
        <v>523</v>
      </c>
      <c r="G613" s="30" t="str">
        <f t="shared" si="10"/>
        <v/>
      </c>
      <c r="H613" s="31"/>
      <c r="I613" s="27"/>
      <c r="J613" s="141">
        <v>0</v>
      </c>
    </row>
    <row r="614" spans="1:10" ht="15.75" hidden="1" thickBot="1" x14ac:dyDescent="0.3">
      <c r="A614" s="227"/>
      <c r="B614" s="230"/>
      <c r="C614" s="32"/>
      <c r="D614" s="32"/>
      <c r="E614" s="33"/>
      <c r="F614" s="27" t="s">
        <v>523</v>
      </c>
      <c r="G614" s="27" t="str">
        <f t="shared" si="10"/>
        <v/>
      </c>
      <c r="H614" s="31"/>
      <c r="I614" s="27"/>
      <c r="J614" s="141">
        <v>0</v>
      </c>
    </row>
    <row r="615" spans="1:10" ht="15.75" hidden="1" thickBot="1" x14ac:dyDescent="0.3">
      <c r="A615" s="225" t="s">
        <v>227</v>
      </c>
      <c r="B615" s="228" t="str">
        <f>INDEX(Orçamentária!A:B,MATCH(Composições!A615,Orçamentária!A:A,0),2)</f>
        <v>Instalação de rodapé de madeira reaproveitado</v>
      </c>
      <c r="C615" s="37"/>
      <c r="D615" s="22" t="str">
        <f>TRIM(INDEX(Orçamentária!C:C,MATCH(Composições!A615,Orçamentária!A:A,0),1))</f>
        <v>m</v>
      </c>
      <c r="E615" s="23"/>
      <c r="F615" s="38" t="s">
        <v>523</v>
      </c>
      <c r="G615" s="24" t="str">
        <f t="shared" si="10"/>
        <v/>
      </c>
      <c r="H615" s="25"/>
      <c r="I615" s="26"/>
      <c r="J615" s="141">
        <v>0</v>
      </c>
    </row>
    <row r="616" spans="1:10" ht="15.75" hidden="1" thickBot="1" x14ac:dyDescent="0.3">
      <c r="A616" s="226"/>
      <c r="B616" s="244"/>
      <c r="C616" s="28"/>
      <c r="D616" s="28"/>
      <c r="E616" s="29"/>
      <c r="F616" s="39" t="s">
        <v>523</v>
      </c>
      <c r="G616" s="27" t="str">
        <f t="shared" si="10"/>
        <v/>
      </c>
      <c r="H616" s="31"/>
      <c r="I616" s="27"/>
      <c r="J616" s="141">
        <v>0</v>
      </c>
    </row>
    <row r="617" spans="1:10" ht="15.75" hidden="1" thickBot="1" x14ac:dyDescent="0.3">
      <c r="A617" s="226"/>
      <c r="B617" s="244"/>
      <c r="C617" s="32" t="s">
        <v>1242</v>
      </c>
      <c r="D617" s="43" t="s">
        <v>42</v>
      </c>
      <c r="E617" s="33">
        <v>4.0300000000000002E-2</v>
      </c>
      <c r="F617" s="27">
        <v>41.249000000000002</v>
      </c>
      <c r="G617" s="30">
        <f t="shared" si="10"/>
        <v>1.6623347000000002</v>
      </c>
      <c r="H617" s="35">
        <f>SUM(G617:G619)</f>
        <v>13.40547565</v>
      </c>
      <c r="I617" s="36"/>
      <c r="J617" s="141">
        <v>0</v>
      </c>
    </row>
    <row r="618" spans="1:10" ht="15.75" hidden="1" thickBot="1" x14ac:dyDescent="0.3">
      <c r="A618" s="226"/>
      <c r="B618" s="244"/>
      <c r="C618" s="32" t="s">
        <v>706</v>
      </c>
      <c r="D618" s="43" t="s">
        <v>705</v>
      </c>
      <c r="E618" s="33">
        <v>0.15140000000000001</v>
      </c>
      <c r="F618" s="30">
        <v>18.420500000000001</v>
      </c>
      <c r="G618" s="30">
        <f t="shared" si="10"/>
        <v>2.7888637000000003</v>
      </c>
      <c r="H618" s="31"/>
      <c r="I618" s="27"/>
      <c r="J618" s="141">
        <v>0</v>
      </c>
    </row>
    <row r="619" spans="1:10" ht="15.75" hidden="1" thickBot="1" x14ac:dyDescent="0.3">
      <c r="A619" s="226"/>
      <c r="B619" s="244"/>
      <c r="C619" s="32" t="s">
        <v>1221</v>
      </c>
      <c r="D619" s="43" t="s">
        <v>705</v>
      </c>
      <c r="E619" s="33">
        <v>0.36349999999999999</v>
      </c>
      <c r="F619" s="30">
        <v>24.633499999999998</v>
      </c>
      <c r="G619" s="30">
        <f t="shared" si="10"/>
        <v>8.9542772499999987</v>
      </c>
      <c r="H619" s="31"/>
      <c r="I619" s="27"/>
      <c r="J619" s="141">
        <v>0</v>
      </c>
    </row>
    <row r="620" spans="1:10" ht="15.75" hidden="1" thickBot="1" x14ac:dyDescent="0.3">
      <c r="A620" s="226"/>
      <c r="B620" s="244"/>
      <c r="C620" s="32"/>
      <c r="D620" s="32"/>
      <c r="E620" s="33"/>
      <c r="F620" s="27" t="s">
        <v>523</v>
      </c>
      <c r="G620" s="27" t="str">
        <f t="shared" si="10"/>
        <v/>
      </c>
      <c r="H620" s="31"/>
      <c r="I620" s="27"/>
      <c r="J620" s="141">
        <v>0</v>
      </c>
    </row>
    <row r="621" spans="1:10" ht="15.75" hidden="1" thickBot="1" x14ac:dyDescent="0.3">
      <c r="A621" s="225" t="s">
        <v>228</v>
      </c>
      <c r="B621" s="228" t="str">
        <f>INDEX(Orçamentária!A:B,MATCH(Composições!A621,Orçamentária!A:A,0),2)</f>
        <v>Mármore Bege Bahia para piso e parede</v>
      </c>
      <c r="C621" s="37"/>
      <c r="D621" s="22" t="str">
        <f>TRIM(INDEX(Orçamentária!C:C,MATCH(Composições!A621,Orçamentária!A:A,0),1))</f>
        <v>m2</v>
      </c>
      <c r="E621" s="23"/>
      <c r="F621" s="38" t="s">
        <v>523</v>
      </c>
      <c r="G621" s="24" t="str">
        <f t="shared" si="10"/>
        <v/>
      </c>
      <c r="H621" s="25"/>
      <c r="I621" s="26"/>
      <c r="J621" s="141">
        <v>0</v>
      </c>
    </row>
    <row r="622" spans="1:10" ht="15.75" hidden="1" thickBot="1" x14ac:dyDescent="0.3">
      <c r="A622" s="226"/>
      <c r="B622" s="244"/>
      <c r="C622" s="28"/>
      <c r="D622" s="28"/>
      <c r="E622" s="29"/>
      <c r="F622" s="39" t="s">
        <v>523</v>
      </c>
      <c r="G622" s="27" t="str">
        <f t="shared" si="10"/>
        <v/>
      </c>
      <c r="H622" s="31"/>
      <c r="I622" s="27"/>
      <c r="J622" s="141">
        <v>0</v>
      </c>
    </row>
    <row r="623" spans="1:10" ht="15.75" hidden="1" thickBot="1" x14ac:dyDescent="0.3">
      <c r="A623" s="226"/>
      <c r="B623" s="244"/>
      <c r="C623" s="32" t="s">
        <v>3537</v>
      </c>
      <c r="D623" s="32" t="s">
        <v>42</v>
      </c>
      <c r="E623" s="33">
        <v>8.6199999999999992</v>
      </c>
      <c r="F623" s="30">
        <v>1.6054999999999999</v>
      </c>
      <c r="G623" s="30">
        <f t="shared" si="10"/>
        <v>13.839409999999997</v>
      </c>
      <c r="H623" s="35">
        <f>SUM(G623:G627)</f>
        <v>54.665906999999997</v>
      </c>
      <c r="I623" s="36"/>
      <c r="J623" s="141">
        <v>0</v>
      </c>
    </row>
    <row r="624" spans="1:10" ht="15.75" hidden="1" thickBot="1" x14ac:dyDescent="0.3">
      <c r="A624" s="226"/>
      <c r="B624" s="244"/>
      <c r="C624" s="32" t="s">
        <v>54</v>
      </c>
      <c r="D624" s="32" t="s">
        <v>12</v>
      </c>
      <c r="E624" s="33">
        <v>1.1879999999999999</v>
      </c>
      <c r="F624" s="27">
        <v>24.795000000000002</v>
      </c>
      <c r="G624" s="30">
        <f t="shared" si="10"/>
        <v>29.45646</v>
      </c>
      <c r="H624" s="31"/>
      <c r="I624" s="27"/>
      <c r="J624" s="141">
        <v>0</v>
      </c>
    </row>
    <row r="625" spans="1:10" ht="15.75" hidden="1" thickBot="1" x14ac:dyDescent="0.3">
      <c r="A625" s="226"/>
      <c r="B625" s="244"/>
      <c r="C625" s="32" t="s">
        <v>23</v>
      </c>
      <c r="D625" s="32" t="s">
        <v>12</v>
      </c>
      <c r="E625" s="33">
        <v>0.59399999999999997</v>
      </c>
      <c r="F625" s="27">
        <v>18.420500000000001</v>
      </c>
      <c r="G625" s="30">
        <f t="shared" si="10"/>
        <v>10.941777</v>
      </c>
      <c r="H625" s="31"/>
      <c r="I625" s="27"/>
      <c r="J625" s="141">
        <v>0</v>
      </c>
    </row>
    <row r="626" spans="1:10" ht="15.75" hidden="1" thickBot="1" x14ac:dyDescent="0.3">
      <c r="A626" s="226"/>
      <c r="B626" s="244"/>
      <c r="C626" s="32" t="s">
        <v>3536</v>
      </c>
      <c r="D626" s="32" t="s">
        <v>42</v>
      </c>
      <c r="E626" s="33">
        <v>0.14000000000000001</v>
      </c>
      <c r="F626" s="30">
        <v>3.0590000000000002</v>
      </c>
      <c r="G626" s="30">
        <f t="shared" si="10"/>
        <v>0.42826000000000009</v>
      </c>
      <c r="H626" s="31"/>
      <c r="I626" s="27"/>
      <c r="J626" s="141">
        <v>0</v>
      </c>
    </row>
    <row r="627" spans="1:10" ht="15.75" hidden="1" thickBot="1" x14ac:dyDescent="0.3">
      <c r="A627" s="226"/>
      <c r="B627" s="244"/>
      <c r="C627" s="32" t="s">
        <v>229</v>
      </c>
      <c r="D627" s="32" t="s">
        <v>95</v>
      </c>
      <c r="E627" s="33">
        <v>1.1599999999999999</v>
      </c>
      <c r="F627" s="30" t="s">
        <v>523</v>
      </c>
      <c r="G627" s="50" t="str">
        <f t="shared" si="10"/>
        <v/>
      </c>
      <c r="H627" s="31"/>
      <c r="I627" s="27"/>
      <c r="J627" s="141">
        <v>0</v>
      </c>
    </row>
    <row r="628" spans="1:10" ht="15.75" hidden="1" thickBot="1" x14ac:dyDescent="0.3">
      <c r="A628" s="227"/>
      <c r="B628" s="230"/>
      <c r="C628" s="32"/>
      <c r="D628" s="32"/>
      <c r="E628" s="33"/>
      <c r="F628" s="27" t="s">
        <v>523</v>
      </c>
      <c r="G628" s="27" t="str">
        <f t="shared" si="10"/>
        <v/>
      </c>
      <c r="H628" s="31"/>
      <c r="I628" s="27"/>
      <c r="J628" s="141">
        <v>0</v>
      </c>
    </row>
    <row r="629" spans="1:10" ht="15.75" hidden="1" thickBot="1" x14ac:dyDescent="0.3">
      <c r="A629" s="225" t="s">
        <v>230</v>
      </c>
      <c r="B629" s="228" t="str">
        <f>INDEX(Orçamentária!A:B,MATCH(Composições!A629,Orçamentária!A:A,0),2)</f>
        <v>Mármore Branco Especial para piso e parede</v>
      </c>
      <c r="C629" s="37"/>
      <c r="D629" s="22" t="str">
        <f>TRIM(INDEX(Orçamentária!C:C,MATCH(Composições!A629,Orçamentária!A:A,0),1))</f>
        <v>m2</v>
      </c>
      <c r="E629" s="23"/>
      <c r="F629" s="38" t="s">
        <v>523</v>
      </c>
      <c r="G629" s="24" t="str">
        <f t="shared" si="10"/>
        <v/>
      </c>
      <c r="H629" s="25"/>
      <c r="I629" s="26"/>
      <c r="J629" s="141">
        <v>0</v>
      </c>
    </row>
    <row r="630" spans="1:10" ht="15.75" hidden="1" thickBot="1" x14ac:dyDescent="0.3">
      <c r="A630" s="226"/>
      <c r="B630" s="244"/>
      <c r="C630" s="28"/>
      <c r="D630" s="28"/>
      <c r="E630" s="29"/>
      <c r="F630" s="39" t="s">
        <v>523</v>
      </c>
      <c r="G630" s="27" t="str">
        <f t="shared" si="10"/>
        <v/>
      </c>
      <c r="H630" s="31"/>
      <c r="I630" s="27"/>
      <c r="J630" s="141">
        <v>0</v>
      </c>
    </row>
    <row r="631" spans="1:10" ht="15.75" hidden="1" thickBot="1" x14ac:dyDescent="0.3">
      <c r="A631" s="226"/>
      <c r="B631" s="244"/>
      <c r="C631" s="32" t="s">
        <v>3537</v>
      </c>
      <c r="D631" s="32" t="s">
        <v>42</v>
      </c>
      <c r="E631" s="33">
        <v>8.6199999999999992</v>
      </c>
      <c r="F631" s="30">
        <v>1.6054999999999999</v>
      </c>
      <c r="G631" s="30">
        <f t="shared" si="10"/>
        <v>13.839409999999997</v>
      </c>
      <c r="H631" s="35">
        <f>SUM(G631:G635)</f>
        <v>54.665906999999997</v>
      </c>
      <c r="I631" s="36"/>
      <c r="J631" s="141">
        <v>0</v>
      </c>
    </row>
    <row r="632" spans="1:10" ht="15.75" hidden="1" thickBot="1" x14ac:dyDescent="0.3">
      <c r="A632" s="226"/>
      <c r="B632" s="244"/>
      <c r="C632" s="32" t="s">
        <v>54</v>
      </c>
      <c r="D632" s="32" t="s">
        <v>12</v>
      </c>
      <c r="E632" s="33">
        <v>1.1879999999999999</v>
      </c>
      <c r="F632" s="27">
        <v>24.795000000000002</v>
      </c>
      <c r="G632" s="30">
        <f t="shared" si="10"/>
        <v>29.45646</v>
      </c>
      <c r="H632" s="31"/>
      <c r="I632" s="27"/>
      <c r="J632" s="141">
        <v>0</v>
      </c>
    </row>
    <row r="633" spans="1:10" ht="15.75" hidden="1" thickBot="1" x14ac:dyDescent="0.3">
      <c r="A633" s="226"/>
      <c r="B633" s="244"/>
      <c r="C633" s="32" t="s">
        <v>23</v>
      </c>
      <c r="D633" s="32" t="s">
        <v>12</v>
      </c>
      <c r="E633" s="33">
        <v>0.59399999999999997</v>
      </c>
      <c r="F633" s="27">
        <v>18.420500000000001</v>
      </c>
      <c r="G633" s="30">
        <f t="shared" si="10"/>
        <v>10.941777</v>
      </c>
      <c r="H633" s="31"/>
      <c r="I633" s="27"/>
      <c r="J633" s="141">
        <v>0</v>
      </c>
    </row>
    <row r="634" spans="1:10" ht="15.75" hidden="1" thickBot="1" x14ac:dyDescent="0.3">
      <c r="A634" s="226"/>
      <c r="B634" s="244"/>
      <c r="C634" s="32" t="s">
        <v>3536</v>
      </c>
      <c r="D634" s="32" t="s">
        <v>42</v>
      </c>
      <c r="E634" s="33">
        <v>0.14000000000000001</v>
      </c>
      <c r="F634" s="30">
        <v>3.0590000000000002</v>
      </c>
      <c r="G634" s="30">
        <f t="shared" si="10"/>
        <v>0.42826000000000009</v>
      </c>
      <c r="H634" s="31"/>
      <c r="I634" s="27"/>
      <c r="J634" s="141">
        <v>0</v>
      </c>
    </row>
    <row r="635" spans="1:10" ht="15.75" hidden="1" thickBot="1" x14ac:dyDescent="0.3">
      <c r="A635" s="226"/>
      <c r="B635" s="244"/>
      <c r="C635" s="32" t="s">
        <v>231</v>
      </c>
      <c r="D635" s="32" t="s">
        <v>95</v>
      </c>
      <c r="E635" s="33">
        <v>1.1599999999999999</v>
      </c>
      <c r="F635" s="30" t="s">
        <v>523</v>
      </c>
      <c r="G635" s="50" t="str">
        <f t="shared" si="10"/>
        <v/>
      </c>
      <c r="H635" s="31"/>
      <c r="I635" s="27"/>
      <c r="J635" s="141">
        <v>0</v>
      </c>
    </row>
    <row r="636" spans="1:10" ht="15.75" hidden="1" thickBot="1" x14ac:dyDescent="0.3">
      <c r="A636" s="227"/>
      <c r="B636" s="230"/>
      <c r="C636" s="32"/>
      <c r="D636" s="32"/>
      <c r="E636" s="33"/>
      <c r="F636" s="27" t="s">
        <v>523</v>
      </c>
      <c r="G636" s="27" t="str">
        <f t="shared" si="10"/>
        <v/>
      </c>
      <c r="H636" s="31"/>
      <c r="I636" s="27"/>
      <c r="J636" s="141">
        <v>0</v>
      </c>
    </row>
    <row r="637" spans="1:10" ht="15.75" hidden="1" thickBot="1" x14ac:dyDescent="0.3">
      <c r="A637" s="225" t="s">
        <v>232</v>
      </c>
      <c r="B637" s="228" t="str">
        <f>INDEX(Orçamentária!A:B,MATCH(Composições!A637,Orçamentária!A:A,0),2)</f>
        <v>Rodapé de madeira</v>
      </c>
      <c r="C637" s="37"/>
      <c r="D637" s="22" t="str">
        <f>TRIM(INDEX(Orçamentária!C:C,MATCH(Composições!A637,Orçamentária!A:A,0),1))</f>
        <v>m</v>
      </c>
      <c r="E637" s="23"/>
      <c r="F637" s="38" t="s">
        <v>523</v>
      </c>
      <c r="G637" s="24" t="str">
        <f t="shared" si="10"/>
        <v/>
      </c>
      <c r="H637" s="25"/>
      <c r="I637" s="26"/>
      <c r="J637" s="141">
        <v>0</v>
      </c>
    </row>
    <row r="638" spans="1:10" ht="15.75" hidden="1" thickBot="1" x14ac:dyDescent="0.3">
      <c r="A638" s="226"/>
      <c r="B638" s="244"/>
      <c r="C638" s="28"/>
      <c r="D638" s="28"/>
      <c r="E638" s="29"/>
      <c r="F638" s="39" t="s">
        <v>523</v>
      </c>
      <c r="G638" s="27" t="str">
        <f t="shared" si="10"/>
        <v/>
      </c>
      <c r="H638" s="31"/>
      <c r="I638" s="27"/>
      <c r="J638" s="141">
        <v>0</v>
      </c>
    </row>
    <row r="639" spans="1:10" ht="26.25" hidden="1" thickBot="1" x14ac:dyDescent="0.3">
      <c r="A639" s="226"/>
      <c r="B639" s="244"/>
      <c r="C639" s="32" t="s">
        <v>3363</v>
      </c>
      <c r="D639" s="43" t="s">
        <v>480</v>
      </c>
      <c r="E639" s="33">
        <v>1.0349999999999999</v>
      </c>
      <c r="F639" s="27">
        <v>15.304499999999999</v>
      </c>
      <c r="G639" s="30">
        <f t="shared" si="10"/>
        <v>15.840157499999998</v>
      </c>
      <c r="H639" s="35">
        <f>SUM(G639:G642)</f>
        <v>29.245633149999996</v>
      </c>
      <c r="I639" s="36"/>
      <c r="J639" s="141">
        <v>0</v>
      </c>
    </row>
    <row r="640" spans="1:10" ht="15.75" hidden="1" thickBot="1" x14ac:dyDescent="0.3">
      <c r="A640" s="226"/>
      <c r="B640" s="244"/>
      <c r="C640" s="32" t="s">
        <v>1242</v>
      </c>
      <c r="D640" s="148" t="s">
        <v>42</v>
      </c>
      <c r="E640" s="33">
        <v>4.0300000000000002E-2</v>
      </c>
      <c r="F640" s="27">
        <v>41.249000000000002</v>
      </c>
      <c r="G640" s="30">
        <f t="shared" si="10"/>
        <v>1.6623347000000002</v>
      </c>
      <c r="H640" s="31"/>
      <c r="I640" s="27"/>
      <c r="J640" s="141">
        <v>0</v>
      </c>
    </row>
    <row r="641" spans="1:10" ht="15.75" hidden="1" thickBot="1" x14ac:dyDescent="0.3">
      <c r="A641" s="226"/>
      <c r="B641" s="244"/>
      <c r="C641" s="32" t="s">
        <v>706</v>
      </c>
      <c r="D641" s="43" t="s">
        <v>705</v>
      </c>
      <c r="E641" s="33">
        <v>0.15140000000000001</v>
      </c>
      <c r="F641" s="30">
        <v>18.420500000000001</v>
      </c>
      <c r="G641" s="30">
        <f t="shared" si="10"/>
        <v>2.7888637000000003</v>
      </c>
      <c r="H641" s="31"/>
      <c r="I641" s="27"/>
      <c r="J641" s="141">
        <v>0</v>
      </c>
    </row>
    <row r="642" spans="1:10" ht="15.75" hidden="1" thickBot="1" x14ac:dyDescent="0.3">
      <c r="A642" s="226"/>
      <c r="B642" s="244"/>
      <c r="C642" s="32" t="s">
        <v>1221</v>
      </c>
      <c r="D642" s="43" t="s">
        <v>705</v>
      </c>
      <c r="E642" s="33">
        <v>0.36349999999999999</v>
      </c>
      <c r="F642" s="30">
        <v>24.633499999999998</v>
      </c>
      <c r="G642" s="30">
        <f t="shared" si="10"/>
        <v>8.9542772499999987</v>
      </c>
      <c r="H642" s="31"/>
      <c r="I642" s="27"/>
      <c r="J642" s="141">
        <v>0</v>
      </c>
    </row>
    <row r="643" spans="1:10" ht="15.75" hidden="1" thickBot="1" x14ac:dyDescent="0.3">
      <c r="A643" s="227"/>
      <c r="B643" s="230"/>
      <c r="C643" s="32"/>
      <c r="D643" s="32"/>
      <c r="E643" s="33"/>
      <c r="F643" s="27" t="s">
        <v>523</v>
      </c>
      <c r="G643" s="27" t="str">
        <f t="shared" si="10"/>
        <v/>
      </c>
      <c r="H643" s="31"/>
      <c r="I643" s="27"/>
      <c r="J643" s="141">
        <v>0</v>
      </c>
    </row>
    <row r="644" spans="1:10" ht="15.75" hidden="1" thickBot="1" x14ac:dyDescent="0.3">
      <c r="A644" s="225" t="s">
        <v>234</v>
      </c>
      <c r="B644" s="228" t="str">
        <f>INDEX(Orçamentária!A:B,MATCH(Composições!A644,Orçamentária!A:A,0),2)</f>
        <v>Acabamento abaulado em placas de granito ou mármore reaproveitadas</v>
      </c>
      <c r="C644" s="37"/>
      <c r="D644" s="22" t="str">
        <f>TRIM(INDEX(Orçamentária!C:C,MATCH(Composições!A644,Orçamentária!A:A,0),1))</f>
        <v>m</v>
      </c>
      <c r="E644" s="23"/>
      <c r="F644" s="38" t="s">
        <v>523</v>
      </c>
      <c r="G644" s="24" t="str">
        <f t="shared" si="10"/>
        <v/>
      </c>
      <c r="H644" s="25"/>
      <c r="I644" s="26"/>
      <c r="J644" s="141">
        <v>0</v>
      </c>
    </row>
    <row r="645" spans="1:10" ht="15.75" hidden="1" thickBot="1" x14ac:dyDescent="0.3">
      <c r="A645" s="226"/>
      <c r="B645" s="244"/>
      <c r="C645" s="28"/>
      <c r="D645" s="28"/>
      <c r="E645" s="29"/>
      <c r="F645" s="39" t="s">
        <v>523</v>
      </c>
      <c r="G645" s="27" t="str">
        <f t="shared" si="10"/>
        <v/>
      </c>
      <c r="H645" s="31"/>
      <c r="I645" s="27"/>
      <c r="J645" s="141">
        <v>0</v>
      </c>
    </row>
    <row r="646" spans="1:10" ht="15.75" hidden="1" thickBot="1" x14ac:dyDescent="0.3">
      <c r="A646" s="226"/>
      <c r="B646" s="244"/>
      <c r="C646" s="32" t="s">
        <v>54</v>
      </c>
      <c r="D646" s="43" t="s">
        <v>12</v>
      </c>
      <c r="E646" s="33">
        <v>2</v>
      </c>
      <c r="F646" s="27">
        <v>24.795000000000002</v>
      </c>
      <c r="G646" s="30">
        <f t="shared" si="10"/>
        <v>49.59</v>
      </c>
      <c r="H646" s="35">
        <f>SUM(G646:G646)</f>
        <v>49.59</v>
      </c>
      <c r="I646" s="36"/>
      <c r="J646" s="141">
        <v>0</v>
      </c>
    </row>
    <row r="647" spans="1:10" ht="15.75" hidden="1" thickBot="1" x14ac:dyDescent="0.3">
      <c r="A647" s="227"/>
      <c r="B647" s="230"/>
      <c r="C647" s="51"/>
      <c r="D647" s="32"/>
      <c r="E647" s="33"/>
      <c r="F647" s="27" t="s">
        <v>523</v>
      </c>
      <c r="G647" s="27" t="str">
        <f t="shared" si="10"/>
        <v/>
      </c>
      <c r="H647" s="31"/>
      <c r="I647" s="27"/>
      <c r="J647" s="141">
        <v>0</v>
      </c>
    </row>
    <row r="648" spans="1:10" ht="15.75" hidden="1" thickBot="1" x14ac:dyDescent="0.3">
      <c r="A648" s="225" t="s">
        <v>235</v>
      </c>
      <c r="B648" s="228" t="str">
        <f>INDEX(Orçamentária!A:B,MATCH(Composições!A648,Orçamentária!A:A,0),2)</f>
        <v>Acabamento em meia esquadria em placas de granito ou mármore reaproveitadas</v>
      </c>
      <c r="C648" s="37"/>
      <c r="D648" s="22" t="str">
        <f>TRIM(INDEX(Orçamentária!C:C,MATCH(Composições!A648,Orçamentária!A:A,0),1))</f>
        <v>m</v>
      </c>
      <c r="E648" s="23"/>
      <c r="F648" s="38" t="s">
        <v>523</v>
      </c>
      <c r="G648" s="24" t="str">
        <f t="shared" si="10"/>
        <v/>
      </c>
      <c r="H648" s="25"/>
      <c r="I648" s="26"/>
      <c r="J648" s="141">
        <v>0</v>
      </c>
    </row>
    <row r="649" spans="1:10" ht="15.75" hidden="1" thickBot="1" x14ac:dyDescent="0.3">
      <c r="A649" s="226"/>
      <c r="B649" s="244"/>
      <c r="C649" s="28"/>
      <c r="D649" s="28"/>
      <c r="E649" s="29"/>
      <c r="F649" s="39" t="s">
        <v>523</v>
      </c>
      <c r="G649" s="27" t="str">
        <f t="shared" si="10"/>
        <v/>
      </c>
      <c r="H649" s="31"/>
      <c r="I649" s="27"/>
      <c r="J649" s="141">
        <v>0</v>
      </c>
    </row>
    <row r="650" spans="1:10" ht="15.75" hidden="1" thickBot="1" x14ac:dyDescent="0.3">
      <c r="A650" s="226"/>
      <c r="B650" s="244"/>
      <c r="C650" s="32" t="s">
        <v>54</v>
      </c>
      <c r="D650" s="43" t="s">
        <v>12</v>
      </c>
      <c r="E650" s="33">
        <v>1.75</v>
      </c>
      <c r="F650" s="27">
        <v>24.795000000000002</v>
      </c>
      <c r="G650" s="30">
        <f t="shared" si="10"/>
        <v>43.391249999999999</v>
      </c>
      <c r="H650" s="35">
        <f>SUM(G650:G650)</f>
        <v>43.391249999999999</v>
      </c>
      <c r="I650" s="36"/>
      <c r="J650" s="141">
        <v>0</v>
      </c>
    </row>
    <row r="651" spans="1:10" ht="15.75" hidden="1" thickBot="1" x14ac:dyDescent="0.3">
      <c r="A651" s="227"/>
      <c r="B651" s="230"/>
      <c r="C651" s="51"/>
      <c r="D651" s="32"/>
      <c r="E651" s="33"/>
      <c r="F651" s="27" t="s">
        <v>523</v>
      </c>
      <c r="G651" s="27" t="str">
        <f t="shared" si="10"/>
        <v/>
      </c>
      <c r="H651" s="31"/>
      <c r="I651" s="27"/>
      <c r="J651" s="141">
        <v>0</v>
      </c>
    </row>
    <row r="652" spans="1:10" ht="15.75" hidden="1" thickBot="1" x14ac:dyDescent="0.3">
      <c r="A652" s="225" t="s">
        <v>236</v>
      </c>
      <c r="B652" s="228" t="str">
        <f>INDEX(Orçamentária!A:B,MATCH(Composições!A652,Orçamentária!A:A,0),2)</f>
        <v>Acabamento reto em placas de granito ou mármore reaproveitadas</v>
      </c>
      <c r="C652" s="37"/>
      <c r="D652" s="22" t="str">
        <f>TRIM(INDEX(Orçamentária!C:C,MATCH(Composições!A652,Orçamentária!A:A,0),1))</f>
        <v>m</v>
      </c>
      <c r="E652" s="23"/>
      <c r="F652" s="38" t="s">
        <v>523</v>
      </c>
      <c r="G652" s="24" t="str">
        <f t="shared" si="10"/>
        <v/>
      </c>
      <c r="H652" s="25"/>
      <c r="I652" s="26"/>
      <c r="J652" s="141">
        <v>0</v>
      </c>
    </row>
    <row r="653" spans="1:10" ht="15.75" hidden="1" thickBot="1" x14ac:dyDescent="0.3">
      <c r="A653" s="226"/>
      <c r="B653" s="244"/>
      <c r="C653" s="28"/>
      <c r="D653" s="28"/>
      <c r="E653" s="29"/>
      <c r="F653" s="39" t="s">
        <v>523</v>
      </c>
      <c r="G653" s="27" t="str">
        <f t="shared" si="10"/>
        <v/>
      </c>
      <c r="H653" s="31"/>
      <c r="I653" s="27"/>
      <c r="J653" s="141">
        <v>0</v>
      </c>
    </row>
    <row r="654" spans="1:10" ht="15.75" hidden="1" thickBot="1" x14ac:dyDescent="0.3">
      <c r="A654" s="226"/>
      <c r="B654" s="244"/>
      <c r="C654" s="32" t="s">
        <v>54</v>
      </c>
      <c r="D654" s="43" t="s">
        <v>12</v>
      </c>
      <c r="E654" s="33">
        <v>1</v>
      </c>
      <c r="F654" s="27">
        <v>24.795000000000002</v>
      </c>
      <c r="G654" s="30">
        <f t="shared" si="10"/>
        <v>24.795000000000002</v>
      </c>
      <c r="H654" s="35">
        <f>SUM(G654:G654)</f>
        <v>24.795000000000002</v>
      </c>
      <c r="I654" s="36"/>
      <c r="J654" s="141">
        <v>0</v>
      </c>
    </row>
    <row r="655" spans="1:10" ht="15.75" hidden="1" thickBot="1" x14ac:dyDescent="0.3">
      <c r="A655" s="227"/>
      <c r="B655" s="230"/>
      <c r="C655" s="51"/>
      <c r="D655" s="32"/>
      <c r="E655" s="33"/>
      <c r="F655" s="27" t="s">
        <v>523</v>
      </c>
      <c r="G655" s="27" t="str">
        <f t="shared" si="10"/>
        <v/>
      </c>
      <c r="H655" s="31"/>
      <c r="I655" s="27"/>
      <c r="J655" s="141">
        <v>0</v>
      </c>
    </row>
    <row r="656" spans="1:10" ht="15.75" hidden="1" thickBot="1" x14ac:dyDescent="0.3">
      <c r="A656" s="225" t="s">
        <v>237</v>
      </c>
      <c r="B656" s="228" t="str">
        <f>INDEX(Orçamentária!A:B,MATCH(Composições!A656,Orçamentária!A:A,0),2)</f>
        <v>Corte de peça de granito ou mármore reaproveitada</v>
      </c>
      <c r="C656" s="37"/>
      <c r="D656" s="22" t="str">
        <f>TRIM(INDEX(Orçamentária!C:C,MATCH(Composições!A656,Orçamentária!A:A,0),1))</f>
        <v>m</v>
      </c>
      <c r="E656" s="23"/>
      <c r="F656" s="38" t="s">
        <v>523</v>
      </c>
      <c r="G656" s="24" t="str">
        <f t="shared" si="10"/>
        <v/>
      </c>
      <c r="H656" s="25"/>
      <c r="I656" s="26"/>
      <c r="J656" s="141">
        <v>0</v>
      </c>
    </row>
    <row r="657" spans="1:10" ht="15.75" hidden="1" thickBot="1" x14ac:dyDescent="0.3">
      <c r="A657" s="226"/>
      <c r="B657" s="244"/>
      <c r="C657" s="28"/>
      <c r="D657" s="28"/>
      <c r="E657" s="29"/>
      <c r="F657" s="39" t="s">
        <v>523</v>
      </c>
      <c r="G657" s="27" t="str">
        <f t="shared" si="10"/>
        <v/>
      </c>
      <c r="H657" s="31"/>
      <c r="I657" s="27"/>
      <c r="J657" s="141">
        <v>0</v>
      </c>
    </row>
    <row r="658" spans="1:10" ht="15.75" hidden="1" thickBot="1" x14ac:dyDescent="0.3">
      <c r="A658" s="226"/>
      <c r="B658" s="244"/>
      <c r="C658" s="32" t="s">
        <v>54</v>
      </c>
      <c r="D658" s="43" t="s">
        <v>12</v>
      </c>
      <c r="E658" s="33">
        <v>1.25</v>
      </c>
      <c r="F658" s="27">
        <v>24.795000000000002</v>
      </c>
      <c r="G658" s="30">
        <f t="shared" ref="G658:G721" si="11">IF(ISNUMBER(F658),E658*F658,"")</f>
        <v>30.993750000000002</v>
      </c>
      <c r="H658" s="35">
        <f>SUM(G658:G658)</f>
        <v>30.993750000000002</v>
      </c>
      <c r="I658" s="36"/>
      <c r="J658" s="141">
        <v>0</v>
      </c>
    </row>
    <row r="659" spans="1:10" ht="15.75" hidden="1" thickBot="1" x14ac:dyDescent="0.3">
      <c r="A659" s="227"/>
      <c r="B659" s="230"/>
      <c r="C659" s="51"/>
      <c r="D659" s="32"/>
      <c r="E659" s="33"/>
      <c r="F659" s="27" t="s">
        <v>523</v>
      </c>
      <c r="G659" s="27" t="str">
        <f t="shared" si="11"/>
        <v/>
      </c>
      <c r="H659" s="31"/>
      <c r="I659" s="27"/>
      <c r="J659" s="141">
        <v>0</v>
      </c>
    </row>
    <row r="660" spans="1:10" ht="15.75" hidden="1" thickBot="1" x14ac:dyDescent="0.3">
      <c r="A660" s="225" t="s">
        <v>238</v>
      </c>
      <c r="B660" s="228" t="str">
        <f>INDEX(Orçamentária!A:B,MATCH(Composições!A660,Orçamentária!A:A,0),2)</f>
        <v>Corte em placas de granito ou mármore reaproveitadas, para instalação de cubas</v>
      </c>
      <c r="C660" s="37"/>
      <c r="D660" s="22" t="str">
        <f>TRIM(INDEX(Orçamentária!C:C,MATCH(Composições!A660,Orçamentária!A:A,0),1))</f>
        <v>un</v>
      </c>
      <c r="E660" s="23"/>
      <c r="F660" s="38" t="s">
        <v>523</v>
      </c>
      <c r="G660" s="24" t="str">
        <f t="shared" si="11"/>
        <v/>
      </c>
      <c r="H660" s="25"/>
      <c r="I660" s="26"/>
      <c r="J660" s="141">
        <v>0</v>
      </c>
    </row>
    <row r="661" spans="1:10" ht="15.75" hidden="1" thickBot="1" x14ac:dyDescent="0.3">
      <c r="A661" s="226"/>
      <c r="B661" s="244"/>
      <c r="C661" s="28"/>
      <c r="D661" s="28"/>
      <c r="E661" s="29"/>
      <c r="F661" s="39" t="s">
        <v>523</v>
      </c>
      <c r="G661" s="27" t="str">
        <f t="shared" si="11"/>
        <v/>
      </c>
      <c r="H661" s="31"/>
      <c r="I661" s="27"/>
      <c r="J661" s="141">
        <v>0</v>
      </c>
    </row>
    <row r="662" spans="1:10" ht="26.25" hidden="1" thickBot="1" x14ac:dyDescent="0.3">
      <c r="A662" s="226"/>
      <c r="B662" s="244"/>
      <c r="C662" s="32" t="s">
        <v>239</v>
      </c>
      <c r="D662" s="43" t="s">
        <v>20</v>
      </c>
      <c r="E662" s="33">
        <v>1</v>
      </c>
      <c r="F662" s="27">
        <v>118.16099999999999</v>
      </c>
      <c r="G662" s="30">
        <f t="shared" si="11"/>
        <v>118.16099999999999</v>
      </c>
      <c r="H662" s="35">
        <f>SUM(G662:G662)</f>
        <v>118.16099999999999</v>
      </c>
      <c r="I662" s="36"/>
      <c r="J662" s="141">
        <v>0</v>
      </c>
    </row>
    <row r="663" spans="1:10" ht="15.75" hidden="1" thickBot="1" x14ac:dyDescent="0.3">
      <c r="A663" s="227"/>
      <c r="B663" s="230"/>
      <c r="C663" s="51"/>
      <c r="D663" s="32"/>
      <c r="E663" s="33"/>
      <c r="F663" s="27" t="s">
        <v>523</v>
      </c>
      <c r="G663" s="27" t="str">
        <f t="shared" si="11"/>
        <v/>
      </c>
      <c r="H663" s="31"/>
      <c r="I663" s="27"/>
      <c r="J663" s="141">
        <v>0</v>
      </c>
    </row>
    <row r="664" spans="1:10" ht="15.75" hidden="1" thickBot="1" x14ac:dyDescent="0.3">
      <c r="A664" s="225" t="s">
        <v>240</v>
      </c>
      <c r="B664" s="228" t="str">
        <f>INDEX(Orçamentária!A:B,MATCH(Composições!A664,Orçamentária!A:A,0),2)</f>
        <v>Furo em placas de granito ou mármore reaproveitadas, para instalação de torneira ou misturador</v>
      </c>
      <c r="C664" s="158"/>
      <c r="D664" s="22" t="str">
        <f>TRIM(INDEX(Orçamentária!C:C,MATCH(Composições!A664,Orçamentária!A:A,0),1))</f>
        <v>un</v>
      </c>
      <c r="E664" s="23"/>
      <c r="F664" s="38" t="s">
        <v>523</v>
      </c>
      <c r="G664" s="24" t="str">
        <f t="shared" si="11"/>
        <v/>
      </c>
      <c r="H664" s="25"/>
      <c r="I664" s="26"/>
      <c r="J664" s="141">
        <v>0</v>
      </c>
    </row>
    <row r="665" spans="1:10" ht="15.75" hidden="1" thickBot="1" x14ac:dyDescent="0.3">
      <c r="A665" s="226"/>
      <c r="B665" s="244"/>
      <c r="C665" s="28"/>
      <c r="D665" s="28"/>
      <c r="E665" s="29"/>
      <c r="F665" s="39" t="s">
        <v>523</v>
      </c>
      <c r="G665" s="27" t="str">
        <f t="shared" si="11"/>
        <v/>
      </c>
      <c r="H665" s="31"/>
      <c r="I665" s="27"/>
      <c r="J665" s="141">
        <v>0</v>
      </c>
    </row>
    <row r="666" spans="1:10" ht="27" hidden="1" thickBot="1" x14ac:dyDescent="0.3">
      <c r="A666" s="226"/>
      <c r="B666" s="244"/>
      <c r="C666" s="47" t="s">
        <v>6625</v>
      </c>
      <c r="D666" s="43" t="s">
        <v>20</v>
      </c>
      <c r="E666" s="33">
        <v>1</v>
      </c>
      <c r="F666" s="27">
        <v>17.717499999999998</v>
      </c>
      <c r="G666" s="30">
        <f t="shared" si="11"/>
        <v>17.717499999999998</v>
      </c>
      <c r="H666" s="35">
        <f>SUM(G666:G666)</f>
        <v>17.717499999999998</v>
      </c>
      <c r="I666" s="36"/>
      <c r="J666" s="141">
        <v>0</v>
      </c>
    </row>
    <row r="667" spans="1:10" ht="15.75" hidden="1" thickBot="1" x14ac:dyDescent="0.3">
      <c r="A667" s="227"/>
      <c r="B667" s="230"/>
      <c r="C667" s="32"/>
      <c r="D667" s="32"/>
      <c r="E667" s="33"/>
      <c r="F667" s="27" t="s">
        <v>523</v>
      </c>
      <c r="G667" s="27" t="str">
        <f t="shared" si="11"/>
        <v/>
      </c>
      <c r="H667" s="31"/>
      <c r="I667" s="27"/>
      <c r="J667" s="141">
        <v>0</v>
      </c>
    </row>
    <row r="668" spans="1:10" ht="15.75" hidden="1" thickBot="1" x14ac:dyDescent="0.3">
      <c r="A668" s="225" t="s">
        <v>241</v>
      </c>
      <c r="B668" s="228" t="str">
        <f>INDEX(Orçamentária!A:B,MATCH(Composições!A668,Orçamentária!A:A,0),2)</f>
        <v>Granito Cinza Andorinha 20mm para rodabancada</v>
      </c>
      <c r="C668" s="37"/>
      <c r="D668" s="22" t="str">
        <f>TRIM(INDEX(Orçamentária!C:C,MATCH(Composições!A668,Orçamentária!A:A,0),1))</f>
        <v>m2</v>
      </c>
      <c r="E668" s="23"/>
      <c r="F668" s="38" t="s">
        <v>523</v>
      </c>
      <c r="G668" s="24" t="str">
        <f t="shared" si="11"/>
        <v/>
      </c>
      <c r="H668" s="25"/>
      <c r="I668" s="26"/>
      <c r="J668" s="141">
        <v>0</v>
      </c>
    </row>
    <row r="669" spans="1:10" ht="15.75" hidden="1" thickBot="1" x14ac:dyDescent="0.3">
      <c r="A669" s="226"/>
      <c r="B669" s="244"/>
      <c r="C669" s="28"/>
      <c r="D669" s="28"/>
      <c r="E669" s="29"/>
      <c r="F669" s="39" t="s">
        <v>523</v>
      </c>
      <c r="G669" s="27" t="str">
        <f t="shared" si="11"/>
        <v/>
      </c>
      <c r="H669" s="31"/>
      <c r="I669" s="27"/>
      <c r="J669" s="141">
        <v>0</v>
      </c>
    </row>
    <row r="670" spans="1:10" ht="26.25" hidden="1" thickBot="1" x14ac:dyDescent="0.3">
      <c r="A670" s="226"/>
      <c r="B670" s="244"/>
      <c r="C670" s="32" t="s">
        <v>242</v>
      </c>
      <c r="D670" s="32" t="s">
        <v>93</v>
      </c>
      <c r="E670" s="33">
        <f>ROUND(1.04/0.15,4)</f>
        <v>6.9333</v>
      </c>
      <c r="F670" s="30" t="s">
        <v>523</v>
      </c>
      <c r="G670" s="30" t="str">
        <f t="shared" si="11"/>
        <v/>
      </c>
      <c r="H670" s="35">
        <f>SUM(G670:G674)</f>
        <v>79.511478350000004</v>
      </c>
      <c r="I670" s="36"/>
      <c r="J670" s="141">
        <v>0</v>
      </c>
    </row>
    <row r="671" spans="1:10" ht="15.75" hidden="1" thickBot="1" x14ac:dyDescent="0.3">
      <c r="A671" s="226"/>
      <c r="B671" s="244"/>
      <c r="C671" s="32" t="s">
        <v>3537</v>
      </c>
      <c r="D671" s="32" t="s">
        <v>42</v>
      </c>
      <c r="E671" s="33">
        <f>ROUND(0.8614/0.15,4)</f>
        <v>5.7427000000000001</v>
      </c>
      <c r="F671" s="30">
        <v>1.6054999999999999</v>
      </c>
      <c r="G671" s="30">
        <f t="shared" si="11"/>
        <v>9.2199048499999989</v>
      </c>
      <c r="H671" s="31"/>
      <c r="I671" s="27"/>
      <c r="J671" s="141">
        <v>0</v>
      </c>
    </row>
    <row r="672" spans="1:10" ht="15.75" hidden="1" thickBot="1" x14ac:dyDescent="0.3">
      <c r="A672" s="226"/>
      <c r="B672" s="244"/>
      <c r="C672" s="32" t="s">
        <v>54</v>
      </c>
      <c r="D672" s="32" t="s">
        <v>12</v>
      </c>
      <c r="E672" s="33">
        <f>ROUND(0.299/0.15,4)</f>
        <v>1.9933000000000001</v>
      </c>
      <c r="F672" s="27">
        <v>24.795000000000002</v>
      </c>
      <c r="G672" s="30">
        <f t="shared" si="11"/>
        <v>49.423873500000006</v>
      </c>
      <c r="H672" s="31"/>
      <c r="I672" s="27"/>
      <c r="J672" s="141">
        <v>0</v>
      </c>
    </row>
    <row r="673" spans="1:10" ht="15.75" hidden="1" thickBot="1" x14ac:dyDescent="0.3">
      <c r="A673" s="226"/>
      <c r="B673" s="244"/>
      <c r="C673" s="32" t="s">
        <v>23</v>
      </c>
      <c r="D673" s="32" t="s">
        <v>12</v>
      </c>
      <c r="E673" s="33">
        <f>0.15/0.15</f>
        <v>1</v>
      </c>
      <c r="F673" s="27">
        <v>18.420500000000001</v>
      </c>
      <c r="G673" s="30">
        <f t="shared" si="11"/>
        <v>18.420500000000001</v>
      </c>
      <c r="H673" s="31"/>
      <c r="I673" s="27"/>
      <c r="J673" s="141">
        <v>0</v>
      </c>
    </row>
    <row r="674" spans="1:10" ht="15.75" hidden="1" thickBot="1" x14ac:dyDescent="0.3">
      <c r="A674" s="226"/>
      <c r="B674" s="244"/>
      <c r="C674" s="32" t="s">
        <v>3536</v>
      </c>
      <c r="D674" s="32" t="s">
        <v>42</v>
      </c>
      <c r="E674" s="33">
        <f>0.12/0.15</f>
        <v>0.8</v>
      </c>
      <c r="F674" s="30">
        <v>3.0590000000000002</v>
      </c>
      <c r="G674" s="30">
        <f t="shared" si="11"/>
        <v>2.4472000000000005</v>
      </c>
      <c r="H674" s="31"/>
      <c r="I674" s="27"/>
      <c r="J674" s="141">
        <v>0</v>
      </c>
    </row>
    <row r="675" spans="1:10" ht="15.75" hidden="1" thickBot="1" x14ac:dyDescent="0.3">
      <c r="A675" s="226"/>
      <c r="B675" s="244"/>
      <c r="C675" s="32"/>
      <c r="D675" s="32"/>
      <c r="E675" s="33"/>
      <c r="F675" s="30" t="s">
        <v>523</v>
      </c>
      <c r="G675" s="30" t="str">
        <f t="shared" si="11"/>
        <v/>
      </c>
      <c r="H675" s="31"/>
      <c r="I675" s="27"/>
      <c r="J675" s="141">
        <v>0</v>
      </c>
    </row>
    <row r="676" spans="1:10" ht="15.75" hidden="1" thickBot="1" x14ac:dyDescent="0.3">
      <c r="A676" s="225" t="s">
        <v>243</v>
      </c>
      <c r="B676" s="228" t="str">
        <f>INDEX(Orçamentária!A:B,MATCH(Composições!A676,Orçamentária!A:A,0),2)</f>
        <v>Granito Cinza Andorinha 20mm para bancadas</v>
      </c>
      <c r="C676" s="37"/>
      <c r="D676" s="22" t="str">
        <f>TRIM(INDEX(Orçamentária!C:C,MATCH(Composições!A676,Orçamentária!A:A,0),1))</f>
        <v>m2</v>
      </c>
      <c r="E676" s="23"/>
      <c r="F676" s="38" t="s">
        <v>523</v>
      </c>
      <c r="G676" s="24" t="str">
        <f t="shared" si="11"/>
        <v/>
      </c>
      <c r="H676" s="25"/>
      <c r="I676" s="26"/>
      <c r="J676" s="141">
        <v>0</v>
      </c>
    </row>
    <row r="677" spans="1:10" ht="15.75" hidden="1" thickBot="1" x14ac:dyDescent="0.3">
      <c r="A677" s="226"/>
      <c r="B677" s="244"/>
      <c r="C677" s="28"/>
      <c r="D677" s="28"/>
      <c r="E677" s="29"/>
      <c r="F677" s="39" t="s">
        <v>523</v>
      </c>
      <c r="G677" s="27" t="str">
        <f t="shared" si="11"/>
        <v/>
      </c>
      <c r="H677" s="31"/>
      <c r="I677" s="27"/>
      <c r="J677" s="141">
        <v>0</v>
      </c>
    </row>
    <row r="678" spans="1:10" ht="15.75" hidden="1" thickBot="1" x14ac:dyDescent="0.3">
      <c r="A678" s="226"/>
      <c r="B678" s="244"/>
      <c r="C678" s="32" t="s">
        <v>3349</v>
      </c>
      <c r="D678" s="32" t="s">
        <v>901</v>
      </c>
      <c r="E678" s="33">
        <f>ROUND(0.5228/(1.5*0.6),4)</f>
        <v>0.58089999999999997</v>
      </c>
      <c r="F678" s="50">
        <v>39.424999999999997</v>
      </c>
      <c r="G678" s="50">
        <f t="shared" si="11"/>
        <v>22.901982499999995</v>
      </c>
      <c r="H678" s="35">
        <f>SUM(G678:G684)</f>
        <v>159.98002755000002</v>
      </c>
      <c r="I678" s="36"/>
      <c r="J678" s="141">
        <v>0</v>
      </c>
    </row>
    <row r="679" spans="1:10" ht="39" hidden="1" thickBot="1" x14ac:dyDescent="0.3">
      <c r="A679" s="226"/>
      <c r="B679" s="244"/>
      <c r="C679" s="32" t="s">
        <v>1135</v>
      </c>
      <c r="D679" s="32" t="s">
        <v>280</v>
      </c>
      <c r="E679" s="33">
        <f>ROUND(6/(1.5*0.6),4)</f>
        <v>6.6666999999999996</v>
      </c>
      <c r="F679" s="50">
        <v>1.159</v>
      </c>
      <c r="G679" s="50">
        <f t="shared" si="11"/>
        <v>7.7267052999999999</v>
      </c>
      <c r="H679" s="69"/>
      <c r="I679" s="70"/>
      <c r="J679" s="141">
        <v>0</v>
      </c>
    </row>
    <row r="680" spans="1:10" ht="26.25" hidden="1" thickBot="1" x14ac:dyDescent="0.3">
      <c r="A680" s="226"/>
      <c r="B680" s="244"/>
      <c r="C680" s="32" t="s">
        <v>244</v>
      </c>
      <c r="D680" s="32" t="s">
        <v>995</v>
      </c>
      <c r="E680" s="33">
        <f>ROUND(1.005/(1.5*0.6),4)</f>
        <v>1.1167</v>
      </c>
      <c r="F680" s="50" t="s">
        <v>523</v>
      </c>
      <c r="G680" s="50" t="str">
        <f t="shared" si="11"/>
        <v/>
      </c>
      <c r="H680" s="69"/>
      <c r="I680" s="70"/>
      <c r="J680" s="141">
        <v>0</v>
      </c>
    </row>
    <row r="681" spans="1:10" ht="15.75" hidden="1" thickBot="1" x14ac:dyDescent="0.3">
      <c r="A681" s="226"/>
      <c r="B681" s="244"/>
      <c r="C681" s="32" t="s">
        <v>3522</v>
      </c>
      <c r="D681" s="32" t="s">
        <v>901</v>
      </c>
      <c r="E681" s="33">
        <f>ROUND(0.0211/(1.5*0.6),4)</f>
        <v>2.3400000000000001E-2</v>
      </c>
      <c r="F681" s="50">
        <v>64.619</v>
      </c>
      <c r="G681" s="50">
        <f t="shared" si="11"/>
        <v>1.5120846000000001</v>
      </c>
      <c r="H681" s="69"/>
      <c r="I681" s="70"/>
      <c r="J681" s="141">
        <v>0</v>
      </c>
    </row>
    <row r="682" spans="1:10" ht="26.25" hidden="1" thickBot="1" x14ac:dyDescent="0.3">
      <c r="A682" s="226"/>
      <c r="B682" s="244"/>
      <c r="C682" s="32" t="s">
        <v>3365</v>
      </c>
      <c r="D682" s="32" t="s">
        <v>280</v>
      </c>
      <c r="E682" s="33">
        <f>ROUND(2/(1.5*0.6),4)</f>
        <v>2.2222</v>
      </c>
      <c r="F682" s="50">
        <v>29.943999999999999</v>
      </c>
      <c r="G682" s="50">
        <f t="shared" si="11"/>
        <v>66.541556799999995</v>
      </c>
      <c r="H682" s="69"/>
      <c r="I682" s="70"/>
      <c r="J682" s="141">
        <v>0</v>
      </c>
    </row>
    <row r="683" spans="1:10" ht="15.75" hidden="1" thickBot="1" x14ac:dyDescent="0.3">
      <c r="A683" s="226"/>
      <c r="B683" s="244"/>
      <c r="C683" s="32" t="s">
        <v>3242</v>
      </c>
      <c r="D683" s="32" t="s">
        <v>705</v>
      </c>
      <c r="E683" s="33">
        <f>ROUND(1.4944/(1.5*0.6),4)</f>
        <v>1.6604000000000001</v>
      </c>
      <c r="F683" s="50">
        <v>24.795000000000002</v>
      </c>
      <c r="G683" s="50">
        <f t="shared" si="11"/>
        <v>41.169618000000007</v>
      </c>
      <c r="H683" s="69"/>
      <c r="I683" s="70"/>
      <c r="J683" s="141">
        <v>0</v>
      </c>
    </row>
    <row r="684" spans="1:10" ht="15.75" hidden="1" thickBot="1" x14ac:dyDescent="0.3">
      <c r="A684" s="226"/>
      <c r="B684" s="244"/>
      <c r="C684" s="32" t="s">
        <v>706</v>
      </c>
      <c r="D684" s="32" t="s">
        <v>705</v>
      </c>
      <c r="E684" s="33">
        <f>ROUND(0.9834/(1.5*0.6),4)</f>
        <v>1.0927</v>
      </c>
      <c r="F684" s="50">
        <v>18.420500000000001</v>
      </c>
      <c r="G684" s="50">
        <f t="shared" si="11"/>
        <v>20.128080350000001</v>
      </c>
      <c r="H684" s="69"/>
      <c r="I684" s="70"/>
      <c r="J684" s="141">
        <v>0</v>
      </c>
    </row>
    <row r="685" spans="1:10" ht="15.75" hidden="1" thickBot="1" x14ac:dyDescent="0.3">
      <c r="A685" s="226"/>
      <c r="B685" s="244"/>
      <c r="C685" s="32"/>
      <c r="D685" s="32"/>
      <c r="E685" s="33"/>
      <c r="F685" s="27" t="s">
        <v>523</v>
      </c>
      <c r="G685" s="30" t="str">
        <f t="shared" si="11"/>
        <v/>
      </c>
      <c r="H685" s="31"/>
      <c r="I685" s="27"/>
      <c r="J685" s="141">
        <v>0</v>
      </c>
    </row>
    <row r="686" spans="1:10" ht="15.75" hidden="1" thickBot="1" x14ac:dyDescent="0.3">
      <c r="A686" s="225" t="s">
        <v>245</v>
      </c>
      <c r="B686" s="228" t="str">
        <f>INDEX(Orçamentária!A:B,MATCH(Composições!A686,Orçamentária!A:A,0),2)</f>
        <v>Granito Cinza Andorinha 20mm para divisória</v>
      </c>
      <c r="C686" s="37"/>
      <c r="D686" s="22" t="str">
        <f>TRIM(INDEX(Orçamentária!C:C,MATCH(Composições!A686,Orçamentária!A:A,0),1))</f>
        <v>m2</v>
      </c>
      <c r="E686" s="23"/>
      <c r="F686" s="38" t="s">
        <v>523</v>
      </c>
      <c r="G686" s="24" t="str">
        <f t="shared" si="11"/>
        <v/>
      </c>
      <c r="H686" s="25"/>
      <c r="I686" s="26"/>
      <c r="J686" s="141">
        <v>0</v>
      </c>
    </row>
    <row r="687" spans="1:10" ht="15.75" hidden="1" thickBot="1" x14ac:dyDescent="0.3">
      <c r="A687" s="226"/>
      <c r="B687" s="244"/>
      <c r="C687" s="28"/>
      <c r="D687" s="28"/>
      <c r="E687" s="29"/>
      <c r="F687" s="39" t="s">
        <v>523</v>
      </c>
      <c r="G687" s="27" t="str">
        <f t="shared" si="11"/>
        <v/>
      </c>
      <c r="H687" s="31"/>
      <c r="I687" s="27"/>
      <c r="J687" s="141">
        <v>0</v>
      </c>
    </row>
    <row r="688" spans="1:10" ht="26.25" hidden="1" thickBot="1" x14ac:dyDescent="0.3">
      <c r="A688" s="226"/>
      <c r="B688" s="244"/>
      <c r="C688" s="32" t="s">
        <v>778</v>
      </c>
      <c r="D688" s="32" t="s">
        <v>901</v>
      </c>
      <c r="E688" s="33">
        <v>0.53</v>
      </c>
      <c r="F688" s="30">
        <v>47.386000000000003</v>
      </c>
      <c r="G688" s="30">
        <f t="shared" si="11"/>
        <v>25.114580000000004</v>
      </c>
      <c r="H688" s="35">
        <f>SUM(G688:G694)</f>
        <v>102.06211950000001</v>
      </c>
      <c r="I688" s="36"/>
      <c r="J688" s="141">
        <v>0</v>
      </c>
    </row>
    <row r="689" spans="1:10" ht="26.25" hidden="1" thickBot="1" x14ac:dyDescent="0.3">
      <c r="A689" s="226"/>
      <c r="B689" s="244"/>
      <c r="C689" s="32" t="s">
        <v>6404</v>
      </c>
      <c r="D689" s="32" t="s">
        <v>995</v>
      </c>
      <c r="E689" s="33">
        <v>1.05</v>
      </c>
      <c r="F689" s="30" t="s">
        <v>523</v>
      </c>
      <c r="G689" s="30" t="str">
        <f t="shared" si="11"/>
        <v/>
      </c>
      <c r="H689" s="31"/>
      <c r="I689" s="27"/>
      <c r="J689" s="141">
        <v>0</v>
      </c>
    </row>
    <row r="690" spans="1:10" ht="15.75" hidden="1" thickBot="1" x14ac:dyDescent="0.3">
      <c r="A690" s="226"/>
      <c r="B690" s="244"/>
      <c r="C690" s="32" t="s">
        <v>3514</v>
      </c>
      <c r="D690" s="32" t="s">
        <v>901</v>
      </c>
      <c r="E690" s="33">
        <v>0.97</v>
      </c>
      <c r="F690" s="27">
        <v>1.843</v>
      </c>
      <c r="G690" s="30">
        <f t="shared" si="11"/>
        <v>1.7877099999999999</v>
      </c>
      <c r="H690" s="31"/>
      <c r="I690" s="27"/>
      <c r="J690" s="141">
        <v>0</v>
      </c>
    </row>
    <row r="691" spans="1:10" ht="15.75" hidden="1" thickBot="1" x14ac:dyDescent="0.3">
      <c r="A691" s="226"/>
      <c r="B691" s="244"/>
      <c r="C691" s="32" t="s">
        <v>3242</v>
      </c>
      <c r="D691" s="32" t="s">
        <v>705</v>
      </c>
      <c r="E691" s="33">
        <v>1.405</v>
      </c>
      <c r="F691" s="27">
        <v>24.795000000000002</v>
      </c>
      <c r="G691" s="30">
        <f t="shared" si="11"/>
        <v>34.836975000000002</v>
      </c>
      <c r="H691" s="31"/>
      <c r="I691" s="27"/>
      <c r="J691" s="141">
        <v>0</v>
      </c>
    </row>
    <row r="692" spans="1:10" ht="15.75" hidden="1" thickBot="1" x14ac:dyDescent="0.3">
      <c r="A692" s="226"/>
      <c r="B692" s="244"/>
      <c r="C692" s="32" t="s">
        <v>706</v>
      </c>
      <c r="D692" s="32" t="s">
        <v>705</v>
      </c>
      <c r="E692" s="33">
        <v>0.70199999999999996</v>
      </c>
      <c r="F692" s="27">
        <v>18.420500000000001</v>
      </c>
      <c r="G692" s="30">
        <f t="shared" si="11"/>
        <v>12.931191</v>
      </c>
      <c r="H692" s="31"/>
      <c r="I692" s="27"/>
      <c r="J692" s="141">
        <v>0</v>
      </c>
    </row>
    <row r="693" spans="1:10" ht="26.25" hidden="1" thickBot="1" x14ac:dyDescent="0.3">
      <c r="A693" s="226"/>
      <c r="B693" s="244"/>
      <c r="C693" s="32" t="s">
        <v>1159</v>
      </c>
      <c r="D693" s="32" t="s">
        <v>945</v>
      </c>
      <c r="E693" s="33">
        <v>8.8999999999999996E-2</v>
      </c>
      <c r="F693" s="27">
        <v>20.225499999999997</v>
      </c>
      <c r="G693" s="30">
        <f t="shared" si="11"/>
        <v>1.8000694999999995</v>
      </c>
      <c r="H693" s="31"/>
      <c r="I693" s="27"/>
      <c r="J693" s="141">
        <v>0</v>
      </c>
    </row>
    <row r="694" spans="1:10" ht="26.25" hidden="1" thickBot="1" x14ac:dyDescent="0.3">
      <c r="A694" s="226"/>
      <c r="B694" s="244"/>
      <c r="C694" s="32" t="s">
        <v>1160</v>
      </c>
      <c r="D694" s="32" t="s">
        <v>947</v>
      </c>
      <c r="E694" s="33">
        <v>1.3160000000000001</v>
      </c>
      <c r="F694" s="30">
        <v>19.446499999999997</v>
      </c>
      <c r="G694" s="30">
        <f t="shared" si="11"/>
        <v>25.591593999999997</v>
      </c>
      <c r="H694" s="31"/>
      <c r="I694" s="27"/>
      <c r="J694" s="141">
        <v>0</v>
      </c>
    </row>
    <row r="695" spans="1:10" ht="15.75" hidden="1" thickBot="1" x14ac:dyDescent="0.3">
      <c r="A695" s="226"/>
      <c r="B695" s="244"/>
      <c r="C695" s="32"/>
      <c r="D695" s="32"/>
      <c r="E695" s="33"/>
      <c r="F695" s="30" t="s">
        <v>523</v>
      </c>
      <c r="G695" s="30" t="str">
        <f t="shared" si="11"/>
        <v/>
      </c>
      <c r="H695" s="31"/>
      <c r="I695" s="27"/>
      <c r="J695" s="141">
        <v>0</v>
      </c>
    </row>
    <row r="696" spans="1:10" ht="15.75" hidden="1" thickBot="1" x14ac:dyDescent="0.3">
      <c r="A696" s="225" t="s">
        <v>247</v>
      </c>
      <c r="B696" s="228" t="str">
        <f>INDEX(Orçamentária!A:B,MATCH(Composições!A696,Orçamentária!A:A,0),2)</f>
        <v>Granito Preto São Gabriel 20mm para rodabancada</v>
      </c>
      <c r="C696" s="37"/>
      <c r="D696" s="22" t="str">
        <f>TRIM(INDEX(Orçamentária!C:C,MATCH(Composições!A696,Orçamentária!A:A,0),1))</f>
        <v>m2</v>
      </c>
      <c r="E696" s="23"/>
      <c r="F696" s="38" t="s">
        <v>523</v>
      </c>
      <c r="G696" s="24" t="str">
        <f t="shared" si="11"/>
        <v/>
      </c>
      <c r="H696" s="25"/>
      <c r="I696" s="26"/>
      <c r="J696" s="141">
        <v>0</v>
      </c>
    </row>
    <row r="697" spans="1:10" ht="15.75" hidden="1" thickBot="1" x14ac:dyDescent="0.3">
      <c r="A697" s="226"/>
      <c r="B697" s="244"/>
      <c r="C697" s="28"/>
      <c r="D697" s="28"/>
      <c r="E697" s="29"/>
      <c r="F697" s="39" t="s">
        <v>523</v>
      </c>
      <c r="G697" s="27" t="str">
        <f t="shared" si="11"/>
        <v/>
      </c>
      <c r="H697" s="31"/>
      <c r="I697" s="27"/>
      <c r="J697" s="141">
        <v>0</v>
      </c>
    </row>
    <row r="698" spans="1:10" ht="26.25" hidden="1" thickBot="1" x14ac:dyDescent="0.3">
      <c r="A698" s="226"/>
      <c r="B698" s="244"/>
      <c r="C698" s="32" t="s">
        <v>248</v>
      </c>
      <c r="D698" s="32" t="s">
        <v>93</v>
      </c>
      <c r="E698" s="33">
        <f>ROUND(1.04/0.15,4)</f>
        <v>6.9333</v>
      </c>
      <c r="F698" s="30" t="s">
        <v>523</v>
      </c>
      <c r="G698" s="27" t="str">
        <f t="shared" si="11"/>
        <v/>
      </c>
      <c r="H698" s="35">
        <f>SUM(G698:G702)</f>
        <v>79.511478350000004</v>
      </c>
      <c r="I698" s="36"/>
      <c r="J698" s="141">
        <v>0</v>
      </c>
    </row>
    <row r="699" spans="1:10" ht="15.75" hidden="1" thickBot="1" x14ac:dyDescent="0.3">
      <c r="A699" s="226"/>
      <c r="B699" s="244"/>
      <c r="C699" s="32" t="s">
        <v>3537</v>
      </c>
      <c r="D699" s="32" t="s">
        <v>42</v>
      </c>
      <c r="E699" s="33">
        <f>ROUND(0.8614/0.15,4)</f>
        <v>5.7427000000000001</v>
      </c>
      <c r="F699" s="30">
        <v>1.6054999999999999</v>
      </c>
      <c r="G699" s="30">
        <f t="shared" si="11"/>
        <v>9.2199048499999989</v>
      </c>
      <c r="H699" s="31"/>
      <c r="I699" s="27"/>
      <c r="J699" s="141">
        <v>0</v>
      </c>
    </row>
    <row r="700" spans="1:10" ht="15.75" hidden="1" thickBot="1" x14ac:dyDescent="0.3">
      <c r="A700" s="226"/>
      <c r="B700" s="244"/>
      <c r="C700" s="32" t="s">
        <v>54</v>
      </c>
      <c r="D700" s="32" t="s">
        <v>12</v>
      </c>
      <c r="E700" s="33">
        <f>ROUND(0.299/0.15,4)</f>
        <v>1.9933000000000001</v>
      </c>
      <c r="F700" s="30">
        <v>24.795000000000002</v>
      </c>
      <c r="G700" s="30">
        <f t="shared" si="11"/>
        <v>49.423873500000006</v>
      </c>
      <c r="H700" s="31"/>
      <c r="I700" s="27"/>
      <c r="J700" s="141">
        <v>0</v>
      </c>
    </row>
    <row r="701" spans="1:10" ht="15.75" hidden="1" thickBot="1" x14ac:dyDescent="0.3">
      <c r="A701" s="226"/>
      <c r="B701" s="244"/>
      <c r="C701" s="32" t="s">
        <v>23</v>
      </c>
      <c r="D701" s="32" t="s">
        <v>12</v>
      </c>
      <c r="E701" s="33">
        <f>0.15/0.15</f>
        <v>1</v>
      </c>
      <c r="F701" s="30">
        <v>18.420500000000001</v>
      </c>
      <c r="G701" s="30">
        <f t="shared" si="11"/>
        <v>18.420500000000001</v>
      </c>
      <c r="H701" s="31"/>
      <c r="I701" s="27"/>
      <c r="J701" s="141">
        <v>0</v>
      </c>
    </row>
    <row r="702" spans="1:10" ht="15.75" hidden="1" thickBot="1" x14ac:dyDescent="0.3">
      <c r="A702" s="226"/>
      <c r="B702" s="244"/>
      <c r="C702" s="32" t="s">
        <v>3536</v>
      </c>
      <c r="D702" s="32" t="s">
        <v>42</v>
      </c>
      <c r="E702" s="33">
        <f>0.12/0.15</f>
        <v>0.8</v>
      </c>
      <c r="F702" s="30">
        <v>3.0590000000000002</v>
      </c>
      <c r="G702" s="30">
        <f t="shared" si="11"/>
        <v>2.4472000000000005</v>
      </c>
      <c r="H702" s="31"/>
      <c r="I702" s="27"/>
      <c r="J702" s="141">
        <v>0</v>
      </c>
    </row>
    <row r="703" spans="1:10" ht="15.75" hidden="1" thickBot="1" x14ac:dyDescent="0.3">
      <c r="A703" s="226"/>
      <c r="B703" s="244"/>
      <c r="C703" s="32"/>
      <c r="D703" s="32"/>
      <c r="E703" s="33"/>
      <c r="F703" s="30" t="s">
        <v>523</v>
      </c>
      <c r="G703" s="30" t="str">
        <f t="shared" si="11"/>
        <v/>
      </c>
      <c r="H703" s="31"/>
      <c r="I703" s="27"/>
      <c r="J703" s="141">
        <v>0</v>
      </c>
    </row>
    <row r="704" spans="1:10" ht="15.75" hidden="1" thickBot="1" x14ac:dyDescent="0.3">
      <c r="A704" s="225" t="s">
        <v>249</v>
      </c>
      <c r="B704" s="228" t="str">
        <f>INDEX(Orçamentária!A:B,MATCH(Composições!A704,Orçamentária!A:A,0),2)</f>
        <v>Granito Preto São Gabriel 20mm para bancadas</v>
      </c>
      <c r="C704" s="37"/>
      <c r="D704" s="22" t="str">
        <f>TRIM(INDEX(Orçamentária!C:C,MATCH(Composições!A704,Orçamentária!A:A,0),1))</f>
        <v>m2</v>
      </c>
      <c r="E704" s="23"/>
      <c r="F704" s="38" t="s">
        <v>523</v>
      </c>
      <c r="G704" s="24" t="str">
        <f t="shared" si="11"/>
        <v/>
      </c>
      <c r="H704" s="25"/>
      <c r="I704" s="26"/>
      <c r="J704" s="141">
        <v>0</v>
      </c>
    </row>
    <row r="705" spans="1:10" ht="15.75" hidden="1" thickBot="1" x14ac:dyDescent="0.3">
      <c r="A705" s="226"/>
      <c r="B705" s="244"/>
      <c r="C705" s="28"/>
      <c r="D705" s="28"/>
      <c r="E705" s="29"/>
      <c r="F705" s="39" t="s">
        <v>523</v>
      </c>
      <c r="G705" s="27" t="str">
        <f t="shared" si="11"/>
        <v/>
      </c>
      <c r="H705" s="31"/>
      <c r="I705" s="27"/>
      <c r="J705" s="141">
        <v>0</v>
      </c>
    </row>
    <row r="706" spans="1:10" ht="15.75" hidden="1" thickBot="1" x14ac:dyDescent="0.3">
      <c r="A706" s="226"/>
      <c r="B706" s="244"/>
      <c r="C706" s="32" t="s">
        <v>3349</v>
      </c>
      <c r="D706" s="32" t="s">
        <v>901</v>
      </c>
      <c r="E706" s="33">
        <f>ROUND(0.5228/(1.5*0.6),4)</f>
        <v>0.58089999999999997</v>
      </c>
      <c r="F706" s="50">
        <v>39.424999999999997</v>
      </c>
      <c r="G706" s="50">
        <f t="shared" si="11"/>
        <v>22.901982499999995</v>
      </c>
      <c r="H706" s="35">
        <f>SUM(G706:G712)</f>
        <v>159.98002755000002</v>
      </c>
      <c r="I706" s="36"/>
      <c r="J706" s="141">
        <v>0</v>
      </c>
    </row>
    <row r="707" spans="1:10" ht="39" hidden="1" thickBot="1" x14ac:dyDescent="0.3">
      <c r="A707" s="226"/>
      <c r="B707" s="244"/>
      <c r="C707" s="32" t="s">
        <v>1135</v>
      </c>
      <c r="D707" s="32" t="s">
        <v>280</v>
      </c>
      <c r="E707" s="33">
        <f>ROUND(6/(1.5*0.6),4)</f>
        <v>6.6666999999999996</v>
      </c>
      <c r="F707" s="50">
        <v>1.159</v>
      </c>
      <c r="G707" s="50">
        <f t="shared" si="11"/>
        <v>7.7267052999999999</v>
      </c>
      <c r="H707" s="69"/>
      <c r="I707" s="70"/>
      <c r="J707" s="141">
        <v>0</v>
      </c>
    </row>
    <row r="708" spans="1:10" ht="26.25" hidden="1" thickBot="1" x14ac:dyDescent="0.3">
      <c r="A708" s="226"/>
      <c r="B708" s="244"/>
      <c r="C708" s="32" t="s">
        <v>250</v>
      </c>
      <c r="D708" s="32" t="s">
        <v>995</v>
      </c>
      <c r="E708" s="33">
        <f>ROUND(1.005/(1.5*0.6),4)</f>
        <v>1.1167</v>
      </c>
      <c r="F708" s="50" t="s">
        <v>523</v>
      </c>
      <c r="G708" s="50" t="str">
        <f t="shared" si="11"/>
        <v/>
      </c>
      <c r="H708" s="69"/>
      <c r="I708" s="70"/>
      <c r="J708" s="141">
        <v>0</v>
      </c>
    </row>
    <row r="709" spans="1:10" ht="15.75" hidden="1" thickBot="1" x14ac:dyDescent="0.3">
      <c r="A709" s="226"/>
      <c r="B709" s="244"/>
      <c r="C709" s="32" t="s">
        <v>3522</v>
      </c>
      <c r="D709" s="32" t="s">
        <v>901</v>
      </c>
      <c r="E709" s="33">
        <f>ROUND(0.0211/(1.5*0.6),4)</f>
        <v>2.3400000000000001E-2</v>
      </c>
      <c r="F709" s="50">
        <v>64.619</v>
      </c>
      <c r="G709" s="50">
        <f t="shared" si="11"/>
        <v>1.5120846000000001</v>
      </c>
      <c r="H709" s="69"/>
      <c r="I709" s="70"/>
      <c r="J709" s="141">
        <v>0</v>
      </c>
    </row>
    <row r="710" spans="1:10" ht="26.25" hidden="1" thickBot="1" x14ac:dyDescent="0.3">
      <c r="A710" s="226"/>
      <c r="B710" s="244"/>
      <c r="C710" s="32" t="s">
        <v>3365</v>
      </c>
      <c r="D710" s="32" t="s">
        <v>280</v>
      </c>
      <c r="E710" s="33">
        <f>ROUND(2/(1.5*0.6),4)</f>
        <v>2.2222</v>
      </c>
      <c r="F710" s="50">
        <v>29.943999999999999</v>
      </c>
      <c r="G710" s="50">
        <f t="shared" si="11"/>
        <v>66.541556799999995</v>
      </c>
      <c r="H710" s="69"/>
      <c r="I710" s="70"/>
      <c r="J710" s="141">
        <v>0</v>
      </c>
    </row>
    <row r="711" spans="1:10" ht="15.75" hidden="1" thickBot="1" x14ac:dyDescent="0.3">
      <c r="A711" s="226"/>
      <c r="B711" s="244"/>
      <c r="C711" s="32" t="s">
        <v>3242</v>
      </c>
      <c r="D711" s="32" t="s">
        <v>705</v>
      </c>
      <c r="E711" s="33">
        <f>ROUND(1.4944/(1.5*0.6),4)</f>
        <v>1.6604000000000001</v>
      </c>
      <c r="F711" s="50">
        <v>24.795000000000002</v>
      </c>
      <c r="G711" s="50">
        <f t="shared" si="11"/>
        <v>41.169618000000007</v>
      </c>
      <c r="H711" s="69"/>
      <c r="I711" s="70"/>
      <c r="J711" s="141">
        <v>0</v>
      </c>
    </row>
    <row r="712" spans="1:10" ht="15.75" hidden="1" thickBot="1" x14ac:dyDescent="0.3">
      <c r="A712" s="226"/>
      <c r="B712" s="244"/>
      <c r="C712" s="32" t="s">
        <v>706</v>
      </c>
      <c r="D712" s="32" t="s">
        <v>705</v>
      </c>
      <c r="E712" s="33">
        <f>ROUND(0.9834/(1.5*0.6),4)</f>
        <v>1.0927</v>
      </c>
      <c r="F712" s="50">
        <v>18.420500000000001</v>
      </c>
      <c r="G712" s="50">
        <f t="shared" si="11"/>
        <v>20.128080350000001</v>
      </c>
      <c r="H712" s="69"/>
      <c r="I712" s="70"/>
      <c r="J712" s="141">
        <v>0</v>
      </c>
    </row>
    <row r="713" spans="1:10" ht="15.75" hidden="1" thickBot="1" x14ac:dyDescent="0.3">
      <c r="A713" s="226"/>
      <c r="B713" s="244"/>
      <c r="C713" s="32"/>
      <c r="D713" s="32"/>
      <c r="E713" s="33"/>
      <c r="F713" s="27" t="s">
        <v>523</v>
      </c>
      <c r="G713" s="30" t="str">
        <f t="shared" si="11"/>
        <v/>
      </c>
      <c r="H713" s="31"/>
      <c r="I713" s="27"/>
      <c r="J713" s="141">
        <v>0</v>
      </c>
    </row>
    <row r="714" spans="1:10" ht="15.75" hidden="1" thickBot="1" x14ac:dyDescent="0.3">
      <c r="A714" s="225" t="s">
        <v>251</v>
      </c>
      <c r="B714" s="228" t="str">
        <f>INDEX(Orçamentária!A:B,MATCH(Composições!A714,Orçamentária!A:A,0),2)</f>
        <v>Instalação de bancada de granito ou mármore reaproveitada</v>
      </c>
      <c r="C714" s="37"/>
      <c r="D714" s="22" t="str">
        <f>TRIM(INDEX(Orçamentária!C:C,MATCH(Composições!A714,Orçamentária!A:A,0),1))</f>
        <v>m2</v>
      </c>
      <c r="E714" s="23"/>
      <c r="F714" s="38" t="s">
        <v>523</v>
      </c>
      <c r="G714" s="24" t="str">
        <f t="shared" si="11"/>
        <v/>
      </c>
      <c r="H714" s="25"/>
      <c r="I714" s="26"/>
      <c r="J714" s="141">
        <v>0</v>
      </c>
    </row>
    <row r="715" spans="1:10" ht="15.75" hidden="1" thickBot="1" x14ac:dyDescent="0.3">
      <c r="A715" s="226"/>
      <c r="B715" s="244"/>
      <c r="C715" s="28"/>
      <c r="D715" s="28"/>
      <c r="E715" s="29"/>
      <c r="F715" s="39" t="s">
        <v>523</v>
      </c>
      <c r="G715" s="27" t="str">
        <f t="shared" si="11"/>
        <v/>
      </c>
      <c r="H715" s="31"/>
      <c r="I715" s="27"/>
      <c r="J715" s="141">
        <v>0</v>
      </c>
    </row>
    <row r="716" spans="1:10" ht="15.75" hidden="1" thickBot="1" x14ac:dyDescent="0.3">
      <c r="A716" s="226"/>
      <c r="B716" s="244"/>
      <c r="C716" s="32" t="s">
        <v>3349</v>
      </c>
      <c r="D716" s="32" t="s">
        <v>901</v>
      </c>
      <c r="E716" s="33">
        <f>ROUND(0.5228/(1.5*0.6),4)</f>
        <v>0.58089999999999997</v>
      </c>
      <c r="F716" s="50">
        <v>39.424999999999997</v>
      </c>
      <c r="G716" s="50">
        <f t="shared" si="11"/>
        <v>22.901982499999995</v>
      </c>
      <c r="H716" s="35">
        <f>SUM(G716:G721)</f>
        <v>159.98002755000002</v>
      </c>
      <c r="I716" s="36"/>
      <c r="J716" s="141">
        <v>0</v>
      </c>
    </row>
    <row r="717" spans="1:10" ht="39" hidden="1" thickBot="1" x14ac:dyDescent="0.3">
      <c r="A717" s="226"/>
      <c r="B717" s="244"/>
      <c r="C717" s="32" t="s">
        <v>1135</v>
      </c>
      <c r="D717" s="32" t="s">
        <v>280</v>
      </c>
      <c r="E717" s="33">
        <f>ROUND(6/(1.5*0.6),4)</f>
        <v>6.6666999999999996</v>
      </c>
      <c r="F717" s="50">
        <v>1.159</v>
      </c>
      <c r="G717" s="50">
        <f t="shared" si="11"/>
        <v>7.7267052999999999</v>
      </c>
      <c r="H717" s="69"/>
      <c r="I717" s="70"/>
      <c r="J717" s="141">
        <v>0</v>
      </c>
    </row>
    <row r="718" spans="1:10" ht="15.75" hidden="1" thickBot="1" x14ac:dyDescent="0.3">
      <c r="A718" s="226"/>
      <c r="B718" s="244"/>
      <c r="C718" s="32" t="s">
        <v>3522</v>
      </c>
      <c r="D718" s="32" t="s">
        <v>901</v>
      </c>
      <c r="E718" s="33">
        <f>ROUND(0.0211/(1.5*0.6),4)</f>
        <v>2.3400000000000001E-2</v>
      </c>
      <c r="F718" s="50">
        <v>64.619</v>
      </c>
      <c r="G718" s="50">
        <f t="shared" si="11"/>
        <v>1.5120846000000001</v>
      </c>
      <c r="H718" s="69"/>
      <c r="I718" s="70"/>
      <c r="J718" s="141">
        <v>0</v>
      </c>
    </row>
    <row r="719" spans="1:10" ht="26.25" hidden="1" thickBot="1" x14ac:dyDescent="0.3">
      <c r="A719" s="226"/>
      <c r="B719" s="244"/>
      <c r="C719" s="32" t="s">
        <v>3365</v>
      </c>
      <c r="D719" s="32" t="s">
        <v>280</v>
      </c>
      <c r="E719" s="33">
        <f>ROUND(2/(1.5*0.6),4)</f>
        <v>2.2222</v>
      </c>
      <c r="F719" s="50">
        <v>29.943999999999999</v>
      </c>
      <c r="G719" s="50">
        <f t="shared" si="11"/>
        <v>66.541556799999995</v>
      </c>
      <c r="H719" s="69"/>
      <c r="I719" s="70"/>
      <c r="J719" s="141">
        <v>0</v>
      </c>
    </row>
    <row r="720" spans="1:10" ht="15.75" hidden="1" thickBot="1" x14ac:dyDescent="0.3">
      <c r="A720" s="226"/>
      <c r="B720" s="244"/>
      <c r="C720" s="32" t="s">
        <v>3242</v>
      </c>
      <c r="D720" s="32" t="s">
        <v>705</v>
      </c>
      <c r="E720" s="33">
        <f>ROUND(1.4944/(1.5*0.6),4)</f>
        <v>1.6604000000000001</v>
      </c>
      <c r="F720" s="50">
        <v>24.795000000000002</v>
      </c>
      <c r="G720" s="50">
        <f t="shared" si="11"/>
        <v>41.169618000000007</v>
      </c>
      <c r="H720" s="69"/>
      <c r="I720" s="70"/>
      <c r="J720" s="141">
        <v>0</v>
      </c>
    </row>
    <row r="721" spans="1:10" ht="15.75" hidden="1" thickBot="1" x14ac:dyDescent="0.3">
      <c r="A721" s="226"/>
      <c r="B721" s="244"/>
      <c r="C721" s="32" t="s">
        <v>706</v>
      </c>
      <c r="D721" s="32" t="s">
        <v>705</v>
      </c>
      <c r="E721" s="33">
        <f>ROUND(0.9834/(1.5*0.6),4)</f>
        <v>1.0927</v>
      </c>
      <c r="F721" s="50">
        <v>18.420500000000001</v>
      </c>
      <c r="G721" s="50">
        <f t="shared" si="11"/>
        <v>20.128080350000001</v>
      </c>
      <c r="H721" s="69"/>
      <c r="I721" s="70"/>
      <c r="J721" s="141">
        <v>0</v>
      </c>
    </row>
    <row r="722" spans="1:10" ht="15.75" hidden="1" thickBot="1" x14ac:dyDescent="0.3">
      <c r="A722" s="227"/>
      <c r="B722" s="230"/>
      <c r="C722" s="32"/>
      <c r="D722" s="32"/>
      <c r="E722" s="33"/>
      <c r="F722" s="27" t="s">
        <v>523</v>
      </c>
      <c r="G722" s="27" t="str">
        <f t="shared" ref="G722:G785" si="12">IF(ISNUMBER(F722),E722*F722,"")</f>
        <v/>
      </c>
      <c r="H722" s="31"/>
      <c r="I722" s="27"/>
      <c r="J722" s="141">
        <v>0</v>
      </c>
    </row>
    <row r="723" spans="1:10" ht="15.75" hidden="1" thickBot="1" x14ac:dyDescent="0.3">
      <c r="A723" s="225" t="s">
        <v>252</v>
      </c>
      <c r="B723" s="228" t="str">
        <f>INDEX(Orçamentária!A:B,MATCH(Composições!A723,Orçamentária!A:A,0),2)</f>
        <v>Instalação de rodapé/rodabanca reaproveitado(a), de mármore ou granito</v>
      </c>
      <c r="C723" s="37"/>
      <c r="D723" s="22" t="str">
        <f>TRIM(INDEX(Orçamentária!C:C,MATCH(Composições!A723,Orçamentária!A:A,0),1))</f>
        <v>m2</v>
      </c>
      <c r="E723" s="23"/>
      <c r="F723" s="38" t="s">
        <v>523</v>
      </c>
      <c r="G723" s="24" t="str">
        <f t="shared" si="12"/>
        <v/>
      </c>
      <c r="H723" s="25"/>
      <c r="I723" s="26"/>
      <c r="J723" s="141">
        <v>0</v>
      </c>
    </row>
    <row r="724" spans="1:10" ht="15.75" hidden="1" thickBot="1" x14ac:dyDescent="0.3">
      <c r="A724" s="226"/>
      <c r="B724" s="244"/>
      <c r="C724" s="28"/>
      <c r="D724" s="28"/>
      <c r="E724" s="29"/>
      <c r="F724" s="39" t="s">
        <v>523</v>
      </c>
      <c r="G724" s="27" t="str">
        <f t="shared" si="12"/>
        <v/>
      </c>
      <c r="H724" s="31"/>
      <c r="I724" s="27"/>
      <c r="J724" s="141">
        <v>0</v>
      </c>
    </row>
    <row r="725" spans="1:10" ht="15.75" hidden="1" thickBot="1" x14ac:dyDescent="0.3">
      <c r="A725" s="226"/>
      <c r="B725" s="244"/>
      <c r="C725" s="32" t="s">
        <v>3537</v>
      </c>
      <c r="D725" s="32" t="s">
        <v>42</v>
      </c>
      <c r="E725" s="33">
        <f>0.8614</f>
        <v>0.86140000000000005</v>
      </c>
      <c r="F725" s="30">
        <v>1.6054999999999999</v>
      </c>
      <c r="G725" s="30">
        <f t="shared" si="12"/>
        <v>1.3829777000000001</v>
      </c>
      <c r="H725" s="35">
        <f>SUM(G725:G728)</f>
        <v>11.9268377</v>
      </c>
      <c r="I725" s="36"/>
      <c r="J725" s="141">
        <v>0</v>
      </c>
    </row>
    <row r="726" spans="1:10" ht="15.75" hidden="1" thickBot="1" x14ac:dyDescent="0.3">
      <c r="A726" s="226"/>
      <c r="B726" s="244"/>
      <c r="C726" s="32" t="s">
        <v>54</v>
      </c>
      <c r="D726" s="32" t="s">
        <v>12</v>
      </c>
      <c r="E726" s="33">
        <f>0.299</f>
        <v>0.29899999999999999</v>
      </c>
      <c r="F726" s="27">
        <v>24.795000000000002</v>
      </c>
      <c r="G726" s="30">
        <f t="shared" si="12"/>
        <v>7.4137050000000002</v>
      </c>
      <c r="H726" s="31"/>
      <c r="I726" s="27"/>
      <c r="J726" s="141">
        <v>0</v>
      </c>
    </row>
    <row r="727" spans="1:10" ht="15.75" hidden="1" thickBot="1" x14ac:dyDescent="0.3">
      <c r="A727" s="226"/>
      <c r="B727" s="244"/>
      <c r="C727" s="32" t="s">
        <v>23</v>
      </c>
      <c r="D727" s="32" t="s">
        <v>12</v>
      </c>
      <c r="E727" s="33">
        <f>0.15</f>
        <v>0.15</v>
      </c>
      <c r="F727" s="27">
        <v>18.420500000000001</v>
      </c>
      <c r="G727" s="30">
        <f t="shared" si="12"/>
        <v>2.7630750000000002</v>
      </c>
      <c r="H727" s="31"/>
      <c r="I727" s="27"/>
      <c r="J727" s="141">
        <v>0</v>
      </c>
    </row>
    <row r="728" spans="1:10" ht="15.75" hidden="1" thickBot="1" x14ac:dyDescent="0.3">
      <c r="A728" s="226"/>
      <c r="B728" s="244"/>
      <c r="C728" s="32" t="s">
        <v>3536</v>
      </c>
      <c r="D728" s="32" t="s">
        <v>42</v>
      </c>
      <c r="E728" s="33">
        <f>0.12</f>
        <v>0.12</v>
      </c>
      <c r="F728" s="30">
        <v>3.0590000000000002</v>
      </c>
      <c r="G728" s="30">
        <f t="shared" si="12"/>
        <v>0.36708000000000002</v>
      </c>
      <c r="H728" s="31"/>
      <c r="I728" s="27"/>
      <c r="J728" s="141">
        <v>0</v>
      </c>
    </row>
    <row r="729" spans="1:10" ht="15.75" hidden="1" thickBot="1" x14ac:dyDescent="0.3">
      <c r="A729" s="227"/>
      <c r="B729" s="230"/>
      <c r="C729" s="32"/>
      <c r="D729" s="32"/>
      <c r="E729" s="33"/>
      <c r="F729" s="27" t="s">
        <v>523</v>
      </c>
      <c r="G729" s="27" t="str">
        <f t="shared" si="12"/>
        <v/>
      </c>
      <c r="H729" s="31"/>
      <c r="I729" s="27"/>
      <c r="J729" s="141">
        <v>0</v>
      </c>
    </row>
    <row r="730" spans="1:10" ht="15.75" hidden="1" thickBot="1" x14ac:dyDescent="0.3">
      <c r="A730" s="225" t="s">
        <v>253</v>
      </c>
      <c r="B730" s="228" t="str">
        <f>INDEX(Orçamentária!A:B,MATCH(Composições!A730,Orçamentária!A:A,0),2)</f>
        <v>Instalação de soleira ou peitoril, de mármore ou granito, reaproveitados</v>
      </c>
      <c r="C730" s="37"/>
      <c r="D730" s="22" t="str">
        <f>TRIM(INDEX(Orçamentária!C:C,MATCH(Composições!A730,Orçamentária!A:A,0),1))</f>
        <v>m2</v>
      </c>
      <c r="E730" s="23"/>
      <c r="F730" s="38" t="s">
        <v>523</v>
      </c>
      <c r="G730" s="24" t="str">
        <f t="shared" si="12"/>
        <v/>
      </c>
      <c r="H730" s="25"/>
      <c r="I730" s="26"/>
      <c r="J730" s="141">
        <v>0</v>
      </c>
    </row>
    <row r="731" spans="1:10" ht="15.75" hidden="1" thickBot="1" x14ac:dyDescent="0.3">
      <c r="A731" s="226"/>
      <c r="B731" s="244"/>
      <c r="C731" s="28"/>
      <c r="D731" s="28"/>
      <c r="E731" s="29"/>
      <c r="F731" s="39" t="s">
        <v>523</v>
      </c>
      <c r="G731" s="27" t="str">
        <f t="shared" si="12"/>
        <v/>
      </c>
      <c r="H731" s="31"/>
      <c r="I731" s="27"/>
      <c r="J731" s="141">
        <v>0</v>
      </c>
    </row>
    <row r="732" spans="1:10" ht="15.75" hidden="1" thickBot="1" x14ac:dyDescent="0.3">
      <c r="A732" s="226"/>
      <c r="B732" s="244"/>
      <c r="C732" s="32" t="s">
        <v>54</v>
      </c>
      <c r="D732" s="32" t="s">
        <v>12</v>
      </c>
      <c r="E732" s="33">
        <v>1.1879999999999999</v>
      </c>
      <c r="F732" s="27">
        <v>24.795000000000002</v>
      </c>
      <c r="G732" s="30">
        <f t="shared" si="12"/>
        <v>29.45646</v>
      </c>
      <c r="H732" s="35">
        <f>SUM(G732:G734)</f>
        <v>54.237646999999996</v>
      </c>
      <c r="I732" s="36"/>
      <c r="J732" s="141">
        <v>0</v>
      </c>
    </row>
    <row r="733" spans="1:10" ht="15.75" hidden="1" thickBot="1" x14ac:dyDescent="0.3">
      <c r="A733" s="226"/>
      <c r="B733" s="244"/>
      <c r="C733" s="32" t="s">
        <v>23</v>
      </c>
      <c r="D733" s="32" t="s">
        <v>12</v>
      </c>
      <c r="E733" s="33">
        <v>0.59399999999999997</v>
      </c>
      <c r="F733" s="27">
        <v>18.420500000000001</v>
      </c>
      <c r="G733" s="30">
        <f t="shared" si="12"/>
        <v>10.941777</v>
      </c>
      <c r="H733" s="31"/>
      <c r="I733" s="27"/>
      <c r="J733" s="141">
        <v>0</v>
      </c>
    </row>
    <row r="734" spans="1:10" ht="15.75" hidden="1" thickBot="1" x14ac:dyDescent="0.3">
      <c r="A734" s="226"/>
      <c r="B734" s="244"/>
      <c r="C734" s="32" t="s">
        <v>3537</v>
      </c>
      <c r="D734" s="32" t="s">
        <v>42</v>
      </c>
      <c r="E734" s="33">
        <v>8.6199999999999992</v>
      </c>
      <c r="F734" s="30">
        <v>1.6054999999999999</v>
      </c>
      <c r="G734" s="30">
        <f t="shared" si="12"/>
        <v>13.839409999999997</v>
      </c>
      <c r="H734" s="31"/>
      <c r="I734" s="27"/>
      <c r="J734" s="141">
        <v>0</v>
      </c>
    </row>
    <row r="735" spans="1:10" ht="15.75" hidden="1" thickBot="1" x14ac:dyDescent="0.3">
      <c r="A735" s="227"/>
      <c r="B735" s="230"/>
      <c r="C735" s="32"/>
      <c r="D735" s="32"/>
      <c r="E735" s="33"/>
      <c r="F735" s="27" t="s">
        <v>523</v>
      </c>
      <c r="G735" s="27" t="str">
        <f t="shared" si="12"/>
        <v/>
      </c>
      <c r="H735" s="31"/>
      <c r="I735" s="27"/>
      <c r="J735" s="141">
        <v>0</v>
      </c>
    </row>
    <row r="736" spans="1:10" ht="15.75" hidden="1" thickBot="1" x14ac:dyDescent="0.3">
      <c r="A736" s="225" t="s">
        <v>254</v>
      </c>
      <c r="B736" s="228" t="str">
        <f>INDEX(Orçamentária!A:B,MATCH(Composições!A736,Orçamentária!A:A,0),2)</f>
        <v>Mármore Branco Especial 20mm para rodabancada</v>
      </c>
      <c r="C736" s="37"/>
      <c r="D736" s="22" t="str">
        <f>TRIM(INDEX(Orçamentária!C:C,MATCH(Composições!A736,Orçamentária!A:A,0),1))</f>
        <v>m2</v>
      </c>
      <c r="E736" s="23"/>
      <c r="F736" s="38" t="s">
        <v>523</v>
      </c>
      <c r="G736" s="24" t="str">
        <f t="shared" si="12"/>
        <v/>
      </c>
      <c r="H736" s="25"/>
      <c r="I736" s="26"/>
      <c r="J736" s="141">
        <v>0</v>
      </c>
    </row>
    <row r="737" spans="1:10" ht="15.75" hidden="1" thickBot="1" x14ac:dyDescent="0.3">
      <c r="A737" s="226"/>
      <c r="B737" s="244"/>
      <c r="C737" s="28"/>
      <c r="D737" s="28"/>
      <c r="E737" s="29"/>
      <c r="F737" s="39" t="s">
        <v>523</v>
      </c>
      <c r="G737" s="27" t="str">
        <f t="shared" si="12"/>
        <v/>
      </c>
      <c r="H737" s="31"/>
      <c r="I737" s="27"/>
      <c r="J737" s="141">
        <v>0</v>
      </c>
    </row>
    <row r="738" spans="1:10" ht="26.25" hidden="1" thickBot="1" x14ac:dyDescent="0.3">
      <c r="A738" s="226"/>
      <c r="B738" s="244"/>
      <c r="C738" s="32" t="s">
        <v>255</v>
      </c>
      <c r="D738" s="32" t="s">
        <v>93</v>
      </c>
      <c r="E738" s="33">
        <f>ROUND(1.04/0.15,4)</f>
        <v>6.9333</v>
      </c>
      <c r="F738" s="30" t="s">
        <v>523</v>
      </c>
      <c r="G738" s="30" t="str">
        <f t="shared" si="12"/>
        <v/>
      </c>
      <c r="H738" s="35">
        <f>SUM(G738:G742)</f>
        <v>54.665906999999997</v>
      </c>
      <c r="I738" s="36"/>
      <c r="J738" s="141">
        <v>0</v>
      </c>
    </row>
    <row r="739" spans="1:10" ht="15.75" hidden="1" thickBot="1" x14ac:dyDescent="0.3">
      <c r="A739" s="226"/>
      <c r="B739" s="244"/>
      <c r="C739" s="32" t="s">
        <v>3537</v>
      </c>
      <c r="D739" s="32" t="s">
        <v>42</v>
      </c>
      <c r="E739" s="33">
        <v>8.6199999999999992</v>
      </c>
      <c r="F739" s="30">
        <v>1.6054999999999999</v>
      </c>
      <c r="G739" s="30">
        <f t="shared" si="12"/>
        <v>13.839409999999997</v>
      </c>
      <c r="H739" s="31"/>
      <c r="I739" s="27"/>
      <c r="J739" s="141">
        <v>0</v>
      </c>
    </row>
    <row r="740" spans="1:10" ht="15.75" hidden="1" thickBot="1" x14ac:dyDescent="0.3">
      <c r="A740" s="226"/>
      <c r="B740" s="244"/>
      <c r="C740" s="32" t="s">
        <v>54</v>
      </c>
      <c r="D740" s="32" t="s">
        <v>12</v>
      </c>
      <c r="E740" s="33">
        <v>1.1879999999999999</v>
      </c>
      <c r="F740" s="27">
        <v>24.795000000000002</v>
      </c>
      <c r="G740" s="30">
        <f t="shared" si="12"/>
        <v>29.45646</v>
      </c>
      <c r="H740" s="31"/>
      <c r="I740" s="27"/>
      <c r="J740" s="141">
        <v>0</v>
      </c>
    </row>
    <row r="741" spans="1:10" ht="15.75" hidden="1" thickBot="1" x14ac:dyDescent="0.3">
      <c r="A741" s="226"/>
      <c r="B741" s="244"/>
      <c r="C741" s="32" t="s">
        <v>23</v>
      </c>
      <c r="D741" s="32" t="s">
        <v>12</v>
      </c>
      <c r="E741" s="33">
        <v>0.59399999999999997</v>
      </c>
      <c r="F741" s="27">
        <v>18.420500000000001</v>
      </c>
      <c r="G741" s="30">
        <f t="shared" si="12"/>
        <v>10.941777</v>
      </c>
      <c r="H741" s="31"/>
      <c r="I741" s="27"/>
      <c r="J741" s="141">
        <v>0</v>
      </c>
    </row>
    <row r="742" spans="1:10" ht="15.75" hidden="1" thickBot="1" x14ac:dyDescent="0.3">
      <c r="A742" s="226"/>
      <c r="B742" s="244"/>
      <c r="C742" s="32" t="s">
        <v>3536</v>
      </c>
      <c r="D742" s="32" t="s">
        <v>42</v>
      </c>
      <c r="E742" s="33">
        <v>0.14000000000000001</v>
      </c>
      <c r="F742" s="30">
        <v>3.0590000000000002</v>
      </c>
      <c r="G742" s="30">
        <f t="shared" si="12"/>
        <v>0.42826000000000009</v>
      </c>
      <c r="H742" s="31"/>
      <c r="I742" s="27"/>
      <c r="J742" s="141">
        <v>0</v>
      </c>
    </row>
    <row r="743" spans="1:10" ht="15.75" hidden="1" thickBot="1" x14ac:dyDescent="0.3">
      <c r="A743" s="226"/>
      <c r="B743" s="244"/>
      <c r="C743" s="32"/>
      <c r="D743" s="32"/>
      <c r="E743" s="33"/>
      <c r="F743" s="30" t="s">
        <v>523</v>
      </c>
      <c r="G743" s="30" t="str">
        <f t="shared" si="12"/>
        <v/>
      </c>
      <c r="H743" s="31"/>
      <c r="I743" s="27"/>
      <c r="J743" s="141">
        <v>0</v>
      </c>
    </row>
    <row r="744" spans="1:10" ht="15.75" hidden="1" thickBot="1" x14ac:dyDescent="0.3">
      <c r="A744" s="225" t="s">
        <v>256</v>
      </c>
      <c r="B744" s="228" t="str">
        <f>INDEX(Orçamentária!A:B,MATCH(Composições!A744,Orçamentária!A:A,0),2)</f>
        <v>Instalação de divisória e porta de divisória com dobradiça reaproveitadas</v>
      </c>
      <c r="C744" s="37"/>
      <c r="D744" s="22" t="str">
        <f>TRIM(INDEX(Orçamentária!C:C,MATCH(Composições!A744,Orçamentária!A:A,0),1))</f>
        <v>m2</v>
      </c>
      <c r="E744" s="23"/>
      <c r="F744" s="38" t="s">
        <v>523</v>
      </c>
      <c r="G744" s="24" t="str">
        <f t="shared" si="12"/>
        <v/>
      </c>
      <c r="H744" s="25"/>
      <c r="I744" s="26"/>
      <c r="J744" s="141">
        <v>0</v>
      </c>
    </row>
    <row r="745" spans="1:10" ht="15.75" hidden="1" thickBot="1" x14ac:dyDescent="0.3">
      <c r="A745" s="226"/>
      <c r="B745" s="244"/>
      <c r="C745" s="28"/>
      <c r="D745" s="28"/>
      <c r="E745" s="29"/>
      <c r="F745" s="39" t="s">
        <v>523</v>
      </c>
      <c r="G745" s="27" t="str">
        <f t="shared" si="12"/>
        <v/>
      </c>
      <c r="H745" s="31"/>
      <c r="I745" s="27"/>
      <c r="J745" s="141">
        <v>0</v>
      </c>
    </row>
    <row r="746" spans="1:10" ht="26.25" hidden="1" thickBot="1" x14ac:dyDescent="0.3">
      <c r="A746" s="226"/>
      <c r="B746" s="244"/>
      <c r="C746" s="32" t="s">
        <v>257</v>
      </c>
      <c r="D746" s="43" t="s">
        <v>95</v>
      </c>
      <c r="E746" s="33">
        <v>1</v>
      </c>
      <c r="F746" s="27">
        <v>0.95</v>
      </c>
      <c r="G746" s="30">
        <f t="shared" si="12"/>
        <v>0.95</v>
      </c>
      <c r="H746" s="35">
        <f>SUM(G746:G746)</f>
        <v>0.95</v>
      </c>
      <c r="I746" s="36"/>
      <c r="J746" s="141">
        <v>0</v>
      </c>
    </row>
    <row r="747" spans="1:10" ht="15.75" hidden="1" thickBot="1" x14ac:dyDescent="0.3">
      <c r="A747" s="227"/>
      <c r="B747" s="230"/>
      <c r="C747" s="32"/>
      <c r="D747" s="32"/>
      <c r="E747" s="33"/>
      <c r="F747" s="27" t="s">
        <v>523</v>
      </c>
      <c r="G747" s="27" t="str">
        <f t="shared" si="12"/>
        <v/>
      </c>
      <c r="H747" s="31"/>
      <c r="I747" s="27"/>
      <c r="J747" s="141">
        <v>0</v>
      </c>
    </row>
    <row r="748" spans="1:10" ht="15.75" hidden="1" thickBot="1" x14ac:dyDescent="0.3">
      <c r="A748" s="225" t="s">
        <v>258</v>
      </c>
      <c r="B748" s="228" t="str">
        <f>INDEX(Orçamentária!A:B,MATCH(Composições!A748,Orçamentária!A:A,0),2)</f>
        <v>Alçapão em forro de gesso acartonado</v>
      </c>
      <c r="C748" s="37"/>
      <c r="D748" s="22" t="str">
        <f>TRIM(INDEX(Orçamentária!C:C,MATCH(Composições!A748,Orçamentária!A:A,0),1))</f>
        <v>m2</v>
      </c>
      <c r="E748" s="23"/>
      <c r="F748" s="38" t="s">
        <v>523</v>
      </c>
      <c r="G748" s="24" t="str">
        <f t="shared" si="12"/>
        <v/>
      </c>
      <c r="H748" s="25"/>
      <c r="I748" s="26"/>
      <c r="J748" s="141">
        <v>0</v>
      </c>
    </row>
    <row r="749" spans="1:10" ht="15.75" hidden="1" thickBot="1" x14ac:dyDescent="0.3">
      <c r="A749" s="226"/>
      <c r="B749" s="244"/>
      <c r="C749" s="28"/>
      <c r="D749" s="28"/>
      <c r="E749" s="29"/>
      <c r="F749" s="39" t="s">
        <v>523</v>
      </c>
      <c r="G749" s="27" t="str">
        <f t="shared" si="12"/>
        <v/>
      </c>
      <c r="H749" s="31"/>
      <c r="I749" s="27"/>
      <c r="J749" s="141">
        <v>0</v>
      </c>
    </row>
    <row r="750" spans="1:10" ht="26.25" hidden="1" thickBot="1" x14ac:dyDescent="0.3">
      <c r="A750" s="226"/>
      <c r="B750" s="244"/>
      <c r="C750" s="32" t="s">
        <v>259</v>
      </c>
      <c r="D750" s="43" t="s">
        <v>93</v>
      </c>
      <c r="E750" s="33">
        <f>2*(1.5+0.67)</f>
        <v>4.34</v>
      </c>
      <c r="F750" s="30">
        <v>4.8165000000000004</v>
      </c>
      <c r="G750" s="30">
        <f t="shared" si="12"/>
        <v>20.90361</v>
      </c>
      <c r="H750" s="35">
        <f>SUM(G750:G753)</f>
        <v>64.071610000000007</v>
      </c>
      <c r="I750" s="36"/>
      <c r="J750" s="141">
        <v>0</v>
      </c>
    </row>
    <row r="751" spans="1:10" ht="15.75" hidden="1" thickBot="1" x14ac:dyDescent="0.3">
      <c r="A751" s="226"/>
      <c r="B751" s="244"/>
      <c r="C751" s="32" t="s">
        <v>260</v>
      </c>
      <c r="D751" s="43" t="s">
        <v>95</v>
      </c>
      <c r="E751" s="33">
        <f>0.36/0.6/0.6</f>
        <v>1</v>
      </c>
      <c r="F751" s="30" t="s">
        <v>523</v>
      </c>
      <c r="G751" s="30" t="str">
        <f t="shared" si="12"/>
        <v/>
      </c>
      <c r="H751" s="31"/>
      <c r="I751" s="27"/>
      <c r="J751" s="141">
        <v>0</v>
      </c>
    </row>
    <row r="752" spans="1:10" ht="15.75" hidden="1" thickBot="1" x14ac:dyDescent="0.3">
      <c r="A752" s="226"/>
      <c r="B752" s="244"/>
      <c r="C752" s="32" t="s">
        <v>180</v>
      </c>
      <c r="D752" s="43" t="s">
        <v>12</v>
      </c>
      <c r="E752" s="33">
        <v>1</v>
      </c>
      <c r="F752" s="27">
        <v>24.747499999999999</v>
      </c>
      <c r="G752" s="30">
        <f t="shared" si="12"/>
        <v>24.747499999999999</v>
      </c>
      <c r="H752" s="31"/>
      <c r="I752" s="27"/>
      <c r="J752" s="141">
        <v>0</v>
      </c>
    </row>
    <row r="753" spans="1:10" ht="15.75" hidden="1" thickBot="1" x14ac:dyDescent="0.3">
      <c r="A753" s="226"/>
      <c r="B753" s="244"/>
      <c r="C753" s="32" t="s">
        <v>23</v>
      </c>
      <c r="D753" s="43" t="s">
        <v>12</v>
      </c>
      <c r="E753" s="33">
        <v>1</v>
      </c>
      <c r="F753" s="27">
        <v>18.420500000000001</v>
      </c>
      <c r="G753" s="30">
        <f t="shared" si="12"/>
        <v>18.420500000000001</v>
      </c>
      <c r="H753" s="31"/>
      <c r="I753" s="27"/>
      <c r="J753" s="141">
        <v>0</v>
      </c>
    </row>
    <row r="754" spans="1:10" ht="15.75" hidden="1" thickBot="1" x14ac:dyDescent="0.3">
      <c r="A754" s="227"/>
      <c r="B754" s="230"/>
      <c r="C754" s="32"/>
      <c r="D754" s="32"/>
      <c r="E754" s="33"/>
      <c r="F754" s="27" t="s">
        <v>523</v>
      </c>
      <c r="G754" s="27" t="str">
        <f t="shared" si="12"/>
        <v/>
      </c>
      <c r="H754" s="31"/>
      <c r="I754" s="27"/>
      <c r="J754" s="141">
        <v>0</v>
      </c>
    </row>
    <row r="755" spans="1:10" ht="15.75" hidden="1" thickBot="1" x14ac:dyDescent="0.3">
      <c r="A755" s="225" t="s">
        <v>261</v>
      </c>
      <c r="B755" s="228" t="str">
        <f>INDEX(Orçamentária!A:B,MATCH(Composições!A755,Orçamentária!A:A,0),2)</f>
        <v>Forro de PVC em réguas de 100 x 6000mm</v>
      </c>
      <c r="C755" s="37"/>
      <c r="D755" s="22" t="str">
        <f>TRIM(INDEX(Orçamentária!C:C,MATCH(Composições!A755,Orçamentária!A:A,0),1))</f>
        <v>m2</v>
      </c>
      <c r="E755" s="23"/>
      <c r="F755" s="38" t="s">
        <v>523</v>
      </c>
      <c r="G755" s="24" t="str">
        <f t="shared" si="12"/>
        <v/>
      </c>
      <c r="H755" s="25"/>
      <c r="I755" s="26"/>
      <c r="J755" s="141">
        <v>0</v>
      </c>
    </row>
    <row r="756" spans="1:10" ht="15.75" hidden="1" thickBot="1" x14ac:dyDescent="0.3">
      <c r="A756" s="226"/>
      <c r="B756" s="244"/>
      <c r="C756" s="28"/>
      <c r="D756" s="28"/>
      <c r="E756" s="29"/>
      <c r="F756" s="39" t="s">
        <v>523</v>
      </c>
      <c r="G756" s="27" t="str">
        <f t="shared" si="12"/>
        <v/>
      </c>
      <c r="H756" s="31"/>
      <c r="I756" s="27"/>
      <c r="J756" s="141">
        <v>0</v>
      </c>
    </row>
    <row r="757" spans="1:10" ht="26.25" hidden="1" thickBot="1" x14ac:dyDescent="0.3">
      <c r="A757" s="226"/>
      <c r="B757" s="244"/>
      <c r="C757" s="32" t="s">
        <v>262</v>
      </c>
      <c r="D757" s="43" t="s">
        <v>42</v>
      </c>
      <c r="E757" s="33">
        <v>4.2599999999999999E-2</v>
      </c>
      <c r="F757" s="30">
        <v>26.257999999999999</v>
      </c>
      <c r="G757" s="27">
        <f t="shared" si="12"/>
        <v>1.1185908</v>
      </c>
      <c r="H757" s="35">
        <f>SUM(G757:G764)</f>
        <v>63.794827499999997</v>
      </c>
      <c r="I757" s="36"/>
      <c r="J757" s="141">
        <v>0</v>
      </c>
    </row>
    <row r="758" spans="1:10" ht="26.25" hidden="1" thickBot="1" x14ac:dyDescent="0.3">
      <c r="A758" s="226"/>
      <c r="B758" s="244"/>
      <c r="C758" s="32" t="s">
        <v>263</v>
      </c>
      <c r="D758" s="43" t="s">
        <v>95</v>
      </c>
      <c r="E758" s="33">
        <v>1.0955999999999999</v>
      </c>
      <c r="F758" s="30">
        <v>23.75</v>
      </c>
      <c r="G758" s="27">
        <f t="shared" si="12"/>
        <v>26.020499999999998</v>
      </c>
      <c r="H758" s="31"/>
      <c r="I758" s="27"/>
      <c r="J758" s="141">
        <v>0</v>
      </c>
    </row>
    <row r="759" spans="1:10" ht="26.25" hidden="1" thickBot="1" x14ac:dyDescent="0.3">
      <c r="A759" s="226"/>
      <c r="B759" s="244"/>
      <c r="C759" s="32" t="s">
        <v>264</v>
      </c>
      <c r="D759" s="43" t="s">
        <v>93</v>
      </c>
      <c r="E759" s="33">
        <v>3.8498999999999999</v>
      </c>
      <c r="F759" s="30">
        <v>5.7379999999999995</v>
      </c>
      <c r="G759" s="27">
        <f t="shared" si="12"/>
        <v>22.090726199999999</v>
      </c>
      <c r="H759" s="31"/>
      <c r="I759" s="27"/>
      <c r="J759" s="141">
        <v>0</v>
      </c>
    </row>
    <row r="760" spans="1:10" ht="26.25" hidden="1" thickBot="1" x14ac:dyDescent="0.3">
      <c r="A760" s="226"/>
      <c r="B760" s="244"/>
      <c r="C760" s="32" t="s">
        <v>265</v>
      </c>
      <c r="D760" s="43" t="s">
        <v>20</v>
      </c>
      <c r="E760" s="33">
        <v>1.3265</v>
      </c>
      <c r="F760" s="30">
        <v>2.1564999999999999</v>
      </c>
      <c r="G760" s="27">
        <f t="shared" si="12"/>
        <v>2.8605972499999996</v>
      </c>
      <c r="H760" s="31"/>
      <c r="I760" s="27"/>
      <c r="J760" s="141">
        <v>0</v>
      </c>
    </row>
    <row r="761" spans="1:10" ht="26.25" hidden="1" thickBot="1" x14ac:dyDescent="0.3">
      <c r="A761" s="226"/>
      <c r="B761" s="244"/>
      <c r="C761" s="32" t="s">
        <v>162</v>
      </c>
      <c r="D761" s="43" t="s">
        <v>20</v>
      </c>
      <c r="E761" s="33">
        <v>2.1911999999999998</v>
      </c>
      <c r="F761" s="30">
        <v>0.2185</v>
      </c>
      <c r="G761" s="27">
        <f t="shared" si="12"/>
        <v>0.47877719999999996</v>
      </c>
      <c r="H761" s="31"/>
      <c r="I761" s="27"/>
      <c r="J761" s="141">
        <v>0</v>
      </c>
    </row>
    <row r="762" spans="1:10" ht="26.25" hidden="1" thickBot="1" x14ac:dyDescent="0.3">
      <c r="A762" s="226"/>
      <c r="B762" s="244"/>
      <c r="C762" s="32" t="s">
        <v>266</v>
      </c>
      <c r="D762" s="43" t="s">
        <v>153</v>
      </c>
      <c r="E762" s="33">
        <v>1.32E-2</v>
      </c>
      <c r="F762" s="30">
        <v>25.1845</v>
      </c>
      <c r="G762" s="27">
        <f t="shared" si="12"/>
        <v>0.33243539999999999</v>
      </c>
      <c r="H762" s="31"/>
      <c r="I762" s="27"/>
      <c r="J762" s="141">
        <v>0</v>
      </c>
    </row>
    <row r="763" spans="1:10" ht="26.25" hidden="1" thickBot="1" x14ac:dyDescent="0.3">
      <c r="A763" s="226"/>
      <c r="B763" s="244"/>
      <c r="C763" s="32" t="s">
        <v>267</v>
      </c>
      <c r="D763" s="43" t="s">
        <v>153</v>
      </c>
      <c r="E763" s="33">
        <v>3.3300000000000003E-2</v>
      </c>
      <c r="F763" s="30">
        <v>43.177500000000002</v>
      </c>
      <c r="G763" s="27">
        <f t="shared" si="12"/>
        <v>1.4378107500000001</v>
      </c>
      <c r="H763" s="31"/>
      <c r="I763" s="27"/>
      <c r="J763" s="141">
        <v>0</v>
      </c>
    </row>
    <row r="764" spans="1:10" ht="15.75" hidden="1" thickBot="1" x14ac:dyDescent="0.3">
      <c r="A764" s="226"/>
      <c r="B764" s="244"/>
      <c r="C764" s="32" t="s">
        <v>27</v>
      </c>
      <c r="D764" s="43" t="s">
        <v>12</v>
      </c>
      <c r="E764" s="33">
        <v>0.49940000000000001</v>
      </c>
      <c r="F764" s="27">
        <v>18.933499999999999</v>
      </c>
      <c r="G764" s="27">
        <f t="shared" si="12"/>
        <v>9.4553899000000001</v>
      </c>
      <c r="H764" s="31"/>
      <c r="I764" s="27"/>
      <c r="J764" s="141">
        <v>0</v>
      </c>
    </row>
    <row r="765" spans="1:10" ht="15.75" hidden="1" thickBot="1" x14ac:dyDescent="0.3">
      <c r="A765" s="227"/>
      <c r="B765" s="230"/>
      <c r="C765" s="32"/>
      <c r="D765" s="32"/>
      <c r="E765" s="33"/>
      <c r="F765" s="27" t="s">
        <v>523</v>
      </c>
      <c r="G765" s="27" t="str">
        <f t="shared" si="12"/>
        <v/>
      </c>
      <c r="H765" s="31"/>
      <c r="I765" s="27"/>
      <c r="J765" s="141">
        <v>0</v>
      </c>
    </row>
    <row r="766" spans="1:10" ht="15.75" thickBot="1" x14ac:dyDescent="0.3">
      <c r="A766" s="225" t="s">
        <v>268</v>
      </c>
      <c r="B766" s="228" t="str">
        <f>INDEX(Orçamentária!A:B,MATCH(Composições!A766,Orçamentária!A:A,0),2)</f>
        <v>Forro de PVC em réguas de 100 x 6000mm, sem estrutura</v>
      </c>
      <c r="C766" s="37"/>
      <c r="D766" s="22" t="str">
        <f>TRIM(INDEX(Orçamentária!C:C,MATCH(Composições!A766,Orçamentária!A:A,0),1))</f>
        <v>m2</v>
      </c>
      <c r="E766" s="23"/>
      <c r="F766" s="38" t="s">
        <v>523</v>
      </c>
      <c r="G766" s="24" t="str">
        <f t="shared" si="12"/>
        <v/>
      </c>
      <c r="H766" s="25"/>
      <c r="I766" s="26"/>
      <c r="J766" s="141">
        <v>1</v>
      </c>
    </row>
    <row r="767" spans="1:10" x14ac:dyDescent="0.25">
      <c r="A767" s="226"/>
      <c r="B767" s="244"/>
      <c r="C767" s="28"/>
      <c r="D767" s="28"/>
      <c r="E767" s="29"/>
      <c r="F767" s="39" t="s">
        <v>523</v>
      </c>
      <c r="G767" s="27" t="str">
        <f t="shared" si="12"/>
        <v/>
      </c>
      <c r="H767" s="31"/>
      <c r="I767" s="27"/>
      <c r="J767" s="141">
        <v>1</v>
      </c>
    </row>
    <row r="768" spans="1:10" ht="25.5" x14ac:dyDescent="0.25">
      <c r="A768" s="226"/>
      <c r="B768" s="244"/>
      <c r="C768" s="32" t="s">
        <v>263</v>
      </c>
      <c r="D768" s="43" t="s">
        <v>95</v>
      </c>
      <c r="E768" s="33">
        <v>1.0955999999999999</v>
      </c>
      <c r="F768" s="30">
        <v>23.75</v>
      </c>
      <c r="G768" s="27">
        <f t="shared" si="12"/>
        <v>26.020499999999998</v>
      </c>
      <c r="H768" s="35">
        <f>SUM(G768:G770)</f>
        <v>29.3355155</v>
      </c>
      <c r="I768" s="36"/>
      <c r="J768" s="141">
        <v>1</v>
      </c>
    </row>
    <row r="769" spans="1:10" ht="25.5" x14ac:dyDescent="0.25">
      <c r="A769" s="226"/>
      <c r="B769" s="244"/>
      <c r="C769" s="32" t="s">
        <v>162</v>
      </c>
      <c r="D769" s="43" t="s">
        <v>20</v>
      </c>
      <c r="E769" s="33">
        <v>2.1911999999999998</v>
      </c>
      <c r="F769" s="30">
        <v>0.2185</v>
      </c>
      <c r="G769" s="30">
        <f t="shared" si="12"/>
        <v>0.47877719999999996</v>
      </c>
      <c r="H769" s="40"/>
      <c r="I769" s="36"/>
      <c r="J769" s="141">
        <v>1</v>
      </c>
    </row>
    <row r="770" spans="1:10" x14ac:dyDescent="0.25">
      <c r="A770" s="226"/>
      <c r="B770" s="244"/>
      <c r="C770" s="32" t="s">
        <v>27</v>
      </c>
      <c r="D770" s="43" t="s">
        <v>12</v>
      </c>
      <c r="E770" s="33">
        <f>ROUND(0.4994*0.3,4)</f>
        <v>0.14979999999999999</v>
      </c>
      <c r="F770" s="27">
        <v>18.933499999999999</v>
      </c>
      <c r="G770" s="30">
        <f t="shared" si="12"/>
        <v>2.8362382999999998</v>
      </c>
      <c r="H770" s="31"/>
      <c r="I770" s="27"/>
      <c r="J770" s="141">
        <v>1</v>
      </c>
    </row>
    <row r="771" spans="1:10" ht="15.75" thickBot="1" x14ac:dyDescent="0.3">
      <c r="A771" s="227"/>
      <c r="B771" s="230"/>
      <c r="C771" s="32"/>
      <c r="D771" s="32"/>
      <c r="E771" s="33"/>
      <c r="F771" s="27" t="s">
        <v>523</v>
      </c>
      <c r="G771" s="27" t="str">
        <f t="shared" si="12"/>
        <v/>
      </c>
      <c r="H771" s="31"/>
      <c r="I771" s="27"/>
      <c r="J771" s="141">
        <v>1</v>
      </c>
    </row>
    <row r="772" spans="1:10" ht="15.75" hidden="1" thickBot="1" x14ac:dyDescent="0.3">
      <c r="A772" s="225" t="s">
        <v>269</v>
      </c>
      <c r="B772" s="228" t="str">
        <f>INDEX(Orçamentária!A:B,MATCH(Composições!A772,Orçamentária!A:A,0),2)</f>
        <v>Forro de PVC modular em placas</v>
      </c>
      <c r="C772" s="37"/>
      <c r="D772" s="22" t="str">
        <f>TRIM(INDEX(Orçamentária!C:C,MATCH(Composições!A772,Orçamentária!A:A,0),1))</f>
        <v>m2</v>
      </c>
      <c r="E772" s="23"/>
      <c r="F772" s="38" t="s">
        <v>523</v>
      </c>
      <c r="G772" s="24" t="str">
        <f t="shared" si="12"/>
        <v/>
      </c>
      <c r="H772" s="25"/>
      <c r="I772" s="26"/>
      <c r="J772" s="141">
        <v>0</v>
      </c>
    </row>
    <row r="773" spans="1:10" ht="15.75" hidden="1" thickBot="1" x14ac:dyDescent="0.3">
      <c r="A773" s="231"/>
      <c r="B773" s="244"/>
      <c r="C773" s="28"/>
      <c r="D773" s="28"/>
      <c r="E773" s="29"/>
      <c r="F773" s="39" t="s">
        <v>523</v>
      </c>
      <c r="G773" s="27" t="str">
        <f t="shared" si="12"/>
        <v/>
      </c>
      <c r="H773" s="31"/>
      <c r="I773" s="27"/>
      <c r="J773" s="141">
        <v>0</v>
      </c>
    </row>
    <row r="774" spans="1:10" ht="26.25" hidden="1" thickBot="1" x14ac:dyDescent="0.3">
      <c r="A774" s="231"/>
      <c r="B774" s="244"/>
      <c r="C774" s="32" t="s">
        <v>262</v>
      </c>
      <c r="D774" s="43" t="s">
        <v>42</v>
      </c>
      <c r="E774" s="33">
        <v>4.2599999999999999E-2</v>
      </c>
      <c r="F774" s="30">
        <v>26.257999999999999</v>
      </c>
      <c r="G774" s="27">
        <f t="shared" si="12"/>
        <v>1.1185908</v>
      </c>
      <c r="H774" s="35">
        <f>SUM(G774:G781)</f>
        <v>37.774327499999998</v>
      </c>
      <c r="I774" s="36"/>
      <c r="J774" s="141">
        <v>0</v>
      </c>
    </row>
    <row r="775" spans="1:10" ht="15.75" hidden="1" thickBot="1" x14ac:dyDescent="0.3">
      <c r="A775" s="231"/>
      <c r="B775" s="244"/>
      <c r="C775" s="32" t="s">
        <v>270</v>
      </c>
      <c r="D775" s="43" t="s">
        <v>95</v>
      </c>
      <c r="E775" s="33">
        <v>1.0955999999999999</v>
      </c>
      <c r="F775" s="30" t="s">
        <v>523</v>
      </c>
      <c r="G775" s="27" t="str">
        <f t="shared" si="12"/>
        <v/>
      </c>
      <c r="H775" s="31"/>
      <c r="I775" s="27"/>
      <c r="J775" s="141">
        <v>0</v>
      </c>
    </row>
    <row r="776" spans="1:10" ht="26.25" hidden="1" thickBot="1" x14ac:dyDescent="0.3">
      <c r="A776" s="231"/>
      <c r="B776" s="244"/>
      <c r="C776" s="32" t="s">
        <v>264</v>
      </c>
      <c r="D776" s="43" t="s">
        <v>93</v>
      </c>
      <c r="E776" s="33">
        <v>3.8498999999999999</v>
      </c>
      <c r="F776" s="30">
        <v>5.7379999999999995</v>
      </c>
      <c r="G776" s="27">
        <f t="shared" si="12"/>
        <v>22.090726199999999</v>
      </c>
      <c r="H776" s="31"/>
      <c r="I776" s="27"/>
      <c r="J776" s="141">
        <v>0</v>
      </c>
    </row>
    <row r="777" spans="1:10" ht="26.25" hidden="1" thickBot="1" x14ac:dyDescent="0.3">
      <c r="A777" s="231"/>
      <c r="B777" s="244"/>
      <c r="C777" s="32" t="s">
        <v>265</v>
      </c>
      <c r="D777" s="43" t="s">
        <v>20</v>
      </c>
      <c r="E777" s="33">
        <v>1.3265</v>
      </c>
      <c r="F777" s="30">
        <v>2.1564999999999999</v>
      </c>
      <c r="G777" s="27">
        <f t="shared" si="12"/>
        <v>2.8605972499999996</v>
      </c>
      <c r="H777" s="31"/>
      <c r="I777" s="27"/>
      <c r="J777" s="141">
        <v>0</v>
      </c>
    </row>
    <row r="778" spans="1:10" ht="26.25" hidden="1" thickBot="1" x14ac:dyDescent="0.3">
      <c r="A778" s="231"/>
      <c r="B778" s="244"/>
      <c r="C778" s="32" t="s">
        <v>162</v>
      </c>
      <c r="D778" s="43" t="s">
        <v>20</v>
      </c>
      <c r="E778" s="33">
        <v>2.1911999999999998</v>
      </c>
      <c r="F778" s="30">
        <v>0.2185</v>
      </c>
      <c r="G778" s="27">
        <f t="shared" si="12"/>
        <v>0.47877719999999996</v>
      </c>
      <c r="H778" s="31"/>
      <c r="I778" s="27"/>
      <c r="J778" s="141">
        <v>0</v>
      </c>
    </row>
    <row r="779" spans="1:10" ht="26.25" hidden="1" thickBot="1" x14ac:dyDescent="0.3">
      <c r="A779" s="231"/>
      <c r="B779" s="244"/>
      <c r="C779" s="32" t="s">
        <v>266</v>
      </c>
      <c r="D779" s="43" t="s">
        <v>153</v>
      </c>
      <c r="E779" s="33">
        <v>1.32E-2</v>
      </c>
      <c r="F779" s="30">
        <v>25.1845</v>
      </c>
      <c r="G779" s="27">
        <f t="shared" si="12"/>
        <v>0.33243539999999999</v>
      </c>
      <c r="H779" s="31"/>
      <c r="I779" s="27"/>
      <c r="J779" s="141">
        <v>0</v>
      </c>
    </row>
    <row r="780" spans="1:10" ht="26.25" hidden="1" thickBot="1" x14ac:dyDescent="0.3">
      <c r="A780" s="231"/>
      <c r="B780" s="244"/>
      <c r="C780" s="32" t="s">
        <v>267</v>
      </c>
      <c r="D780" s="43" t="s">
        <v>153</v>
      </c>
      <c r="E780" s="33">
        <v>3.3300000000000003E-2</v>
      </c>
      <c r="F780" s="30">
        <v>43.177500000000002</v>
      </c>
      <c r="G780" s="27">
        <f t="shared" si="12"/>
        <v>1.4378107500000001</v>
      </c>
      <c r="H780" s="31"/>
      <c r="I780" s="27"/>
      <c r="J780" s="141">
        <v>0</v>
      </c>
    </row>
    <row r="781" spans="1:10" ht="15.75" hidden="1" thickBot="1" x14ac:dyDescent="0.3">
      <c r="A781" s="231"/>
      <c r="B781" s="244"/>
      <c r="C781" s="32" t="s">
        <v>27</v>
      </c>
      <c r="D781" s="43" t="s">
        <v>12</v>
      </c>
      <c r="E781" s="33">
        <v>0.49940000000000001</v>
      </c>
      <c r="F781" s="27">
        <v>18.933499999999999</v>
      </c>
      <c r="G781" s="27">
        <f t="shared" si="12"/>
        <v>9.4553899000000001</v>
      </c>
      <c r="H781" s="31"/>
      <c r="I781" s="27"/>
      <c r="J781" s="141">
        <v>0</v>
      </c>
    </row>
    <row r="782" spans="1:10" ht="15.75" hidden="1" thickBot="1" x14ac:dyDescent="0.3">
      <c r="A782" s="232"/>
      <c r="B782" s="230"/>
      <c r="C782" s="32"/>
      <c r="D782" s="32"/>
      <c r="E782" s="33"/>
      <c r="F782" s="27" t="s">
        <v>523</v>
      </c>
      <c r="G782" s="27" t="str">
        <f t="shared" si="12"/>
        <v/>
      </c>
      <c r="H782" s="31"/>
      <c r="I782" s="27"/>
      <c r="J782" s="141">
        <v>0</v>
      </c>
    </row>
    <row r="783" spans="1:10" ht="15.75" thickBot="1" x14ac:dyDescent="0.3">
      <c r="A783" s="225" t="s">
        <v>271</v>
      </c>
      <c r="B783" s="228" t="str">
        <f>INDEX(Orçamentária!A:B,MATCH(Composições!A783,Orçamentária!A:A,0),2)</f>
        <v>Forro em chapas metálicas</v>
      </c>
      <c r="C783" s="37"/>
      <c r="D783" s="22" t="str">
        <f>TRIM(INDEX(Orçamentária!C:C,MATCH(Composições!A783,Orçamentária!A:A,0),1))</f>
        <v>m2</v>
      </c>
      <c r="E783" s="23"/>
      <c r="F783" s="38" t="s">
        <v>523</v>
      </c>
      <c r="G783" s="24" t="str">
        <f t="shared" si="12"/>
        <v/>
      </c>
      <c r="H783" s="25"/>
      <c r="I783" s="26"/>
      <c r="J783" s="141">
        <v>8</v>
      </c>
    </row>
    <row r="784" spans="1:10" x14ac:dyDescent="0.25">
      <c r="A784" s="231"/>
      <c r="B784" s="244"/>
      <c r="C784" s="28"/>
      <c r="D784" s="28"/>
      <c r="E784" s="29"/>
      <c r="F784" s="39" t="s">
        <v>523</v>
      </c>
      <c r="G784" s="27" t="str">
        <f t="shared" si="12"/>
        <v/>
      </c>
      <c r="H784" s="31"/>
      <c r="I784" s="27"/>
      <c r="J784" s="141">
        <v>8</v>
      </c>
    </row>
    <row r="785" spans="1:10" x14ac:dyDescent="0.25">
      <c r="A785" s="231"/>
      <c r="B785" s="244"/>
      <c r="C785" s="32" t="s">
        <v>52</v>
      </c>
      <c r="D785" s="43" t="s">
        <v>12</v>
      </c>
      <c r="E785" s="33">
        <v>0.5</v>
      </c>
      <c r="F785" s="30">
        <v>21.184999999999999</v>
      </c>
      <c r="G785" s="27">
        <f t="shared" si="12"/>
        <v>10.592499999999999</v>
      </c>
      <c r="H785" s="35">
        <f>SUM(G785:G788)</f>
        <v>245.06924999999998</v>
      </c>
      <c r="I785" s="36"/>
      <c r="J785" s="141">
        <v>8</v>
      </c>
    </row>
    <row r="786" spans="1:10" x14ac:dyDescent="0.25">
      <c r="A786" s="231"/>
      <c r="B786" s="244"/>
      <c r="C786" s="32" t="s">
        <v>27</v>
      </c>
      <c r="D786" s="43" t="s">
        <v>12</v>
      </c>
      <c r="E786" s="33">
        <v>0.5</v>
      </c>
      <c r="F786" s="30">
        <v>18.933499999999999</v>
      </c>
      <c r="G786" s="27">
        <f t="shared" ref="G786:G849" si="13">IF(ISNUMBER(F786),E786*F786,"")</f>
        <v>9.4667499999999993</v>
      </c>
      <c r="H786" s="31"/>
      <c r="I786" s="27"/>
      <c r="J786" s="141">
        <v>8</v>
      </c>
    </row>
    <row r="787" spans="1:10" x14ac:dyDescent="0.25">
      <c r="A787" s="231"/>
      <c r="B787" s="244"/>
      <c r="C787" s="34" t="s">
        <v>272</v>
      </c>
      <c r="D787" s="32" t="s">
        <v>95</v>
      </c>
      <c r="E787" s="33">
        <v>1</v>
      </c>
      <c r="F787" s="30">
        <v>150.01</v>
      </c>
      <c r="G787" s="27">
        <f t="shared" si="13"/>
        <v>150.01</v>
      </c>
      <c r="H787" s="31"/>
      <c r="I787" s="27"/>
      <c r="J787" s="141">
        <v>8</v>
      </c>
    </row>
    <row r="788" spans="1:10" x14ac:dyDescent="0.25">
      <c r="A788" s="231"/>
      <c r="B788" s="244"/>
      <c r="C788" s="34" t="s">
        <v>273</v>
      </c>
      <c r="D788" s="32" t="s">
        <v>95</v>
      </c>
      <c r="E788" s="33">
        <v>1</v>
      </c>
      <c r="F788" s="30">
        <v>75</v>
      </c>
      <c r="G788" s="27">
        <f t="shared" si="13"/>
        <v>75</v>
      </c>
      <c r="H788" s="31"/>
      <c r="I788" s="27"/>
      <c r="J788" s="141">
        <v>8</v>
      </c>
    </row>
    <row r="789" spans="1:10" ht="15.75" thickBot="1" x14ac:dyDescent="0.3">
      <c r="A789" s="232"/>
      <c r="B789" s="230"/>
      <c r="C789" s="32"/>
      <c r="D789" s="32"/>
      <c r="E789" s="33"/>
      <c r="F789" s="27" t="s">
        <v>523</v>
      </c>
      <c r="G789" s="27" t="str">
        <f t="shared" si="13"/>
        <v/>
      </c>
      <c r="H789" s="31"/>
      <c r="I789" s="27"/>
      <c r="J789" s="141">
        <v>8</v>
      </c>
    </row>
    <row r="790" spans="1:10" ht="15.75" thickBot="1" x14ac:dyDescent="0.3">
      <c r="A790" s="225" t="s">
        <v>274</v>
      </c>
      <c r="B790" s="228" t="str">
        <f>INDEX(Orçamentária!A:B,MATCH(Composições!A790,Orçamentária!A:A,0),2)</f>
        <v>Forro em gesso acartonado monolítico</v>
      </c>
      <c r="C790" s="37"/>
      <c r="D790" s="22" t="str">
        <f>TRIM(INDEX(Orçamentária!C:C,MATCH(Composições!A790,Orçamentária!A:A,0),1))</f>
        <v>m2</v>
      </c>
      <c r="E790" s="23"/>
      <c r="F790" s="38" t="s">
        <v>523</v>
      </c>
      <c r="G790" s="24" t="str">
        <f t="shared" si="13"/>
        <v/>
      </c>
      <c r="H790" s="25"/>
      <c r="I790" s="26"/>
      <c r="J790" s="141">
        <v>30</v>
      </c>
    </row>
    <row r="791" spans="1:10" x14ac:dyDescent="0.25">
      <c r="A791" s="226"/>
      <c r="B791" s="244"/>
      <c r="C791" s="28"/>
      <c r="D791" s="28"/>
      <c r="E791" s="29"/>
      <c r="F791" s="39" t="s">
        <v>523</v>
      </c>
      <c r="G791" s="27" t="str">
        <f t="shared" si="13"/>
        <v/>
      </c>
      <c r="H791" s="31"/>
      <c r="I791" s="27"/>
      <c r="J791" s="141">
        <v>30</v>
      </c>
    </row>
    <row r="792" spans="1:10" ht="25.5" x14ac:dyDescent="0.25">
      <c r="A792" s="226"/>
      <c r="B792" s="244"/>
      <c r="C792" s="32" t="s">
        <v>262</v>
      </c>
      <c r="D792" s="43" t="s">
        <v>42</v>
      </c>
      <c r="E792" s="33">
        <v>4.2599999999999999E-2</v>
      </c>
      <c r="F792" s="30">
        <v>26.257999999999999</v>
      </c>
      <c r="G792" s="30">
        <f t="shared" si="13"/>
        <v>1.1185908</v>
      </c>
      <c r="H792" s="35">
        <f>SUM(G792:G802)</f>
        <v>66.824324300000001</v>
      </c>
      <c r="I792" s="36"/>
      <c r="J792" s="141">
        <v>30</v>
      </c>
    </row>
    <row r="793" spans="1:10" ht="25.5" x14ac:dyDescent="0.25">
      <c r="A793" s="226"/>
      <c r="B793" s="244"/>
      <c r="C793" s="32" t="s">
        <v>3707</v>
      </c>
      <c r="D793" s="43" t="s">
        <v>95</v>
      </c>
      <c r="E793" s="33">
        <v>1.0966</v>
      </c>
      <c r="F793" s="30">
        <v>18.496499999999997</v>
      </c>
      <c r="G793" s="30">
        <f t="shared" si="13"/>
        <v>20.283261899999996</v>
      </c>
      <c r="H793" s="41"/>
      <c r="I793" s="42"/>
      <c r="J793" s="141">
        <v>30</v>
      </c>
    </row>
    <row r="794" spans="1:10" ht="25.5" x14ac:dyDescent="0.25">
      <c r="A794" s="226"/>
      <c r="B794" s="244"/>
      <c r="C794" s="32" t="s">
        <v>264</v>
      </c>
      <c r="D794" s="43" t="s">
        <v>93</v>
      </c>
      <c r="E794" s="33">
        <v>3.851</v>
      </c>
      <c r="F794" s="30">
        <v>5.7379999999999995</v>
      </c>
      <c r="G794" s="30">
        <f t="shared" si="13"/>
        <v>22.097037999999998</v>
      </c>
      <c r="H794" s="41"/>
      <c r="I794" s="42"/>
      <c r="J794" s="141">
        <v>30</v>
      </c>
    </row>
    <row r="795" spans="1:10" ht="25.5" x14ac:dyDescent="0.25">
      <c r="A795" s="226"/>
      <c r="B795" s="244"/>
      <c r="C795" s="32" t="s">
        <v>265</v>
      </c>
      <c r="D795" s="43" t="s">
        <v>20</v>
      </c>
      <c r="E795" s="33">
        <v>1.3265</v>
      </c>
      <c r="F795" s="30">
        <v>2.1564999999999999</v>
      </c>
      <c r="G795" s="30">
        <f t="shared" si="13"/>
        <v>2.8605972499999996</v>
      </c>
      <c r="H795" s="41"/>
      <c r="I795" s="42"/>
      <c r="J795" s="141">
        <v>30</v>
      </c>
    </row>
    <row r="796" spans="1:10" ht="25.5" x14ac:dyDescent="0.25">
      <c r="A796" s="226"/>
      <c r="B796" s="244"/>
      <c r="C796" s="32" t="s">
        <v>160</v>
      </c>
      <c r="D796" s="43" t="s">
        <v>93</v>
      </c>
      <c r="E796" s="33">
        <v>1.4395</v>
      </c>
      <c r="F796" s="30">
        <v>2.5554999999999999</v>
      </c>
      <c r="G796" s="30">
        <f t="shared" si="13"/>
        <v>3.6786422499999998</v>
      </c>
      <c r="H796" s="41"/>
      <c r="I796" s="42"/>
      <c r="J796" s="141">
        <v>30</v>
      </c>
    </row>
    <row r="797" spans="1:10" ht="38.25" x14ac:dyDescent="0.25">
      <c r="A797" s="226"/>
      <c r="B797" s="244"/>
      <c r="C797" s="32" t="s">
        <v>3705</v>
      </c>
      <c r="D797" s="43" t="s">
        <v>42</v>
      </c>
      <c r="E797" s="33">
        <v>0.5202</v>
      </c>
      <c r="F797" s="30">
        <v>3.2014999999999998</v>
      </c>
      <c r="G797" s="30">
        <f t="shared" si="13"/>
        <v>1.6654202999999999</v>
      </c>
      <c r="H797" s="41"/>
      <c r="I797" s="42"/>
      <c r="J797" s="141">
        <v>30</v>
      </c>
    </row>
    <row r="798" spans="1:10" ht="25.5" x14ac:dyDescent="0.25">
      <c r="A798" s="226"/>
      <c r="B798" s="244"/>
      <c r="C798" s="32" t="s">
        <v>161</v>
      </c>
      <c r="D798" s="43" t="s">
        <v>20</v>
      </c>
      <c r="E798" s="33">
        <v>7.9740000000000002</v>
      </c>
      <c r="F798" s="30">
        <v>9.5000000000000001E-2</v>
      </c>
      <c r="G798" s="30">
        <f t="shared" si="13"/>
        <v>0.75753000000000004</v>
      </c>
      <c r="H798" s="41"/>
      <c r="I798" s="42"/>
      <c r="J798" s="141">
        <v>30</v>
      </c>
    </row>
    <row r="799" spans="1:10" ht="25.5" x14ac:dyDescent="0.25">
      <c r="A799" s="226"/>
      <c r="B799" s="244"/>
      <c r="C799" s="32" t="s">
        <v>162</v>
      </c>
      <c r="D799" s="43" t="s">
        <v>20</v>
      </c>
      <c r="E799" s="33">
        <v>2.1911999999999998</v>
      </c>
      <c r="F799" s="30">
        <v>0.2185</v>
      </c>
      <c r="G799" s="30">
        <f t="shared" si="13"/>
        <v>0.47877719999999996</v>
      </c>
      <c r="H799" s="41"/>
      <c r="I799" s="42"/>
      <c r="J799" s="141">
        <v>30</v>
      </c>
    </row>
    <row r="800" spans="1:10" ht="25.5" x14ac:dyDescent="0.25">
      <c r="A800" s="226"/>
      <c r="B800" s="244"/>
      <c r="C800" s="32" t="s">
        <v>266</v>
      </c>
      <c r="D800" s="43" t="s">
        <v>153</v>
      </c>
      <c r="E800" s="33">
        <v>1.32E-2</v>
      </c>
      <c r="F800" s="30">
        <v>25.1845</v>
      </c>
      <c r="G800" s="30">
        <f t="shared" si="13"/>
        <v>0.33243539999999999</v>
      </c>
      <c r="H800" s="41"/>
      <c r="I800" s="42"/>
      <c r="J800" s="141">
        <v>30</v>
      </c>
    </row>
    <row r="801" spans="1:10" x14ac:dyDescent="0.25">
      <c r="A801" s="226"/>
      <c r="B801" s="244"/>
      <c r="C801" s="32" t="s">
        <v>27</v>
      </c>
      <c r="D801" s="43" t="s">
        <v>12</v>
      </c>
      <c r="E801" s="33">
        <v>0.36280000000000001</v>
      </c>
      <c r="F801" s="27">
        <v>18.933499999999999</v>
      </c>
      <c r="G801" s="30">
        <f t="shared" si="13"/>
        <v>6.8690737999999998</v>
      </c>
      <c r="H801" s="41"/>
      <c r="I801" s="42"/>
      <c r="J801" s="141">
        <v>30</v>
      </c>
    </row>
    <row r="802" spans="1:10" x14ac:dyDescent="0.25">
      <c r="A802" s="226"/>
      <c r="B802" s="244"/>
      <c r="C802" s="32" t="s">
        <v>23</v>
      </c>
      <c r="D802" s="32" t="s">
        <v>12</v>
      </c>
      <c r="E802" s="33">
        <v>0.36280000000000001</v>
      </c>
      <c r="F802" s="27">
        <v>18.420500000000001</v>
      </c>
      <c r="G802" s="30">
        <f t="shared" si="13"/>
        <v>6.6829574000000003</v>
      </c>
      <c r="H802" s="41"/>
      <c r="I802" s="42"/>
      <c r="J802" s="141">
        <v>30</v>
      </c>
    </row>
    <row r="803" spans="1:10" ht="15.75" thickBot="1" x14ac:dyDescent="0.3">
      <c r="A803" s="227"/>
      <c r="B803" s="230"/>
      <c r="C803" s="32"/>
      <c r="D803" s="32"/>
      <c r="E803" s="33"/>
      <c r="F803" s="27" t="s">
        <v>523</v>
      </c>
      <c r="G803" s="27" t="str">
        <f t="shared" si="13"/>
        <v/>
      </c>
      <c r="H803" s="31"/>
      <c r="I803" s="27"/>
      <c r="J803" s="141">
        <v>30</v>
      </c>
    </row>
    <row r="804" spans="1:10" ht="15.75" thickBot="1" x14ac:dyDescent="0.3">
      <c r="A804" s="225" t="s">
        <v>275</v>
      </c>
      <c r="B804" s="228" t="str">
        <f>INDEX(Orçamentária!A:B,MATCH(Composições!A804,Orçamentária!A:A,0),2)</f>
        <v>Forro em gesso acartonado monolítico, sem estrutura</v>
      </c>
      <c r="C804" s="37"/>
      <c r="D804" s="22" t="str">
        <f>TRIM(INDEX(Orçamentária!C:C,MATCH(Composições!A804,Orçamentária!A:A,0),1))</f>
        <v>m2</v>
      </c>
      <c r="E804" s="23"/>
      <c r="F804" s="38" t="s">
        <v>523</v>
      </c>
      <c r="G804" s="24" t="str">
        <f t="shared" si="13"/>
        <v/>
      </c>
      <c r="H804" s="25"/>
      <c r="I804" s="26"/>
      <c r="J804" s="141">
        <v>122.3</v>
      </c>
    </row>
    <row r="805" spans="1:10" x14ac:dyDescent="0.25">
      <c r="A805" s="226"/>
      <c r="B805" s="244"/>
      <c r="C805" s="28"/>
      <c r="D805" s="28"/>
      <c r="E805" s="29"/>
      <c r="F805" s="39" t="s">
        <v>523</v>
      </c>
      <c r="G805" s="27" t="str">
        <f t="shared" si="13"/>
        <v/>
      </c>
      <c r="H805" s="31"/>
      <c r="I805" s="27"/>
      <c r="J805" s="141">
        <v>122.3</v>
      </c>
    </row>
    <row r="806" spans="1:10" ht="25.5" x14ac:dyDescent="0.25">
      <c r="A806" s="226"/>
      <c r="B806" s="244"/>
      <c r="C806" s="32" t="s">
        <v>3707</v>
      </c>
      <c r="D806" s="43" t="s">
        <v>95</v>
      </c>
      <c r="E806" s="33">
        <v>1.0966</v>
      </c>
      <c r="F806" s="30">
        <v>18.496499999999997</v>
      </c>
      <c r="G806" s="30">
        <f t="shared" si="13"/>
        <v>20.283261899999996</v>
      </c>
      <c r="H806" s="35">
        <f>SUM(G806:G812)</f>
        <v>40.415662849999997</v>
      </c>
      <c r="I806" s="36"/>
      <c r="J806" s="141">
        <v>122.3</v>
      </c>
    </row>
    <row r="807" spans="1:10" ht="25.5" x14ac:dyDescent="0.25">
      <c r="A807" s="226"/>
      <c r="B807" s="244"/>
      <c r="C807" s="32" t="s">
        <v>160</v>
      </c>
      <c r="D807" s="43" t="s">
        <v>93</v>
      </c>
      <c r="E807" s="33">
        <v>1.4395</v>
      </c>
      <c r="F807" s="30">
        <v>2.5554999999999999</v>
      </c>
      <c r="G807" s="30">
        <f t="shared" si="13"/>
        <v>3.6786422499999998</v>
      </c>
      <c r="H807" s="41"/>
      <c r="I807" s="42"/>
      <c r="J807" s="141">
        <v>122.3</v>
      </c>
    </row>
    <row r="808" spans="1:10" ht="38.25" x14ac:dyDescent="0.25">
      <c r="A808" s="226"/>
      <c r="B808" s="244"/>
      <c r="C808" s="32" t="s">
        <v>3705</v>
      </c>
      <c r="D808" s="43" t="s">
        <v>42</v>
      </c>
      <c r="E808" s="33">
        <v>0.5202</v>
      </c>
      <c r="F808" s="30">
        <v>3.2014999999999998</v>
      </c>
      <c r="G808" s="30">
        <f t="shared" si="13"/>
        <v>1.6654202999999999</v>
      </c>
      <c r="H808" s="41"/>
      <c r="I808" s="42"/>
      <c r="J808" s="141">
        <v>122.3</v>
      </c>
    </row>
    <row r="809" spans="1:10" ht="25.5" x14ac:dyDescent="0.25">
      <c r="A809" s="226"/>
      <c r="B809" s="244"/>
      <c r="C809" s="32" t="s">
        <v>161</v>
      </c>
      <c r="D809" s="43" t="s">
        <v>20</v>
      </c>
      <c r="E809" s="33">
        <v>7.9740000000000002</v>
      </c>
      <c r="F809" s="30">
        <v>9.5000000000000001E-2</v>
      </c>
      <c r="G809" s="30">
        <f t="shared" si="13"/>
        <v>0.75753000000000004</v>
      </c>
      <c r="H809" s="41"/>
      <c r="I809" s="42"/>
      <c r="J809" s="141">
        <v>122.3</v>
      </c>
    </row>
    <row r="810" spans="1:10" ht="25.5" x14ac:dyDescent="0.25">
      <c r="A810" s="226"/>
      <c r="B810" s="244"/>
      <c r="C810" s="32" t="s">
        <v>162</v>
      </c>
      <c r="D810" s="43" t="s">
        <v>20</v>
      </c>
      <c r="E810" s="33">
        <v>2.1911999999999998</v>
      </c>
      <c r="F810" s="30">
        <v>0.2185</v>
      </c>
      <c r="G810" s="30">
        <f t="shared" si="13"/>
        <v>0.47877719999999996</v>
      </c>
      <c r="H810" s="41"/>
      <c r="I810" s="42"/>
      <c r="J810" s="141">
        <v>122.3</v>
      </c>
    </row>
    <row r="811" spans="1:10" x14ac:dyDescent="0.25">
      <c r="A811" s="226"/>
      <c r="B811" s="244"/>
      <c r="C811" s="32" t="s">
        <v>27</v>
      </c>
      <c r="D811" s="43" t="s">
        <v>12</v>
      </c>
      <c r="E811" s="33">
        <v>0.36280000000000001</v>
      </c>
      <c r="F811" s="27">
        <v>18.933499999999999</v>
      </c>
      <c r="G811" s="30">
        <f t="shared" si="13"/>
        <v>6.8690737999999998</v>
      </c>
      <c r="H811" s="41"/>
      <c r="I811" s="42"/>
      <c r="J811" s="141">
        <v>122.3</v>
      </c>
    </row>
    <row r="812" spans="1:10" x14ac:dyDescent="0.25">
      <c r="A812" s="226"/>
      <c r="B812" s="244"/>
      <c r="C812" s="32" t="s">
        <v>23</v>
      </c>
      <c r="D812" s="32" t="s">
        <v>12</v>
      </c>
      <c r="E812" s="33">
        <v>0.36280000000000001</v>
      </c>
      <c r="F812" s="27">
        <v>18.420500000000001</v>
      </c>
      <c r="G812" s="30">
        <f t="shared" si="13"/>
        <v>6.6829574000000003</v>
      </c>
      <c r="H812" s="41"/>
      <c r="I812" s="42"/>
      <c r="J812" s="141">
        <v>122.3</v>
      </c>
    </row>
    <row r="813" spans="1:10" ht="15.75" thickBot="1" x14ac:dyDescent="0.3">
      <c r="A813" s="227"/>
      <c r="B813" s="230"/>
      <c r="C813" s="32"/>
      <c r="D813" s="32"/>
      <c r="E813" s="33"/>
      <c r="F813" s="27" t="s">
        <v>523</v>
      </c>
      <c r="G813" s="27" t="str">
        <f t="shared" si="13"/>
        <v/>
      </c>
      <c r="H813" s="31"/>
      <c r="I813" s="27"/>
      <c r="J813" s="141">
        <v>122.3</v>
      </c>
    </row>
    <row r="814" spans="1:10" ht="15.75" hidden="1" thickBot="1" x14ac:dyDescent="0.3">
      <c r="A814" s="225" t="s">
        <v>276</v>
      </c>
      <c r="B814" s="228" t="str">
        <f>INDEX(Orçamentária!A:B,MATCH(Composições!A814,Orçamentária!A:A,0),2)</f>
        <v>Forro mineral modulado</v>
      </c>
      <c r="C814" s="37"/>
      <c r="D814" s="22" t="str">
        <f>TRIM(INDEX(Orçamentária!C:C,MATCH(Composições!A814,Orçamentária!A:A,0),1))</f>
        <v>m2</v>
      </c>
      <c r="E814" s="23"/>
      <c r="F814" s="38" t="s">
        <v>523</v>
      </c>
      <c r="G814" s="24" t="str">
        <f t="shared" si="13"/>
        <v/>
      </c>
      <c r="H814" s="25"/>
      <c r="I814" s="26"/>
      <c r="J814" s="141">
        <v>0</v>
      </c>
    </row>
    <row r="815" spans="1:10" ht="15.75" hidden="1" thickBot="1" x14ac:dyDescent="0.3">
      <c r="A815" s="226"/>
      <c r="B815" s="244"/>
      <c r="C815" s="28"/>
      <c r="D815" s="28"/>
      <c r="E815" s="29"/>
      <c r="F815" s="39" t="s">
        <v>523</v>
      </c>
      <c r="G815" s="27" t="str">
        <f t="shared" si="13"/>
        <v/>
      </c>
      <c r="H815" s="31"/>
      <c r="I815" s="27"/>
      <c r="J815" s="141">
        <v>0</v>
      </c>
    </row>
    <row r="816" spans="1:10" ht="39" hidden="1" thickBot="1" x14ac:dyDescent="0.3">
      <c r="A816" s="226"/>
      <c r="B816" s="244"/>
      <c r="C816" s="32" t="s">
        <v>277</v>
      </c>
      <c r="D816" s="43" t="s">
        <v>95</v>
      </c>
      <c r="E816" s="33">
        <v>1</v>
      </c>
      <c r="F816" s="30">
        <v>127.09099999999999</v>
      </c>
      <c r="G816" s="30">
        <f t="shared" si="13"/>
        <v>127.09099999999999</v>
      </c>
      <c r="H816" s="35">
        <f>SUM(G816:G816)</f>
        <v>127.09099999999999</v>
      </c>
      <c r="I816" s="36"/>
      <c r="J816" s="141">
        <v>0</v>
      </c>
    </row>
    <row r="817" spans="1:10" ht="15.75" hidden="1" thickBot="1" x14ac:dyDescent="0.3">
      <c r="A817" s="227"/>
      <c r="B817" s="230"/>
      <c r="C817" s="32"/>
      <c r="D817" s="32"/>
      <c r="E817" s="33"/>
      <c r="F817" s="27" t="s">
        <v>523</v>
      </c>
      <c r="G817" s="27" t="str">
        <f t="shared" si="13"/>
        <v/>
      </c>
      <c r="H817" s="31"/>
      <c r="I817" s="27"/>
      <c r="J817" s="141">
        <v>0</v>
      </c>
    </row>
    <row r="818" spans="1:10" ht="15.75" hidden="1" thickBot="1" x14ac:dyDescent="0.3">
      <c r="A818" s="225" t="s">
        <v>278</v>
      </c>
      <c r="B818" s="228" t="str">
        <f>INDEX(Orçamentária!A:B,MATCH(Composições!A818,Orçamentária!A:A,0),2)</f>
        <v>Forro mineral modulado, sem estrutura</v>
      </c>
      <c r="C818" s="37"/>
      <c r="D818" s="22" t="str">
        <f>TRIM(INDEX(Orçamentária!C:C,MATCH(Composições!A818,Orçamentária!A:A,0),1))</f>
        <v>m2</v>
      </c>
      <c r="E818" s="23"/>
      <c r="F818" s="38" t="s">
        <v>523</v>
      </c>
      <c r="G818" s="24" t="str">
        <f t="shared" si="13"/>
        <v/>
      </c>
      <c r="H818" s="25"/>
      <c r="I818" s="26"/>
      <c r="J818" s="141">
        <v>0</v>
      </c>
    </row>
    <row r="819" spans="1:10" ht="15.75" hidden="1" thickBot="1" x14ac:dyDescent="0.3">
      <c r="A819" s="226"/>
      <c r="B819" s="244"/>
      <c r="C819" s="28"/>
      <c r="D819" s="28"/>
      <c r="E819" s="29"/>
      <c r="F819" s="39" t="s">
        <v>523</v>
      </c>
      <c r="G819" s="27" t="str">
        <f t="shared" si="13"/>
        <v/>
      </c>
      <c r="H819" s="31"/>
      <c r="I819" s="27"/>
      <c r="J819" s="141">
        <v>0</v>
      </c>
    </row>
    <row r="820" spans="1:10" ht="15.75" hidden="1" thickBot="1" x14ac:dyDescent="0.3">
      <c r="A820" s="226"/>
      <c r="B820" s="244"/>
      <c r="C820" s="32" t="s">
        <v>50</v>
      </c>
      <c r="D820" s="32" t="s">
        <v>12</v>
      </c>
      <c r="E820" s="33">
        <f>1.2/4</f>
        <v>0.3</v>
      </c>
      <c r="F820" s="27">
        <v>19.474999999999998</v>
      </c>
      <c r="G820" s="27">
        <f t="shared" si="13"/>
        <v>5.8424999999999994</v>
      </c>
      <c r="H820" s="35">
        <f>SUM(G820:G821)</f>
        <v>34.152499999999996</v>
      </c>
      <c r="I820" s="36"/>
      <c r="J820" s="141">
        <v>0</v>
      </c>
    </row>
    <row r="821" spans="1:10" ht="26.25" hidden="1" thickBot="1" x14ac:dyDescent="0.3">
      <c r="A821" s="226"/>
      <c r="B821" s="244"/>
      <c r="C821" s="32" t="s">
        <v>279</v>
      </c>
      <c r="D821" s="32" t="s">
        <v>280</v>
      </c>
      <c r="E821" s="33">
        <v>1</v>
      </c>
      <c r="F821" s="30">
        <v>28.31</v>
      </c>
      <c r="G821" s="27">
        <f t="shared" si="13"/>
        <v>28.31</v>
      </c>
      <c r="H821" s="31"/>
      <c r="I821" s="27"/>
      <c r="J821" s="141">
        <v>0</v>
      </c>
    </row>
    <row r="822" spans="1:10" ht="15.75" hidden="1" thickBot="1" x14ac:dyDescent="0.3">
      <c r="A822" s="227"/>
      <c r="B822" s="230"/>
      <c r="C822" s="32"/>
      <c r="D822" s="32"/>
      <c r="E822" s="33"/>
      <c r="F822" s="27" t="s">
        <v>523</v>
      </c>
      <c r="G822" s="27" t="str">
        <f t="shared" si="13"/>
        <v/>
      </c>
      <c r="H822" s="31"/>
      <c r="I822" s="27"/>
      <c r="J822" s="141">
        <v>0</v>
      </c>
    </row>
    <row r="823" spans="1:10" ht="15.75" hidden="1" thickBot="1" x14ac:dyDescent="0.3">
      <c r="A823" s="225" t="s">
        <v>281</v>
      </c>
      <c r="B823" s="228" t="str">
        <f>INDEX(Orçamentária!A:B,MATCH(Composições!A823,Orçamentária!A:A,0),2)</f>
        <v>Instalação de forro de PVC reaproveitado</v>
      </c>
      <c r="C823" s="37"/>
      <c r="D823" s="22" t="str">
        <f>TRIM(INDEX(Orçamentária!C:C,MATCH(Composições!A823,Orçamentária!A:A,0),1))</f>
        <v>m2</v>
      </c>
      <c r="E823" s="23"/>
      <c r="F823" s="38" t="s">
        <v>523</v>
      </c>
      <c r="G823" s="24" t="str">
        <f t="shared" si="13"/>
        <v/>
      </c>
      <c r="H823" s="25"/>
      <c r="I823" s="26"/>
      <c r="J823" s="141">
        <v>0</v>
      </c>
    </row>
    <row r="824" spans="1:10" ht="15.75" hidden="1" thickBot="1" x14ac:dyDescent="0.3">
      <c r="A824" s="226"/>
      <c r="B824" s="244"/>
      <c r="C824" s="28"/>
      <c r="D824" s="28"/>
      <c r="E824" s="29"/>
      <c r="F824" s="39" t="s">
        <v>523</v>
      </c>
      <c r="G824" s="27" t="str">
        <f t="shared" si="13"/>
        <v/>
      </c>
      <c r="H824" s="31"/>
      <c r="I824" s="27"/>
      <c r="J824" s="141">
        <v>0</v>
      </c>
    </row>
    <row r="825" spans="1:10" ht="15.75" hidden="1" thickBot="1" x14ac:dyDescent="0.3">
      <c r="A825" s="226"/>
      <c r="B825" s="244"/>
      <c r="C825" s="32" t="s">
        <v>27</v>
      </c>
      <c r="D825" s="43" t="s">
        <v>12</v>
      </c>
      <c r="E825" s="33">
        <f>ROUND(0.4994*0.3,4)</f>
        <v>0.14979999999999999</v>
      </c>
      <c r="F825" s="27">
        <v>18.933499999999999</v>
      </c>
      <c r="G825" s="27">
        <f t="shared" si="13"/>
        <v>2.8362382999999998</v>
      </c>
      <c r="H825" s="35">
        <f>SUM(G825:G825)</f>
        <v>2.8362382999999998</v>
      </c>
      <c r="I825" s="36"/>
      <c r="J825" s="141">
        <v>0</v>
      </c>
    </row>
    <row r="826" spans="1:10" ht="15.75" hidden="1" thickBot="1" x14ac:dyDescent="0.3">
      <c r="A826" s="227"/>
      <c r="B826" s="230"/>
      <c r="C826" s="32"/>
      <c r="D826" s="32"/>
      <c r="E826" s="33"/>
      <c r="F826" s="27" t="s">
        <v>523</v>
      </c>
      <c r="G826" s="27" t="str">
        <f t="shared" si="13"/>
        <v/>
      </c>
      <c r="H826" s="31"/>
      <c r="I826" s="27"/>
      <c r="J826" s="141">
        <v>0</v>
      </c>
    </row>
    <row r="827" spans="1:10" ht="15.75" thickBot="1" x14ac:dyDescent="0.3">
      <c r="A827" s="225" t="s">
        <v>282</v>
      </c>
      <c r="B827" s="228" t="str">
        <f>INDEX(Orçamentária!A:B,MATCH(Composições!A827,Orçamentária!A:A,0),2)</f>
        <v>Instalação de forro mineral reaproveitado</v>
      </c>
      <c r="C827" s="37"/>
      <c r="D827" s="22" t="str">
        <f>TRIM(INDEX(Orçamentária!C:C,MATCH(Composições!A827,Orçamentária!A:A,0),1))</f>
        <v>m2</v>
      </c>
      <c r="E827" s="23"/>
      <c r="F827" s="38" t="s">
        <v>523</v>
      </c>
      <c r="G827" s="24" t="str">
        <f t="shared" si="13"/>
        <v/>
      </c>
      <c r="H827" s="25"/>
      <c r="I827" s="26"/>
      <c r="J827" s="141">
        <v>14.1</v>
      </c>
    </row>
    <row r="828" spans="1:10" x14ac:dyDescent="0.25">
      <c r="A828" s="226"/>
      <c r="B828" s="244"/>
      <c r="C828" s="28"/>
      <c r="D828" s="28"/>
      <c r="E828" s="29"/>
      <c r="F828" s="39" t="s">
        <v>523</v>
      </c>
      <c r="G828" s="27" t="str">
        <f t="shared" si="13"/>
        <v/>
      </c>
      <c r="H828" s="31"/>
      <c r="I828" s="27"/>
      <c r="J828" s="141">
        <v>14.1</v>
      </c>
    </row>
    <row r="829" spans="1:10" x14ac:dyDescent="0.25">
      <c r="A829" s="226"/>
      <c r="B829" s="244"/>
      <c r="C829" s="32" t="s">
        <v>50</v>
      </c>
      <c r="D829" s="43" t="s">
        <v>12</v>
      </c>
      <c r="E829" s="33">
        <v>1.2</v>
      </c>
      <c r="F829" s="27">
        <v>19.474999999999998</v>
      </c>
      <c r="G829" s="27">
        <f t="shared" si="13"/>
        <v>23.369999999999997</v>
      </c>
      <c r="H829" s="35">
        <f>SUM(G829:G830)</f>
        <v>46.090199999999996</v>
      </c>
      <c r="I829" s="36"/>
      <c r="J829" s="141">
        <v>14.1</v>
      </c>
    </row>
    <row r="830" spans="1:10" x14ac:dyDescent="0.25">
      <c r="A830" s="226"/>
      <c r="B830" s="244"/>
      <c r="C830" s="32" t="s">
        <v>27</v>
      </c>
      <c r="D830" s="43" t="s">
        <v>12</v>
      </c>
      <c r="E830" s="33">
        <v>1.2</v>
      </c>
      <c r="F830" s="27">
        <v>18.933499999999999</v>
      </c>
      <c r="G830" s="27">
        <f t="shared" si="13"/>
        <v>22.720199999999998</v>
      </c>
      <c r="H830" s="31"/>
      <c r="I830" s="27"/>
      <c r="J830" s="141">
        <v>14.1</v>
      </c>
    </row>
    <row r="831" spans="1:10" ht="15.75" thickBot="1" x14ac:dyDescent="0.3">
      <c r="A831" s="227"/>
      <c r="B831" s="230"/>
      <c r="C831" s="32"/>
      <c r="D831" s="32"/>
      <c r="E831" s="33"/>
      <c r="F831" s="27" t="s">
        <v>523</v>
      </c>
      <c r="G831" s="27" t="str">
        <f t="shared" si="13"/>
        <v/>
      </c>
      <c r="H831" s="31"/>
      <c r="I831" s="27"/>
      <c r="J831" s="141">
        <v>14.1</v>
      </c>
    </row>
    <row r="832" spans="1:10" ht="15.75" hidden="1" thickBot="1" x14ac:dyDescent="0.3">
      <c r="A832" s="225" t="s">
        <v>283</v>
      </c>
      <c r="B832" s="228" t="str">
        <f>INDEX(Orçamentária!A:B,MATCH(Composições!A832,Orçamentária!A:A,0),2)</f>
        <v>Tabica metálica em forro de gesso acartonado</v>
      </c>
      <c r="C832" s="37"/>
      <c r="D832" s="22" t="str">
        <f>TRIM(INDEX(Orçamentária!C:C,MATCH(Composições!A832,Orçamentária!A:A,0),1))</f>
        <v>m</v>
      </c>
      <c r="E832" s="23"/>
      <c r="F832" s="38" t="s">
        <v>523</v>
      </c>
      <c r="G832" s="24" t="str">
        <f t="shared" si="13"/>
        <v/>
      </c>
      <c r="H832" s="25"/>
      <c r="I832" s="26"/>
      <c r="J832" s="141">
        <v>0</v>
      </c>
    </row>
    <row r="833" spans="1:10" ht="15.75" hidden="1" thickBot="1" x14ac:dyDescent="0.3">
      <c r="A833" s="226"/>
      <c r="B833" s="244"/>
      <c r="C833" s="28"/>
      <c r="D833" s="28"/>
      <c r="E833" s="29"/>
      <c r="F833" s="39" t="s">
        <v>523</v>
      </c>
      <c r="G833" s="27" t="str">
        <f t="shared" si="13"/>
        <v/>
      </c>
      <c r="H833" s="31"/>
      <c r="I833" s="27"/>
      <c r="J833" s="141">
        <v>0</v>
      </c>
    </row>
    <row r="834" spans="1:10" ht="26.25" hidden="1" thickBot="1" x14ac:dyDescent="0.3">
      <c r="A834" s="226"/>
      <c r="B834" s="244"/>
      <c r="C834" s="32" t="s">
        <v>284</v>
      </c>
      <c r="D834" s="32" t="s">
        <v>93</v>
      </c>
      <c r="E834" s="33">
        <v>1.1512</v>
      </c>
      <c r="F834" s="30">
        <v>5.5670000000000002</v>
      </c>
      <c r="G834" s="30">
        <f t="shared" si="13"/>
        <v>6.4087304000000005</v>
      </c>
      <c r="H834" s="35">
        <f>SUM(G834:G837)</f>
        <v>12.549614000000002</v>
      </c>
      <c r="I834" s="36"/>
      <c r="J834" s="141">
        <v>0</v>
      </c>
    </row>
    <row r="835" spans="1:10" ht="26.25" hidden="1" thickBot="1" x14ac:dyDescent="0.3">
      <c r="A835" s="226"/>
      <c r="B835" s="244"/>
      <c r="C835" s="32" t="s">
        <v>162</v>
      </c>
      <c r="D835" s="32" t="s">
        <v>20</v>
      </c>
      <c r="E835" s="33">
        <v>0.58330000000000004</v>
      </c>
      <c r="F835" s="30">
        <v>0.2185</v>
      </c>
      <c r="G835" s="30">
        <f t="shared" si="13"/>
        <v>0.12745105000000001</v>
      </c>
      <c r="H835" s="52"/>
      <c r="I835" s="53"/>
      <c r="J835" s="141">
        <v>0</v>
      </c>
    </row>
    <row r="836" spans="1:10" ht="26.25" hidden="1" thickBot="1" x14ac:dyDescent="0.3">
      <c r="A836" s="226"/>
      <c r="B836" s="244"/>
      <c r="C836" s="32" t="s">
        <v>267</v>
      </c>
      <c r="D836" s="32" t="s">
        <v>153</v>
      </c>
      <c r="E836" s="33">
        <v>7.4899999999999994E-2</v>
      </c>
      <c r="F836" s="30">
        <v>43.177500000000002</v>
      </c>
      <c r="G836" s="30">
        <f t="shared" si="13"/>
        <v>3.2339947499999999</v>
      </c>
      <c r="H836" s="52"/>
      <c r="I836" s="53"/>
      <c r="J836" s="141">
        <v>0</v>
      </c>
    </row>
    <row r="837" spans="1:10" ht="15.75" hidden="1" thickBot="1" x14ac:dyDescent="0.3">
      <c r="A837" s="226"/>
      <c r="B837" s="244"/>
      <c r="C837" s="32" t="s">
        <v>27</v>
      </c>
      <c r="D837" s="32" t="s">
        <v>12</v>
      </c>
      <c r="E837" s="33">
        <v>0.14680000000000001</v>
      </c>
      <c r="F837" s="27">
        <v>18.933499999999999</v>
      </c>
      <c r="G837" s="30">
        <f t="shared" si="13"/>
        <v>2.7794378000000002</v>
      </c>
      <c r="H837" s="52"/>
      <c r="I837" s="53"/>
      <c r="J837" s="141">
        <v>0</v>
      </c>
    </row>
    <row r="838" spans="1:10" ht="15.75" hidden="1" thickBot="1" x14ac:dyDescent="0.3">
      <c r="A838" s="227"/>
      <c r="B838" s="230"/>
      <c r="C838" s="32"/>
      <c r="D838" s="32"/>
      <c r="E838" s="33"/>
      <c r="F838" s="27" t="s">
        <v>523</v>
      </c>
      <c r="G838" s="30" t="str">
        <f t="shared" si="13"/>
        <v/>
      </c>
      <c r="H838" s="31"/>
      <c r="I838" s="27"/>
      <c r="J838" s="141">
        <v>0</v>
      </c>
    </row>
    <row r="839" spans="1:10" ht="15.75" hidden="1" thickBot="1" x14ac:dyDescent="0.3">
      <c r="A839" s="225" t="s">
        <v>285</v>
      </c>
      <c r="B839" s="228" t="str">
        <f>INDEX(Orçamentária!A:B,MATCH(Composições!A839,Orçamentária!A:A,0),2)</f>
        <v>Instalação de revestimento de piso têxtil (carpete) reaproveitado</v>
      </c>
      <c r="C839" s="37"/>
      <c r="D839" s="22" t="str">
        <f>TRIM(INDEX(Orçamentária!C:C,MATCH(Composições!A839,Orçamentária!A:A,0),1))</f>
        <v>m2</v>
      </c>
      <c r="E839" s="23"/>
      <c r="F839" s="38" t="s">
        <v>523</v>
      </c>
      <c r="G839" s="24" t="str">
        <f t="shared" si="13"/>
        <v/>
      </c>
      <c r="H839" s="25"/>
      <c r="I839" s="26"/>
      <c r="J839" s="141">
        <v>0</v>
      </c>
    </row>
    <row r="840" spans="1:10" ht="15.75" hidden="1" thickBot="1" x14ac:dyDescent="0.3">
      <c r="A840" s="226"/>
      <c r="B840" s="244"/>
      <c r="C840" s="28"/>
      <c r="D840" s="28"/>
      <c r="E840" s="29"/>
      <c r="F840" s="39" t="s">
        <v>523</v>
      </c>
      <c r="G840" s="27" t="str">
        <f t="shared" si="13"/>
        <v/>
      </c>
      <c r="H840" s="31"/>
      <c r="I840" s="27"/>
      <c r="J840" s="141">
        <v>0</v>
      </c>
    </row>
    <row r="841" spans="1:10" ht="15.75" hidden="1" thickBot="1" x14ac:dyDescent="0.3">
      <c r="A841" s="226"/>
      <c r="B841" s="244"/>
      <c r="C841" s="32" t="s">
        <v>23</v>
      </c>
      <c r="D841" s="32" t="s">
        <v>12</v>
      </c>
      <c r="E841" s="33">
        <v>0.1</v>
      </c>
      <c r="F841" s="27">
        <v>18.420500000000001</v>
      </c>
      <c r="G841" s="30">
        <f t="shared" si="13"/>
        <v>1.8420500000000002</v>
      </c>
      <c r="H841" s="35">
        <f>SUM(G841:G843)</f>
        <v>8.8948499999999999</v>
      </c>
      <c r="I841" s="36"/>
      <c r="J841" s="141">
        <v>0</v>
      </c>
    </row>
    <row r="842" spans="1:10" ht="15.75" hidden="1" thickBot="1" x14ac:dyDescent="0.3">
      <c r="A842" s="226"/>
      <c r="B842" s="244"/>
      <c r="C842" s="32" t="s">
        <v>22</v>
      </c>
      <c r="D842" s="32" t="s">
        <v>12</v>
      </c>
      <c r="E842" s="33">
        <v>0.1</v>
      </c>
      <c r="F842" s="27">
        <v>24.889999999999997</v>
      </c>
      <c r="G842" s="30">
        <f t="shared" si="13"/>
        <v>2.4889999999999999</v>
      </c>
      <c r="H842" s="31"/>
      <c r="I842" s="27"/>
      <c r="J842" s="141">
        <v>0</v>
      </c>
    </row>
    <row r="843" spans="1:10" ht="15.75" hidden="1" thickBot="1" x14ac:dyDescent="0.3">
      <c r="A843" s="226"/>
      <c r="B843" s="244"/>
      <c r="C843" s="32" t="s">
        <v>6626</v>
      </c>
      <c r="D843" s="32" t="s">
        <v>42</v>
      </c>
      <c r="E843" s="33">
        <v>0.1</v>
      </c>
      <c r="F843" s="30">
        <v>45.637999999999998</v>
      </c>
      <c r="G843" s="27">
        <f t="shared" si="13"/>
        <v>4.5637999999999996</v>
      </c>
      <c r="H843" s="31"/>
      <c r="I843" s="27"/>
      <c r="J843" s="141">
        <v>0</v>
      </c>
    </row>
    <row r="844" spans="1:10" ht="15.75" hidden="1" thickBot="1" x14ac:dyDescent="0.3">
      <c r="A844" s="227"/>
      <c r="B844" s="230"/>
      <c r="C844" s="32"/>
      <c r="D844" s="32"/>
      <c r="E844" s="33"/>
      <c r="F844" s="27" t="s">
        <v>523</v>
      </c>
      <c r="G844" s="27" t="str">
        <f t="shared" si="13"/>
        <v/>
      </c>
      <c r="H844" s="31"/>
      <c r="I844" s="27"/>
      <c r="J844" s="141">
        <v>0</v>
      </c>
    </row>
    <row r="845" spans="1:10" ht="15.75" hidden="1" thickBot="1" x14ac:dyDescent="0.3">
      <c r="A845" s="225" t="s">
        <v>286</v>
      </c>
      <c r="B845" s="228" t="str">
        <f>INDEX(Orçamentária!A:B,MATCH(Composições!A845,Orçamentária!A:A,0),2)</f>
        <v>Baguetes metálicos</v>
      </c>
      <c r="C845" s="37"/>
      <c r="D845" s="22" t="str">
        <f>TRIM(INDEX(Orçamentária!C:C,MATCH(Composições!A845,Orçamentária!A:A,0),1))</f>
        <v>m</v>
      </c>
      <c r="E845" s="23"/>
      <c r="F845" s="38" t="s">
        <v>523</v>
      </c>
      <c r="G845" s="24" t="str">
        <f t="shared" si="13"/>
        <v/>
      </c>
      <c r="H845" s="25"/>
      <c r="I845" s="26"/>
      <c r="J845" s="141">
        <v>0</v>
      </c>
    </row>
    <row r="846" spans="1:10" ht="15.75" hidden="1" thickBot="1" x14ac:dyDescent="0.3">
      <c r="A846" s="231"/>
      <c r="B846" s="244"/>
      <c r="C846" s="28"/>
      <c r="D846" s="28"/>
      <c r="E846" s="29"/>
      <c r="F846" s="39" t="s">
        <v>523</v>
      </c>
      <c r="G846" s="27" t="str">
        <f t="shared" si="13"/>
        <v/>
      </c>
      <c r="H846" s="31"/>
      <c r="I846" s="27"/>
      <c r="J846" s="141">
        <v>0</v>
      </c>
    </row>
    <row r="847" spans="1:10" ht="15.75" hidden="1" thickBot="1" x14ac:dyDescent="0.3">
      <c r="A847" s="231"/>
      <c r="B847" s="244"/>
      <c r="C847" s="32" t="s">
        <v>68</v>
      </c>
      <c r="D847" s="43" t="s">
        <v>12</v>
      </c>
      <c r="E847" s="33">
        <v>0.25</v>
      </c>
      <c r="F847" s="27">
        <v>22.961500000000001</v>
      </c>
      <c r="G847" s="30">
        <f t="shared" si="13"/>
        <v>5.7403750000000002</v>
      </c>
      <c r="H847" s="35">
        <f>SUM(G847:G848)</f>
        <v>5.7403750000000002</v>
      </c>
      <c r="I847" s="36"/>
      <c r="J847" s="141">
        <v>0</v>
      </c>
    </row>
    <row r="848" spans="1:10" ht="15.75" hidden="1" thickBot="1" x14ac:dyDescent="0.3">
      <c r="A848" s="231"/>
      <c r="B848" s="244"/>
      <c r="C848" s="32" t="s">
        <v>287</v>
      </c>
      <c r="D848" s="43" t="s">
        <v>93</v>
      </c>
      <c r="E848" s="33">
        <v>1.05</v>
      </c>
      <c r="F848" s="30" t="s">
        <v>523</v>
      </c>
      <c r="G848" s="30" t="str">
        <f t="shared" si="13"/>
        <v/>
      </c>
      <c r="H848" s="31"/>
      <c r="I848" s="27"/>
      <c r="J848" s="141">
        <v>0</v>
      </c>
    </row>
    <row r="849" spans="1:10" ht="15.75" hidden="1" thickBot="1" x14ac:dyDescent="0.3">
      <c r="A849" s="232"/>
      <c r="B849" s="230"/>
      <c r="C849" s="32"/>
      <c r="D849" s="43"/>
      <c r="E849" s="33"/>
      <c r="F849" s="30" t="s">
        <v>523</v>
      </c>
      <c r="G849" s="30" t="str">
        <f t="shared" si="13"/>
        <v/>
      </c>
      <c r="H849" s="31"/>
      <c r="I849" s="27"/>
      <c r="J849" s="141">
        <v>0</v>
      </c>
    </row>
    <row r="850" spans="1:10" ht="15.75" hidden="1" thickBot="1" x14ac:dyDescent="0.3">
      <c r="A850" s="225" t="s">
        <v>288</v>
      </c>
      <c r="B850" s="228" t="str">
        <f>INDEX(Orçamentária!A:B,MATCH(Composições!A850,Orçamentária!A:A,0),2)</f>
        <v>Cordão de massa de vidraceiro</v>
      </c>
      <c r="C850" s="37"/>
      <c r="D850" s="22" t="str">
        <f>TRIM(INDEX(Orçamentária!C:C,MATCH(Composições!A850,Orçamentária!A:A,0),1))</f>
        <v>m</v>
      </c>
      <c r="E850" s="23"/>
      <c r="F850" s="38" t="s">
        <v>523</v>
      </c>
      <c r="G850" s="24" t="str">
        <f t="shared" ref="G850:G913" si="14">IF(ISNUMBER(F850),E850*F850,"")</f>
        <v/>
      </c>
      <c r="H850" s="25"/>
      <c r="I850" s="26"/>
      <c r="J850" s="141">
        <v>0</v>
      </c>
    </row>
    <row r="851" spans="1:10" ht="15.75" hidden="1" thickBot="1" x14ac:dyDescent="0.3">
      <c r="A851" s="231"/>
      <c r="B851" s="244"/>
      <c r="C851" s="28"/>
      <c r="D851" s="28"/>
      <c r="E851" s="29"/>
      <c r="F851" s="39" t="s">
        <v>523</v>
      </c>
      <c r="G851" s="27" t="str">
        <f t="shared" si="14"/>
        <v/>
      </c>
      <c r="H851" s="31"/>
      <c r="I851" s="27"/>
      <c r="J851" s="141">
        <v>0</v>
      </c>
    </row>
    <row r="852" spans="1:10" ht="15.75" hidden="1" thickBot="1" x14ac:dyDescent="0.3">
      <c r="A852" s="231"/>
      <c r="B852" s="244"/>
      <c r="C852" s="32" t="s">
        <v>68</v>
      </c>
      <c r="D852" s="43" t="s">
        <v>12</v>
      </c>
      <c r="E852" s="33">
        <v>0.5</v>
      </c>
      <c r="F852" s="27">
        <v>22.961500000000001</v>
      </c>
      <c r="G852" s="30">
        <f t="shared" si="14"/>
        <v>11.48075</v>
      </c>
      <c r="H852" s="35">
        <f>SUM(G852:G854)</f>
        <v>19.671175000000002</v>
      </c>
      <c r="I852" s="36"/>
      <c r="J852" s="141">
        <v>0</v>
      </c>
    </row>
    <row r="853" spans="1:10" ht="15.75" hidden="1" thickBot="1" x14ac:dyDescent="0.3">
      <c r="A853" s="231"/>
      <c r="B853" s="244"/>
      <c r="C853" s="32" t="s">
        <v>23</v>
      </c>
      <c r="D853" s="43" t="s">
        <v>12</v>
      </c>
      <c r="E853" s="33">
        <f>E852/2</f>
        <v>0.25</v>
      </c>
      <c r="F853" s="30">
        <v>18.420500000000001</v>
      </c>
      <c r="G853" s="27">
        <f t="shared" si="14"/>
        <v>4.6051250000000001</v>
      </c>
      <c r="H853" s="31"/>
      <c r="I853" s="27"/>
      <c r="J853" s="141">
        <v>0</v>
      </c>
    </row>
    <row r="854" spans="1:10" ht="15.75" hidden="1" thickBot="1" x14ac:dyDescent="0.3">
      <c r="A854" s="231"/>
      <c r="B854" s="244"/>
      <c r="C854" s="32" t="s">
        <v>289</v>
      </c>
      <c r="D854" s="32" t="s">
        <v>42</v>
      </c>
      <c r="E854" s="33">
        <v>0.6</v>
      </c>
      <c r="F854" s="30">
        <v>5.9754999999999994</v>
      </c>
      <c r="G854" s="27">
        <f t="shared" si="14"/>
        <v>3.5852999999999997</v>
      </c>
      <c r="H854" s="31"/>
      <c r="I854" s="27"/>
      <c r="J854" s="141">
        <v>0</v>
      </c>
    </row>
    <row r="855" spans="1:10" ht="15.75" hidden="1" thickBot="1" x14ac:dyDescent="0.3">
      <c r="A855" s="232"/>
      <c r="B855" s="230"/>
      <c r="C855" s="32"/>
      <c r="D855" s="32"/>
      <c r="E855" s="33"/>
      <c r="F855" s="27" t="s">
        <v>523</v>
      </c>
      <c r="G855" s="27" t="str">
        <f t="shared" si="14"/>
        <v/>
      </c>
      <c r="H855" s="31"/>
      <c r="I855" s="27"/>
      <c r="J855" s="141">
        <v>0</v>
      </c>
    </row>
    <row r="856" spans="1:10" ht="15.75" hidden="1" thickBot="1" x14ac:dyDescent="0.3">
      <c r="A856" s="225" t="s">
        <v>290</v>
      </c>
      <c r="B856" s="228" t="str">
        <f>INDEX(Orçamentária!A:B,MATCH(Composições!A856,Orçamentária!A:A,0),2)</f>
        <v>Espelho cristal, e=5 mm</v>
      </c>
      <c r="C856" s="37"/>
      <c r="D856" s="22" t="str">
        <f>TRIM(INDEX(Orçamentária!C:C,MATCH(Composições!A856,Orçamentária!A:A,0),1))</f>
        <v>m2</v>
      </c>
      <c r="E856" s="23"/>
      <c r="F856" s="38" t="s">
        <v>523</v>
      </c>
      <c r="G856" s="24" t="str">
        <f t="shared" si="14"/>
        <v/>
      </c>
      <c r="H856" s="25"/>
      <c r="I856" s="26"/>
      <c r="J856" s="141">
        <v>0</v>
      </c>
    </row>
    <row r="857" spans="1:10" ht="15.75" hidden="1" thickBot="1" x14ac:dyDescent="0.3">
      <c r="A857" s="226"/>
      <c r="B857" s="244"/>
      <c r="C857" s="28"/>
      <c r="D857" s="28"/>
      <c r="E857" s="29"/>
      <c r="F857" s="39" t="s">
        <v>523</v>
      </c>
      <c r="G857" s="27" t="str">
        <f t="shared" si="14"/>
        <v/>
      </c>
      <c r="H857" s="31"/>
      <c r="I857" s="27"/>
      <c r="J857" s="141">
        <v>0</v>
      </c>
    </row>
    <row r="858" spans="1:10" ht="15.75" hidden="1" thickBot="1" x14ac:dyDescent="0.3">
      <c r="A858" s="226"/>
      <c r="B858" s="244"/>
      <c r="C858" s="32" t="s">
        <v>291</v>
      </c>
      <c r="D858" s="43" t="s">
        <v>95</v>
      </c>
      <c r="E858" s="33">
        <v>1</v>
      </c>
      <c r="F858" s="27">
        <v>0</v>
      </c>
      <c r="G858" s="30">
        <f t="shared" si="14"/>
        <v>0</v>
      </c>
      <c r="H858" s="35">
        <f>SUM(G858:G860)</f>
        <v>103.45500000000001</v>
      </c>
      <c r="I858" s="36"/>
      <c r="J858" s="141">
        <v>0</v>
      </c>
    </row>
    <row r="859" spans="1:10" ht="15.75" hidden="1" thickBot="1" x14ac:dyDescent="0.3">
      <c r="A859" s="226"/>
      <c r="B859" s="244"/>
      <c r="C859" s="32" t="s">
        <v>23</v>
      </c>
      <c r="D859" s="43" t="s">
        <v>12</v>
      </c>
      <c r="E859" s="33">
        <v>2.5</v>
      </c>
      <c r="F859" s="27">
        <v>18.420500000000001</v>
      </c>
      <c r="G859" s="30">
        <f t="shared" si="14"/>
        <v>46.051250000000003</v>
      </c>
      <c r="H859" s="31"/>
      <c r="I859" s="27"/>
      <c r="J859" s="141">
        <v>0</v>
      </c>
    </row>
    <row r="860" spans="1:10" ht="15.75" hidden="1" thickBot="1" x14ac:dyDescent="0.3">
      <c r="A860" s="226"/>
      <c r="B860" s="244"/>
      <c r="C860" s="32" t="s">
        <v>68</v>
      </c>
      <c r="D860" s="43" t="s">
        <v>12</v>
      </c>
      <c r="E860" s="33">
        <v>2.5</v>
      </c>
      <c r="F860" s="27">
        <v>22.961500000000001</v>
      </c>
      <c r="G860" s="30">
        <f t="shared" si="14"/>
        <v>57.403750000000002</v>
      </c>
      <c r="H860" s="31"/>
      <c r="I860" s="27"/>
      <c r="J860" s="141">
        <v>0</v>
      </c>
    </row>
    <row r="861" spans="1:10" ht="15.75" hidden="1" thickBot="1" x14ac:dyDescent="0.3">
      <c r="A861" s="227"/>
      <c r="B861" s="230"/>
      <c r="C861" s="32"/>
      <c r="D861" s="32"/>
      <c r="E861" s="33"/>
      <c r="F861" s="27" t="s">
        <v>523</v>
      </c>
      <c r="G861" s="27" t="str">
        <f t="shared" si="14"/>
        <v/>
      </c>
      <c r="H861" s="31"/>
      <c r="I861" s="27"/>
      <c r="J861" s="141">
        <v>0</v>
      </c>
    </row>
    <row r="862" spans="1:10" ht="15.75" hidden="1" thickBot="1" x14ac:dyDescent="0.3">
      <c r="A862" s="225" t="s">
        <v>292</v>
      </c>
      <c r="B862" s="228" t="str">
        <f>INDEX(Orçamentária!A:B,MATCH(Composições!A862,Orçamentária!A:A,0),2)</f>
        <v>Instalação de vidro reaproveitado</v>
      </c>
      <c r="C862" s="37"/>
      <c r="D862" s="22" t="str">
        <f>TRIM(INDEX(Orçamentária!C:C,MATCH(Composições!A862,Orçamentária!A:A,0),1))</f>
        <v>m2</v>
      </c>
      <c r="E862" s="23"/>
      <c r="F862" s="38" t="s">
        <v>523</v>
      </c>
      <c r="G862" s="24" t="str">
        <f t="shared" si="14"/>
        <v/>
      </c>
      <c r="H862" s="25"/>
      <c r="I862" s="26"/>
      <c r="J862" s="141">
        <v>0</v>
      </c>
    </row>
    <row r="863" spans="1:10" ht="15.75" hidden="1" thickBot="1" x14ac:dyDescent="0.3">
      <c r="A863" s="226"/>
      <c r="B863" s="244"/>
      <c r="C863" s="28"/>
      <c r="D863" s="28"/>
      <c r="E863" s="29"/>
      <c r="F863" s="39" t="s">
        <v>523</v>
      </c>
      <c r="G863" s="27" t="str">
        <f t="shared" si="14"/>
        <v/>
      </c>
      <c r="H863" s="31"/>
      <c r="I863" s="27"/>
      <c r="J863" s="141">
        <v>0</v>
      </c>
    </row>
    <row r="864" spans="1:10" ht="15.75" hidden="1" thickBot="1" x14ac:dyDescent="0.3">
      <c r="A864" s="226"/>
      <c r="B864" s="244"/>
      <c r="C864" s="32" t="s">
        <v>68</v>
      </c>
      <c r="D864" s="43" t="s">
        <v>12</v>
      </c>
      <c r="E864" s="33">
        <v>1</v>
      </c>
      <c r="F864" s="27">
        <v>22.961500000000001</v>
      </c>
      <c r="G864" s="30">
        <f t="shared" si="14"/>
        <v>22.961500000000001</v>
      </c>
      <c r="H864" s="35">
        <f>SUM(G864:G865)</f>
        <v>34.912500000000001</v>
      </c>
      <c r="I864" s="36"/>
      <c r="J864" s="141">
        <v>0</v>
      </c>
    </row>
    <row r="865" spans="1:10" ht="15.75" hidden="1" thickBot="1" x14ac:dyDescent="0.3">
      <c r="A865" s="226"/>
      <c r="B865" s="244"/>
      <c r="C865" s="32" t="s">
        <v>289</v>
      </c>
      <c r="D865" s="43" t="s">
        <v>42</v>
      </c>
      <c r="E865" s="33">
        <v>2</v>
      </c>
      <c r="F865" s="30">
        <v>5.9754999999999994</v>
      </c>
      <c r="G865" s="30">
        <f t="shared" si="14"/>
        <v>11.950999999999999</v>
      </c>
      <c r="H865" s="31"/>
      <c r="I865" s="27"/>
      <c r="J865" s="141">
        <v>0</v>
      </c>
    </row>
    <row r="866" spans="1:10" ht="15.75" hidden="1" thickBot="1" x14ac:dyDescent="0.3">
      <c r="A866" s="226"/>
      <c r="B866" s="244"/>
      <c r="C866" s="32"/>
      <c r="D866" s="43"/>
      <c r="E866" s="33"/>
      <c r="F866" s="30" t="s">
        <v>523</v>
      </c>
      <c r="G866" s="30" t="str">
        <f t="shared" si="14"/>
        <v/>
      </c>
      <c r="H866" s="31"/>
      <c r="I866" s="27"/>
      <c r="J866" s="141">
        <v>0</v>
      </c>
    </row>
    <row r="867" spans="1:10" ht="15.75" hidden="1" thickBot="1" x14ac:dyDescent="0.3">
      <c r="A867" s="225" t="s">
        <v>293</v>
      </c>
      <c r="B867" s="228" t="str">
        <f>INDEX(Orçamentária!A:B,MATCH(Composições!A867,Orçamentária!A:A,0),2)</f>
        <v>Substituição da calafetação com selante</v>
      </c>
      <c r="C867" s="37"/>
      <c r="D867" s="22" t="str">
        <f>TRIM(INDEX(Orçamentária!C:C,MATCH(Composições!A867,Orçamentária!A:A,0),1))</f>
        <v>m</v>
      </c>
      <c r="E867" s="23"/>
      <c r="F867" s="38" t="s">
        <v>523</v>
      </c>
      <c r="G867" s="24" t="str">
        <f t="shared" si="14"/>
        <v/>
      </c>
      <c r="H867" s="25"/>
      <c r="I867" s="26"/>
      <c r="J867" s="141">
        <v>0</v>
      </c>
    </row>
    <row r="868" spans="1:10" ht="15.75" hidden="1" thickBot="1" x14ac:dyDescent="0.3">
      <c r="A868" s="231"/>
      <c r="B868" s="244"/>
      <c r="C868" s="28"/>
      <c r="D868" s="28"/>
      <c r="E868" s="29"/>
      <c r="F868" s="39" t="s">
        <v>523</v>
      </c>
      <c r="G868" s="27" t="str">
        <f t="shared" si="14"/>
        <v/>
      </c>
      <c r="H868" s="31"/>
      <c r="I868" s="27"/>
      <c r="J868" s="141">
        <v>0</v>
      </c>
    </row>
    <row r="869" spans="1:10" ht="15.75" hidden="1" thickBot="1" x14ac:dyDescent="0.3">
      <c r="A869" s="231"/>
      <c r="B869" s="244"/>
      <c r="C869" s="32" t="s">
        <v>68</v>
      </c>
      <c r="D869" s="43" t="s">
        <v>12</v>
      </c>
      <c r="E869" s="33">
        <v>0.3</v>
      </c>
      <c r="F869" s="27">
        <v>22.961500000000001</v>
      </c>
      <c r="G869" s="27">
        <f t="shared" si="14"/>
        <v>6.8884499999999997</v>
      </c>
      <c r="H869" s="35">
        <f>SUM(G869:G871)</f>
        <v>20.311476900000002</v>
      </c>
      <c r="I869" s="36"/>
      <c r="J869" s="141">
        <v>0</v>
      </c>
    </row>
    <row r="870" spans="1:10" ht="15.75" hidden="1" thickBot="1" x14ac:dyDescent="0.3">
      <c r="A870" s="231"/>
      <c r="B870" s="244"/>
      <c r="C870" s="32" t="s">
        <v>23</v>
      </c>
      <c r="D870" s="43" t="s">
        <v>12</v>
      </c>
      <c r="E870" s="33">
        <v>0.3</v>
      </c>
      <c r="F870" s="30">
        <v>18.420500000000001</v>
      </c>
      <c r="G870" s="27">
        <f t="shared" si="14"/>
        <v>5.5261500000000003</v>
      </c>
      <c r="H870" s="31"/>
      <c r="I870" s="27"/>
      <c r="J870" s="141">
        <v>0</v>
      </c>
    </row>
    <row r="871" spans="1:10" ht="15.75" hidden="1" thickBot="1" x14ac:dyDescent="0.3">
      <c r="A871" s="231"/>
      <c r="B871" s="244"/>
      <c r="C871" s="32" t="s">
        <v>294</v>
      </c>
      <c r="D871" s="43" t="s">
        <v>20</v>
      </c>
      <c r="E871" s="33">
        <f>ROUND(1/3,4)</f>
        <v>0.33329999999999999</v>
      </c>
      <c r="F871" s="30">
        <v>23.693000000000001</v>
      </c>
      <c r="G871" s="27">
        <f t="shared" si="14"/>
        <v>7.8968769000000005</v>
      </c>
      <c r="H871" s="31"/>
      <c r="I871" s="27"/>
      <c r="J871" s="141">
        <v>0</v>
      </c>
    </row>
    <row r="872" spans="1:10" ht="15.75" hidden="1" thickBot="1" x14ac:dyDescent="0.3">
      <c r="A872" s="231"/>
      <c r="B872" s="244"/>
      <c r="C872" s="32"/>
      <c r="D872" s="43"/>
      <c r="E872" s="33"/>
      <c r="F872" s="27" t="s">
        <v>523</v>
      </c>
      <c r="G872" s="27" t="str">
        <f t="shared" si="14"/>
        <v/>
      </c>
      <c r="H872" s="31"/>
      <c r="I872" s="27"/>
      <c r="J872" s="141">
        <v>0</v>
      </c>
    </row>
    <row r="873" spans="1:10" ht="26.25" hidden="1" thickBot="1" x14ac:dyDescent="0.3">
      <c r="A873" s="231"/>
      <c r="B873" s="244"/>
      <c r="C873" s="54" t="s">
        <v>295</v>
      </c>
      <c r="D873" s="54"/>
      <c r="E873" s="55"/>
      <c r="F873" s="56" t="s">
        <v>523</v>
      </c>
      <c r="G873" s="54" t="str">
        <f t="shared" si="14"/>
        <v/>
      </c>
      <c r="H873" s="57"/>
      <c r="I873" s="54"/>
      <c r="J873" s="141">
        <v>0</v>
      </c>
    </row>
    <row r="874" spans="1:10" ht="15.75" hidden="1" thickBot="1" x14ac:dyDescent="0.3">
      <c r="A874" s="232"/>
      <c r="B874" s="230"/>
      <c r="C874" s="32"/>
      <c r="D874" s="32"/>
      <c r="E874" s="33"/>
      <c r="F874" s="27" t="s">
        <v>523</v>
      </c>
      <c r="G874" s="27" t="str">
        <f t="shared" si="14"/>
        <v/>
      </c>
      <c r="H874" s="31"/>
      <c r="I874" s="27"/>
      <c r="J874" s="141">
        <v>0</v>
      </c>
    </row>
    <row r="875" spans="1:10" ht="15.75" hidden="1" thickBot="1" x14ac:dyDescent="0.3">
      <c r="A875" s="225" t="s">
        <v>296</v>
      </c>
      <c r="B875" s="228" t="str">
        <f>INDEX(Orçamentária!A:B,MATCH(Composições!A875,Orçamentária!A:A,0),2)</f>
        <v>Vidro liso comum transparente 4mm</v>
      </c>
      <c r="C875" s="37"/>
      <c r="D875" s="22" t="str">
        <f>TRIM(INDEX(Orçamentária!C:C,MATCH(Composições!A875,Orçamentária!A:A,0),1))</f>
        <v>m2</v>
      </c>
      <c r="E875" s="23"/>
      <c r="F875" s="38" t="s">
        <v>523</v>
      </c>
      <c r="G875" s="24" t="str">
        <f t="shared" si="14"/>
        <v/>
      </c>
      <c r="H875" s="25"/>
      <c r="I875" s="26"/>
      <c r="J875" s="141">
        <v>0</v>
      </c>
    </row>
    <row r="876" spans="1:10" ht="15.75" hidden="1" thickBot="1" x14ac:dyDescent="0.3">
      <c r="A876" s="231"/>
      <c r="B876" s="244"/>
      <c r="C876" s="28"/>
      <c r="D876" s="28"/>
      <c r="E876" s="29"/>
      <c r="F876" s="39" t="s">
        <v>523</v>
      </c>
      <c r="G876" s="27" t="str">
        <f t="shared" si="14"/>
        <v/>
      </c>
      <c r="H876" s="31"/>
      <c r="I876" s="27"/>
      <c r="J876" s="141">
        <v>0</v>
      </c>
    </row>
    <row r="877" spans="1:10" ht="15.75" hidden="1" thickBot="1" x14ac:dyDescent="0.3">
      <c r="A877" s="231"/>
      <c r="B877" s="244"/>
      <c r="C877" s="32" t="s">
        <v>6707</v>
      </c>
      <c r="D877" s="43" t="s">
        <v>995</v>
      </c>
      <c r="E877" s="33">
        <v>1</v>
      </c>
      <c r="F877" s="27">
        <v>93.983500000000006</v>
      </c>
      <c r="G877" s="30">
        <f t="shared" si="14"/>
        <v>93.983500000000006</v>
      </c>
      <c r="H877" s="35">
        <f>SUM(G877:G881)</f>
        <v>134.59073700000002</v>
      </c>
      <c r="I877" s="36"/>
      <c r="J877" s="141">
        <v>0</v>
      </c>
    </row>
    <row r="878" spans="1:10" ht="15.75" hidden="1" thickBot="1" x14ac:dyDescent="0.3">
      <c r="A878" s="231"/>
      <c r="B878" s="244"/>
      <c r="C878" s="32" t="s">
        <v>3356</v>
      </c>
      <c r="D878" s="43" t="s">
        <v>901</v>
      </c>
      <c r="E878" s="33">
        <v>3.3000000000000002E-2</v>
      </c>
      <c r="F878" s="30">
        <v>24.832999999999998</v>
      </c>
      <c r="G878" s="30">
        <f t="shared" si="14"/>
        <v>0.81948900000000002</v>
      </c>
      <c r="H878" s="31"/>
      <c r="I878" s="27"/>
      <c r="J878" s="141">
        <v>0</v>
      </c>
    </row>
    <row r="879" spans="1:10" ht="15.75" hidden="1" thickBot="1" x14ac:dyDescent="0.3">
      <c r="A879" s="231"/>
      <c r="B879" s="244"/>
      <c r="C879" s="32" t="s">
        <v>1130</v>
      </c>
      <c r="D879" s="43" t="s">
        <v>280</v>
      </c>
      <c r="E879" s="33">
        <v>0.56499999999999995</v>
      </c>
      <c r="F879" s="30">
        <v>23.693000000000001</v>
      </c>
      <c r="G879" s="30">
        <f t="shared" si="14"/>
        <v>13.386545</v>
      </c>
      <c r="H879" s="31"/>
      <c r="I879" s="27"/>
      <c r="J879" s="141">
        <v>0</v>
      </c>
    </row>
    <row r="880" spans="1:10" ht="15.75" hidden="1" thickBot="1" x14ac:dyDescent="0.3">
      <c r="A880" s="231"/>
      <c r="B880" s="244"/>
      <c r="C880" s="32" t="s">
        <v>706</v>
      </c>
      <c r="D880" s="43" t="s">
        <v>705</v>
      </c>
      <c r="E880" s="33">
        <v>0.628</v>
      </c>
      <c r="F880" s="30">
        <v>18.420500000000001</v>
      </c>
      <c r="G880" s="30">
        <f t="shared" si="14"/>
        <v>11.568074000000001</v>
      </c>
      <c r="H880" s="31"/>
      <c r="I880" s="27"/>
      <c r="J880" s="141">
        <v>0</v>
      </c>
    </row>
    <row r="881" spans="1:10" ht="15.75" hidden="1" thickBot="1" x14ac:dyDescent="0.3">
      <c r="A881" s="231"/>
      <c r="B881" s="244"/>
      <c r="C881" s="32" t="s">
        <v>3244</v>
      </c>
      <c r="D881" s="43" t="s">
        <v>705</v>
      </c>
      <c r="E881" s="33">
        <v>0.64600000000000002</v>
      </c>
      <c r="F881" s="30">
        <v>22.961500000000001</v>
      </c>
      <c r="G881" s="30">
        <f t="shared" si="14"/>
        <v>14.833129000000001</v>
      </c>
      <c r="H881" s="31"/>
      <c r="I881" s="27"/>
      <c r="J881" s="141">
        <v>0</v>
      </c>
    </row>
    <row r="882" spans="1:10" ht="15.75" hidden="1" thickBot="1" x14ac:dyDescent="0.3">
      <c r="A882" s="232"/>
      <c r="B882" s="230"/>
      <c r="C882" s="32"/>
      <c r="D882" s="32"/>
      <c r="E882" s="33"/>
      <c r="F882" s="27" t="s">
        <v>523</v>
      </c>
      <c r="G882" s="27" t="str">
        <f t="shared" si="14"/>
        <v/>
      </c>
      <c r="H882" s="31"/>
      <c r="I882" s="27"/>
      <c r="J882" s="141">
        <v>0</v>
      </c>
    </row>
    <row r="883" spans="1:10" ht="15.75" hidden="1" thickBot="1" x14ac:dyDescent="0.3">
      <c r="A883" s="225" t="s">
        <v>297</v>
      </c>
      <c r="B883" s="228" t="str">
        <f>INDEX(Orçamentária!A:B,MATCH(Composições!A883,Orçamentária!A:A,0),2)</f>
        <v>Vidro liso comum transparente 6mm</v>
      </c>
      <c r="C883" s="37"/>
      <c r="D883" s="22" t="str">
        <f>TRIM(INDEX(Orçamentária!C:C,MATCH(Composições!A883,Orçamentária!A:A,0),1))</f>
        <v>m2</v>
      </c>
      <c r="E883" s="23"/>
      <c r="F883" s="38" t="s">
        <v>523</v>
      </c>
      <c r="G883" s="24" t="str">
        <f t="shared" si="14"/>
        <v/>
      </c>
      <c r="H883" s="25"/>
      <c r="I883" s="26"/>
      <c r="J883" s="141">
        <v>0</v>
      </c>
    </row>
    <row r="884" spans="1:10" ht="15.75" hidden="1" thickBot="1" x14ac:dyDescent="0.3">
      <c r="A884" s="231"/>
      <c r="B884" s="244"/>
      <c r="C884" s="28"/>
      <c r="D884" s="28"/>
      <c r="E884" s="29"/>
      <c r="F884" s="39" t="s">
        <v>523</v>
      </c>
      <c r="G884" s="27" t="str">
        <f t="shared" si="14"/>
        <v/>
      </c>
      <c r="H884" s="31"/>
      <c r="I884" s="27"/>
      <c r="J884" s="141">
        <v>0</v>
      </c>
    </row>
    <row r="885" spans="1:10" ht="15.75" hidden="1" thickBot="1" x14ac:dyDescent="0.3">
      <c r="A885" s="231"/>
      <c r="B885" s="244"/>
      <c r="C885" s="32" t="s">
        <v>298</v>
      </c>
      <c r="D885" s="43" t="s">
        <v>995</v>
      </c>
      <c r="E885" s="33">
        <v>1</v>
      </c>
      <c r="F885" s="27">
        <v>133.14250000000001</v>
      </c>
      <c r="G885" s="27">
        <f t="shared" si="14"/>
        <v>133.14250000000001</v>
      </c>
      <c r="H885" s="35">
        <f>SUM(G885:G889)</f>
        <v>158.2242765</v>
      </c>
      <c r="I885" s="36"/>
      <c r="J885" s="141">
        <v>0</v>
      </c>
    </row>
    <row r="886" spans="1:10" ht="15.75" hidden="1" thickBot="1" x14ac:dyDescent="0.3">
      <c r="A886" s="231"/>
      <c r="B886" s="244"/>
      <c r="C886" s="32" t="s">
        <v>3356</v>
      </c>
      <c r="D886" s="43" t="s">
        <v>901</v>
      </c>
      <c r="E886" s="33">
        <v>2.1000000000000001E-2</v>
      </c>
      <c r="F886" s="30">
        <v>24.832999999999998</v>
      </c>
      <c r="G886" s="27">
        <f t="shared" si="14"/>
        <v>0.52149299999999998</v>
      </c>
      <c r="H886" s="31"/>
      <c r="I886" s="27"/>
      <c r="J886" s="141">
        <v>0</v>
      </c>
    </row>
    <row r="887" spans="1:10" ht="15.75" hidden="1" thickBot="1" x14ac:dyDescent="0.3">
      <c r="A887" s="231"/>
      <c r="B887" s="244"/>
      <c r="C887" s="32" t="s">
        <v>1130</v>
      </c>
      <c r="D887" s="43" t="s">
        <v>280</v>
      </c>
      <c r="E887" s="33">
        <v>0.35699999999999998</v>
      </c>
      <c r="F887" s="30">
        <v>23.693000000000001</v>
      </c>
      <c r="G887" s="27">
        <f t="shared" si="14"/>
        <v>8.4584010000000003</v>
      </c>
      <c r="H887" s="31"/>
      <c r="I887" s="27"/>
      <c r="J887" s="141">
        <v>0</v>
      </c>
    </row>
    <row r="888" spans="1:10" ht="15.75" hidden="1" thickBot="1" x14ac:dyDescent="0.3">
      <c r="A888" s="231"/>
      <c r="B888" s="244"/>
      <c r="C888" s="32" t="s">
        <v>706</v>
      </c>
      <c r="D888" s="43" t="s">
        <v>705</v>
      </c>
      <c r="E888" s="33">
        <v>0.38300000000000001</v>
      </c>
      <c r="F888" s="30">
        <v>18.420500000000001</v>
      </c>
      <c r="G888" s="27">
        <f t="shared" si="14"/>
        <v>7.0550515000000003</v>
      </c>
      <c r="H888" s="31"/>
      <c r="I888" s="27"/>
      <c r="J888" s="141">
        <v>0</v>
      </c>
    </row>
    <row r="889" spans="1:10" ht="15.75" hidden="1" thickBot="1" x14ac:dyDescent="0.3">
      <c r="A889" s="231"/>
      <c r="B889" s="244"/>
      <c r="C889" s="32" t="s">
        <v>3244</v>
      </c>
      <c r="D889" s="43" t="s">
        <v>705</v>
      </c>
      <c r="E889" s="33">
        <v>0.39400000000000002</v>
      </c>
      <c r="F889" s="30">
        <v>22.961500000000001</v>
      </c>
      <c r="G889" s="27">
        <f t="shared" si="14"/>
        <v>9.046831000000001</v>
      </c>
      <c r="H889" s="31"/>
      <c r="I889" s="27"/>
      <c r="J889" s="141">
        <v>0</v>
      </c>
    </row>
    <row r="890" spans="1:10" ht="15.75" hidden="1" thickBot="1" x14ac:dyDescent="0.3">
      <c r="A890" s="232"/>
      <c r="B890" s="230"/>
      <c r="C890" s="32"/>
      <c r="D890" s="32"/>
      <c r="E890" s="33"/>
      <c r="F890" s="27" t="s">
        <v>523</v>
      </c>
      <c r="G890" s="27" t="str">
        <f t="shared" si="14"/>
        <v/>
      </c>
      <c r="H890" s="31"/>
      <c r="I890" s="27"/>
      <c r="J890" s="141">
        <v>0</v>
      </c>
    </row>
    <row r="891" spans="1:10" ht="15.75" hidden="1" thickBot="1" x14ac:dyDescent="0.3">
      <c r="A891" s="225" t="s">
        <v>299</v>
      </c>
      <c r="B891" s="228" t="str">
        <f>INDEX(Orçamentária!A:B,MATCH(Composições!A891,Orçamentária!A:A,0),2)</f>
        <v>Instalação de painéis de vidro temperado reaproveitados</v>
      </c>
      <c r="C891" s="37"/>
      <c r="D891" s="22" t="str">
        <f>TRIM(INDEX(Orçamentária!C:C,MATCH(Composições!A891,Orçamentária!A:A,0),1))</f>
        <v>m2</v>
      </c>
      <c r="E891" s="23"/>
      <c r="F891" s="38" t="s">
        <v>523</v>
      </c>
      <c r="G891" s="24" t="str">
        <f t="shared" si="14"/>
        <v/>
      </c>
      <c r="H891" s="25"/>
      <c r="I891" s="26"/>
      <c r="J891" s="141">
        <v>0</v>
      </c>
    </row>
    <row r="892" spans="1:10" ht="15.75" hidden="1" thickBot="1" x14ac:dyDescent="0.3">
      <c r="A892" s="226"/>
      <c r="B892" s="244"/>
      <c r="C892" s="28"/>
      <c r="D892" s="28"/>
      <c r="E892" s="29"/>
      <c r="F892" s="39" t="s">
        <v>523</v>
      </c>
      <c r="G892" s="27" t="str">
        <f t="shared" si="14"/>
        <v/>
      </c>
      <c r="H892" s="31"/>
      <c r="I892" s="27"/>
      <c r="J892" s="141">
        <v>0</v>
      </c>
    </row>
    <row r="893" spans="1:10" ht="15.75" hidden="1" thickBot="1" x14ac:dyDescent="0.3">
      <c r="A893" s="226"/>
      <c r="B893" s="244"/>
      <c r="C893" s="32" t="s">
        <v>68</v>
      </c>
      <c r="D893" s="32" t="s">
        <v>12</v>
      </c>
      <c r="E893" s="33">
        <f>2.2/2</f>
        <v>1.1000000000000001</v>
      </c>
      <c r="F893" s="27">
        <v>22.961500000000001</v>
      </c>
      <c r="G893" s="30">
        <f t="shared" si="14"/>
        <v>25.257650000000002</v>
      </c>
      <c r="H893" s="35">
        <f>SUM(G893:G894)</f>
        <v>45.520200000000003</v>
      </c>
      <c r="I893" s="36"/>
      <c r="J893" s="141">
        <v>0</v>
      </c>
    </row>
    <row r="894" spans="1:10" ht="15.75" hidden="1" thickBot="1" x14ac:dyDescent="0.3">
      <c r="A894" s="226"/>
      <c r="B894" s="244"/>
      <c r="C894" s="32" t="s">
        <v>23</v>
      </c>
      <c r="D894" s="43" t="s">
        <v>12</v>
      </c>
      <c r="E894" s="33">
        <f>2.2/2</f>
        <v>1.1000000000000001</v>
      </c>
      <c r="F894" s="27">
        <v>18.420500000000001</v>
      </c>
      <c r="G894" s="30">
        <f t="shared" si="14"/>
        <v>20.262550000000001</v>
      </c>
      <c r="H894" s="31"/>
      <c r="I894" s="27"/>
      <c r="J894" s="141">
        <v>0</v>
      </c>
    </row>
    <row r="895" spans="1:10" ht="15.75" hidden="1" thickBot="1" x14ac:dyDescent="0.3">
      <c r="A895" s="227"/>
      <c r="B895" s="230"/>
      <c r="C895" s="32"/>
      <c r="D895" s="32"/>
      <c r="E895" s="33"/>
      <c r="F895" s="27" t="s">
        <v>523</v>
      </c>
      <c r="G895" s="27" t="str">
        <f t="shared" si="14"/>
        <v/>
      </c>
      <c r="H895" s="31"/>
      <c r="I895" s="27"/>
      <c r="J895" s="141">
        <v>0</v>
      </c>
    </row>
    <row r="896" spans="1:10" ht="15.75" hidden="1" thickBot="1" x14ac:dyDescent="0.3">
      <c r="A896" s="225" t="s">
        <v>300</v>
      </c>
      <c r="B896" s="228" t="str">
        <f>INDEX(Orçamentária!A:B,MATCH(Composições!A896,Orçamentária!A:A,0),2)</f>
        <v>Mola hidráulica de piso</v>
      </c>
      <c r="C896" s="37"/>
      <c r="D896" s="22" t="str">
        <f>TRIM(INDEX(Orçamentária!C:C,MATCH(Composições!A896,Orçamentária!A:A,0),1))</f>
        <v>un</v>
      </c>
      <c r="E896" s="23"/>
      <c r="F896" s="38" t="s">
        <v>523</v>
      </c>
      <c r="G896" s="24" t="str">
        <f t="shared" si="14"/>
        <v/>
      </c>
      <c r="H896" s="25"/>
      <c r="I896" s="26"/>
      <c r="J896" s="141">
        <v>0</v>
      </c>
    </row>
    <row r="897" spans="1:10" ht="15.75" hidden="1" thickBot="1" x14ac:dyDescent="0.3">
      <c r="A897" s="226"/>
      <c r="B897" s="244"/>
      <c r="C897" s="28"/>
      <c r="D897" s="28"/>
      <c r="E897" s="29"/>
      <c r="F897" s="39" t="s">
        <v>523</v>
      </c>
      <c r="G897" s="27" t="str">
        <f t="shared" si="14"/>
        <v/>
      </c>
      <c r="H897" s="31"/>
      <c r="I897" s="27"/>
      <c r="J897" s="141">
        <v>0</v>
      </c>
    </row>
    <row r="898" spans="1:10" ht="15.75" hidden="1" thickBot="1" x14ac:dyDescent="0.3">
      <c r="A898" s="226"/>
      <c r="B898" s="244"/>
      <c r="C898" s="32" t="s">
        <v>68</v>
      </c>
      <c r="D898" s="32" t="s">
        <v>12</v>
      </c>
      <c r="E898" s="33">
        <v>1.8180000000000001</v>
      </c>
      <c r="F898" s="27">
        <v>22.961500000000001</v>
      </c>
      <c r="G898" s="30">
        <f t="shared" si="14"/>
        <v>41.744007000000003</v>
      </c>
      <c r="H898" s="35">
        <f>SUM(G898:G901)</f>
        <v>74.2930305</v>
      </c>
      <c r="I898" s="36"/>
      <c r="J898" s="141">
        <v>0</v>
      </c>
    </row>
    <row r="899" spans="1:10" ht="15.75" hidden="1" thickBot="1" x14ac:dyDescent="0.3">
      <c r="A899" s="226"/>
      <c r="B899" s="244"/>
      <c r="C899" s="32" t="s">
        <v>23</v>
      </c>
      <c r="D899" s="43" t="s">
        <v>12</v>
      </c>
      <c r="E899" s="33">
        <v>1.7669999999999999</v>
      </c>
      <c r="F899" s="27">
        <v>18.420500000000001</v>
      </c>
      <c r="G899" s="30">
        <f t="shared" si="14"/>
        <v>32.549023499999997</v>
      </c>
      <c r="H899" s="41"/>
      <c r="I899" s="42"/>
      <c r="J899" s="141">
        <v>0</v>
      </c>
    </row>
    <row r="900" spans="1:10" ht="39" hidden="1" thickBot="1" x14ac:dyDescent="0.3">
      <c r="A900" s="226"/>
      <c r="B900" s="244"/>
      <c r="C900" s="32" t="s">
        <v>6409</v>
      </c>
      <c r="D900" s="32" t="s">
        <v>20</v>
      </c>
      <c r="E900" s="33">
        <v>1</v>
      </c>
      <c r="F900" s="27" t="s">
        <v>523</v>
      </c>
      <c r="G900" s="27" t="str">
        <f t="shared" si="14"/>
        <v/>
      </c>
      <c r="H900" s="31"/>
      <c r="I900" s="27"/>
      <c r="J900" s="141">
        <v>0</v>
      </c>
    </row>
    <row r="901" spans="1:10" ht="15.75" hidden="1" thickBot="1" x14ac:dyDescent="0.3">
      <c r="A901" s="226"/>
      <c r="B901" s="244"/>
      <c r="C901" s="32" t="s">
        <v>6410</v>
      </c>
      <c r="D901" s="32" t="s">
        <v>20</v>
      </c>
      <c r="E901" s="33">
        <v>1</v>
      </c>
      <c r="F901" s="27" t="s">
        <v>523</v>
      </c>
      <c r="G901" s="27" t="str">
        <f t="shared" si="14"/>
        <v/>
      </c>
      <c r="H901" s="31"/>
      <c r="I901" s="27"/>
      <c r="J901" s="141">
        <v>0</v>
      </c>
    </row>
    <row r="902" spans="1:10" ht="15.75" hidden="1" thickBot="1" x14ac:dyDescent="0.3">
      <c r="A902" s="227"/>
      <c r="B902" s="230"/>
      <c r="C902" s="32"/>
      <c r="D902" s="32"/>
      <c r="E902" s="33"/>
      <c r="F902" s="27" t="s">
        <v>523</v>
      </c>
      <c r="G902" s="27" t="str">
        <f t="shared" si="14"/>
        <v/>
      </c>
      <c r="H902" s="31"/>
      <c r="I902" s="27"/>
      <c r="J902" s="141">
        <v>0</v>
      </c>
    </row>
    <row r="903" spans="1:10" ht="15.75" hidden="1" thickBot="1" x14ac:dyDescent="0.3">
      <c r="A903" s="225" t="s">
        <v>301</v>
      </c>
      <c r="B903" s="228" t="str">
        <f>INDEX(Orçamentária!A:B,MATCH(Composições!A903,Orçamentária!A:A,0),2)</f>
        <v>Instalação de persianas reaproveitadas</v>
      </c>
      <c r="C903" s="37"/>
      <c r="D903" s="22" t="str">
        <f>TRIM(INDEX(Orçamentária!C:C,MATCH(Composições!A903,Orçamentária!A:A,0),1))</f>
        <v>m</v>
      </c>
      <c r="E903" s="23"/>
      <c r="F903" s="38" t="s">
        <v>523</v>
      </c>
      <c r="G903" s="24" t="str">
        <f t="shared" si="14"/>
        <v/>
      </c>
      <c r="H903" s="25"/>
      <c r="I903" s="26"/>
      <c r="J903" s="141">
        <v>0</v>
      </c>
    </row>
    <row r="904" spans="1:10" ht="15.75" hidden="1" thickBot="1" x14ac:dyDescent="0.3">
      <c r="A904" s="226"/>
      <c r="B904" s="244"/>
      <c r="C904" s="28"/>
      <c r="D904" s="28"/>
      <c r="E904" s="29"/>
      <c r="F904" s="39" t="s">
        <v>523</v>
      </c>
      <c r="G904" s="27" t="str">
        <f t="shared" si="14"/>
        <v/>
      </c>
      <c r="H904" s="31"/>
      <c r="I904" s="27"/>
      <c r="J904" s="141">
        <v>0</v>
      </c>
    </row>
    <row r="905" spans="1:10" ht="15.75" hidden="1" thickBot="1" x14ac:dyDescent="0.3">
      <c r="A905" s="226"/>
      <c r="B905" s="244"/>
      <c r="C905" s="32" t="s">
        <v>50</v>
      </c>
      <c r="D905" s="32" t="s">
        <v>12</v>
      </c>
      <c r="E905" s="33">
        <f>ROUND(1/3,4)</f>
        <v>0.33329999999999999</v>
      </c>
      <c r="F905" s="27">
        <v>19.474999999999998</v>
      </c>
      <c r="G905" s="30">
        <f t="shared" si="14"/>
        <v>6.491017499999999</v>
      </c>
      <c r="H905" s="35">
        <f>SUM(G905:G905)</f>
        <v>6.491017499999999</v>
      </c>
      <c r="I905" s="36"/>
      <c r="J905" s="141">
        <v>0</v>
      </c>
    </row>
    <row r="906" spans="1:10" ht="15.75" hidden="1" thickBot="1" x14ac:dyDescent="0.3">
      <c r="A906" s="227"/>
      <c r="B906" s="230"/>
      <c r="C906" s="32"/>
      <c r="D906" s="32"/>
      <c r="E906" s="33"/>
      <c r="F906" s="27" t="s">
        <v>523</v>
      </c>
      <c r="G906" s="27" t="str">
        <f t="shared" si="14"/>
        <v/>
      </c>
      <c r="H906" s="31"/>
      <c r="I906" s="27"/>
      <c r="J906" s="141">
        <v>0</v>
      </c>
    </row>
    <row r="907" spans="1:10" ht="15.75" hidden="1" thickBot="1" x14ac:dyDescent="0.3">
      <c r="A907" s="225" t="s">
        <v>302</v>
      </c>
      <c r="B907" s="228" t="str">
        <f>INDEX(Orçamentária!A:B,MATCH(Composições!A907,Orçamentária!A:A,0),2)</f>
        <v>Tubo de ligação para bacia sanitária</v>
      </c>
      <c r="C907" s="37"/>
      <c r="D907" s="22" t="str">
        <f>TRIM(INDEX(Orçamentária!C:C,MATCH(Composições!A907,Orçamentária!A:A,0),1))</f>
        <v>un</v>
      </c>
      <c r="E907" s="23"/>
      <c r="F907" s="38" t="s">
        <v>523</v>
      </c>
      <c r="G907" s="24" t="str">
        <f t="shared" si="14"/>
        <v/>
      </c>
      <c r="H907" s="25"/>
      <c r="I907" s="26"/>
      <c r="J907" s="141">
        <v>0</v>
      </c>
    </row>
    <row r="908" spans="1:10" ht="15.75" hidden="1" thickBot="1" x14ac:dyDescent="0.3">
      <c r="A908" s="226"/>
      <c r="B908" s="244"/>
      <c r="C908" s="28"/>
      <c r="D908" s="28"/>
      <c r="E908" s="29"/>
      <c r="F908" s="39" t="s">
        <v>523</v>
      </c>
      <c r="G908" s="27" t="str">
        <f t="shared" si="14"/>
        <v/>
      </c>
      <c r="H908" s="31"/>
      <c r="I908" s="27"/>
      <c r="J908" s="141">
        <v>0</v>
      </c>
    </row>
    <row r="909" spans="1:10" ht="15.75" hidden="1" thickBot="1" x14ac:dyDescent="0.3">
      <c r="A909" s="226"/>
      <c r="B909" s="244"/>
      <c r="C909" s="32" t="s">
        <v>39</v>
      </c>
      <c r="D909" s="43" t="s">
        <v>12</v>
      </c>
      <c r="E909" s="33">
        <v>0.2</v>
      </c>
      <c r="F909" s="27">
        <v>24.300999999999998</v>
      </c>
      <c r="G909" s="30">
        <f t="shared" si="14"/>
        <v>4.8601999999999999</v>
      </c>
      <c r="H909" s="35">
        <f>SUM(G909:G911)</f>
        <v>18.150700000000001</v>
      </c>
      <c r="I909" s="36"/>
      <c r="J909" s="141">
        <v>0</v>
      </c>
    </row>
    <row r="910" spans="1:10" ht="26.25" hidden="1" thickBot="1" x14ac:dyDescent="0.3">
      <c r="A910" s="226"/>
      <c r="B910" s="244"/>
      <c r="C910" s="32" t="s">
        <v>6627</v>
      </c>
      <c r="D910" s="43" t="s">
        <v>20</v>
      </c>
      <c r="E910" s="33">
        <v>1</v>
      </c>
      <c r="F910" s="30">
        <v>13.2905</v>
      </c>
      <c r="G910" s="50">
        <f t="shared" si="14"/>
        <v>13.2905</v>
      </c>
      <c r="H910" s="31"/>
      <c r="I910" s="27"/>
      <c r="J910" s="141">
        <v>0</v>
      </c>
    </row>
    <row r="911" spans="1:10" ht="26.25" hidden="1" thickBot="1" x14ac:dyDescent="0.3">
      <c r="A911" s="226"/>
      <c r="B911" s="244"/>
      <c r="C911" s="32" t="s">
        <v>303</v>
      </c>
      <c r="D911" s="32" t="s">
        <v>20</v>
      </c>
      <c r="E911" s="33">
        <v>1</v>
      </c>
      <c r="F911" s="30" t="s">
        <v>523</v>
      </c>
      <c r="G911" s="27" t="str">
        <f t="shared" si="14"/>
        <v/>
      </c>
      <c r="H911" s="31"/>
      <c r="I911" s="27"/>
      <c r="J911" s="141">
        <v>0</v>
      </c>
    </row>
    <row r="912" spans="1:10" ht="15.75" hidden="1" thickBot="1" x14ac:dyDescent="0.3">
      <c r="A912" s="227"/>
      <c r="B912" s="230"/>
      <c r="C912" s="32"/>
      <c r="D912" s="32"/>
      <c r="E912" s="33"/>
      <c r="F912" s="27" t="s">
        <v>523</v>
      </c>
      <c r="G912" s="27" t="str">
        <f t="shared" si="14"/>
        <v/>
      </c>
      <c r="H912" s="31"/>
      <c r="I912" s="27"/>
      <c r="J912" s="141">
        <v>0</v>
      </c>
    </row>
    <row r="913" spans="1:10" ht="15.75" hidden="1" thickBot="1" x14ac:dyDescent="0.3">
      <c r="A913" s="225" t="s">
        <v>304</v>
      </c>
      <c r="B913" s="228" t="str">
        <f>INDEX(Orçamentária!A:B,MATCH(Composições!A913,Orçamentária!A:A,0),2)</f>
        <v>Tubo PVC esgoto ou aguas pluviais predial DN 100mm</v>
      </c>
      <c r="C913" s="37"/>
      <c r="D913" s="22" t="str">
        <f>TRIM(INDEX(Orçamentária!C:C,MATCH(Composições!A913,Orçamentária!A:A,0),1))</f>
        <v>m</v>
      </c>
      <c r="E913" s="23"/>
      <c r="F913" s="38" t="s">
        <v>523</v>
      </c>
      <c r="G913" s="24" t="str">
        <f t="shared" si="14"/>
        <v/>
      </c>
      <c r="H913" s="25"/>
      <c r="I913" s="26"/>
      <c r="J913" s="141">
        <v>0</v>
      </c>
    </row>
    <row r="914" spans="1:10" ht="15.75" hidden="1" thickBot="1" x14ac:dyDescent="0.3">
      <c r="A914" s="226"/>
      <c r="B914" s="244"/>
      <c r="C914" s="28"/>
      <c r="D914" s="28"/>
      <c r="E914" s="29"/>
      <c r="F914" s="39" t="s">
        <v>523</v>
      </c>
      <c r="G914" s="27" t="str">
        <f t="shared" ref="G914:G977" si="15">IF(ISNUMBER(F914),E914*F914,"")</f>
        <v/>
      </c>
      <c r="H914" s="31"/>
      <c r="I914" s="27"/>
      <c r="J914" s="141">
        <v>0</v>
      </c>
    </row>
    <row r="915" spans="1:10" ht="15.75" hidden="1" thickBot="1" x14ac:dyDescent="0.3">
      <c r="A915" s="226"/>
      <c r="B915" s="244"/>
      <c r="C915" s="32" t="s">
        <v>6628</v>
      </c>
      <c r="D915" s="43" t="s">
        <v>20</v>
      </c>
      <c r="E915" s="33">
        <v>4.2900000000000001E-2</v>
      </c>
      <c r="F915" s="30">
        <v>65.711500000000001</v>
      </c>
      <c r="G915" s="30">
        <f t="shared" si="15"/>
        <v>2.8190233500000001</v>
      </c>
      <c r="H915" s="35">
        <f>SUM(G915:G920)</f>
        <v>73.876892500000011</v>
      </c>
      <c r="I915" s="36"/>
      <c r="J915" s="141">
        <v>0</v>
      </c>
    </row>
    <row r="916" spans="1:10" ht="26.25" hidden="1" thickBot="1" x14ac:dyDescent="0.3">
      <c r="A916" s="226"/>
      <c r="B916" s="244"/>
      <c r="C916" s="32" t="s">
        <v>3760</v>
      </c>
      <c r="D916" s="43" t="s">
        <v>93</v>
      </c>
      <c r="E916" s="33">
        <v>1.04</v>
      </c>
      <c r="F916" s="30">
        <v>44.450499999999998</v>
      </c>
      <c r="G916" s="30">
        <f t="shared" si="15"/>
        <v>46.228520000000003</v>
      </c>
      <c r="H916" s="41"/>
      <c r="I916" s="42"/>
      <c r="J916" s="141">
        <v>0</v>
      </c>
    </row>
    <row r="917" spans="1:10" ht="26.25" hidden="1" thickBot="1" x14ac:dyDescent="0.3">
      <c r="A917" s="226"/>
      <c r="B917" s="244"/>
      <c r="C917" s="32" t="s">
        <v>6629</v>
      </c>
      <c r="D917" s="43" t="s">
        <v>20</v>
      </c>
      <c r="E917" s="33">
        <v>7.0099999999999996E-2</v>
      </c>
      <c r="F917" s="30">
        <v>74.451499999999996</v>
      </c>
      <c r="G917" s="30">
        <f t="shared" si="15"/>
        <v>5.2190501499999993</v>
      </c>
      <c r="H917" s="41"/>
      <c r="I917" s="42"/>
      <c r="J917" s="141">
        <v>0</v>
      </c>
    </row>
    <row r="918" spans="1:10" ht="15.75" hidden="1" thickBot="1" x14ac:dyDescent="0.3">
      <c r="A918" s="226"/>
      <c r="B918" s="244"/>
      <c r="C918" s="32" t="s">
        <v>305</v>
      </c>
      <c r="D918" s="43" t="s">
        <v>20</v>
      </c>
      <c r="E918" s="33">
        <v>0.14849999999999999</v>
      </c>
      <c r="F918" s="30">
        <v>2.0139999999999998</v>
      </c>
      <c r="G918" s="30">
        <f t="shared" si="15"/>
        <v>0.29907899999999993</v>
      </c>
      <c r="H918" s="41"/>
      <c r="I918" s="42"/>
      <c r="J918" s="141">
        <v>0</v>
      </c>
    </row>
    <row r="919" spans="1:10" ht="26.25" hidden="1" thickBot="1" x14ac:dyDescent="0.3">
      <c r="A919" s="226"/>
      <c r="B919" s="244"/>
      <c r="C919" s="32" t="s">
        <v>107</v>
      </c>
      <c r="D919" s="43" t="s">
        <v>12</v>
      </c>
      <c r="E919" s="33">
        <v>0.44500000000000001</v>
      </c>
      <c r="F919" s="27">
        <v>19.094999999999999</v>
      </c>
      <c r="G919" s="30">
        <f t="shared" si="15"/>
        <v>8.4972750000000001</v>
      </c>
      <c r="H919" s="41"/>
      <c r="I919" s="42"/>
      <c r="J919" s="141">
        <v>0</v>
      </c>
    </row>
    <row r="920" spans="1:10" ht="15.75" hidden="1" thickBot="1" x14ac:dyDescent="0.3">
      <c r="A920" s="226"/>
      <c r="B920" s="244"/>
      <c r="C920" s="32" t="s">
        <v>39</v>
      </c>
      <c r="D920" s="43" t="s">
        <v>12</v>
      </c>
      <c r="E920" s="33">
        <v>0.44500000000000001</v>
      </c>
      <c r="F920" s="27">
        <v>24.300999999999998</v>
      </c>
      <c r="G920" s="30">
        <f t="shared" si="15"/>
        <v>10.813944999999999</v>
      </c>
      <c r="H920" s="41"/>
      <c r="I920" s="42"/>
      <c r="J920" s="141">
        <v>0</v>
      </c>
    </row>
    <row r="921" spans="1:10" ht="15.75" hidden="1" thickBot="1" x14ac:dyDescent="0.3">
      <c r="A921" s="227"/>
      <c r="B921" s="230"/>
      <c r="C921" s="32"/>
      <c r="D921" s="32"/>
      <c r="E921" s="33"/>
      <c r="F921" s="27" t="s">
        <v>523</v>
      </c>
      <c r="G921" s="27" t="str">
        <f t="shared" si="15"/>
        <v/>
      </c>
      <c r="H921" s="31"/>
      <c r="I921" s="27"/>
      <c r="J921" s="141">
        <v>0</v>
      </c>
    </row>
    <row r="922" spans="1:10" ht="15.75" hidden="1" thickBot="1" x14ac:dyDescent="0.3">
      <c r="A922" s="225" t="s">
        <v>306</v>
      </c>
      <c r="B922" s="228" t="str">
        <f>INDEX(Orçamentária!A:B,MATCH(Composições!A922,Orçamentária!A:A,0),2)</f>
        <v>Tubo PVC esgoto ou aguas pluviais predial DN 40mm</v>
      </c>
      <c r="C922" s="37"/>
      <c r="D922" s="22" t="str">
        <f>TRIM(INDEX(Orçamentária!C:C,MATCH(Composições!A922,Orçamentária!A:A,0),1))</f>
        <v>m</v>
      </c>
      <c r="E922" s="23"/>
      <c r="F922" s="38" t="s">
        <v>523</v>
      </c>
      <c r="G922" s="24" t="str">
        <f t="shared" si="15"/>
        <v/>
      </c>
      <c r="H922" s="25"/>
      <c r="I922" s="26"/>
      <c r="J922" s="141">
        <v>0</v>
      </c>
    </row>
    <row r="923" spans="1:10" ht="15.75" hidden="1" thickBot="1" x14ac:dyDescent="0.3">
      <c r="A923" s="226"/>
      <c r="B923" s="244"/>
      <c r="C923" s="28"/>
      <c r="D923" s="28"/>
      <c r="E923" s="29"/>
      <c r="F923" s="39" t="s">
        <v>523</v>
      </c>
      <c r="G923" s="27" t="str">
        <f t="shared" si="15"/>
        <v/>
      </c>
      <c r="H923" s="31"/>
      <c r="I923" s="27"/>
      <c r="J923" s="141">
        <v>0</v>
      </c>
    </row>
    <row r="924" spans="1:10" ht="26.25" hidden="1" thickBot="1" x14ac:dyDescent="0.3">
      <c r="A924" s="226"/>
      <c r="B924" s="244"/>
      <c r="C924" s="32" t="s">
        <v>3762</v>
      </c>
      <c r="D924" s="43" t="s">
        <v>93</v>
      </c>
      <c r="E924" s="33">
        <v>1.04</v>
      </c>
      <c r="F924" s="30">
        <v>15.523</v>
      </c>
      <c r="G924" s="30">
        <f t="shared" si="15"/>
        <v>16.143920000000001</v>
      </c>
      <c r="H924" s="35">
        <f>SUM(G924:G927)</f>
        <v>23.378778000000004</v>
      </c>
      <c r="I924" s="36"/>
      <c r="J924" s="141">
        <v>0</v>
      </c>
    </row>
    <row r="925" spans="1:10" ht="15.75" hidden="1" thickBot="1" x14ac:dyDescent="0.3">
      <c r="A925" s="226"/>
      <c r="B925" s="244"/>
      <c r="C925" s="32" t="s">
        <v>305</v>
      </c>
      <c r="D925" s="43" t="s">
        <v>20</v>
      </c>
      <c r="E925" s="33">
        <v>3.6999999999999998E-2</v>
      </c>
      <c r="F925" s="30">
        <v>2.0139999999999998</v>
      </c>
      <c r="G925" s="30">
        <f t="shared" si="15"/>
        <v>7.4517999999999987E-2</v>
      </c>
      <c r="H925" s="31"/>
      <c r="I925" s="27"/>
      <c r="J925" s="141">
        <v>0</v>
      </c>
    </row>
    <row r="926" spans="1:10" ht="26.25" hidden="1" thickBot="1" x14ac:dyDescent="0.3">
      <c r="A926" s="226"/>
      <c r="B926" s="244"/>
      <c r="C926" s="32" t="s">
        <v>107</v>
      </c>
      <c r="D926" s="43" t="s">
        <v>12</v>
      </c>
      <c r="E926" s="33">
        <v>0.16500000000000001</v>
      </c>
      <c r="F926" s="27">
        <v>19.094999999999999</v>
      </c>
      <c r="G926" s="30">
        <f t="shared" si="15"/>
        <v>3.1506750000000001</v>
      </c>
      <c r="H926" s="31"/>
      <c r="I926" s="27"/>
      <c r="J926" s="141">
        <v>0</v>
      </c>
    </row>
    <row r="927" spans="1:10" ht="15.75" hidden="1" thickBot="1" x14ac:dyDescent="0.3">
      <c r="A927" s="226"/>
      <c r="B927" s="244"/>
      <c r="C927" s="32" t="s">
        <v>39</v>
      </c>
      <c r="D927" s="43" t="s">
        <v>12</v>
      </c>
      <c r="E927" s="33">
        <v>0.16500000000000001</v>
      </c>
      <c r="F927" s="27">
        <v>24.300999999999998</v>
      </c>
      <c r="G927" s="30">
        <f t="shared" si="15"/>
        <v>4.009665</v>
      </c>
      <c r="H927" s="31"/>
      <c r="I927" s="27"/>
      <c r="J927" s="141">
        <v>0</v>
      </c>
    </row>
    <row r="928" spans="1:10" ht="15.75" hidden="1" thickBot="1" x14ac:dyDescent="0.3">
      <c r="A928" s="227"/>
      <c r="B928" s="230"/>
      <c r="C928" s="32"/>
      <c r="D928" s="32"/>
      <c r="E928" s="33"/>
      <c r="F928" s="27" t="s">
        <v>523</v>
      </c>
      <c r="G928" s="27" t="str">
        <f t="shared" si="15"/>
        <v/>
      </c>
      <c r="H928" s="31"/>
      <c r="I928" s="27"/>
      <c r="J928" s="141">
        <v>0</v>
      </c>
    </row>
    <row r="929" spans="1:10" ht="15.75" hidden="1" thickBot="1" x14ac:dyDescent="0.3">
      <c r="A929" s="225" t="s">
        <v>307</v>
      </c>
      <c r="B929" s="228" t="str">
        <f>INDEX(Orçamentária!A:B,MATCH(Composições!A929,Orçamentária!A:A,0),2)</f>
        <v>Tubo PVC esgoto ou aguas pluviais predial DN 50mm</v>
      </c>
      <c r="C929" s="37"/>
      <c r="D929" s="22" t="str">
        <f>TRIM(INDEX(Orçamentária!C:C,MATCH(Composições!A929,Orçamentária!A:A,0),1))</f>
        <v>m</v>
      </c>
      <c r="E929" s="23"/>
      <c r="F929" s="38" t="s">
        <v>523</v>
      </c>
      <c r="G929" s="24" t="str">
        <f t="shared" si="15"/>
        <v/>
      </c>
      <c r="H929" s="25"/>
      <c r="I929" s="26"/>
      <c r="J929" s="141">
        <v>0</v>
      </c>
    </row>
    <row r="930" spans="1:10" ht="15.75" hidden="1" thickBot="1" x14ac:dyDescent="0.3">
      <c r="A930" s="226"/>
      <c r="B930" s="244"/>
      <c r="C930" s="28"/>
      <c r="D930" s="28"/>
      <c r="E930" s="29"/>
      <c r="F930" s="39" t="s">
        <v>523</v>
      </c>
      <c r="G930" s="27" t="str">
        <f t="shared" si="15"/>
        <v/>
      </c>
      <c r="H930" s="31"/>
      <c r="I930" s="27"/>
      <c r="J930" s="141">
        <v>0</v>
      </c>
    </row>
    <row r="931" spans="1:10" ht="15.75" hidden="1" thickBot="1" x14ac:dyDescent="0.3">
      <c r="A931" s="226"/>
      <c r="B931" s="244"/>
      <c r="C931" s="32" t="s">
        <v>6628</v>
      </c>
      <c r="D931" s="43" t="s">
        <v>20</v>
      </c>
      <c r="E931" s="33">
        <v>1.2800000000000001E-2</v>
      </c>
      <c r="F931" s="30">
        <v>65.711500000000001</v>
      </c>
      <c r="G931" s="30">
        <f t="shared" si="15"/>
        <v>0.84110720000000005</v>
      </c>
      <c r="H931" s="35">
        <f>SUM(G931:G936)</f>
        <v>31.601139150000002</v>
      </c>
      <c r="I931" s="36"/>
      <c r="J931" s="141">
        <v>0</v>
      </c>
    </row>
    <row r="932" spans="1:10" ht="26.25" hidden="1" thickBot="1" x14ac:dyDescent="0.3">
      <c r="A932" s="226"/>
      <c r="B932" s="244"/>
      <c r="C932" s="32" t="s">
        <v>3763</v>
      </c>
      <c r="D932" s="43" t="s">
        <v>93</v>
      </c>
      <c r="E932" s="33">
        <v>1.04</v>
      </c>
      <c r="F932" s="30">
        <v>19.360999999999997</v>
      </c>
      <c r="G932" s="30">
        <f t="shared" si="15"/>
        <v>20.135439999999999</v>
      </c>
      <c r="H932" s="31"/>
      <c r="I932" s="27"/>
      <c r="J932" s="141">
        <v>0</v>
      </c>
    </row>
    <row r="933" spans="1:10" ht="26.25" hidden="1" thickBot="1" x14ac:dyDescent="0.3">
      <c r="A933" s="226"/>
      <c r="B933" s="244"/>
      <c r="C933" s="32" t="s">
        <v>6629</v>
      </c>
      <c r="D933" s="43" t="s">
        <v>20</v>
      </c>
      <c r="E933" s="33">
        <v>1.9300000000000001E-2</v>
      </c>
      <c r="F933" s="30">
        <v>74.451499999999996</v>
      </c>
      <c r="G933" s="30">
        <f t="shared" si="15"/>
        <v>1.4369139500000001</v>
      </c>
      <c r="H933" s="31"/>
      <c r="I933" s="27"/>
      <c r="J933" s="141">
        <v>0</v>
      </c>
    </row>
    <row r="934" spans="1:10" ht="15.75" hidden="1" thickBot="1" x14ac:dyDescent="0.3">
      <c r="A934" s="226"/>
      <c r="B934" s="244"/>
      <c r="C934" s="32" t="s">
        <v>305</v>
      </c>
      <c r="D934" s="43" t="s">
        <v>20</v>
      </c>
      <c r="E934" s="33">
        <v>3.6999999999999998E-2</v>
      </c>
      <c r="F934" s="30">
        <v>2.0139999999999998</v>
      </c>
      <c r="G934" s="30">
        <f t="shared" si="15"/>
        <v>7.4517999999999987E-2</v>
      </c>
      <c r="H934" s="31"/>
      <c r="I934" s="27"/>
      <c r="J934" s="141">
        <v>0</v>
      </c>
    </row>
    <row r="935" spans="1:10" ht="26.25" hidden="1" thickBot="1" x14ac:dyDescent="0.3">
      <c r="A935" s="226"/>
      <c r="B935" s="244"/>
      <c r="C935" s="32" t="s">
        <v>107</v>
      </c>
      <c r="D935" s="43" t="s">
        <v>12</v>
      </c>
      <c r="E935" s="33">
        <v>0.21</v>
      </c>
      <c r="F935" s="27">
        <v>19.094999999999999</v>
      </c>
      <c r="G935" s="30">
        <f t="shared" si="15"/>
        <v>4.0099499999999999</v>
      </c>
      <c r="H935" s="31"/>
      <c r="I935" s="27"/>
      <c r="J935" s="141">
        <v>0</v>
      </c>
    </row>
    <row r="936" spans="1:10" ht="15.75" hidden="1" thickBot="1" x14ac:dyDescent="0.3">
      <c r="A936" s="226"/>
      <c r="B936" s="244"/>
      <c r="C936" s="32" t="s">
        <v>39</v>
      </c>
      <c r="D936" s="43" t="s">
        <v>12</v>
      </c>
      <c r="E936" s="33">
        <v>0.21</v>
      </c>
      <c r="F936" s="27">
        <v>24.300999999999998</v>
      </c>
      <c r="G936" s="30">
        <f t="shared" si="15"/>
        <v>5.1032099999999998</v>
      </c>
      <c r="H936" s="31"/>
      <c r="I936" s="27"/>
      <c r="J936" s="141">
        <v>0</v>
      </c>
    </row>
    <row r="937" spans="1:10" ht="15.75" hidden="1" thickBot="1" x14ac:dyDescent="0.3">
      <c r="A937" s="227"/>
      <c r="B937" s="230"/>
      <c r="C937" s="32"/>
      <c r="D937" s="32"/>
      <c r="E937" s="33"/>
      <c r="F937" s="27" t="s">
        <v>523</v>
      </c>
      <c r="G937" s="27" t="str">
        <f t="shared" si="15"/>
        <v/>
      </c>
      <c r="H937" s="31"/>
      <c r="I937" s="27"/>
      <c r="J937" s="141">
        <v>0</v>
      </c>
    </row>
    <row r="938" spans="1:10" ht="15.75" hidden="1" thickBot="1" x14ac:dyDescent="0.3">
      <c r="A938" s="225" t="s">
        <v>308</v>
      </c>
      <c r="B938" s="228" t="str">
        <f>INDEX(Orçamentária!A:B,MATCH(Composições!A938,Orçamentária!A:A,0),2)</f>
        <v>Tubo PVC esgoto ou aguas pluviais predial DN 75mm</v>
      </c>
      <c r="C938" s="37"/>
      <c r="D938" s="22" t="str">
        <f>TRIM(INDEX(Orçamentária!C:C,MATCH(Composições!A938,Orçamentária!A:A,0),1))</f>
        <v>m</v>
      </c>
      <c r="E938" s="23"/>
      <c r="F938" s="38" t="s">
        <v>523</v>
      </c>
      <c r="G938" s="24" t="str">
        <f t="shared" si="15"/>
        <v/>
      </c>
      <c r="H938" s="25"/>
      <c r="I938" s="26"/>
      <c r="J938" s="141">
        <v>0</v>
      </c>
    </row>
    <row r="939" spans="1:10" ht="15.75" hidden="1" thickBot="1" x14ac:dyDescent="0.3">
      <c r="A939" s="226"/>
      <c r="B939" s="244"/>
      <c r="C939" s="28"/>
      <c r="D939" s="28"/>
      <c r="E939" s="29"/>
      <c r="F939" s="39" t="s">
        <v>523</v>
      </c>
      <c r="G939" s="27" t="str">
        <f t="shared" si="15"/>
        <v/>
      </c>
      <c r="H939" s="31"/>
      <c r="I939" s="27"/>
      <c r="J939" s="141">
        <v>0</v>
      </c>
    </row>
    <row r="940" spans="1:10" ht="15.75" hidden="1" thickBot="1" x14ac:dyDescent="0.3">
      <c r="A940" s="226"/>
      <c r="B940" s="244"/>
      <c r="C940" s="32" t="s">
        <v>6628</v>
      </c>
      <c r="D940" s="43" t="s">
        <v>20</v>
      </c>
      <c r="E940" s="33">
        <v>2.93E-2</v>
      </c>
      <c r="F940" s="30">
        <v>65.711500000000001</v>
      </c>
      <c r="G940" s="30">
        <f t="shared" si="15"/>
        <v>1.92534695</v>
      </c>
      <c r="H940" s="35">
        <f>SUM(G940:G945)</f>
        <v>46.024589200000001</v>
      </c>
      <c r="I940" s="36"/>
      <c r="J940" s="141">
        <v>0</v>
      </c>
    </row>
    <row r="941" spans="1:10" ht="26.25" hidden="1" thickBot="1" x14ac:dyDescent="0.3">
      <c r="A941" s="226"/>
      <c r="B941" s="244"/>
      <c r="C941" s="32" t="s">
        <v>3764</v>
      </c>
      <c r="D941" s="43" t="s">
        <v>93</v>
      </c>
      <c r="E941" s="33">
        <v>1.04</v>
      </c>
      <c r="F941" s="30">
        <v>25.374500000000001</v>
      </c>
      <c r="G941" s="30">
        <f t="shared" si="15"/>
        <v>26.389480000000002</v>
      </c>
      <c r="H941" s="41"/>
      <c r="I941" s="42"/>
      <c r="J941" s="141">
        <v>0</v>
      </c>
    </row>
    <row r="942" spans="1:10" ht="26.25" hidden="1" thickBot="1" x14ac:dyDescent="0.3">
      <c r="A942" s="226"/>
      <c r="B942" s="244"/>
      <c r="C942" s="32" t="s">
        <v>6629</v>
      </c>
      <c r="D942" s="43" t="s">
        <v>20</v>
      </c>
      <c r="E942" s="33">
        <v>4.5499999999999999E-2</v>
      </c>
      <c r="F942" s="30">
        <v>74.451499999999996</v>
      </c>
      <c r="G942" s="30">
        <f t="shared" si="15"/>
        <v>3.3875432499999998</v>
      </c>
      <c r="H942" s="41"/>
      <c r="I942" s="42"/>
      <c r="J942" s="141">
        <v>0</v>
      </c>
    </row>
    <row r="943" spans="1:10" ht="15.75" hidden="1" thickBot="1" x14ac:dyDescent="0.3">
      <c r="A943" s="226"/>
      <c r="B943" s="244"/>
      <c r="C943" s="32" t="s">
        <v>305</v>
      </c>
      <c r="D943" s="43" t="s">
        <v>20</v>
      </c>
      <c r="E943" s="33">
        <v>0.1085</v>
      </c>
      <c r="F943" s="30">
        <v>2.0139999999999998</v>
      </c>
      <c r="G943" s="30">
        <f t="shared" si="15"/>
        <v>0.21851899999999996</v>
      </c>
      <c r="H943" s="41"/>
      <c r="I943" s="42"/>
      <c r="J943" s="141">
        <v>0</v>
      </c>
    </row>
    <row r="944" spans="1:10" ht="26.25" hidden="1" thickBot="1" x14ac:dyDescent="0.3">
      <c r="A944" s="226"/>
      <c r="B944" s="244"/>
      <c r="C944" s="32" t="s">
        <v>107</v>
      </c>
      <c r="D944" s="43" t="s">
        <v>12</v>
      </c>
      <c r="E944" s="33">
        <v>0.32500000000000001</v>
      </c>
      <c r="F944" s="27">
        <v>19.094999999999999</v>
      </c>
      <c r="G944" s="30">
        <f t="shared" si="15"/>
        <v>6.2058749999999998</v>
      </c>
      <c r="H944" s="41"/>
      <c r="I944" s="42"/>
      <c r="J944" s="141">
        <v>0</v>
      </c>
    </row>
    <row r="945" spans="1:10" ht="15.75" hidden="1" thickBot="1" x14ac:dyDescent="0.3">
      <c r="A945" s="226"/>
      <c r="B945" s="244"/>
      <c r="C945" s="32" t="s">
        <v>39</v>
      </c>
      <c r="D945" s="43" t="s">
        <v>12</v>
      </c>
      <c r="E945" s="33">
        <v>0.32500000000000001</v>
      </c>
      <c r="F945" s="27">
        <v>24.300999999999998</v>
      </c>
      <c r="G945" s="30">
        <f t="shared" si="15"/>
        <v>7.8978250000000001</v>
      </c>
      <c r="H945" s="41"/>
      <c r="I945" s="42"/>
      <c r="J945" s="141">
        <v>0</v>
      </c>
    </row>
    <row r="946" spans="1:10" ht="15.75" hidden="1" thickBot="1" x14ac:dyDescent="0.3">
      <c r="A946" s="227"/>
      <c r="B946" s="230"/>
      <c r="C946" s="32"/>
      <c r="D946" s="32"/>
      <c r="E946" s="33"/>
      <c r="F946" s="27" t="s">
        <v>523</v>
      </c>
      <c r="G946" s="27" t="str">
        <f t="shared" si="15"/>
        <v/>
      </c>
      <c r="H946" s="31"/>
      <c r="I946" s="27"/>
      <c r="J946" s="141">
        <v>0</v>
      </c>
    </row>
    <row r="947" spans="1:10" ht="15.75" thickBot="1" x14ac:dyDescent="0.3">
      <c r="A947" s="225" t="s">
        <v>309</v>
      </c>
      <c r="B947" s="228" t="str">
        <f>INDEX(Orçamentária!A:B,MATCH(Composições!A947,Orçamentária!A:A,0),2)</f>
        <v>Tubo PVC soldável água fria DN 25mm</v>
      </c>
      <c r="C947" s="37"/>
      <c r="D947" s="22" t="str">
        <f>TRIM(INDEX(Orçamentária!C:C,MATCH(Composições!A947,Orçamentária!A:A,0),1))</f>
        <v>m</v>
      </c>
      <c r="E947" s="23"/>
      <c r="F947" s="38" t="s">
        <v>523</v>
      </c>
      <c r="G947" s="24" t="str">
        <f t="shared" si="15"/>
        <v/>
      </c>
      <c r="H947" s="25"/>
      <c r="I947" s="26"/>
      <c r="J947" s="141">
        <v>200</v>
      </c>
    </row>
    <row r="948" spans="1:10" x14ac:dyDescent="0.25">
      <c r="A948" s="226"/>
      <c r="B948" s="244"/>
      <c r="C948" s="28"/>
      <c r="D948" s="28"/>
      <c r="E948" s="29"/>
      <c r="F948" s="39" t="s">
        <v>523</v>
      </c>
      <c r="G948" s="27" t="str">
        <f t="shared" si="15"/>
        <v/>
      </c>
      <c r="H948" s="31"/>
      <c r="I948" s="27"/>
      <c r="J948" s="141">
        <v>200</v>
      </c>
    </row>
    <row r="949" spans="1:10" x14ac:dyDescent="0.25">
      <c r="A949" s="226"/>
      <c r="B949" s="244"/>
      <c r="C949" s="32" t="s">
        <v>310</v>
      </c>
      <c r="D949" s="43" t="s">
        <v>93</v>
      </c>
      <c r="E949" s="33">
        <v>1.0609999999999999</v>
      </c>
      <c r="F949" s="30">
        <v>4.4554999999999998</v>
      </c>
      <c r="G949" s="30">
        <f t="shared" si="15"/>
        <v>4.7272854999999998</v>
      </c>
      <c r="H949" s="35">
        <f>SUM(G949:G951)</f>
        <v>5.4216215000000005</v>
      </c>
      <c r="I949" s="36"/>
      <c r="J949" s="141">
        <v>200</v>
      </c>
    </row>
    <row r="950" spans="1:10" ht="25.5" x14ac:dyDescent="0.25">
      <c r="A950" s="226"/>
      <c r="B950" s="244"/>
      <c r="C950" s="32" t="s">
        <v>107</v>
      </c>
      <c r="D950" s="32" t="s">
        <v>12</v>
      </c>
      <c r="E950" s="33">
        <v>1.6E-2</v>
      </c>
      <c r="F950" s="27">
        <v>19.094999999999999</v>
      </c>
      <c r="G950" s="30">
        <f t="shared" si="15"/>
        <v>0.30552000000000001</v>
      </c>
      <c r="H950" s="31"/>
      <c r="I950" s="27"/>
      <c r="J950" s="141">
        <v>200</v>
      </c>
    </row>
    <row r="951" spans="1:10" x14ac:dyDescent="0.25">
      <c r="A951" s="226"/>
      <c r="B951" s="244"/>
      <c r="C951" s="32" t="s">
        <v>39</v>
      </c>
      <c r="D951" s="43" t="s">
        <v>12</v>
      </c>
      <c r="E951" s="33">
        <v>1.6E-2</v>
      </c>
      <c r="F951" s="27">
        <v>24.300999999999998</v>
      </c>
      <c r="G951" s="30">
        <f t="shared" si="15"/>
        <v>0.38881599999999999</v>
      </c>
      <c r="H951" s="31"/>
      <c r="I951" s="27"/>
      <c r="J951" s="141">
        <v>200</v>
      </c>
    </row>
    <row r="952" spans="1:10" ht="15.75" thickBot="1" x14ac:dyDescent="0.3">
      <c r="A952" s="227"/>
      <c r="B952" s="230"/>
      <c r="C952" s="32"/>
      <c r="D952" s="32"/>
      <c r="E952" s="33"/>
      <c r="F952" s="27" t="s">
        <v>523</v>
      </c>
      <c r="G952" s="27" t="str">
        <f t="shared" si="15"/>
        <v/>
      </c>
      <c r="H952" s="31"/>
      <c r="I952" s="27"/>
      <c r="J952" s="141">
        <v>200</v>
      </c>
    </row>
    <row r="953" spans="1:10" ht="15.75" hidden="1" thickBot="1" x14ac:dyDescent="0.3">
      <c r="A953" s="225" t="s">
        <v>311</v>
      </c>
      <c r="B953" s="228" t="str">
        <f>INDEX(Orçamentária!A:B,MATCH(Composições!A953,Orçamentária!A:A,0),2)</f>
        <v>Tubo PVC soldável água fria DN 32mm</v>
      </c>
      <c r="C953" s="37"/>
      <c r="D953" s="22" t="str">
        <f>TRIM(INDEX(Orçamentária!C:C,MATCH(Composições!A953,Orçamentária!A:A,0),1))</f>
        <v>m</v>
      </c>
      <c r="E953" s="23"/>
      <c r="F953" s="38" t="s">
        <v>523</v>
      </c>
      <c r="G953" s="24" t="str">
        <f t="shared" si="15"/>
        <v/>
      </c>
      <c r="H953" s="25"/>
      <c r="I953" s="26"/>
      <c r="J953" s="141">
        <v>0</v>
      </c>
    </row>
    <row r="954" spans="1:10" ht="15.75" hidden="1" thickBot="1" x14ac:dyDescent="0.3">
      <c r="A954" s="226"/>
      <c r="B954" s="244"/>
      <c r="C954" s="28"/>
      <c r="D954" s="28"/>
      <c r="E954" s="29"/>
      <c r="F954" s="39" t="s">
        <v>523</v>
      </c>
      <c r="G954" s="27" t="str">
        <f t="shared" si="15"/>
        <v/>
      </c>
      <c r="H954" s="31"/>
      <c r="I954" s="27"/>
      <c r="J954" s="141">
        <v>0</v>
      </c>
    </row>
    <row r="955" spans="1:10" ht="15.75" hidden="1" thickBot="1" x14ac:dyDescent="0.3">
      <c r="A955" s="226"/>
      <c r="B955" s="244"/>
      <c r="C955" s="32" t="s">
        <v>312</v>
      </c>
      <c r="D955" s="43" t="s">
        <v>93</v>
      </c>
      <c r="E955" s="33">
        <v>1.0609999999999999</v>
      </c>
      <c r="F955" s="30">
        <v>10.003499999999999</v>
      </c>
      <c r="G955" s="30">
        <f t="shared" si="15"/>
        <v>10.613713499999998</v>
      </c>
      <c r="H955" s="35">
        <f>SUM(G955:G957)</f>
        <v>11.481633499999997</v>
      </c>
      <c r="I955" s="36"/>
      <c r="J955" s="141">
        <v>0</v>
      </c>
    </row>
    <row r="956" spans="1:10" ht="26.25" hidden="1" thickBot="1" x14ac:dyDescent="0.3">
      <c r="A956" s="226"/>
      <c r="B956" s="244"/>
      <c r="C956" s="32" t="s">
        <v>107</v>
      </c>
      <c r="D956" s="32" t="s">
        <v>12</v>
      </c>
      <c r="E956" s="33">
        <v>0.02</v>
      </c>
      <c r="F956" s="27">
        <v>19.094999999999999</v>
      </c>
      <c r="G956" s="30">
        <f t="shared" si="15"/>
        <v>0.38189999999999996</v>
      </c>
      <c r="H956" s="31"/>
      <c r="I956" s="27"/>
      <c r="J956" s="141">
        <v>0</v>
      </c>
    </row>
    <row r="957" spans="1:10" ht="15.75" hidden="1" thickBot="1" x14ac:dyDescent="0.3">
      <c r="A957" s="226"/>
      <c r="B957" s="244"/>
      <c r="C957" s="32" t="s">
        <v>39</v>
      </c>
      <c r="D957" s="43" t="s">
        <v>12</v>
      </c>
      <c r="E957" s="33">
        <v>0.02</v>
      </c>
      <c r="F957" s="27">
        <v>24.300999999999998</v>
      </c>
      <c r="G957" s="30">
        <f t="shared" si="15"/>
        <v>0.48601999999999995</v>
      </c>
      <c r="H957" s="31"/>
      <c r="I957" s="27"/>
      <c r="J957" s="141">
        <v>0</v>
      </c>
    </row>
    <row r="958" spans="1:10" ht="15.75" hidden="1" thickBot="1" x14ac:dyDescent="0.3">
      <c r="A958" s="227"/>
      <c r="B958" s="230"/>
      <c r="C958" s="32"/>
      <c r="D958" s="32"/>
      <c r="E958" s="33"/>
      <c r="F958" s="27" t="s">
        <v>523</v>
      </c>
      <c r="G958" s="27" t="str">
        <f t="shared" si="15"/>
        <v/>
      </c>
      <c r="H958" s="31"/>
      <c r="I958" s="27"/>
      <c r="J958" s="141">
        <v>0</v>
      </c>
    </row>
    <row r="959" spans="1:10" ht="15.75" hidden="1" thickBot="1" x14ac:dyDescent="0.3">
      <c r="A959" s="225" t="s">
        <v>313</v>
      </c>
      <c r="B959" s="228" t="str">
        <f>INDEX(Orçamentária!A:B,MATCH(Composições!A959,Orçamentária!A:A,0),2)</f>
        <v>Tubo PVC soldável água fria DN 40mm</v>
      </c>
      <c r="C959" s="37"/>
      <c r="D959" s="22" t="str">
        <f>TRIM(INDEX(Orçamentária!C:C,MATCH(Composições!A959,Orçamentária!A:A,0),1))</f>
        <v>m</v>
      </c>
      <c r="E959" s="23"/>
      <c r="F959" s="38" t="s">
        <v>523</v>
      </c>
      <c r="G959" s="24" t="str">
        <f t="shared" si="15"/>
        <v/>
      </c>
      <c r="H959" s="25"/>
      <c r="I959" s="26"/>
      <c r="J959" s="141">
        <v>0</v>
      </c>
    </row>
    <row r="960" spans="1:10" ht="15.75" hidden="1" thickBot="1" x14ac:dyDescent="0.3">
      <c r="A960" s="226"/>
      <c r="B960" s="244"/>
      <c r="C960" s="28"/>
      <c r="D960" s="28"/>
      <c r="E960" s="29"/>
      <c r="F960" s="39" t="s">
        <v>523</v>
      </c>
      <c r="G960" s="27" t="str">
        <f t="shared" si="15"/>
        <v/>
      </c>
      <c r="H960" s="31"/>
      <c r="I960" s="27"/>
      <c r="J960" s="141">
        <v>0</v>
      </c>
    </row>
    <row r="961" spans="1:10" ht="15.75" hidden="1" thickBot="1" x14ac:dyDescent="0.3">
      <c r="A961" s="226"/>
      <c r="B961" s="244"/>
      <c r="C961" s="32" t="s">
        <v>314</v>
      </c>
      <c r="D961" s="43" t="s">
        <v>93</v>
      </c>
      <c r="E961" s="33">
        <v>1.0609999999999999</v>
      </c>
      <c r="F961" s="30">
        <v>14.563499999999999</v>
      </c>
      <c r="G961" s="30">
        <f t="shared" si="15"/>
        <v>15.451873499999998</v>
      </c>
      <c r="H961" s="35">
        <f>SUM(G961:G964)</f>
        <v>16.509489499999997</v>
      </c>
      <c r="I961" s="36"/>
      <c r="J961" s="141">
        <v>0</v>
      </c>
    </row>
    <row r="962" spans="1:10" ht="15.75" hidden="1" thickBot="1" x14ac:dyDescent="0.3">
      <c r="A962" s="226"/>
      <c r="B962" s="244"/>
      <c r="C962" s="32" t="s">
        <v>305</v>
      </c>
      <c r="D962" s="43" t="s">
        <v>20</v>
      </c>
      <c r="E962" s="33">
        <v>8.0000000000000002E-3</v>
      </c>
      <c r="F962" s="30">
        <v>2.0139999999999998</v>
      </c>
      <c r="G962" s="30">
        <f t="shared" si="15"/>
        <v>1.6111999999999998E-2</v>
      </c>
      <c r="H962" s="31"/>
      <c r="I962" s="27"/>
      <c r="J962" s="141">
        <v>0</v>
      </c>
    </row>
    <row r="963" spans="1:10" ht="26.25" hidden="1" thickBot="1" x14ac:dyDescent="0.3">
      <c r="A963" s="226"/>
      <c r="B963" s="244"/>
      <c r="C963" s="32" t="s">
        <v>107</v>
      </c>
      <c r="D963" s="32" t="s">
        <v>12</v>
      </c>
      <c r="E963" s="33">
        <v>2.4E-2</v>
      </c>
      <c r="F963" s="27">
        <v>19.094999999999999</v>
      </c>
      <c r="G963" s="30">
        <f t="shared" si="15"/>
        <v>0.45827999999999997</v>
      </c>
      <c r="H963" s="31"/>
      <c r="I963" s="27"/>
      <c r="J963" s="141">
        <v>0</v>
      </c>
    </row>
    <row r="964" spans="1:10" ht="15.75" hidden="1" thickBot="1" x14ac:dyDescent="0.3">
      <c r="A964" s="226"/>
      <c r="B964" s="244"/>
      <c r="C964" s="32" t="s">
        <v>39</v>
      </c>
      <c r="D964" s="43" t="s">
        <v>12</v>
      </c>
      <c r="E964" s="33">
        <v>2.4E-2</v>
      </c>
      <c r="F964" s="27">
        <v>24.300999999999998</v>
      </c>
      <c r="G964" s="30">
        <f t="shared" si="15"/>
        <v>0.58322399999999996</v>
      </c>
      <c r="H964" s="31"/>
      <c r="I964" s="27"/>
      <c r="J964" s="141">
        <v>0</v>
      </c>
    </row>
    <row r="965" spans="1:10" ht="15.75" hidden="1" thickBot="1" x14ac:dyDescent="0.3">
      <c r="A965" s="227"/>
      <c r="B965" s="230"/>
      <c r="C965" s="32"/>
      <c r="D965" s="32"/>
      <c r="E965" s="33"/>
      <c r="F965" s="27" t="s">
        <v>523</v>
      </c>
      <c r="G965" s="27" t="str">
        <f t="shared" si="15"/>
        <v/>
      </c>
      <c r="H965" s="31"/>
      <c r="I965" s="27"/>
      <c r="J965" s="141">
        <v>0</v>
      </c>
    </row>
    <row r="966" spans="1:10" ht="15.75" hidden="1" thickBot="1" x14ac:dyDescent="0.3">
      <c r="A966" s="225" t="s">
        <v>315</v>
      </c>
      <c r="B966" s="228" t="str">
        <f>INDEX(Orçamentária!A:B,MATCH(Composições!A966,Orçamentária!A:A,0),2)</f>
        <v>Tubo PVC soldável água fria DN 50mm</v>
      </c>
      <c r="C966" s="37"/>
      <c r="D966" s="22" t="str">
        <f>TRIM(INDEX(Orçamentária!C:C,MATCH(Composições!A966,Orçamentária!A:A,0),1))</f>
        <v>m</v>
      </c>
      <c r="E966" s="23"/>
      <c r="F966" s="38" t="s">
        <v>523</v>
      </c>
      <c r="G966" s="24" t="str">
        <f t="shared" si="15"/>
        <v/>
      </c>
      <c r="H966" s="25"/>
      <c r="I966" s="26"/>
      <c r="J966" s="141">
        <v>0</v>
      </c>
    </row>
    <row r="967" spans="1:10" ht="15.75" hidden="1" thickBot="1" x14ac:dyDescent="0.3">
      <c r="A967" s="226"/>
      <c r="B967" s="244"/>
      <c r="C967" s="28"/>
      <c r="D967" s="28"/>
      <c r="E967" s="29"/>
      <c r="F967" s="39" t="s">
        <v>523</v>
      </c>
      <c r="G967" s="27" t="str">
        <f t="shared" si="15"/>
        <v/>
      </c>
      <c r="H967" s="31"/>
      <c r="I967" s="27"/>
      <c r="J967" s="141">
        <v>0</v>
      </c>
    </row>
    <row r="968" spans="1:10" ht="15.75" hidden="1" thickBot="1" x14ac:dyDescent="0.3">
      <c r="A968" s="226"/>
      <c r="B968" s="244"/>
      <c r="C968" s="32" t="s">
        <v>316</v>
      </c>
      <c r="D968" s="43" t="s">
        <v>93</v>
      </c>
      <c r="E968" s="33">
        <v>1.0609999999999999</v>
      </c>
      <c r="F968" s="30">
        <v>16.681999999999999</v>
      </c>
      <c r="G968" s="30">
        <f t="shared" si="15"/>
        <v>17.699601999999999</v>
      </c>
      <c r="H968" s="35">
        <f>SUM(G968:G971)</f>
        <v>18.978225999999999</v>
      </c>
      <c r="I968" s="36"/>
      <c r="J968" s="141">
        <v>0</v>
      </c>
    </row>
    <row r="969" spans="1:10" ht="15.75" hidden="1" thickBot="1" x14ac:dyDescent="0.3">
      <c r="A969" s="226"/>
      <c r="B969" s="244"/>
      <c r="C969" s="32" t="s">
        <v>305</v>
      </c>
      <c r="D969" s="43" t="s">
        <v>20</v>
      </c>
      <c r="E969" s="33">
        <v>0.01</v>
      </c>
      <c r="F969" s="30">
        <v>2.0139999999999998</v>
      </c>
      <c r="G969" s="30">
        <f t="shared" si="15"/>
        <v>2.0139999999999998E-2</v>
      </c>
      <c r="H969" s="31"/>
      <c r="I969" s="27"/>
      <c r="J969" s="141">
        <v>0</v>
      </c>
    </row>
    <row r="970" spans="1:10" ht="26.25" hidden="1" thickBot="1" x14ac:dyDescent="0.3">
      <c r="A970" s="226"/>
      <c r="B970" s="244"/>
      <c r="C970" s="32" t="s">
        <v>107</v>
      </c>
      <c r="D970" s="32" t="s">
        <v>12</v>
      </c>
      <c r="E970" s="33">
        <v>2.9000000000000001E-2</v>
      </c>
      <c r="F970" s="27">
        <v>19.094999999999999</v>
      </c>
      <c r="G970" s="30">
        <f t="shared" si="15"/>
        <v>0.553755</v>
      </c>
      <c r="H970" s="31"/>
      <c r="I970" s="27"/>
      <c r="J970" s="141">
        <v>0</v>
      </c>
    </row>
    <row r="971" spans="1:10" ht="15.75" hidden="1" thickBot="1" x14ac:dyDescent="0.3">
      <c r="A971" s="226"/>
      <c r="B971" s="244"/>
      <c r="C971" s="32" t="s">
        <v>39</v>
      </c>
      <c r="D971" s="43" t="s">
        <v>12</v>
      </c>
      <c r="E971" s="33">
        <v>2.9000000000000001E-2</v>
      </c>
      <c r="F971" s="27">
        <v>24.300999999999998</v>
      </c>
      <c r="G971" s="30">
        <f t="shared" si="15"/>
        <v>0.70472899999999994</v>
      </c>
      <c r="H971" s="31"/>
      <c r="I971" s="27"/>
      <c r="J971" s="141">
        <v>0</v>
      </c>
    </row>
    <row r="972" spans="1:10" ht="15.75" hidden="1" thickBot="1" x14ac:dyDescent="0.3">
      <c r="A972" s="227"/>
      <c r="B972" s="230"/>
      <c r="C972" s="32"/>
      <c r="D972" s="32"/>
      <c r="E972" s="33"/>
      <c r="F972" s="27" t="s">
        <v>523</v>
      </c>
      <c r="G972" s="27" t="str">
        <f t="shared" si="15"/>
        <v/>
      </c>
      <c r="H972" s="31"/>
      <c r="I972" s="27"/>
      <c r="J972" s="141">
        <v>0</v>
      </c>
    </row>
    <row r="973" spans="1:10" ht="15.75" hidden="1" thickBot="1" x14ac:dyDescent="0.3">
      <c r="A973" s="225" t="s">
        <v>317</v>
      </c>
      <c r="B973" s="228" t="str">
        <f>INDEX(Orçamentária!A:B,MATCH(Composições!A973,Orçamentária!A:A,0),2)</f>
        <v>Base registro gaveta 3/4"</v>
      </c>
      <c r="C973" s="37"/>
      <c r="D973" s="22" t="str">
        <f>TRIM(INDEX(Orçamentária!C:C,MATCH(Composições!A973,Orçamentária!A:A,0),1))</f>
        <v>un</v>
      </c>
      <c r="E973" s="23"/>
      <c r="F973" s="38" t="s">
        <v>523</v>
      </c>
      <c r="G973" s="24" t="str">
        <f t="shared" si="15"/>
        <v/>
      </c>
      <c r="H973" s="25"/>
      <c r="I973" s="26"/>
      <c r="J973" s="141">
        <v>0</v>
      </c>
    </row>
    <row r="974" spans="1:10" ht="15.75" hidden="1" thickBot="1" x14ac:dyDescent="0.3">
      <c r="A974" s="226"/>
      <c r="B974" s="244"/>
      <c r="C974" s="28"/>
      <c r="D974" s="28"/>
      <c r="E974" s="29"/>
      <c r="F974" s="39" t="s">
        <v>523</v>
      </c>
      <c r="G974" s="27" t="str">
        <f t="shared" si="15"/>
        <v/>
      </c>
      <c r="H974" s="31"/>
      <c r="I974" s="27"/>
      <c r="J974" s="141">
        <v>0</v>
      </c>
    </row>
    <row r="975" spans="1:10" ht="26.25" hidden="1" thickBot="1" x14ac:dyDescent="0.3">
      <c r="A975" s="226"/>
      <c r="B975" s="244"/>
      <c r="C975" s="32" t="s">
        <v>318</v>
      </c>
      <c r="D975" s="43" t="s">
        <v>144</v>
      </c>
      <c r="E975" s="33">
        <v>1</v>
      </c>
      <c r="F975" s="30" t="s">
        <v>523</v>
      </c>
      <c r="G975" s="30" t="str">
        <f t="shared" si="15"/>
        <v/>
      </c>
      <c r="H975" s="35">
        <f>SUM(G975:G978)</f>
        <v>9.7699824</v>
      </c>
      <c r="I975" s="36"/>
      <c r="J975" s="141">
        <v>0</v>
      </c>
    </row>
    <row r="976" spans="1:10" ht="15.75" hidden="1" thickBot="1" x14ac:dyDescent="0.3">
      <c r="A976" s="226"/>
      <c r="B976" s="244"/>
      <c r="C976" s="32" t="s">
        <v>319</v>
      </c>
      <c r="D976" s="43" t="s">
        <v>280</v>
      </c>
      <c r="E976" s="33">
        <v>1.06E-2</v>
      </c>
      <c r="F976" s="30">
        <v>16.111999999999998</v>
      </c>
      <c r="G976" s="30">
        <f t="shared" si="15"/>
        <v>0.17078719999999997</v>
      </c>
      <c r="H976" s="31"/>
      <c r="I976" s="27"/>
      <c r="J976" s="141">
        <v>0</v>
      </c>
    </row>
    <row r="977" spans="1:10" ht="15.75" hidden="1" thickBot="1" x14ac:dyDescent="0.3">
      <c r="A977" s="226"/>
      <c r="B977" s="244"/>
      <c r="C977" s="32" t="s">
        <v>39</v>
      </c>
      <c r="D977" s="43" t="s">
        <v>12</v>
      </c>
      <c r="E977" s="33">
        <v>0.22120000000000001</v>
      </c>
      <c r="F977" s="27">
        <v>24.300999999999998</v>
      </c>
      <c r="G977" s="30">
        <f t="shared" si="15"/>
        <v>5.3753811999999996</v>
      </c>
      <c r="H977" s="31"/>
      <c r="I977" s="27"/>
      <c r="J977" s="141">
        <v>0</v>
      </c>
    </row>
    <row r="978" spans="1:10" ht="26.25" hidden="1" thickBot="1" x14ac:dyDescent="0.3">
      <c r="A978" s="226"/>
      <c r="B978" s="244"/>
      <c r="C978" s="32" t="s">
        <v>107</v>
      </c>
      <c r="D978" s="43" t="s">
        <v>12</v>
      </c>
      <c r="E978" s="33">
        <v>0.22120000000000001</v>
      </c>
      <c r="F978" s="27">
        <v>19.094999999999999</v>
      </c>
      <c r="G978" s="30">
        <f t="shared" ref="G978:G1041" si="16">IF(ISNUMBER(F978),E978*F978,"")</f>
        <v>4.223814</v>
      </c>
      <c r="H978" s="31"/>
      <c r="I978" s="27"/>
      <c r="J978" s="141">
        <v>0</v>
      </c>
    </row>
    <row r="979" spans="1:10" ht="15.75" hidden="1" thickBot="1" x14ac:dyDescent="0.3">
      <c r="A979" s="227"/>
      <c r="B979" s="230"/>
      <c r="C979" s="32"/>
      <c r="D979" s="32"/>
      <c r="E979" s="33"/>
      <c r="F979" s="27" t="s">
        <v>523</v>
      </c>
      <c r="G979" s="27" t="str">
        <f t="shared" si="16"/>
        <v/>
      </c>
      <c r="H979" s="31"/>
      <c r="I979" s="27"/>
      <c r="J979" s="141">
        <v>0</v>
      </c>
    </row>
    <row r="980" spans="1:10" ht="15.75" hidden="1" thickBot="1" x14ac:dyDescent="0.3">
      <c r="A980" s="225" t="s">
        <v>320</v>
      </c>
      <c r="B980" s="228" t="str">
        <f>INDEX(Orçamentária!A:B,MATCH(Composições!A980,Orçamentária!A:A,0),2)</f>
        <v>Caixa sifonada de PVC DN 150mm</v>
      </c>
      <c r="C980" s="37"/>
      <c r="D980" s="22" t="str">
        <f>TRIM(INDEX(Orçamentária!C:C,MATCH(Composições!A980,Orçamentária!A:A,0),1))</f>
        <v>un</v>
      </c>
      <c r="E980" s="23"/>
      <c r="F980" s="38" t="s">
        <v>523</v>
      </c>
      <c r="G980" s="24" t="str">
        <f t="shared" si="16"/>
        <v/>
      </c>
      <c r="H980" s="25"/>
      <c r="I980" s="26"/>
      <c r="J980" s="141">
        <v>0</v>
      </c>
    </row>
    <row r="981" spans="1:10" ht="15.75" hidden="1" thickBot="1" x14ac:dyDescent="0.3">
      <c r="A981" s="226"/>
      <c r="B981" s="244"/>
      <c r="C981" s="28"/>
      <c r="D981" s="28"/>
      <c r="E981" s="29"/>
      <c r="F981" s="39" t="s">
        <v>523</v>
      </c>
      <c r="G981" s="27" t="str">
        <f t="shared" si="16"/>
        <v/>
      </c>
      <c r="H981" s="31"/>
      <c r="I981" s="27"/>
      <c r="J981" s="141">
        <v>0</v>
      </c>
    </row>
    <row r="982" spans="1:10" ht="26.25" hidden="1" thickBot="1" x14ac:dyDescent="0.3">
      <c r="A982" s="226"/>
      <c r="B982" s="244"/>
      <c r="C982" s="32" t="s">
        <v>107</v>
      </c>
      <c r="D982" s="43" t="s">
        <v>12</v>
      </c>
      <c r="E982" s="33">
        <v>0.38</v>
      </c>
      <c r="F982" s="27">
        <v>19.094999999999999</v>
      </c>
      <c r="G982" s="30">
        <f t="shared" si="16"/>
        <v>7.2561</v>
      </c>
      <c r="H982" s="35">
        <f>SUM(G982:G989)</f>
        <v>101.95664194999999</v>
      </c>
      <c r="I982" s="36"/>
      <c r="J982" s="141">
        <v>0</v>
      </c>
    </row>
    <row r="983" spans="1:10" ht="15.75" hidden="1" thickBot="1" x14ac:dyDescent="0.3">
      <c r="A983" s="226"/>
      <c r="B983" s="244"/>
      <c r="C983" s="32" t="s">
        <v>39</v>
      </c>
      <c r="D983" s="43" t="s">
        <v>12</v>
      </c>
      <c r="E983" s="33">
        <v>0.38</v>
      </c>
      <c r="F983" s="27">
        <v>24.300999999999998</v>
      </c>
      <c r="G983" s="30">
        <f t="shared" si="16"/>
        <v>9.2343799999999998</v>
      </c>
      <c r="H983" s="31"/>
      <c r="I983" s="27"/>
      <c r="J983" s="141">
        <v>0</v>
      </c>
    </row>
    <row r="984" spans="1:10" ht="15.75" hidden="1" thickBot="1" x14ac:dyDescent="0.3">
      <c r="A984" s="226"/>
      <c r="B984" s="244"/>
      <c r="C984" s="32" t="s">
        <v>6628</v>
      </c>
      <c r="D984" s="43" t="s">
        <v>20</v>
      </c>
      <c r="E984" s="33">
        <v>1.4800000000000001E-2</v>
      </c>
      <c r="F984" s="30">
        <v>65.711500000000001</v>
      </c>
      <c r="G984" s="30">
        <f t="shared" si="16"/>
        <v>0.97253020000000001</v>
      </c>
      <c r="H984" s="31"/>
      <c r="I984" s="27"/>
      <c r="J984" s="141">
        <v>0</v>
      </c>
    </row>
    <row r="985" spans="1:10" ht="26.25" hidden="1" thickBot="1" x14ac:dyDescent="0.3">
      <c r="A985" s="226"/>
      <c r="B985" s="244"/>
      <c r="C985" s="32" t="s">
        <v>6805</v>
      </c>
      <c r="D985" s="43" t="s">
        <v>20</v>
      </c>
      <c r="E985" s="33">
        <v>1</v>
      </c>
      <c r="F985" s="30">
        <v>2.7454999999999998</v>
      </c>
      <c r="G985" s="30">
        <f t="shared" si="16"/>
        <v>2.7454999999999998</v>
      </c>
      <c r="H985" s="31"/>
      <c r="I985" s="27"/>
      <c r="J985" s="141">
        <v>0</v>
      </c>
    </row>
    <row r="986" spans="1:10" ht="15.75" hidden="1" thickBot="1" x14ac:dyDescent="0.3">
      <c r="A986" s="226"/>
      <c r="B986" s="244"/>
      <c r="C986" s="32" t="s">
        <v>305</v>
      </c>
      <c r="D986" s="43" t="s">
        <v>20</v>
      </c>
      <c r="E986" s="33">
        <v>5.7000000000000002E-2</v>
      </c>
      <c r="F986" s="30">
        <v>2.0139999999999998</v>
      </c>
      <c r="G986" s="30">
        <f t="shared" si="16"/>
        <v>0.114798</v>
      </c>
      <c r="H986" s="31"/>
      <c r="I986" s="27"/>
      <c r="J986" s="141">
        <v>0</v>
      </c>
    </row>
    <row r="987" spans="1:10" ht="26.25" hidden="1" thickBot="1" x14ac:dyDescent="0.3">
      <c r="A987" s="226"/>
      <c r="B987" s="244"/>
      <c r="C987" s="32" t="s">
        <v>6630</v>
      </c>
      <c r="D987" s="43" t="s">
        <v>20</v>
      </c>
      <c r="E987" s="33">
        <v>1</v>
      </c>
      <c r="F987" s="30">
        <v>79.144499999999994</v>
      </c>
      <c r="G987" s="30">
        <f t="shared" si="16"/>
        <v>79.144499999999994</v>
      </c>
      <c r="H987" s="31"/>
      <c r="I987" s="27"/>
      <c r="J987" s="141">
        <v>0</v>
      </c>
    </row>
    <row r="988" spans="1:10" ht="39" hidden="1" thickBot="1" x14ac:dyDescent="0.3">
      <c r="A988" s="226"/>
      <c r="B988" s="244"/>
      <c r="C988" s="32" t="s">
        <v>6631</v>
      </c>
      <c r="D988" s="43" t="s">
        <v>20</v>
      </c>
      <c r="E988" s="33">
        <v>0.03</v>
      </c>
      <c r="F988" s="30">
        <v>27.122499999999999</v>
      </c>
      <c r="G988" s="30">
        <f t="shared" si="16"/>
        <v>0.81367499999999993</v>
      </c>
      <c r="H988" s="31"/>
      <c r="I988" s="27"/>
      <c r="J988" s="141">
        <v>0</v>
      </c>
    </row>
    <row r="989" spans="1:10" ht="26.25" hidden="1" thickBot="1" x14ac:dyDescent="0.3">
      <c r="A989" s="226"/>
      <c r="B989" s="244"/>
      <c r="C989" s="32" t="s">
        <v>6629</v>
      </c>
      <c r="D989" s="43" t="s">
        <v>20</v>
      </c>
      <c r="E989" s="33">
        <v>2.2499999999999999E-2</v>
      </c>
      <c r="F989" s="30">
        <v>74.451499999999996</v>
      </c>
      <c r="G989" s="30">
        <f t="shared" si="16"/>
        <v>1.6751587499999998</v>
      </c>
      <c r="H989" s="31"/>
      <c r="I989" s="27"/>
      <c r="J989" s="141">
        <v>0</v>
      </c>
    </row>
    <row r="990" spans="1:10" ht="15.75" hidden="1" thickBot="1" x14ac:dyDescent="0.3">
      <c r="A990" s="227"/>
      <c r="B990" s="230"/>
      <c r="C990" s="32"/>
      <c r="D990" s="32"/>
      <c r="E990" s="33"/>
      <c r="F990" s="27" t="s">
        <v>523</v>
      </c>
      <c r="G990" s="27" t="str">
        <f t="shared" si="16"/>
        <v/>
      </c>
      <c r="H990" s="31"/>
      <c r="I990" s="27"/>
      <c r="J990" s="141">
        <v>0</v>
      </c>
    </row>
    <row r="991" spans="1:10" ht="15.75" hidden="1" thickBot="1" x14ac:dyDescent="0.3">
      <c r="A991" s="225" t="s">
        <v>321</v>
      </c>
      <c r="B991" s="228" t="str">
        <f>INDEX(Orçamentária!A:B,MATCH(Composições!A991,Orçamentária!A:A,0),2)</f>
        <v>Caixa sifonada de PVC DN 250mm</v>
      </c>
      <c r="C991" s="37"/>
      <c r="D991" s="22" t="str">
        <f>TRIM(INDEX(Orçamentária!C:C,MATCH(Composições!A991,Orçamentária!A:A,0),1))</f>
        <v>un</v>
      </c>
      <c r="E991" s="23"/>
      <c r="F991" s="38" t="s">
        <v>523</v>
      </c>
      <c r="G991" s="24" t="str">
        <f t="shared" si="16"/>
        <v/>
      </c>
      <c r="H991" s="25"/>
      <c r="I991" s="26"/>
      <c r="J991" s="141">
        <v>0</v>
      </c>
    </row>
    <row r="992" spans="1:10" ht="15.75" hidden="1" thickBot="1" x14ac:dyDescent="0.3">
      <c r="A992" s="226"/>
      <c r="B992" s="244"/>
      <c r="C992" s="28"/>
      <c r="D992" s="28"/>
      <c r="E992" s="29"/>
      <c r="F992" s="39" t="s">
        <v>523</v>
      </c>
      <c r="G992" s="27" t="str">
        <f t="shared" si="16"/>
        <v/>
      </c>
      <c r="H992" s="31"/>
      <c r="I992" s="27"/>
      <c r="J992" s="141">
        <v>0</v>
      </c>
    </row>
    <row r="993" spans="1:10" ht="26.25" hidden="1" thickBot="1" x14ac:dyDescent="0.3">
      <c r="A993" s="226"/>
      <c r="B993" s="244"/>
      <c r="C993" s="32" t="s">
        <v>107</v>
      </c>
      <c r="D993" s="43" t="s">
        <v>12</v>
      </c>
      <c r="E993" s="33">
        <v>0.38</v>
      </c>
      <c r="F993" s="27">
        <v>19.094999999999999</v>
      </c>
      <c r="G993" s="27">
        <f t="shared" si="16"/>
        <v>7.2561</v>
      </c>
      <c r="H993" s="35">
        <f>SUM(G993:G1000)</f>
        <v>138.98764194999998</v>
      </c>
      <c r="I993" s="36"/>
      <c r="J993" s="141">
        <v>0</v>
      </c>
    </row>
    <row r="994" spans="1:10" ht="15.75" hidden="1" thickBot="1" x14ac:dyDescent="0.3">
      <c r="A994" s="226"/>
      <c r="B994" s="244"/>
      <c r="C994" s="32" t="s">
        <v>39</v>
      </c>
      <c r="D994" s="43" t="s">
        <v>12</v>
      </c>
      <c r="E994" s="33">
        <v>0.38</v>
      </c>
      <c r="F994" s="27">
        <v>24.300999999999998</v>
      </c>
      <c r="G994" s="27">
        <f t="shared" si="16"/>
        <v>9.2343799999999998</v>
      </c>
      <c r="H994" s="31"/>
      <c r="I994" s="27"/>
      <c r="J994" s="141">
        <v>0</v>
      </c>
    </row>
    <row r="995" spans="1:10" ht="15.75" hidden="1" thickBot="1" x14ac:dyDescent="0.3">
      <c r="A995" s="226"/>
      <c r="B995" s="244"/>
      <c r="C995" s="32" t="s">
        <v>6628</v>
      </c>
      <c r="D995" s="43" t="s">
        <v>20</v>
      </c>
      <c r="E995" s="33">
        <v>1.4800000000000001E-2</v>
      </c>
      <c r="F995" s="30">
        <v>65.711500000000001</v>
      </c>
      <c r="G995" s="27">
        <f t="shared" si="16"/>
        <v>0.97253020000000001</v>
      </c>
      <c r="H995" s="31"/>
      <c r="I995" s="27"/>
      <c r="J995" s="141">
        <v>0</v>
      </c>
    </row>
    <row r="996" spans="1:10" ht="26.25" hidden="1" thickBot="1" x14ac:dyDescent="0.3">
      <c r="A996" s="226"/>
      <c r="B996" s="244"/>
      <c r="C996" s="32" t="s">
        <v>6805</v>
      </c>
      <c r="D996" s="43" t="s">
        <v>20</v>
      </c>
      <c r="E996" s="33">
        <v>1</v>
      </c>
      <c r="F996" s="30">
        <v>2.7454999999999998</v>
      </c>
      <c r="G996" s="27">
        <f t="shared" si="16"/>
        <v>2.7454999999999998</v>
      </c>
      <c r="H996" s="31"/>
      <c r="I996" s="27"/>
      <c r="J996" s="141">
        <v>0</v>
      </c>
    </row>
    <row r="997" spans="1:10" ht="15.75" hidden="1" thickBot="1" x14ac:dyDescent="0.3">
      <c r="A997" s="226"/>
      <c r="B997" s="244"/>
      <c r="C997" s="32" t="s">
        <v>305</v>
      </c>
      <c r="D997" s="43" t="s">
        <v>20</v>
      </c>
      <c r="E997" s="33">
        <v>5.7000000000000002E-2</v>
      </c>
      <c r="F997" s="30">
        <v>2.0139999999999998</v>
      </c>
      <c r="G997" s="27">
        <f t="shared" si="16"/>
        <v>0.114798</v>
      </c>
      <c r="H997" s="31"/>
      <c r="I997" s="27"/>
      <c r="J997" s="141">
        <v>0</v>
      </c>
    </row>
    <row r="998" spans="1:10" ht="26.25" hidden="1" thickBot="1" x14ac:dyDescent="0.3">
      <c r="A998" s="226"/>
      <c r="B998" s="244"/>
      <c r="C998" s="32" t="s">
        <v>6632</v>
      </c>
      <c r="D998" s="43" t="s">
        <v>20</v>
      </c>
      <c r="E998" s="33">
        <v>1</v>
      </c>
      <c r="F998" s="30">
        <v>116.1755</v>
      </c>
      <c r="G998" s="27">
        <f t="shared" si="16"/>
        <v>116.1755</v>
      </c>
      <c r="H998" s="31"/>
      <c r="I998" s="27"/>
      <c r="J998" s="141">
        <v>0</v>
      </c>
    </row>
    <row r="999" spans="1:10" ht="39" hidden="1" thickBot="1" x14ac:dyDescent="0.3">
      <c r="A999" s="226"/>
      <c r="B999" s="244"/>
      <c r="C999" s="32" t="s">
        <v>6631</v>
      </c>
      <c r="D999" s="43" t="s">
        <v>20</v>
      </c>
      <c r="E999" s="33">
        <v>0.03</v>
      </c>
      <c r="F999" s="30">
        <v>27.122499999999999</v>
      </c>
      <c r="G999" s="27">
        <f t="shared" si="16"/>
        <v>0.81367499999999993</v>
      </c>
      <c r="H999" s="31"/>
      <c r="I999" s="27"/>
      <c r="J999" s="141">
        <v>0</v>
      </c>
    </row>
    <row r="1000" spans="1:10" ht="26.25" hidden="1" thickBot="1" x14ac:dyDescent="0.3">
      <c r="A1000" s="226"/>
      <c r="B1000" s="244"/>
      <c r="C1000" s="32" t="s">
        <v>6629</v>
      </c>
      <c r="D1000" s="43" t="s">
        <v>20</v>
      </c>
      <c r="E1000" s="33">
        <v>2.2499999999999999E-2</v>
      </c>
      <c r="F1000" s="30">
        <v>74.451499999999996</v>
      </c>
      <c r="G1000" s="27">
        <f t="shared" si="16"/>
        <v>1.6751587499999998</v>
      </c>
      <c r="H1000" s="31"/>
      <c r="I1000" s="27"/>
      <c r="J1000" s="141">
        <v>0</v>
      </c>
    </row>
    <row r="1001" spans="1:10" ht="15.75" hidden="1" thickBot="1" x14ac:dyDescent="0.3">
      <c r="A1001" s="227"/>
      <c r="B1001" s="230"/>
      <c r="C1001" s="32"/>
      <c r="D1001" s="32"/>
      <c r="E1001" s="33"/>
      <c r="F1001" s="27" t="s">
        <v>523</v>
      </c>
      <c r="G1001" s="27" t="str">
        <f t="shared" si="16"/>
        <v/>
      </c>
      <c r="H1001" s="31"/>
      <c r="I1001" s="27"/>
      <c r="J1001" s="141">
        <v>0</v>
      </c>
    </row>
    <row r="1002" spans="1:10" ht="15.75" hidden="1" thickBot="1" x14ac:dyDescent="0.3">
      <c r="A1002" s="225" t="s">
        <v>322</v>
      </c>
      <c r="B1002" s="228" t="str">
        <f>INDEX(Orçamentária!A:B,MATCH(Composições!A1002,Orçamentária!A:A,0),2)</f>
        <v>Grelha quadrada para ralo 10x10cm</v>
      </c>
      <c r="C1002" s="37"/>
      <c r="D1002" s="22" t="str">
        <f>TRIM(INDEX(Orçamentária!C:C,MATCH(Composições!A1002,Orçamentária!A:A,0),1))</f>
        <v>un</v>
      </c>
      <c r="E1002" s="23"/>
      <c r="F1002" s="38" t="s">
        <v>523</v>
      </c>
      <c r="G1002" s="24" t="str">
        <f t="shared" si="16"/>
        <v/>
      </c>
      <c r="H1002" s="25"/>
      <c r="I1002" s="26"/>
      <c r="J1002" s="141">
        <v>0</v>
      </c>
    </row>
    <row r="1003" spans="1:10" ht="15.75" hidden="1" thickBot="1" x14ac:dyDescent="0.3">
      <c r="A1003" s="226"/>
      <c r="B1003" s="244"/>
      <c r="C1003" s="28"/>
      <c r="D1003" s="28"/>
      <c r="E1003" s="29"/>
      <c r="F1003" s="39" t="s">
        <v>523</v>
      </c>
      <c r="G1003" s="27" t="str">
        <f t="shared" si="16"/>
        <v/>
      </c>
      <c r="H1003" s="31"/>
      <c r="I1003" s="27"/>
      <c r="J1003" s="141">
        <v>0</v>
      </c>
    </row>
    <row r="1004" spans="1:10" ht="26.25" hidden="1" thickBot="1" x14ac:dyDescent="0.3">
      <c r="A1004" s="226"/>
      <c r="B1004" s="244"/>
      <c r="C1004" s="32" t="s">
        <v>323</v>
      </c>
      <c r="D1004" s="43" t="s">
        <v>144</v>
      </c>
      <c r="E1004" s="33">
        <v>1</v>
      </c>
      <c r="F1004" s="30" t="s">
        <v>523</v>
      </c>
      <c r="G1004" s="30" t="str">
        <f t="shared" si="16"/>
        <v/>
      </c>
      <c r="H1004" s="35">
        <f>SUM(G1004:G1005)</f>
        <v>2.7630750000000002</v>
      </c>
      <c r="I1004" s="36"/>
      <c r="J1004" s="141">
        <v>0</v>
      </c>
    </row>
    <row r="1005" spans="1:10" ht="15.75" hidden="1" thickBot="1" x14ac:dyDescent="0.3">
      <c r="A1005" s="226"/>
      <c r="B1005" s="244"/>
      <c r="C1005" s="32" t="s">
        <v>23</v>
      </c>
      <c r="D1005" s="43" t="s">
        <v>12</v>
      </c>
      <c r="E1005" s="33">
        <v>0.15</v>
      </c>
      <c r="F1005" s="27">
        <v>18.420500000000001</v>
      </c>
      <c r="G1005" s="30">
        <f t="shared" si="16"/>
        <v>2.7630750000000002</v>
      </c>
      <c r="H1005" s="31"/>
      <c r="I1005" s="27"/>
      <c r="J1005" s="141">
        <v>0</v>
      </c>
    </row>
    <row r="1006" spans="1:10" ht="15.75" hidden="1" thickBot="1" x14ac:dyDescent="0.3">
      <c r="A1006" s="227"/>
      <c r="B1006" s="230"/>
      <c r="C1006" s="32"/>
      <c r="D1006" s="32"/>
      <c r="E1006" s="33"/>
      <c r="F1006" s="27" t="s">
        <v>523</v>
      </c>
      <c r="G1006" s="27" t="str">
        <f t="shared" si="16"/>
        <v/>
      </c>
      <c r="H1006" s="31"/>
      <c r="I1006" s="27"/>
      <c r="J1006" s="141">
        <v>0</v>
      </c>
    </row>
    <row r="1007" spans="1:10" ht="15.75" hidden="1" thickBot="1" x14ac:dyDescent="0.3">
      <c r="A1007" s="225" t="s">
        <v>324</v>
      </c>
      <c r="B1007" s="228" t="str">
        <f>INDEX(Orçamentária!A:B,MATCH(Composições!A1007,Orçamentária!A:A,0),2)</f>
        <v>Grelha quadrada para ralo 15x15cm</v>
      </c>
      <c r="C1007" s="37"/>
      <c r="D1007" s="22" t="str">
        <f>TRIM(INDEX(Orçamentária!C:C,MATCH(Composições!A1007,Orçamentária!A:A,0),1))</f>
        <v>un</v>
      </c>
      <c r="E1007" s="23"/>
      <c r="F1007" s="38" t="s">
        <v>523</v>
      </c>
      <c r="G1007" s="24" t="str">
        <f t="shared" si="16"/>
        <v/>
      </c>
      <c r="H1007" s="25"/>
      <c r="I1007" s="26"/>
      <c r="J1007" s="141">
        <v>0</v>
      </c>
    </row>
    <row r="1008" spans="1:10" ht="15.75" hidden="1" thickBot="1" x14ac:dyDescent="0.3">
      <c r="A1008" s="226"/>
      <c r="B1008" s="244"/>
      <c r="C1008" s="28"/>
      <c r="D1008" s="28"/>
      <c r="E1008" s="29"/>
      <c r="F1008" s="39" t="s">
        <v>523</v>
      </c>
      <c r="G1008" s="27" t="str">
        <f t="shared" si="16"/>
        <v/>
      </c>
      <c r="H1008" s="31"/>
      <c r="I1008" s="27"/>
      <c r="J1008" s="141">
        <v>0</v>
      </c>
    </row>
    <row r="1009" spans="1:10" ht="26.25" hidden="1" thickBot="1" x14ac:dyDescent="0.3">
      <c r="A1009" s="226"/>
      <c r="B1009" s="244"/>
      <c r="C1009" s="32" t="s">
        <v>325</v>
      </c>
      <c r="D1009" s="43" t="s">
        <v>144</v>
      </c>
      <c r="E1009" s="33">
        <v>1</v>
      </c>
      <c r="F1009" s="30" t="s">
        <v>523</v>
      </c>
      <c r="G1009" s="30" t="str">
        <f t="shared" si="16"/>
        <v/>
      </c>
      <c r="H1009" s="35">
        <f>SUM(G1009:G1010)</f>
        <v>2.7630750000000002</v>
      </c>
      <c r="I1009" s="36"/>
      <c r="J1009" s="141">
        <v>0</v>
      </c>
    </row>
    <row r="1010" spans="1:10" ht="15.75" hidden="1" thickBot="1" x14ac:dyDescent="0.3">
      <c r="A1010" s="226"/>
      <c r="B1010" s="244"/>
      <c r="C1010" s="32" t="s">
        <v>23</v>
      </c>
      <c r="D1010" s="43" t="s">
        <v>12</v>
      </c>
      <c r="E1010" s="33">
        <v>0.15</v>
      </c>
      <c r="F1010" s="27">
        <v>18.420500000000001</v>
      </c>
      <c r="G1010" s="30">
        <f t="shared" si="16"/>
        <v>2.7630750000000002</v>
      </c>
      <c r="H1010" s="31"/>
      <c r="I1010" s="27"/>
      <c r="J1010" s="141">
        <v>0</v>
      </c>
    </row>
    <row r="1011" spans="1:10" ht="15.75" hidden="1" thickBot="1" x14ac:dyDescent="0.3">
      <c r="A1011" s="227"/>
      <c r="B1011" s="230"/>
      <c r="C1011" s="32"/>
      <c r="D1011" s="32"/>
      <c r="E1011" s="33"/>
      <c r="F1011" s="27" t="s">
        <v>523</v>
      </c>
      <c r="G1011" s="27" t="str">
        <f t="shared" si="16"/>
        <v/>
      </c>
      <c r="H1011" s="31"/>
      <c r="I1011" s="27"/>
      <c r="J1011" s="141">
        <v>0</v>
      </c>
    </row>
    <row r="1012" spans="1:10" ht="15.75" hidden="1" thickBot="1" x14ac:dyDescent="0.3">
      <c r="A1012" s="225" t="s">
        <v>326</v>
      </c>
      <c r="B1012" s="228" t="str">
        <f>INDEX(Orçamentária!A:B,MATCH(Composições!A1012,Orçamentária!A:A,0),2)</f>
        <v>Ralo seco PVC DN 100x40mm</v>
      </c>
      <c r="C1012" s="37"/>
      <c r="D1012" s="22" t="str">
        <f>TRIM(INDEX(Orçamentária!C:C,MATCH(Composições!A1012,Orçamentária!A:A,0),1))</f>
        <v>un</v>
      </c>
      <c r="E1012" s="23"/>
      <c r="F1012" s="38" t="s">
        <v>523</v>
      </c>
      <c r="G1012" s="24" t="str">
        <f t="shared" si="16"/>
        <v/>
      </c>
      <c r="H1012" s="25"/>
      <c r="I1012" s="26"/>
      <c r="J1012" s="141">
        <v>0</v>
      </c>
    </row>
    <row r="1013" spans="1:10" ht="15.75" hidden="1" thickBot="1" x14ac:dyDescent="0.3">
      <c r="A1013" s="226"/>
      <c r="B1013" s="244"/>
      <c r="C1013" s="28"/>
      <c r="D1013" s="28"/>
      <c r="E1013" s="29"/>
      <c r="F1013" s="39" t="s">
        <v>523</v>
      </c>
      <c r="G1013" s="27" t="str">
        <f t="shared" si="16"/>
        <v/>
      </c>
      <c r="H1013" s="31"/>
      <c r="I1013" s="27"/>
      <c r="J1013" s="141">
        <v>0</v>
      </c>
    </row>
    <row r="1014" spans="1:10" ht="26.25" hidden="1" thickBot="1" x14ac:dyDescent="0.3">
      <c r="A1014" s="226"/>
      <c r="B1014" s="244"/>
      <c r="C1014" s="32" t="s">
        <v>107</v>
      </c>
      <c r="D1014" s="43" t="s">
        <v>12</v>
      </c>
      <c r="E1014" s="33">
        <v>7.0000000000000007E-2</v>
      </c>
      <c r="F1014" s="27">
        <v>19.094999999999999</v>
      </c>
      <c r="G1014" s="30">
        <f t="shared" si="16"/>
        <v>1.3366500000000001</v>
      </c>
      <c r="H1014" s="35">
        <f>SUM(G1014:G1019)</f>
        <v>14.829830599999999</v>
      </c>
      <c r="I1014" s="36"/>
      <c r="J1014" s="141">
        <v>0</v>
      </c>
    </row>
    <row r="1015" spans="1:10" ht="15.75" hidden="1" thickBot="1" x14ac:dyDescent="0.3">
      <c r="A1015" s="226"/>
      <c r="B1015" s="244"/>
      <c r="C1015" s="32" t="s">
        <v>39</v>
      </c>
      <c r="D1015" s="43" t="s">
        <v>12</v>
      </c>
      <c r="E1015" s="33">
        <v>7.0000000000000007E-2</v>
      </c>
      <c r="F1015" s="27">
        <v>24.300999999999998</v>
      </c>
      <c r="G1015" s="30">
        <f t="shared" si="16"/>
        <v>1.7010700000000001</v>
      </c>
      <c r="H1015" s="31"/>
      <c r="I1015" s="27"/>
      <c r="J1015" s="141">
        <v>0</v>
      </c>
    </row>
    <row r="1016" spans="1:10" ht="15.75" hidden="1" thickBot="1" x14ac:dyDescent="0.3">
      <c r="A1016" s="226"/>
      <c r="B1016" s="244"/>
      <c r="C1016" s="32" t="s">
        <v>6628</v>
      </c>
      <c r="D1016" s="43" t="s">
        <v>20</v>
      </c>
      <c r="E1016" s="33">
        <v>4.8999999999999998E-3</v>
      </c>
      <c r="F1016" s="30">
        <v>65.711500000000001</v>
      </c>
      <c r="G1016" s="30">
        <f t="shared" si="16"/>
        <v>0.32198634999999998</v>
      </c>
      <c r="H1016" s="31"/>
      <c r="I1016" s="27"/>
      <c r="J1016" s="141">
        <v>0</v>
      </c>
    </row>
    <row r="1017" spans="1:10" ht="15.75" hidden="1" thickBot="1" x14ac:dyDescent="0.3">
      <c r="A1017" s="226"/>
      <c r="B1017" s="244"/>
      <c r="C1017" s="32" t="s">
        <v>305</v>
      </c>
      <c r="D1017" s="43" t="s">
        <v>20</v>
      </c>
      <c r="E1017" s="33">
        <v>1.7000000000000001E-2</v>
      </c>
      <c r="F1017" s="30">
        <v>2.0139999999999998</v>
      </c>
      <c r="G1017" s="30">
        <f t="shared" si="16"/>
        <v>3.4237999999999998E-2</v>
      </c>
      <c r="H1017" s="31"/>
      <c r="I1017" s="27"/>
      <c r="J1017" s="141">
        <v>0</v>
      </c>
    </row>
    <row r="1018" spans="1:10" ht="26.25" hidden="1" thickBot="1" x14ac:dyDescent="0.3">
      <c r="A1018" s="226"/>
      <c r="B1018" s="244"/>
      <c r="C1018" s="32" t="s">
        <v>6633</v>
      </c>
      <c r="D1018" s="43" t="s">
        <v>20</v>
      </c>
      <c r="E1018" s="33">
        <v>1</v>
      </c>
      <c r="F1018" s="30">
        <v>10.8775</v>
      </c>
      <c r="G1018" s="30">
        <f t="shared" si="16"/>
        <v>10.8775</v>
      </c>
      <c r="H1018" s="31"/>
      <c r="I1018" s="27"/>
      <c r="J1018" s="141">
        <v>0</v>
      </c>
    </row>
    <row r="1019" spans="1:10" ht="26.25" hidden="1" thickBot="1" x14ac:dyDescent="0.3">
      <c r="A1019" s="226"/>
      <c r="B1019" s="244"/>
      <c r="C1019" s="32" t="s">
        <v>6629</v>
      </c>
      <c r="D1019" s="43" t="s">
        <v>20</v>
      </c>
      <c r="E1019" s="33">
        <v>7.4999999999999997E-3</v>
      </c>
      <c r="F1019" s="30">
        <v>74.451499999999996</v>
      </c>
      <c r="G1019" s="30">
        <f t="shared" si="16"/>
        <v>0.55838624999999997</v>
      </c>
      <c r="H1019" s="31"/>
      <c r="I1019" s="27"/>
      <c r="J1019" s="141">
        <v>0</v>
      </c>
    </row>
    <row r="1020" spans="1:10" ht="15.75" hidden="1" thickBot="1" x14ac:dyDescent="0.3">
      <c r="A1020" s="227"/>
      <c r="B1020" s="230"/>
      <c r="C1020" s="32"/>
      <c r="D1020" s="32"/>
      <c r="E1020" s="33"/>
      <c r="F1020" s="27" t="s">
        <v>523</v>
      </c>
      <c r="G1020" s="27" t="str">
        <f t="shared" si="16"/>
        <v/>
      </c>
      <c r="H1020" s="31"/>
      <c r="I1020" s="27"/>
      <c r="J1020" s="141">
        <v>0</v>
      </c>
    </row>
    <row r="1021" spans="1:10" ht="15.75" hidden="1" thickBot="1" x14ac:dyDescent="0.3">
      <c r="A1021" s="225" t="s">
        <v>327</v>
      </c>
      <c r="B1021" s="228" t="str">
        <f>INDEX(Orçamentária!A:B,MATCH(Composições!A1021,Orçamentária!A:A,0),2)</f>
        <v>Assento para bacia convencional</v>
      </c>
      <c r="C1021" s="37"/>
      <c r="D1021" s="22" t="str">
        <f>TRIM(INDEX(Orçamentária!C:C,MATCH(Composições!A1021,Orçamentária!A:A,0),1))</f>
        <v>un</v>
      </c>
      <c r="E1021" s="23"/>
      <c r="F1021" s="38" t="s">
        <v>523</v>
      </c>
      <c r="G1021" s="24" t="str">
        <f t="shared" si="16"/>
        <v/>
      </c>
      <c r="H1021" s="25"/>
      <c r="I1021" s="26"/>
      <c r="J1021" s="141">
        <v>0</v>
      </c>
    </row>
    <row r="1022" spans="1:10" ht="15.75" hidden="1" thickBot="1" x14ac:dyDescent="0.3">
      <c r="A1022" s="226"/>
      <c r="B1022" s="244"/>
      <c r="C1022" s="28"/>
      <c r="D1022" s="28"/>
      <c r="E1022" s="29"/>
      <c r="F1022" s="39" t="s">
        <v>523</v>
      </c>
      <c r="G1022" s="27" t="str">
        <f t="shared" si="16"/>
        <v/>
      </c>
      <c r="H1022" s="31"/>
      <c r="I1022" s="27"/>
      <c r="J1022" s="141">
        <v>0</v>
      </c>
    </row>
    <row r="1023" spans="1:10" ht="26.25" hidden="1" thickBot="1" x14ac:dyDescent="0.3">
      <c r="A1023" s="226"/>
      <c r="B1023" s="244"/>
      <c r="C1023" s="32" t="s">
        <v>328</v>
      </c>
      <c r="D1023" s="43" t="s">
        <v>144</v>
      </c>
      <c r="E1023" s="33">
        <v>1</v>
      </c>
      <c r="F1023" s="30" t="s">
        <v>523</v>
      </c>
      <c r="G1023" s="30" t="str">
        <f t="shared" si="16"/>
        <v/>
      </c>
      <c r="H1023" s="35">
        <f>SUM(G1023:G1024)</f>
        <v>1.8420500000000002</v>
      </c>
      <c r="I1023" s="36"/>
      <c r="J1023" s="141">
        <v>0</v>
      </c>
    </row>
    <row r="1024" spans="1:10" ht="15.75" hidden="1" thickBot="1" x14ac:dyDescent="0.3">
      <c r="A1024" s="226"/>
      <c r="B1024" s="244"/>
      <c r="C1024" s="32" t="s">
        <v>23</v>
      </c>
      <c r="D1024" s="43" t="s">
        <v>12</v>
      </c>
      <c r="E1024" s="33">
        <v>0.1</v>
      </c>
      <c r="F1024" s="27">
        <v>18.420500000000001</v>
      </c>
      <c r="G1024" s="30">
        <f t="shared" si="16"/>
        <v>1.8420500000000002</v>
      </c>
      <c r="H1024" s="31"/>
      <c r="I1024" s="27"/>
      <c r="J1024" s="141">
        <v>0</v>
      </c>
    </row>
    <row r="1025" spans="1:10" ht="15.75" hidden="1" thickBot="1" x14ac:dyDescent="0.3">
      <c r="A1025" s="227"/>
      <c r="B1025" s="230"/>
      <c r="C1025" s="32"/>
      <c r="D1025" s="32"/>
      <c r="E1025" s="33"/>
      <c r="F1025" s="27" t="s">
        <v>523</v>
      </c>
      <c r="G1025" s="27" t="str">
        <f t="shared" si="16"/>
        <v/>
      </c>
      <c r="H1025" s="31"/>
      <c r="I1025" s="27"/>
      <c r="J1025" s="141">
        <v>0</v>
      </c>
    </row>
    <row r="1026" spans="1:10" ht="15.75" hidden="1" thickBot="1" x14ac:dyDescent="0.3">
      <c r="A1026" s="225" t="s">
        <v>329</v>
      </c>
      <c r="B1026" s="228" t="str">
        <f>INDEX(Orçamentária!A:B,MATCH(Composições!A1026,Orçamentária!A:A,0),2)</f>
        <v>Bacia convencional – Linha Administrativa</v>
      </c>
      <c r="C1026" s="37"/>
      <c r="D1026" s="22" t="str">
        <f>TRIM(INDEX(Orçamentária!C:C,MATCH(Composições!A1026,Orçamentária!A:A,0),1))</f>
        <v>un</v>
      </c>
      <c r="E1026" s="23"/>
      <c r="F1026" s="38" t="s">
        <v>523</v>
      </c>
      <c r="G1026" s="24" t="str">
        <f t="shared" si="16"/>
        <v/>
      </c>
      <c r="H1026" s="25"/>
      <c r="I1026" s="26"/>
      <c r="J1026" s="141">
        <v>0</v>
      </c>
    </row>
    <row r="1027" spans="1:10" ht="15.75" hidden="1" thickBot="1" x14ac:dyDescent="0.3">
      <c r="A1027" s="226"/>
      <c r="B1027" s="244"/>
      <c r="C1027" s="28"/>
      <c r="D1027" s="28"/>
      <c r="E1027" s="29"/>
      <c r="F1027" s="39" t="s">
        <v>523</v>
      </c>
      <c r="G1027" s="27" t="str">
        <f t="shared" si="16"/>
        <v/>
      </c>
      <c r="H1027" s="31"/>
      <c r="I1027" s="27"/>
      <c r="J1027" s="141">
        <v>0</v>
      </c>
    </row>
    <row r="1028" spans="1:10" ht="26.25" hidden="1" thickBot="1" x14ac:dyDescent="0.3">
      <c r="A1028" s="226"/>
      <c r="B1028" s="244"/>
      <c r="C1028" s="32" t="s">
        <v>6634</v>
      </c>
      <c r="D1028" s="43" t="s">
        <v>280</v>
      </c>
      <c r="E1028" s="33">
        <v>1</v>
      </c>
      <c r="F1028" s="30">
        <v>174.63849999999999</v>
      </c>
      <c r="G1028" s="30">
        <f t="shared" si="16"/>
        <v>174.63849999999999</v>
      </c>
      <c r="H1028" s="35">
        <f>SUM(G1028:G1034)</f>
        <v>253.59063545000001</v>
      </c>
      <c r="I1028" s="36"/>
      <c r="J1028" s="141">
        <v>0</v>
      </c>
    </row>
    <row r="1029" spans="1:10" ht="26.25" hidden="1" thickBot="1" x14ac:dyDescent="0.3">
      <c r="A1029" s="226"/>
      <c r="B1029" s="244"/>
      <c r="C1029" s="32" t="s">
        <v>303</v>
      </c>
      <c r="D1029" s="32" t="s">
        <v>20</v>
      </c>
      <c r="E1029" s="33">
        <v>1</v>
      </c>
      <c r="F1029" s="30" t="s">
        <v>523</v>
      </c>
      <c r="G1029" s="30" t="str">
        <f t="shared" si="16"/>
        <v/>
      </c>
      <c r="H1029" s="31"/>
      <c r="I1029" s="27"/>
      <c r="J1029" s="141">
        <v>0</v>
      </c>
    </row>
    <row r="1030" spans="1:10" ht="26.25" hidden="1" thickBot="1" x14ac:dyDescent="0.3">
      <c r="A1030" s="226"/>
      <c r="B1030" s="244"/>
      <c r="C1030" s="32" t="s">
        <v>330</v>
      </c>
      <c r="D1030" s="43" t="s">
        <v>280</v>
      </c>
      <c r="E1030" s="33">
        <v>2</v>
      </c>
      <c r="F1030" s="30">
        <v>20.728999999999999</v>
      </c>
      <c r="G1030" s="30">
        <f t="shared" si="16"/>
        <v>41.457999999999998</v>
      </c>
      <c r="H1030" s="31"/>
      <c r="I1030" s="27"/>
      <c r="J1030" s="141">
        <v>0</v>
      </c>
    </row>
    <row r="1031" spans="1:10" ht="26.25" hidden="1" thickBot="1" x14ac:dyDescent="0.3">
      <c r="A1031" s="226"/>
      <c r="B1031" s="244"/>
      <c r="C1031" s="32" t="s">
        <v>6627</v>
      </c>
      <c r="D1031" s="43" t="s">
        <v>20</v>
      </c>
      <c r="E1031" s="33">
        <v>1</v>
      </c>
      <c r="F1031" s="30">
        <v>13.2905</v>
      </c>
      <c r="G1031" s="50">
        <f t="shared" si="16"/>
        <v>13.2905</v>
      </c>
      <c r="H1031" s="31"/>
      <c r="I1031" s="27"/>
      <c r="J1031" s="141">
        <v>0</v>
      </c>
    </row>
    <row r="1032" spans="1:10" ht="15.75" hidden="1" thickBot="1" x14ac:dyDescent="0.3">
      <c r="A1032" s="226"/>
      <c r="B1032" s="244"/>
      <c r="C1032" s="32" t="s">
        <v>3539</v>
      </c>
      <c r="D1032" s="43" t="s">
        <v>42</v>
      </c>
      <c r="E1032" s="33">
        <v>8.8099999999999998E-2</v>
      </c>
      <c r="F1032" s="30">
        <v>64.619</v>
      </c>
      <c r="G1032" s="30">
        <f t="shared" si="16"/>
        <v>5.6929338999999999</v>
      </c>
      <c r="H1032" s="31"/>
      <c r="I1032" s="27"/>
      <c r="J1032" s="141">
        <v>0</v>
      </c>
    </row>
    <row r="1033" spans="1:10" ht="15.75" hidden="1" thickBot="1" x14ac:dyDescent="0.3">
      <c r="A1033" s="226"/>
      <c r="B1033" s="244"/>
      <c r="C1033" s="32" t="s">
        <v>39</v>
      </c>
      <c r="D1033" s="43" t="s">
        <v>12</v>
      </c>
      <c r="E1033" s="33">
        <v>0.49680000000000002</v>
      </c>
      <c r="F1033" s="27">
        <v>24.300999999999998</v>
      </c>
      <c r="G1033" s="30">
        <f t="shared" si="16"/>
        <v>12.072736799999999</v>
      </c>
      <c r="H1033" s="31"/>
      <c r="I1033" s="27"/>
      <c r="J1033" s="141">
        <v>0</v>
      </c>
    </row>
    <row r="1034" spans="1:10" ht="15.75" hidden="1" thickBot="1" x14ac:dyDescent="0.3">
      <c r="A1034" s="226"/>
      <c r="B1034" s="244"/>
      <c r="C1034" s="32" t="s">
        <v>23</v>
      </c>
      <c r="D1034" s="43" t="s">
        <v>12</v>
      </c>
      <c r="E1034" s="33">
        <v>0.34949999999999998</v>
      </c>
      <c r="F1034" s="27">
        <v>18.420500000000001</v>
      </c>
      <c r="G1034" s="30">
        <f t="shared" si="16"/>
        <v>6.4379647499999999</v>
      </c>
      <c r="H1034" s="31"/>
      <c r="I1034" s="27"/>
      <c r="J1034" s="141">
        <v>0</v>
      </c>
    </row>
    <row r="1035" spans="1:10" ht="15.75" hidden="1" thickBot="1" x14ac:dyDescent="0.3">
      <c r="A1035" s="227"/>
      <c r="B1035" s="230"/>
      <c r="C1035" s="32"/>
      <c r="D1035" s="32"/>
      <c r="E1035" s="33"/>
      <c r="F1035" s="27" t="s">
        <v>523</v>
      </c>
      <c r="G1035" s="27" t="str">
        <f t="shared" si="16"/>
        <v/>
      </c>
      <c r="H1035" s="31"/>
      <c r="I1035" s="27"/>
      <c r="J1035" s="141">
        <v>0</v>
      </c>
    </row>
    <row r="1036" spans="1:10" ht="15.75" hidden="1" thickBot="1" x14ac:dyDescent="0.3">
      <c r="A1036" s="225" t="s">
        <v>331</v>
      </c>
      <c r="B1036" s="228" t="str">
        <f>INDEX(Orçamentária!A:B,MATCH(Composições!A1036,Orçamentária!A:A,0),2)</f>
        <v>Bacia convencional com saída horizontal</v>
      </c>
      <c r="C1036" s="37"/>
      <c r="D1036" s="22" t="str">
        <f>TRIM(INDEX(Orçamentária!C:C,MATCH(Composições!A1036,Orçamentária!A:A,0),1))</f>
        <v>un</v>
      </c>
      <c r="E1036" s="23"/>
      <c r="F1036" s="38" t="s">
        <v>523</v>
      </c>
      <c r="G1036" s="24" t="str">
        <f t="shared" si="16"/>
        <v/>
      </c>
      <c r="H1036" s="25"/>
      <c r="I1036" s="26"/>
      <c r="J1036" s="141">
        <v>0</v>
      </c>
    </row>
    <row r="1037" spans="1:10" ht="15.75" hidden="1" thickBot="1" x14ac:dyDescent="0.3">
      <c r="A1037" s="226"/>
      <c r="B1037" s="244"/>
      <c r="C1037" s="28"/>
      <c r="D1037" s="28"/>
      <c r="E1037" s="29"/>
      <c r="F1037" s="39" t="s">
        <v>523</v>
      </c>
      <c r="G1037" s="27" t="str">
        <f t="shared" si="16"/>
        <v/>
      </c>
      <c r="H1037" s="31"/>
      <c r="I1037" s="27"/>
      <c r="J1037" s="141">
        <v>0</v>
      </c>
    </row>
    <row r="1038" spans="1:10" ht="26.25" hidden="1" thickBot="1" x14ac:dyDescent="0.3">
      <c r="A1038" s="226"/>
      <c r="B1038" s="244"/>
      <c r="C1038" s="32" t="s">
        <v>332</v>
      </c>
      <c r="D1038" s="43" t="s">
        <v>144</v>
      </c>
      <c r="E1038" s="33">
        <v>1</v>
      </c>
      <c r="F1038" s="30" t="s">
        <v>523</v>
      </c>
      <c r="G1038" s="30" t="str">
        <f t="shared" si="16"/>
        <v/>
      </c>
      <c r="H1038" s="35">
        <f>SUM(G1038:G1043)</f>
        <v>78.95213545</v>
      </c>
      <c r="I1038" s="36"/>
      <c r="J1038" s="141">
        <v>0</v>
      </c>
    </row>
    <row r="1039" spans="1:10" ht="26.25" hidden="1" thickBot="1" x14ac:dyDescent="0.3">
      <c r="A1039" s="226"/>
      <c r="B1039" s="244"/>
      <c r="C1039" s="32" t="s">
        <v>330</v>
      </c>
      <c r="D1039" s="43" t="s">
        <v>280</v>
      </c>
      <c r="E1039" s="33">
        <v>2</v>
      </c>
      <c r="F1039" s="30">
        <v>20.728999999999999</v>
      </c>
      <c r="G1039" s="30">
        <f t="shared" si="16"/>
        <v>41.457999999999998</v>
      </c>
      <c r="H1039" s="31"/>
      <c r="I1039" s="27"/>
      <c r="J1039" s="141">
        <v>0</v>
      </c>
    </row>
    <row r="1040" spans="1:10" ht="26.25" hidden="1" thickBot="1" x14ac:dyDescent="0.3">
      <c r="A1040" s="226"/>
      <c r="B1040" s="244"/>
      <c r="C1040" s="32" t="s">
        <v>6627</v>
      </c>
      <c r="D1040" s="43" t="s">
        <v>20</v>
      </c>
      <c r="E1040" s="33">
        <v>1</v>
      </c>
      <c r="F1040" s="30">
        <v>13.2905</v>
      </c>
      <c r="G1040" s="50">
        <f t="shared" si="16"/>
        <v>13.2905</v>
      </c>
      <c r="H1040" s="31"/>
      <c r="I1040" s="27"/>
      <c r="J1040" s="141">
        <v>0</v>
      </c>
    </row>
    <row r="1041" spans="1:10" ht="15.75" hidden="1" thickBot="1" x14ac:dyDescent="0.3">
      <c r="A1041" s="226"/>
      <c r="B1041" s="244"/>
      <c r="C1041" s="32" t="s">
        <v>3539</v>
      </c>
      <c r="D1041" s="43" t="s">
        <v>42</v>
      </c>
      <c r="E1041" s="33">
        <v>8.8099999999999998E-2</v>
      </c>
      <c r="F1041" s="30">
        <v>64.619</v>
      </c>
      <c r="G1041" s="30">
        <f t="shared" si="16"/>
        <v>5.6929338999999999</v>
      </c>
      <c r="H1041" s="31"/>
      <c r="I1041" s="27"/>
      <c r="J1041" s="141">
        <v>0</v>
      </c>
    </row>
    <row r="1042" spans="1:10" ht="15.75" hidden="1" thickBot="1" x14ac:dyDescent="0.3">
      <c r="A1042" s="226"/>
      <c r="B1042" s="244"/>
      <c r="C1042" s="32" t="s">
        <v>39</v>
      </c>
      <c r="D1042" s="43" t="s">
        <v>12</v>
      </c>
      <c r="E1042" s="33">
        <v>0.49680000000000002</v>
      </c>
      <c r="F1042" s="27">
        <v>24.300999999999998</v>
      </c>
      <c r="G1042" s="30">
        <f t="shared" ref="G1042:G1105" si="17">IF(ISNUMBER(F1042),E1042*F1042,"")</f>
        <v>12.072736799999999</v>
      </c>
      <c r="H1042" s="31"/>
      <c r="I1042" s="27"/>
      <c r="J1042" s="141">
        <v>0</v>
      </c>
    </row>
    <row r="1043" spans="1:10" ht="15.75" hidden="1" thickBot="1" x14ac:dyDescent="0.3">
      <c r="A1043" s="226"/>
      <c r="B1043" s="244"/>
      <c r="C1043" s="32" t="s">
        <v>23</v>
      </c>
      <c r="D1043" s="43" t="s">
        <v>12</v>
      </c>
      <c r="E1043" s="33">
        <v>0.34949999999999998</v>
      </c>
      <c r="F1043" s="27">
        <v>18.420500000000001</v>
      </c>
      <c r="G1043" s="30">
        <f t="shared" si="17"/>
        <v>6.4379647499999999</v>
      </c>
      <c r="H1043" s="31"/>
      <c r="I1043" s="27"/>
      <c r="J1043" s="141">
        <v>0</v>
      </c>
    </row>
    <row r="1044" spans="1:10" ht="15.75" hidden="1" thickBot="1" x14ac:dyDescent="0.3">
      <c r="A1044" s="227"/>
      <c r="B1044" s="230"/>
      <c r="C1044" s="32"/>
      <c r="D1044" s="32"/>
      <c r="E1044" s="33"/>
      <c r="F1044" s="27" t="s">
        <v>523</v>
      </c>
      <c r="G1044" s="27" t="str">
        <f t="shared" si="17"/>
        <v/>
      </c>
      <c r="H1044" s="31"/>
      <c r="I1044" s="27"/>
      <c r="J1044" s="141">
        <v>0</v>
      </c>
    </row>
    <row r="1045" spans="1:10" ht="15.75" hidden="1" thickBot="1" x14ac:dyDescent="0.3">
      <c r="A1045" s="225" t="s">
        <v>333</v>
      </c>
      <c r="B1045" s="228" t="str">
        <f>INDEX(Orçamentária!A:B,MATCH(Composições!A1045,Orçamentária!A:A,0),2)</f>
        <v>Cuba oval de embutir</v>
      </c>
      <c r="C1045" s="37"/>
      <c r="D1045" s="22" t="str">
        <f>TRIM(INDEX(Orçamentária!C:C,MATCH(Composições!A1045,Orçamentária!A:A,0),1))</f>
        <v>un</v>
      </c>
      <c r="E1045" s="23"/>
      <c r="F1045" s="38" t="s">
        <v>523</v>
      </c>
      <c r="G1045" s="24" t="str">
        <f t="shared" si="17"/>
        <v/>
      </c>
      <c r="H1045" s="25"/>
      <c r="I1045" s="26"/>
      <c r="J1045" s="141">
        <v>0</v>
      </c>
    </row>
    <row r="1046" spans="1:10" ht="15.75" hidden="1" thickBot="1" x14ac:dyDescent="0.3">
      <c r="A1046" s="226"/>
      <c r="B1046" s="244"/>
      <c r="C1046" s="28"/>
      <c r="D1046" s="28"/>
      <c r="E1046" s="29"/>
      <c r="F1046" s="39" t="s">
        <v>523</v>
      </c>
      <c r="G1046" s="27" t="str">
        <f t="shared" si="17"/>
        <v/>
      </c>
      <c r="H1046" s="31"/>
      <c r="I1046" s="27"/>
      <c r="J1046" s="141">
        <v>0</v>
      </c>
    </row>
    <row r="1047" spans="1:10" ht="15.75" hidden="1" thickBot="1" x14ac:dyDescent="0.3">
      <c r="A1047" s="226"/>
      <c r="B1047" s="244"/>
      <c r="C1047" s="32" t="s">
        <v>334</v>
      </c>
      <c r="D1047" s="43" t="s">
        <v>144</v>
      </c>
      <c r="E1047" s="33">
        <v>1</v>
      </c>
      <c r="F1047" s="30" t="s">
        <v>523</v>
      </c>
      <c r="G1047" s="30" t="str">
        <f t="shared" si="17"/>
        <v/>
      </c>
      <c r="H1047" s="35">
        <f>SUM(G1047:G1050)</f>
        <v>46.661591749999999</v>
      </c>
      <c r="I1047" s="36"/>
      <c r="J1047" s="141">
        <v>0</v>
      </c>
    </row>
    <row r="1048" spans="1:10" ht="15.75" hidden="1" thickBot="1" x14ac:dyDescent="0.3">
      <c r="A1048" s="226"/>
      <c r="B1048" s="244"/>
      <c r="C1048" s="32" t="s">
        <v>335</v>
      </c>
      <c r="D1048" s="43" t="s">
        <v>42</v>
      </c>
      <c r="E1048" s="33">
        <v>0.52710000000000001</v>
      </c>
      <c r="F1048" s="30">
        <v>39.424999999999997</v>
      </c>
      <c r="G1048" s="30">
        <f t="shared" si="17"/>
        <v>20.780917499999997</v>
      </c>
      <c r="H1048" s="31"/>
      <c r="I1048" s="27"/>
      <c r="J1048" s="141">
        <v>0</v>
      </c>
    </row>
    <row r="1049" spans="1:10" ht="15.75" hidden="1" thickBot="1" x14ac:dyDescent="0.3">
      <c r="A1049" s="226"/>
      <c r="B1049" s="244"/>
      <c r="C1049" s="32" t="s">
        <v>23</v>
      </c>
      <c r="D1049" s="43" t="s">
        <v>12</v>
      </c>
      <c r="E1049" s="33">
        <v>0.26650000000000001</v>
      </c>
      <c r="F1049" s="27">
        <v>18.420500000000001</v>
      </c>
      <c r="G1049" s="30">
        <f t="shared" si="17"/>
        <v>4.90906325</v>
      </c>
      <c r="H1049" s="31"/>
      <c r="I1049" s="27"/>
      <c r="J1049" s="141">
        <v>0</v>
      </c>
    </row>
    <row r="1050" spans="1:10" ht="15.75" hidden="1" thickBot="1" x14ac:dyDescent="0.3">
      <c r="A1050" s="226"/>
      <c r="B1050" s="244"/>
      <c r="C1050" s="32" t="s">
        <v>54</v>
      </c>
      <c r="D1050" s="43" t="s">
        <v>12</v>
      </c>
      <c r="E1050" s="33">
        <v>0.8458</v>
      </c>
      <c r="F1050" s="27">
        <v>24.795000000000002</v>
      </c>
      <c r="G1050" s="30">
        <f t="shared" si="17"/>
        <v>20.971611000000003</v>
      </c>
      <c r="H1050" s="31"/>
      <c r="I1050" s="27"/>
      <c r="J1050" s="141">
        <v>0</v>
      </c>
    </row>
    <row r="1051" spans="1:10" ht="15.75" hidden="1" thickBot="1" x14ac:dyDescent="0.3">
      <c r="A1051" s="227"/>
      <c r="B1051" s="230"/>
      <c r="C1051" s="32"/>
      <c r="D1051" s="32"/>
      <c r="E1051" s="33"/>
      <c r="F1051" s="27" t="s">
        <v>523</v>
      </c>
      <c r="G1051" s="27" t="str">
        <f t="shared" si="17"/>
        <v/>
      </c>
      <c r="H1051" s="31"/>
      <c r="I1051" s="27"/>
      <c r="J1051" s="141">
        <v>0</v>
      </c>
    </row>
    <row r="1052" spans="1:10" ht="15.75" hidden="1" thickBot="1" x14ac:dyDescent="0.3">
      <c r="A1052" s="225" t="s">
        <v>336</v>
      </c>
      <c r="B1052" s="228" t="str">
        <f>INDEX(Orçamentária!A:B,MATCH(Composições!A1052,Orçamentária!A:A,0),2)</f>
        <v>Cuba retangular em aço inox</v>
      </c>
      <c r="C1052" s="37"/>
      <c r="D1052" s="22" t="str">
        <f>TRIM(INDEX(Orçamentária!C:C,MATCH(Composições!A1052,Orçamentária!A:A,0),1))</f>
        <v>un</v>
      </c>
      <c r="E1052" s="23"/>
      <c r="F1052" s="38" t="s">
        <v>523</v>
      </c>
      <c r="G1052" s="24" t="str">
        <f t="shared" si="17"/>
        <v/>
      </c>
      <c r="H1052" s="25"/>
      <c r="I1052" s="26"/>
      <c r="J1052" s="141">
        <v>0</v>
      </c>
    </row>
    <row r="1053" spans="1:10" ht="15.75" hidden="1" thickBot="1" x14ac:dyDescent="0.3">
      <c r="A1053" s="226"/>
      <c r="B1053" s="244"/>
      <c r="C1053" s="28"/>
      <c r="D1053" s="28"/>
      <c r="E1053" s="29"/>
      <c r="F1053" s="39" t="s">
        <v>523</v>
      </c>
      <c r="G1053" s="27" t="str">
        <f t="shared" si="17"/>
        <v/>
      </c>
      <c r="H1053" s="31"/>
      <c r="I1053" s="27"/>
      <c r="J1053" s="141">
        <v>0</v>
      </c>
    </row>
    <row r="1054" spans="1:10" ht="39" hidden="1" thickBot="1" x14ac:dyDescent="0.3">
      <c r="A1054" s="226"/>
      <c r="B1054" s="244"/>
      <c r="C1054" s="32" t="s">
        <v>337</v>
      </c>
      <c r="D1054" s="43" t="s">
        <v>144</v>
      </c>
      <c r="E1054" s="33">
        <v>1</v>
      </c>
      <c r="F1054" s="30" t="s">
        <v>523</v>
      </c>
      <c r="G1054" s="30" t="str">
        <f t="shared" si="17"/>
        <v/>
      </c>
      <c r="H1054" s="35">
        <f>SUM(G1054:G1057)</f>
        <v>26.3325712</v>
      </c>
      <c r="I1054" s="36"/>
      <c r="J1054" s="141">
        <v>0</v>
      </c>
    </row>
    <row r="1055" spans="1:10" ht="15.75" hidden="1" thickBot="1" x14ac:dyDescent="0.3">
      <c r="A1055" s="226"/>
      <c r="B1055" s="244"/>
      <c r="C1055" s="32" t="s">
        <v>335</v>
      </c>
      <c r="D1055" s="43" t="s">
        <v>42</v>
      </c>
      <c r="E1055" s="33">
        <v>0.2974</v>
      </c>
      <c r="F1055" s="30">
        <v>39.424999999999997</v>
      </c>
      <c r="G1055" s="30">
        <f t="shared" si="17"/>
        <v>11.724995</v>
      </c>
      <c r="H1055" s="31"/>
      <c r="I1055" s="27"/>
      <c r="J1055" s="141">
        <v>0</v>
      </c>
    </row>
    <row r="1056" spans="1:10" ht="15.75" hidden="1" thickBot="1" x14ac:dyDescent="0.3">
      <c r="A1056" s="226"/>
      <c r="B1056" s="244"/>
      <c r="C1056" s="32" t="s">
        <v>54</v>
      </c>
      <c r="D1056" s="43" t="s">
        <v>12</v>
      </c>
      <c r="E1056" s="33">
        <v>0.47739999999999999</v>
      </c>
      <c r="F1056" s="27">
        <v>24.795000000000002</v>
      </c>
      <c r="G1056" s="30">
        <f t="shared" si="17"/>
        <v>11.837133000000001</v>
      </c>
      <c r="H1056" s="31"/>
      <c r="I1056" s="27"/>
      <c r="J1056" s="141">
        <v>0</v>
      </c>
    </row>
    <row r="1057" spans="1:10" ht="15.75" hidden="1" thickBot="1" x14ac:dyDescent="0.3">
      <c r="A1057" s="226"/>
      <c r="B1057" s="244"/>
      <c r="C1057" s="32" t="s">
        <v>23</v>
      </c>
      <c r="D1057" s="43" t="s">
        <v>12</v>
      </c>
      <c r="E1057" s="33">
        <v>0.15040000000000001</v>
      </c>
      <c r="F1057" s="27">
        <v>18.420500000000001</v>
      </c>
      <c r="G1057" s="30">
        <f t="shared" si="17"/>
        <v>2.7704432000000003</v>
      </c>
      <c r="H1057" s="31"/>
      <c r="I1057" s="27"/>
      <c r="J1057" s="141">
        <v>0</v>
      </c>
    </row>
    <row r="1058" spans="1:10" ht="15.75" hidden="1" thickBot="1" x14ac:dyDescent="0.3">
      <c r="A1058" s="227"/>
      <c r="B1058" s="230"/>
      <c r="C1058" s="32"/>
      <c r="D1058" s="32"/>
      <c r="E1058" s="33"/>
      <c r="F1058" s="27" t="s">
        <v>523</v>
      </c>
      <c r="G1058" s="27" t="str">
        <f t="shared" si="17"/>
        <v/>
      </c>
      <c r="H1058" s="31"/>
      <c r="I1058" s="27"/>
      <c r="J1058" s="141">
        <v>0</v>
      </c>
    </row>
    <row r="1059" spans="1:10" ht="15.75" hidden="1" thickBot="1" x14ac:dyDescent="0.3">
      <c r="A1059" s="225" t="s">
        <v>338</v>
      </c>
      <c r="B1059" s="228" t="str">
        <f>INDEX(Orçamentária!A:B,MATCH(Composições!A1059,Orçamentária!A:A,0),2)</f>
        <v>Cuba semiencaixe quadrada com mesa</v>
      </c>
      <c r="C1059" s="37"/>
      <c r="D1059" s="22" t="str">
        <f>TRIM(INDEX(Orçamentária!C:C,MATCH(Composições!A1059,Orçamentária!A:A,0),1))</f>
        <v>un</v>
      </c>
      <c r="E1059" s="23"/>
      <c r="F1059" s="38" t="s">
        <v>523</v>
      </c>
      <c r="G1059" s="24" t="str">
        <f t="shared" si="17"/>
        <v/>
      </c>
      <c r="H1059" s="25"/>
      <c r="I1059" s="26"/>
      <c r="J1059" s="141">
        <v>0</v>
      </c>
    </row>
    <row r="1060" spans="1:10" ht="15.75" hidden="1" thickBot="1" x14ac:dyDescent="0.3">
      <c r="A1060" s="226"/>
      <c r="B1060" s="244"/>
      <c r="C1060" s="28"/>
      <c r="D1060" s="28"/>
      <c r="E1060" s="29"/>
      <c r="F1060" s="39" t="s">
        <v>523</v>
      </c>
      <c r="G1060" s="27" t="str">
        <f t="shared" si="17"/>
        <v/>
      </c>
      <c r="H1060" s="31"/>
      <c r="I1060" s="27"/>
      <c r="J1060" s="141">
        <v>0</v>
      </c>
    </row>
    <row r="1061" spans="1:10" ht="15.75" hidden="1" thickBot="1" x14ac:dyDescent="0.3">
      <c r="A1061" s="226"/>
      <c r="B1061" s="244"/>
      <c r="C1061" s="32" t="s">
        <v>339</v>
      </c>
      <c r="D1061" s="43" t="s">
        <v>144</v>
      </c>
      <c r="E1061" s="33">
        <v>1</v>
      </c>
      <c r="F1061" s="30" t="s">
        <v>523</v>
      </c>
      <c r="G1061" s="30" t="str">
        <f t="shared" si="17"/>
        <v/>
      </c>
      <c r="H1061" s="35">
        <f>SUM(G1061:G1064)</f>
        <v>46.661591749999999</v>
      </c>
      <c r="I1061" s="36"/>
      <c r="J1061" s="141">
        <v>0</v>
      </c>
    </row>
    <row r="1062" spans="1:10" ht="15.75" hidden="1" thickBot="1" x14ac:dyDescent="0.3">
      <c r="A1062" s="226"/>
      <c r="B1062" s="244"/>
      <c r="C1062" s="32" t="s">
        <v>335</v>
      </c>
      <c r="D1062" s="43" t="s">
        <v>42</v>
      </c>
      <c r="E1062" s="33">
        <v>0.52710000000000001</v>
      </c>
      <c r="F1062" s="30">
        <v>39.424999999999997</v>
      </c>
      <c r="G1062" s="30">
        <f t="shared" si="17"/>
        <v>20.780917499999997</v>
      </c>
      <c r="H1062" s="31"/>
      <c r="I1062" s="27"/>
      <c r="J1062" s="141">
        <v>0</v>
      </c>
    </row>
    <row r="1063" spans="1:10" ht="15.75" hidden="1" thickBot="1" x14ac:dyDescent="0.3">
      <c r="A1063" s="226"/>
      <c r="B1063" s="244"/>
      <c r="C1063" s="32" t="s">
        <v>23</v>
      </c>
      <c r="D1063" s="43" t="s">
        <v>12</v>
      </c>
      <c r="E1063" s="33">
        <v>0.26650000000000001</v>
      </c>
      <c r="F1063" s="27">
        <v>18.420500000000001</v>
      </c>
      <c r="G1063" s="30">
        <f t="shared" si="17"/>
        <v>4.90906325</v>
      </c>
      <c r="H1063" s="31"/>
      <c r="I1063" s="27"/>
      <c r="J1063" s="141">
        <v>0</v>
      </c>
    </row>
    <row r="1064" spans="1:10" ht="15.75" hidden="1" thickBot="1" x14ac:dyDescent="0.3">
      <c r="A1064" s="226"/>
      <c r="B1064" s="244"/>
      <c r="C1064" s="32" t="s">
        <v>54</v>
      </c>
      <c r="D1064" s="43" t="s">
        <v>12</v>
      </c>
      <c r="E1064" s="33">
        <v>0.8458</v>
      </c>
      <c r="F1064" s="27">
        <v>24.795000000000002</v>
      </c>
      <c r="G1064" s="30">
        <f t="shared" si="17"/>
        <v>20.971611000000003</v>
      </c>
      <c r="H1064" s="31"/>
      <c r="I1064" s="27"/>
      <c r="J1064" s="141">
        <v>0</v>
      </c>
    </row>
    <row r="1065" spans="1:10" ht="15.75" hidden="1" thickBot="1" x14ac:dyDescent="0.3">
      <c r="A1065" s="227"/>
      <c r="B1065" s="230"/>
      <c r="C1065" s="32"/>
      <c r="D1065" s="32"/>
      <c r="E1065" s="33"/>
      <c r="F1065" s="27" t="s">
        <v>523</v>
      </c>
      <c r="G1065" s="27" t="str">
        <f t="shared" si="17"/>
        <v/>
      </c>
      <c r="H1065" s="31"/>
      <c r="I1065" s="27"/>
      <c r="J1065" s="141">
        <v>0</v>
      </c>
    </row>
    <row r="1066" spans="1:10" ht="15.75" hidden="1" thickBot="1" x14ac:dyDescent="0.3">
      <c r="A1066" s="225" t="s">
        <v>340</v>
      </c>
      <c r="B1066" s="228" t="str">
        <f>INDEX(Orçamentária!A:B,MATCH(Composições!A1066,Orçamentária!A:A,0),2)</f>
        <v>Instalação de lavatório reaproveitado</v>
      </c>
      <c r="C1066" s="37"/>
      <c r="D1066" s="22" t="str">
        <f>TRIM(INDEX(Orçamentária!C:C,MATCH(Composições!A1066,Orçamentária!A:A,0),1))</f>
        <v>un</v>
      </c>
      <c r="E1066" s="23"/>
      <c r="F1066" s="38" t="s">
        <v>523</v>
      </c>
      <c r="G1066" s="24" t="str">
        <f t="shared" si="17"/>
        <v/>
      </c>
      <c r="H1066" s="25"/>
      <c r="I1066" s="26"/>
      <c r="J1066" s="141">
        <v>0</v>
      </c>
    </row>
    <row r="1067" spans="1:10" ht="15.75" hidden="1" thickBot="1" x14ac:dyDescent="0.3">
      <c r="A1067" s="226"/>
      <c r="B1067" s="244"/>
      <c r="C1067" s="28"/>
      <c r="D1067" s="28"/>
      <c r="E1067" s="29"/>
      <c r="F1067" s="39" t="s">
        <v>523</v>
      </c>
      <c r="G1067" s="27" t="str">
        <f t="shared" si="17"/>
        <v/>
      </c>
      <c r="H1067" s="31"/>
      <c r="I1067" s="27"/>
      <c r="J1067" s="141">
        <v>0</v>
      </c>
    </row>
    <row r="1068" spans="1:10" ht="26.25" hidden="1" thickBot="1" x14ac:dyDescent="0.3">
      <c r="A1068" s="226"/>
      <c r="B1068" s="244"/>
      <c r="C1068" s="32" t="s">
        <v>341</v>
      </c>
      <c r="D1068" s="43" t="s">
        <v>280</v>
      </c>
      <c r="E1068" s="33">
        <v>2</v>
      </c>
      <c r="F1068" s="30">
        <v>15.361500000000001</v>
      </c>
      <c r="G1068" s="30">
        <f t="shared" si="17"/>
        <v>30.723000000000003</v>
      </c>
      <c r="H1068" s="35">
        <f>SUM(G1068:G1071)</f>
        <v>45.566010900000009</v>
      </c>
      <c r="I1068" s="36"/>
      <c r="J1068" s="141">
        <v>0</v>
      </c>
    </row>
    <row r="1069" spans="1:10" ht="15.75" hidden="1" thickBot="1" x14ac:dyDescent="0.3">
      <c r="A1069" s="226"/>
      <c r="B1069" s="244"/>
      <c r="C1069" s="32" t="s">
        <v>3539</v>
      </c>
      <c r="D1069" s="43" t="s">
        <v>42</v>
      </c>
      <c r="E1069" s="33">
        <v>3.04E-2</v>
      </c>
      <c r="F1069" s="30">
        <v>64.619</v>
      </c>
      <c r="G1069" s="30">
        <f t="shared" si="17"/>
        <v>1.9644176</v>
      </c>
      <c r="H1069" s="31"/>
      <c r="I1069" s="27"/>
      <c r="J1069" s="141">
        <v>0</v>
      </c>
    </row>
    <row r="1070" spans="1:10" ht="15.75" hidden="1" thickBot="1" x14ac:dyDescent="0.3">
      <c r="A1070" s="226"/>
      <c r="B1070" s="244"/>
      <c r="C1070" s="32" t="s">
        <v>39</v>
      </c>
      <c r="D1070" s="43" t="s">
        <v>12</v>
      </c>
      <c r="E1070" s="33">
        <v>0.38700000000000001</v>
      </c>
      <c r="F1070" s="27">
        <v>24.300999999999998</v>
      </c>
      <c r="G1070" s="30">
        <f t="shared" si="17"/>
        <v>9.4044869999999996</v>
      </c>
      <c r="H1070" s="31"/>
      <c r="I1070" s="27"/>
      <c r="J1070" s="141">
        <v>0</v>
      </c>
    </row>
    <row r="1071" spans="1:10" ht="15.75" hidden="1" thickBot="1" x14ac:dyDescent="0.3">
      <c r="A1071" s="226"/>
      <c r="B1071" s="244"/>
      <c r="C1071" s="32" t="s">
        <v>23</v>
      </c>
      <c r="D1071" s="43" t="s">
        <v>12</v>
      </c>
      <c r="E1071" s="33">
        <v>0.18859999999999999</v>
      </c>
      <c r="F1071" s="27">
        <v>18.420500000000001</v>
      </c>
      <c r="G1071" s="30">
        <f t="shared" si="17"/>
        <v>3.4741062999999999</v>
      </c>
      <c r="H1071" s="31"/>
      <c r="I1071" s="27"/>
      <c r="J1071" s="141">
        <v>0</v>
      </c>
    </row>
    <row r="1072" spans="1:10" ht="15.75" hidden="1" thickBot="1" x14ac:dyDescent="0.3">
      <c r="A1072" s="226"/>
      <c r="B1072" s="244"/>
      <c r="C1072" s="32"/>
      <c r="D1072" s="43"/>
      <c r="E1072" s="33"/>
      <c r="F1072" s="30" t="s">
        <v>523</v>
      </c>
      <c r="G1072" s="30" t="str">
        <f t="shared" si="17"/>
        <v/>
      </c>
      <c r="H1072" s="31"/>
      <c r="I1072" s="27"/>
      <c r="J1072" s="141">
        <v>0</v>
      </c>
    </row>
    <row r="1073" spans="1:10" ht="15.75" hidden="1" thickBot="1" x14ac:dyDescent="0.3">
      <c r="A1073" s="225" t="s">
        <v>342</v>
      </c>
      <c r="B1073" s="228" t="str">
        <f>INDEX(Orçamentária!A:B,MATCH(Composições!A1073,Orçamentária!A:A,0),2)</f>
        <v>Instalação de mictório reaproveitado</v>
      </c>
      <c r="C1073" s="37"/>
      <c r="D1073" s="22" t="str">
        <f>TRIM(INDEX(Orçamentária!C:C,MATCH(Composições!A1073,Orçamentária!A:A,0),1))</f>
        <v>un</v>
      </c>
      <c r="E1073" s="23"/>
      <c r="F1073" s="38" t="s">
        <v>523</v>
      </c>
      <c r="G1073" s="24" t="str">
        <f t="shared" si="17"/>
        <v/>
      </c>
      <c r="H1073" s="25"/>
      <c r="I1073" s="26"/>
      <c r="J1073" s="141">
        <v>0</v>
      </c>
    </row>
    <row r="1074" spans="1:10" ht="15.75" hidden="1" thickBot="1" x14ac:dyDescent="0.3">
      <c r="A1074" s="226"/>
      <c r="B1074" s="244"/>
      <c r="C1074" s="28"/>
      <c r="D1074" s="28"/>
      <c r="E1074" s="29"/>
      <c r="F1074" s="39" t="s">
        <v>523</v>
      </c>
      <c r="G1074" s="27" t="str">
        <f t="shared" si="17"/>
        <v/>
      </c>
      <c r="H1074" s="31"/>
      <c r="I1074" s="27"/>
      <c r="J1074" s="141">
        <v>0</v>
      </c>
    </row>
    <row r="1075" spans="1:10" ht="26.25" hidden="1" thickBot="1" x14ac:dyDescent="0.3">
      <c r="A1075" s="226"/>
      <c r="B1075" s="244"/>
      <c r="C1075" s="32" t="s">
        <v>341</v>
      </c>
      <c r="D1075" s="43" t="s">
        <v>280</v>
      </c>
      <c r="E1075" s="33">
        <v>2</v>
      </c>
      <c r="F1075" s="30">
        <v>15.361500000000001</v>
      </c>
      <c r="G1075" s="27">
        <f t="shared" si="17"/>
        <v>30.723000000000003</v>
      </c>
      <c r="H1075" s="35">
        <f>SUM(G1075:G1078)</f>
        <v>46.071218999999999</v>
      </c>
      <c r="I1075" s="36"/>
      <c r="J1075" s="141">
        <v>0</v>
      </c>
    </row>
    <row r="1076" spans="1:10" ht="15.75" hidden="1" thickBot="1" x14ac:dyDescent="0.3">
      <c r="A1076" s="226"/>
      <c r="B1076" s="244"/>
      <c r="C1076" s="32" t="s">
        <v>343</v>
      </c>
      <c r="D1076" s="43" t="s">
        <v>280</v>
      </c>
      <c r="E1076" s="33">
        <v>3.6499999999999998E-2</v>
      </c>
      <c r="F1076" s="30">
        <v>4.3699999999999992</v>
      </c>
      <c r="G1076" s="27">
        <f t="shared" si="17"/>
        <v>0.15950499999999995</v>
      </c>
      <c r="H1076" s="31"/>
      <c r="I1076" s="27"/>
      <c r="J1076" s="141">
        <v>0</v>
      </c>
    </row>
    <row r="1077" spans="1:10" ht="15.75" hidden="1" thickBot="1" x14ac:dyDescent="0.3">
      <c r="A1077" s="226"/>
      <c r="B1077" s="244"/>
      <c r="C1077" s="32" t="s">
        <v>23</v>
      </c>
      <c r="D1077" s="43" t="s">
        <v>12</v>
      </c>
      <c r="E1077" s="33">
        <f>ROUND(0.3179/2,4)</f>
        <v>0.159</v>
      </c>
      <c r="F1077" s="27">
        <v>18.420500000000001</v>
      </c>
      <c r="G1077" s="30">
        <f t="shared" si="17"/>
        <v>2.9288595000000002</v>
      </c>
      <c r="H1077" s="31"/>
      <c r="I1077" s="27"/>
      <c r="J1077" s="141">
        <v>0</v>
      </c>
    </row>
    <row r="1078" spans="1:10" ht="15.75" hidden="1" thickBot="1" x14ac:dyDescent="0.3">
      <c r="A1078" s="226"/>
      <c r="B1078" s="244"/>
      <c r="C1078" s="32" t="s">
        <v>39</v>
      </c>
      <c r="D1078" s="43" t="s">
        <v>12</v>
      </c>
      <c r="E1078" s="33">
        <f>1.009/2</f>
        <v>0.50449999999999995</v>
      </c>
      <c r="F1078" s="27">
        <v>24.300999999999998</v>
      </c>
      <c r="G1078" s="30">
        <f t="shared" si="17"/>
        <v>12.259854499999998</v>
      </c>
      <c r="H1078" s="31"/>
      <c r="I1078" s="27"/>
      <c r="J1078" s="141">
        <v>0</v>
      </c>
    </row>
    <row r="1079" spans="1:10" ht="15.75" hidden="1" thickBot="1" x14ac:dyDescent="0.3">
      <c r="A1079" s="226"/>
      <c r="B1079" s="244"/>
      <c r="C1079" s="32"/>
      <c r="D1079" s="43"/>
      <c r="E1079" s="33"/>
      <c r="F1079" s="30" t="s">
        <v>523</v>
      </c>
      <c r="G1079" s="30" t="str">
        <f t="shared" si="17"/>
        <v/>
      </c>
      <c r="H1079" s="31"/>
      <c r="I1079" s="27"/>
      <c r="J1079" s="141">
        <v>0</v>
      </c>
    </row>
    <row r="1080" spans="1:10" ht="26.25" hidden="1" thickBot="1" x14ac:dyDescent="0.3">
      <c r="A1080" s="226"/>
      <c r="B1080" s="244"/>
      <c r="C1080" s="48" t="s">
        <v>344</v>
      </c>
      <c r="D1080" s="43"/>
      <c r="E1080" s="33"/>
      <c r="F1080" s="30" t="s">
        <v>523</v>
      </c>
      <c r="G1080" s="30" t="str">
        <f t="shared" si="17"/>
        <v/>
      </c>
      <c r="H1080" s="31"/>
      <c r="I1080" s="27"/>
      <c r="J1080" s="141">
        <v>0</v>
      </c>
    </row>
    <row r="1081" spans="1:10" ht="15.75" hidden="1" thickBot="1" x14ac:dyDescent="0.3">
      <c r="A1081" s="226"/>
      <c r="B1081" s="244"/>
      <c r="C1081" s="32"/>
      <c r="D1081" s="32"/>
      <c r="E1081" s="33"/>
      <c r="F1081" s="30" t="s">
        <v>523</v>
      </c>
      <c r="G1081" s="30" t="str">
        <f t="shared" si="17"/>
        <v/>
      </c>
      <c r="H1081" s="31"/>
      <c r="I1081" s="27"/>
      <c r="J1081" s="141">
        <v>0</v>
      </c>
    </row>
    <row r="1082" spans="1:10" ht="15.75" hidden="1" thickBot="1" x14ac:dyDescent="0.3">
      <c r="A1082" s="225" t="s">
        <v>345</v>
      </c>
      <c r="B1082" s="228" t="str">
        <f>INDEX(Orçamentária!A:B,MATCH(Composições!A1082,Orçamentária!A:A,0),2)</f>
        <v>Instalação de vaso sanitário reaproveitado</v>
      </c>
      <c r="C1082" s="37"/>
      <c r="D1082" s="22" t="str">
        <f>TRIM(INDEX(Orçamentária!C:C,MATCH(Composições!A1082,Orçamentária!A:A,0),1))</f>
        <v>un</v>
      </c>
      <c r="E1082" s="23"/>
      <c r="F1082" s="38" t="s">
        <v>523</v>
      </c>
      <c r="G1082" s="24" t="str">
        <f t="shared" si="17"/>
        <v/>
      </c>
      <c r="H1082" s="25"/>
      <c r="I1082" s="26"/>
      <c r="J1082" s="141">
        <v>0</v>
      </c>
    </row>
    <row r="1083" spans="1:10" ht="15.75" hidden="1" thickBot="1" x14ac:dyDescent="0.3">
      <c r="A1083" s="226"/>
      <c r="B1083" s="244"/>
      <c r="C1083" s="28"/>
      <c r="D1083" s="28"/>
      <c r="E1083" s="29"/>
      <c r="F1083" s="39" t="s">
        <v>523</v>
      </c>
      <c r="G1083" s="27" t="str">
        <f t="shared" si="17"/>
        <v/>
      </c>
      <c r="H1083" s="31"/>
      <c r="I1083" s="27"/>
      <c r="J1083" s="141">
        <v>0</v>
      </c>
    </row>
    <row r="1084" spans="1:10" ht="26.25" hidden="1" thickBot="1" x14ac:dyDescent="0.3">
      <c r="A1084" s="226"/>
      <c r="B1084" s="244"/>
      <c r="C1084" s="32" t="s">
        <v>330</v>
      </c>
      <c r="D1084" s="43" t="s">
        <v>280</v>
      </c>
      <c r="E1084" s="33">
        <v>2</v>
      </c>
      <c r="F1084" s="30">
        <v>20.728999999999999</v>
      </c>
      <c r="G1084" s="30">
        <f t="shared" si="17"/>
        <v>41.457999999999998</v>
      </c>
      <c r="H1084" s="35">
        <f>SUM(G1084:G1088)</f>
        <v>78.95213545</v>
      </c>
      <c r="I1084" s="36"/>
      <c r="J1084" s="141">
        <v>0</v>
      </c>
    </row>
    <row r="1085" spans="1:10" ht="26.25" hidden="1" thickBot="1" x14ac:dyDescent="0.3">
      <c r="A1085" s="226"/>
      <c r="B1085" s="244"/>
      <c r="C1085" s="32" t="s">
        <v>6627</v>
      </c>
      <c r="D1085" s="43" t="s">
        <v>20</v>
      </c>
      <c r="E1085" s="33">
        <v>1</v>
      </c>
      <c r="F1085" s="30">
        <v>13.2905</v>
      </c>
      <c r="G1085" s="50">
        <f t="shared" si="17"/>
        <v>13.2905</v>
      </c>
      <c r="H1085" s="31"/>
      <c r="I1085" s="27"/>
      <c r="J1085" s="141">
        <v>0</v>
      </c>
    </row>
    <row r="1086" spans="1:10" ht="15.75" hidden="1" thickBot="1" x14ac:dyDescent="0.3">
      <c r="A1086" s="226"/>
      <c r="B1086" s="244"/>
      <c r="C1086" s="32" t="s">
        <v>3539</v>
      </c>
      <c r="D1086" s="43" t="s">
        <v>42</v>
      </c>
      <c r="E1086" s="33">
        <v>8.8099999999999998E-2</v>
      </c>
      <c r="F1086" s="30">
        <v>64.619</v>
      </c>
      <c r="G1086" s="30">
        <f t="shared" si="17"/>
        <v>5.6929338999999999</v>
      </c>
      <c r="H1086" s="31"/>
      <c r="I1086" s="27"/>
      <c r="J1086" s="141">
        <v>0</v>
      </c>
    </row>
    <row r="1087" spans="1:10" ht="15.75" hidden="1" thickBot="1" x14ac:dyDescent="0.3">
      <c r="A1087" s="226"/>
      <c r="B1087" s="244"/>
      <c r="C1087" s="32" t="s">
        <v>39</v>
      </c>
      <c r="D1087" s="43" t="s">
        <v>12</v>
      </c>
      <c r="E1087" s="33">
        <v>0.49680000000000002</v>
      </c>
      <c r="F1087" s="27">
        <v>24.300999999999998</v>
      </c>
      <c r="G1087" s="30">
        <f t="shared" si="17"/>
        <v>12.072736799999999</v>
      </c>
      <c r="H1087" s="31"/>
      <c r="I1087" s="27"/>
      <c r="J1087" s="141">
        <v>0</v>
      </c>
    </row>
    <row r="1088" spans="1:10" ht="15.75" hidden="1" thickBot="1" x14ac:dyDescent="0.3">
      <c r="A1088" s="226"/>
      <c r="B1088" s="244"/>
      <c r="C1088" s="32" t="s">
        <v>23</v>
      </c>
      <c r="D1088" s="43" t="s">
        <v>12</v>
      </c>
      <c r="E1088" s="33">
        <v>0.34949999999999998</v>
      </c>
      <c r="F1088" s="27">
        <v>18.420500000000001</v>
      </c>
      <c r="G1088" s="30">
        <f t="shared" si="17"/>
        <v>6.4379647499999999</v>
      </c>
      <c r="H1088" s="31"/>
      <c r="I1088" s="27"/>
      <c r="J1088" s="141">
        <v>0</v>
      </c>
    </row>
    <row r="1089" spans="1:10" ht="15.75" hidden="1" thickBot="1" x14ac:dyDescent="0.3">
      <c r="A1089" s="226"/>
      <c r="B1089" s="244"/>
      <c r="C1089" s="32"/>
      <c r="D1089" s="32"/>
      <c r="E1089" s="33"/>
      <c r="F1089" s="27" t="s">
        <v>523</v>
      </c>
      <c r="G1089" s="30" t="str">
        <f t="shared" si="17"/>
        <v/>
      </c>
      <c r="H1089" s="31"/>
      <c r="I1089" s="27"/>
      <c r="J1089" s="141">
        <v>0</v>
      </c>
    </row>
    <row r="1090" spans="1:10" ht="15.75" hidden="1" thickBot="1" x14ac:dyDescent="0.3">
      <c r="A1090" s="225" t="s">
        <v>346</v>
      </c>
      <c r="B1090" s="228" t="str">
        <f>INDEX(Orçamentária!A:B,MATCH(Composições!A1090,Orçamentária!A:A,0),2)</f>
        <v>Lavatório suspenso</v>
      </c>
      <c r="C1090" s="37"/>
      <c r="D1090" s="22" t="str">
        <f>TRIM(INDEX(Orçamentária!C:C,MATCH(Composições!A1090,Orçamentária!A:A,0),1))</f>
        <v>un</v>
      </c>
      <c r="E1090" s="23"/>
      <c r="F1090" s="38" t="s">
        <v>523</v>
      </c>
      <c r="G1090" s="24" t="str">
        <f t="shared" si="17"/>
        <v/>
      </c>
      <c r="H1090" s="25"/>
      <c r="I1090" s="26"/>
      <c r="J1090" s="141">
        <v>0</v>
      </c>
    </row>
    <row r="1091" spans="1:10" ht="15.75" hidden="1" thickBot="1" x14ac:dyDescent="0.3">
      <c r="A1091" s="226"/>
      <c r="B1091" s="244"/>
      <c r="C1091" s="28"/>
      <c r="D1091" s="28"/>
      <c r="E1091" s="29"/>
      <c r="F1091" s="39" t="s">
        <v>523</v>
      </c>
      <c r="G1091" s="27" t="str">
        <f t="shared" si="17"/>
        <v/>
      </c>
      <c r="H1091" s="31"/>
      <c r="I1091" s="27"/>
      <c r="J1091" s="141">
        <v>0</v>
      </c>
    </row>
    <row r="1092" spans="1:10" ht="26.25" hidden="1" thickBot="1" x14ac:dyDescent="0.3">
      <c r="A1092" s="226"/>
      <c r="B1092" s="244"/>
      <c r="C1092" s="32" t="s">
        <v>6635</v>
      </c>
      <c r="D1092" s="43" t="s">
        <v>280</v>
      </c>
      <c r="E1092" s="33">
        <v>1</v>
      </c>
      <c r="F1092" s="30">
        <v>79.058999999999997</v>
      </c>
      <c r="G1092" s="30">
        <f t="shared" si="17"/>
        <v>79.058999999999997</v>
      </c>
      <c r="H1092" s="35">
        <f>SUM(G1092:G1096)</f>
        <v>124.62501090000001</v>
      </c>
      <c r="I1092" s="36"/>
      <c r="J1092" s="141">
        <v>0</v>
      </c>
    </row>
    <row r="1093" spans="1:10" ht="26.25" hidden="1" thickBot="1" x14ac:dyDescent="0.3">
      <c r="A1093" s="226"/>
      <c r="B1093" s="244"/>
      <c r="C1093" s="32" t="s">
        <v>341</v>
      </c>
      <c r="D1093" s="43" t="s">
        <v>280</v>
      </c>
      <c r="E1093" s="33">
        <v>2</v>
      </c>
      <c r="F1093" s="30">
        <v>15.361500000000001</v>
      </c>
      <c r="G1093" s="30">
        <f t="shared" si="17"/>
        <v>30.723000000000003</v>
      </c>
      <c r="H1093" s="31"/>
      <c r="I1093" s="27"/>
      <c r="J1093" s="141">
        <v>0</v>
      </c>
    </row>
    <row r="1094" spans="1:10" ht="15.75" hidden="1" thickBot="1" x14ac:dyDescent="0.3">
      <c r="A1094" s="226"/>
      <c r="B1094" s="244"/>
      <c r="C1094" s="32" t="s">
        <v>3539</v>
      </c>
      <c r="D1094" s="43" t="s">
        <v>42</v>
      </c>
      <c r="E1094" s="33">
        <v>3.04E-2</v>
      </c>
      <c r="F1094" s="30">
        <v>64.619</v>
      </c>
      <c r="G1094" s="30">
        <f t="shared" si="17"/>
        <v>1.9644176</v>
      </c>
      <c r="H1094" s="31"/>
      <c r="I1094" s="27"/>
      <c r="J1094" s="141">
        <v>0</v>
      </c>
    </row>
    <row r="1095" spans="1:10" ht="15.75" hidden="1" thickBot="1" x14ac:dyDescent="0.3">
      <c r="A1095" s="226"/>
      <c r="B1095" s="244"/>
      <c r="C1095" s="32" t="s">
        <v>39</v>
      </c>
      <c r="D1095" s="43" t="s">
        <v>12</v>
      </c>
      <c r="E1095" s="33">
        <v>0.38700000000000001</v>
      </c>
      <c r="F1095" s="27">
        <v>24.300999999999998</v>
      </c>
      <c r="G1095" s="30">
        <f t="shared" si="17"/>
        <v>9.4044869999999996</v>
      </c>
      <c r="H1095" s="31"/>
      <c r="I1095" s="27"/>
      <c r="J1095" s="141">
        <v>0</v>
      </c>
    </row>
    <row r="1096" spans="1:10" ht="15.75" hidden="1" thickBot="1" x14ac:dyDescent="0.3">
      <c r="A1096" s="226"/>
      <c r="B1096" s="244"/>
      <c r="C1096" s="32" t="s">
        <v>23</v>
      </c>
      <c r="D1096" s="43" t="s">
        <v>12</v>
      </c>
      <c r="E1096" s="33">
        <v>0.18859999999999999</v>
      </c>
      <c r="F1096" s="27">
        <v>18.420500000000001</v>
      </c>
      <c r="G1096" s="30">
        <f t="shared" si="17"/>
        <v>3.4741062999999999</v>
      </c>
      <c r="H1096" s="31"/>
      <c r="I1096" s="27"/>
      <c r="J1096" s="141">
        <v>0</v>
      </c>
    </row>
    <row r="1097" spans="1:10" ht="15.75" hidden="1" thickBot="1" x14ac:dyDescent="0.3">
      <c r="A1097" s="227"/>
      <c r="B1097" s="230"/>
      <c r="C1097" s="32"/>
      <c r="D1097" s="32"/>
      <c r="E1097" s="33"/>
      <c r="F1097" s="27" t="s">
        <v>523</v>
      </c>
      <c r="G1097" s="27" t="str">
        <f t="shared" si="17"/>
        <v/>
      </c>
      <c r="H1097" s="31"/>
      <c r="I1097" s="27"/>
      <c r="J1097" s="141">
        <v>0</v>
      </c>
    </row>
    <row r="1098" spans="1:10" ht="15.75" hidden="1" thickBot="1" x14ac:dyDescent="0.3">
      <c r="A1098" s="225" t="s">
        <v>347</v>
      </c>
      <c r="B1098" s="228" t="str">
        <f>INDEX(Orçamentária!A:B,MATCH(Composições!A1098,Orçamentária!A:A,0),2)</f>
        <v>Mictório – Linha Administrativa</v>
      </c>
      <c r="C1098" s="37"/>
      <c r="D1098" s="22" t="str">
        <f>TRIM(INDEX(Orçamentária!C:C,MATCH(Composições!A1098,Orçamentária!A:A,0),1))</f>
        <v>un</v>
      </c>
      <c r="E1098" s="23"/>
      <c r="F1098" s="38" t="s">
        <v>523</v>
      </c>
      <c r="G1098" s="24" t="str">
        <f t="shared" si="17"/>
        <v/>
      </c>
      <c r="H1098" s="25"/>
      <c r="I1098" s="26"/>
      <c r="J1098" s="141">
        <v>0</v>
      </c>
    </row>
    <row r="1099" spans="1:10" ht="15.75" hidden="1" thickBot="1" x14ac:dyDescent="0.3">
      <c r="A1099" s="226"/>
      <c r="B1099" s="244"/>
      <c r="C1099" s="28"/>
      <c r="D1099" s="28"/>
      <c r="E1099" s="29"/>
      <c r="F1099" s="39" t="s">
        <v>523</v>
      </c>
      <c r="G1099" s="27" t="str">
        <f t="shared" si="17"/>
        <v/>
      </c>
      <c r="H1099" s="31"/>
      <c r="I1099" s="27"/>
      <c r="J1099" s="141">
        <v>0</v>
      </c>
    </row>
    <row r="1100" spans="1:10" ht="26.25" hidden="1" thickBot="1" x14ac:dyDescent="0.3">
      <c r="A1100" s="226"/>
      <c r="B1100" s="244"/>
      <c r="C1100" s="32" t="s">
        <v>6636</v>
      </c>
      <c r="D1100" s="43" t="s">
        <v>280</v>
      </c>
      <c r="E1100" s="33">
        <v>1</v>
      </c>
      <c r="F1100" s="30">
        <v>304.05700000000002</v>
      </c>
      <c r="G1100" s="30">
        <f t="shared" si="17"/>
        <v>304.05700000000002</v>
      </c>
      <c r="H1100" s="35">
        <f>SUM(G1100:G1104)</f>
        <v>350.12821900000006</v>
      </c>
      <c r="I1100" s="36"/>
      <c r="J1100" s="141">
        <v>0</v>
      </c>
    </row>
    <row r="1101" spans="1:10" ht="26.25" hidden="1" thickBot="1" x14ac:dyDescent="0.3">
      <c r="A1101" s="226"/>
      <c r="B1101" s="244"/>
      <c r="C1101" s="32" t="s">
        <v>341</v>
      </c>
      <c r="D1101" s="43" t="s">
        <v>280</v>
      </c>
      <c r="E1101" s="33">
        <v>2</v>
      </c>
      <c r="F1101" s="30">
        <v>15.361500000000001</v>
      </c>
      <c r="G1101" s="27">
        <f t="shared" si="17"/>
        <v>30.723000000000003</v>
      </c>
      <c r="H1101" s="31"/>
      <c r="I1101" s="27"/>
      <c r="J1101" s="141">
        <v>0</v>
      </c>
    </row>
    <row r="1102" spans="1:10" ht="15.75" hidden="1" thickBot="1" x14ac:dyDescent="0.3">
      <c r="A1102" s="226"/>
      <c r="B1102" s="244"/>
      <c r="C1102" s="32" t="s">
        <v>343</v>
      </c>
      <c r="D1102" s="43" t="s">
        <v>280</v>
      </c>
      <c r="E1102" s="33">
        <v>3.6499999999999998E-2</v>
      </c>
      <c r="F1102" s="30">
        <v>4.3699999999999992</v>
      </c>
      <c r="G1102" s="27">
        <f t="shared" si="17"/>
        <v>0.15950499999999995</v>
      </c>
      <c r="H1102" s="31"/>
      <c r="I1102" s="27"/>
      <c r="J1102" s="141">
        <v>0</v>
      </c>
    </row>
    <row r="1103" spans="1:10" ht="15.75" hidden="1" thickBot="1" x14ac:dyDescent="0.3">
      <c r="A1103" s="226"/>
      <c r="B1103" s="244"/>
      <c r="C1103" s="32" t="s">
        <v>23</v>
      </c>
      <c r="D1103" s="43" t="s">
        <v>12</v>
      </c>
      <c r="E1103" s="33">
        <f>ROUND(0.3179/2,4)</f>
        <v>0.159</v>
      </c>
      <c r="F1103" s="27">
        <v>18.420500000000001</v>
      </c>
      <c r="G1103" s="30">
        <f t="shared" si="17"/>
        <v>2.9288595000000002</v>
      </c>
      <c r="H1103" s="31"/>
      <c r="I1103" s="27"/>
      <c r="J1103" s="141">
        <v>0</v>
      </c>
    </row>
    <row r="1104" spans="1:10" ht="15.75" hidden="1" thickBot="1" x14ac:dyDescent="0.3">
      <c r="A1104" s="226"/>
      <c r="B1104" s="244"/>
      <c r="C1104" s="32" t="s">
        <v>39</v>
      </c>
      <c r="D1104" s="43" t="s">
        <v>12</v>
      </c>
      <c r="E1104" s="33">
        <f>1.009/2</f>
        <v>0.50449999999999995</v>
      </c>
      <c r="F1104" s="27">
        <v>24.300999999999998</v>
      </c>
      <c r="G1104" s="30">
        <f t="shared" si="17"/>
        <v>12.259854499999998</v>
      </c>
      <c r="H1104" s="31"/>
      <c r="I1104" s="27"/>
      <c r="J1104" s="141">
        <v>0</v>
      </c>
    </row>
    <row r="1105" spans="1:10" ht="15.75" hidden="1" thickBot="1" x14ac:dyDescent="0.3">
      <c r="A1105" s="226"/>
      <c r="B1105" s="244"/>
      <c r="C1105" s="32"/>
      <c r="D1105" s="43"/>
      <c r="E1105" s="33"/>
      <c r="F1105" s="30" t="s">
        <v>523</v>
      </c>
      <c r="G1105" s="30" t="str">
        <f t="shared" si="17"/>
        <v/>
      </c>
      <c r="H1105" s="31"/>
      <c r="I1105" s="27"/>
      <c r="J1105" s="141">
        <v>0</v>
      </c>
    </row>
    <row r="1106" spans="1:10" ht="26.25" hidden="1" thickBot="1" x14ac:dyDescent="0.3">
      <c r="A1106" s="226"/>
      <c r="B1106" s="244"/>
      <c r="C1106" s="48" t="s">
        <v>344</v>
      </c>
      <c r="D1106" s="43"/>
      <c r="E1106" s="33"/>
      <c r="F1106" s="30" t="s">
        <v>523</v>
      </c>
      <c r="G1106" s="30" t="str">
        <f t="shared" ref="G1106:G1169" si="18">IF(ISNUMBER(F1106),E1106*F1106,"")</f>
        <v/>
      </c>
      <c r="H1106" s="31"/>
      <c r="I1106" s="27"/>
      <c r="J1106" s="141">
        <v>0</v>
      </c>
    </row>
    <row r="1107" spans="1:10" ht="15.75" hidden="1" thickBot="1" x14ac:dyDescent="0.3">
      <c r="A1107" s="226"/>
      <c r="B1107" s="244"/>
      <c r="C1107" s="32"/>
      <c r="D1107" s="43"/>
      <c r="E1107" s="33"/>
      <c r="F1107" s="30" t="s">
        <v>523</v>
      </c>
      <c r="G1107" s="30" t="str">
        <f t="shared" si="18"/>
        <v/>
      </c>
      <c r="H1107" s="31"/>
      <c r="I1107" s="27"/>
      <c r="J1107" s="141">
        <v>0</v>
      </c>
    </row>
    <row r="1108" spans="1:10" ht="15.75" hidden="1" thickBot="1" x14ac:dyDescent="0.3">
      <c r="A1108" s="225" t="s">
        <v>348</v>
      </c>
      <c r="B1108" s="228" t="str">
        <f>INDEX(Orçamentária!A:B,MATCH(Composições!A1108,Orçamentária!A:A,0),2)</f>
        <v>Tanque 38 litros</v>
      </c>
      <c r="C1108" s="37"/>
      <c r="D1108" s="22" t="str">
        <f>TRIM(INDEX(Orçamentária!C:C,MATCH(Composições!A1108,Orçamentária!A:A,0),1))</f>
        <v>un</v>
      </c>
      <c r="E1108" s="23"/>
      <c r="F1108" s="38" t="s">
        <v>523</v>
      </c>
      <c r="G1108" s="24" t="str">
        <f t="shared" si="18"/>
        <v/>
      </c>
      <c r="H1108" s="25"/>
      <c r="I1108" s="26"/>
      <c r="J1108" s="141">
        <v>0</v>
      </c>
    </row>
    <row r="1109" spans="1:10" ht="15.75" hidden="1" thickBot="1" x14ac:dyDescent="0.3">
      <c r="A1109" s="226"/>
      <c r="B1109" s="244"/>
      <c r="C1109" s="28"/>
      <c r="D1109" s="28"/>
      <c r="E1109" s="29"/>
      <c r="F1109" s="39" t="s">
        <v>523</v>
      </c>
      <c r="G1109" s="27" t="str">
        <f t="shared" si="18"/>
        <v/>
      </c>
      <c r="H1109" s="31"/>
      <c r="I1109" s="27"/>
      <c r="J1109" s="141">
        <v>0</v>
      </c>
    </row>
    <row r="1110" spans="1:10" ht="26.25" hidden="1" thickBot="1" x14ac:dyDescent="0.3">
      <c r="A1110" s="226"/>
      <c r="B1110" s="244"/>
      <c r="C1110" s="32" t="s">
        <v>349</v>
      </c>
      <c r="D1110" s="43" t="s">
        <v>144</v>
      </c>
      <c r="E1110" s="33">
        <v>1</v>
      </c>
      <c r="F1110" s="30" t="s">
        <v>523</v>
      </c>
      <c r="G1110" s="30" t="str">
        <f t="shared" si="18"/>
        <v/>
      </c>
      <c r="H1110" s="35">
        <f>SUM(G1110:G1114)</f>
        <v>90.303847900000008</v>
      </c>
      <c r="I1110" s="36"/>
      <c r="J1110" s="141">
        <v>0</v>
      </c>
    </row>
    <row r="1111" spans="1:10" ht="26.25" hidden="1" thickBot="1" x14ac:dyDescent="0.3">
      <c r="A1111" s="226"/>
      <c r="B1111" s="244"/>
      <c r="C1111" s="32" t="s">
        <v>341</v>
      </c>
      <c r="D1111" s="43" t="s">
        <v>280</v>
      </c>
      <c r="E1111" s="33">
        <v>4</v>
      </c>
      <c r="F1111" s="30">
        <v>15.361500000000001</v>
      </c>
      <c r="G1111" s="30">
        <f t="shared" si="18"/>
        <v>61.446000000000005</v>
      </c>
      <c r="H1111" s="31"/>
      <c r="I1111" s="27"/>
      <c r="J1111" s="141">
        <v>0</v>
      </c>
    </row>
    <row r="1112" spans="1:10" ht="15.75" hidden="1" thickBot="1" x14ac:dyDescent="0.3">
      <c r="A1112" s="226"/>
      <c r="B1112" s="244"/>
      <c r="C1112" s="32" t="s">
        <v>3539</v>
      </c>
      <c r="D1112" s="43" t="s">
        <v>42</v>
      </c>
      <c r="E1112" s="33">
        <v>3.9E-2</v>
      </c>
      <c r="F1112" s="30">
        <v>64.619</v>
      </c>
      <c r="G1112" s="30">
        <f t="shared" si="18"/>
        <v>2.5201410000000002</v>
      </c>
      <c r="H1112" s="31"/>
      <c r="I1112" s="27"/>
      <c r="J1112" s="141">
        <v>0</v>
      </c>
    </row>
    <row r="1113" spans="1:10" ht="15.75" hidden="1" thickBot="1" x14ac:dyDescent="0.3">
      <c r="A1113" s="226"/>
      <c r="B1113" s="244"/>
      <c r="C1113" s="32" t="s">
        <v>39</v>
      </c>
      <c r="D1113" s="43" t="s">
        <v>12</v>
      </c>
      <c r="E1113" s="33">
        <v>0.8226</v>
      </c>
      <c r="F1113" s="27">
        <v>24.300999999999998</v>
      </c>
      <c r="G1113" s="30">
        <f t="shared" si="18"/>
        <v>19.990002599999997</v>
      </c>
      <c r="H1113" s="31"/>
      <c r="I1113" s="27"/>
      <c r="J1113" s="141">
        <v>0</v>
      </c>
    </row>
    <row r="1114" spans="1:10" ht="15.75" hidden="1" thickBot="1" x14ac:dyDescent="0.3">
      <c r="A1114" s="226"/>
      <c r="B1114" s="244"/>
      <c r="C1114" s="32" t="s">
        <v>23</v>
      </c>
      <c r="D1114" s="43" t="s">
        <v>12</v>
      </c>
      <c r="E1114" s="33">
        <v>0.34460000000000002</v>
      </c>
      <c r="F1114" s="27">
        <v>18.420500000000001</v>
      </c>
      <c r="G1114" s="30">
        <f t="shared" si="18"/>
        <v>6.3477043000000002</v>
      </c>
      <c r="H1114" s="31"/>
      <c r="I1114" s="27"/>
      <c r="J1114" s="141">
        <v>0</v>
      </c>
    </row>
    <row r="1115" spans="1:10" ht="15.75" hidden="1" thickBot="1" x14ac:dyDescent="0.3">
      <c r="A1115" s="227"/>
      <c r="B1115" s="230"/>
      <c r="C1115" s="32"/>
      <c r="D1115" s="32"/>
      <c r="E1115" s="33"/>
      <c r="F1115" s="27" t="s">
        <v>523</v>
      </c>
      <c r="G1115" s="27" t="str">
        <f t="shared" si="18"/>
        <v/>
      </c>
      <c r="H1115" s="31"/>
      <c r="I1115" s="27"/>
      <c r="J1115" s="141">
        <v>0</v>
      </c>
    </row>
    <row r="1116" spans="1:10" ht="15.75" hidden="1" thickBot="1" x14ac:dyDescent="0.3">
      <c r="A1116" s="225" t="s">
        <v>350</v>
      </c>
      <c r="B1116" s="228" t="str">
        <f>INDEX(Orçamentária!A:B,MATCH(Composições!A1116,Orçamentária!A:A,0),2)</f>
        <v>Acabamento para registro GD</v>
      </c>
      <c r="C1116" s="37"/>
      <c r="D1116" s="22" t="str">
        <f>TRIM(INDEX(Orçamentária!C:C,MATCH(Composições!A1116,Orçamentária!A:A,0),1))</f>
        <v>un</v>
      </c>
      <c r="E1116" s="23"/>
      <c r="F1116" s="38" t="s">
        <v>523</v>
      </c>
      <c r="G1116" s="24" t="str">
        <f t="shared" si="18"/>
        <v/>
      </c>
      <c r="H1116" s="25"/>
      <c r="I1116" s="26"/>
      <c r="J1116" s="141">
        <v>0</v>
      </c>
    </row>
    <row r="1117" spans="1:10" ht="15.75" hidden="1" thickBot="1" x14ac:dyDescent="0.3">
      <c r="A1117" s="226"/>
      <c r="B1117" s="244"/>
      <c r="C1117" s="28"/>
      <c r="D1117" s="28"/>
      <c r="E1117" s="29"/>
      <c r="F1117" s="39" t="s">
        <v>523</v>
      </c>
      <c r="G1117" s="27" t="str">
        <f t="shared" si="18"/>
        <v/>
      </c>
      <c r="H1117" s="31"/>
      <c r="I1117" s="27"/>
      <c r="J1117" s="141">
        <v>0</v>
      </c>
    </row>
    <row r="1118" spans="1:10" ht="26.25" hidden="1" thickBot="1" x14ac:dyDescent="0.3">
      <c r="A1118" s="226"/>
      <c r="B1118" s="244"/>
      <c r="C1118" s="32" t="s">
        <v>351</v>
      </c>
      <c r="D1118" s="43" t="s">
        <v>144</v>
      </c>
      <c r="E1118" s="33">
        <v>1</v>
      </c>
      <c r="F1118" s="30" t="s">
        <v>523</v>
      </c>
      <c r="G1118" s="30" t="str">
        <f t="shared" si="18"/>
        <v/>
      </c>
      <c r="H1118" s="35">
        <f>SUM(G1118:G1119)</f>
        <v>1.9440799999999998</v>
      </c>
      <c r="I1118" s="36"/>
      <c r="J1118" s="141">
        <v>0</v>
      </c>
    </row>
    <row r="1119" spans="1:10" ht="15.75" hidden="1" thickBot="1" x14ac:dyDescent="0.3">
      <c r="A1119" s="226"/>
      <c r="B1119" s="244"/>
      <c r="C1119" s="32" t="s">
        <v>39</v>
      </c>
      <c r="D1119" s="43" t="s">
        <v>12</v>
      </c>
      <c r="E1119" s="33">
        <v>0.08</v>
      </c>
      <c r="F1119" s="27">
        <v>24.300999999999998</v>
      </c>
      <c r="G1119" s="30">
        <f t="shared" si="18"/>
        <v>1.9440799999999998</v>
      </c>
      <c r="H1119" s="31"/>
      <c r="I1119" s="27"/>
      <c r="J1119" s="141">
        <v>0</v>
      </c>
    </row>
    <row r="1120" spans="1:10" ht="15.75" hidden="1" thickBot="1" x14ac:dyDescent="0.3">
      <c r="A1120" s="227"/>
      <c r="B1120" s="230"/>
      <c r="C1120" s="48"/>
      <c r="D1120" s="32"/>
      <c r="E1120" s="33"/>
      <c r="F1120" s="27" t="s">
        <v>523</v>
      </c>
      <c r="G1120" s="27" t="str">
        <f t="shared" si="18"/>
        <v/>
      </c>
      <c r="H1120" s="31"/>
      <c r="I1120" s="27"/>
      <c r="J1120" s="141">
        <v>0</v>
      </c>
    </row>
    <row r="1121" spans="1:10" ht="15.75" hidden="1" thickBot="1" x14ac:dyDescent="0.3">
      <c r="A1121" s="225" t="s">
        <v>352</v>
      </c>
      <c r="B1121" s="228" t="str">
        <f>INDEX(Orçamentária!A:B,MATCH(Composições!A1121,Orçamentária!A:A,0),2)</f>
        <v>Acabamento para registro PQ</v>
      </c>
      <c r="C1121" s="37"/>
      <c r="D1121" s="22" t="str">
        <f>TRIM(INDEX(Orçamentária!C:C,MATCH(Composições!A1121,Orçamentária!A:A,0),1))</f>
        <v>un</v>
      </c>
      <c r="E1121" s="23"/>
      <c r="F1121" s="38" t="s">
        <v>523</v>
      </c>
      <c r="G1121" s="24" t="str">
        <f t="shared" si="18"/>
        <v/>
      </c>
      <c r="H1121" s="25"/>
      <c r="I1121" s="26"/>
      <c r="J1121" s="141">
        <v>0</v>
      </c>
    </row>
    <row r="1122" spans="1:10" ht="15.75" hidden="1" thickBot="1" x14ac:dyDescent="0.3">
      <c r="A1122" s="226"/>
      <c r="B1122" s="244"/>
      <c r="C1122" s="28"/>
      <c r="D1122" s="28"/>
      <c r="E1122" s="29"/>
      <c r="F1122" s="39" t="s">
        <v>523</v>
      </c>
      <c r="G1122" s="27" t="str">
        <f t="shared" si="18"/>
        <v/>
      </c>
      <c r="H1122" s="31"/>
      <c r="I1122" s="27"/>
      <c r="J1122" s="141">
        <v>0</v>
      </c>
    </row>
    <row r="1123" spans="1:10" ht="26.25" hidden="1" thickBot="1" x14ac:dyDescent="0.3">
      <c r="A1123" s="226"/>
      <c r="B1123" s="244"/>
      <c r="C1123" s="32" t="s">
        <v>353</v>
      </c>
      <c r="D1123" s="43" t="s">
        <v>144</v>
      </c>
      <c r="E1123" s="33">
        <v>1</v>
      </c>
      <c r="F1123" s="30" t="s">
        <v>523</v>
      </c>
      <c r="G1123" s="30" t="str">
        <f t="shared" si="18"/>
        <v/>
      </c>
      <c r="H1123" s="35">
        <f>SUM(G1123:G1124)</f>
        <v>1.9440799999999998</v>
      </c>
      <c r="I1123" s="36"/>
      <c r="J1123" s="141">
        <v>0</v>
      </c>
    </row>
    <row r="1124" spans="1:10" ht="15.75" hidden="1" thickBot="1" x14ac:dyDescent="0.3">
      <c r="A1124" s="226"/>
      <c r="B1124" s="244"/>
      <c r="C1124" s="32" t="s">
        <v>39</v>
      </c>
      <c r="D1124" s="43" t="s">
        <v>12</v>
      </c>
      <c r="E1124" s="33">
        <v>0.08</v>
      </c>
      <c r="F1124" s="27">
        <v>24.300999999999998</v>
      </c>
      <c r="G1124" s="30">
        <f t="shared" si="18"/>
        <v>1.9440799999999998</v>
      </c>
      <c r="H1124" s="31"/>
      <c r="I1124" s="27"/>
      <c r="J1124" s="141">
        <v>0</v>
      </c>
    </row>
    <row r="1125" spans="1:10" ht="15.75" hidden="1" thickBot="1" x14ac:dyDescent="0.3">
      <c r="A1125" s="227"/>
      <c r="B1125" s="230"/>
      <c r="C1125" s="32"/>
      <c r="D1125" s="32"/>
      <c r="E1125" s="33"/>
      <c r="F1125" s="27" t="s">
        <v>523</v>
      </c>
      <c r="G1125" s="27" t="str">
        <f t="shared" si="18"/>
        <v/>
      </c>
      <c r="H1125" s="31"/>
      <c r="I1125" s="27"/>
      <c r="J1125" s="141">
        <v>0</v>
      </c>
    </row>
    <row r="1126" spans="1:10" ht="15.75" hidden="1" thickBot="1" x14ac:dyDescent="0.3">
      <c r="A1126" s="225" t="s">
        <v>354</v>
      </c>
      <c r="B1126" s="228" t="str">
        <f>INDEX(Orçamentária!A:B,MATCH(Composições!A1126,Orçamentária!A:A,0),2)</f>
        <v>Ducha higiênica</v>
      </c>
      <c r="C1126" s="37"/>
      <c r="D1126" s="22" t="str">
        <f>TRIM(INDEX(Orçamentária!C:C,MATCH(Composições!A1126,Orçamentária!A:A,0),1))</f>
        <v>un</v>
      </c>
      <c r="E1126" s="23"/>
      <c r="F1126" s="38" t="s">
        <v>523</v>
      </c>
      <c r="G1126" s="24" t="str">
        <f t="shared" si="18"/>
        <v/>
      </c>
      <c r="H1126" s="25"/>
      <c r="I1126" s="26"/>
      <c r="J1126" s="141">
        <v>0</v>
      </c>
    </row>
    <row r="1127" spans="1:10" ht="15.75" hidden="1" thickBot="1" x14ac:dyDescent="0.3">
      <c r="A1127" s="226"/>
      <c r="B1127" s="244"/>
      <c r="C1127" s="28"/>
      <c r="D1127" s="28"/>
      <c r="E1127" s="29"/>
      <c r="F1127" s="39" t="s">
        <v>523</v>
      </c>
      <c r="G1127" s="27" t="str">
        <f t="shared" si="18"/>
        <v/>
      </c>
      <c r="H1127" s="31"/>
      <c r="I1127" s="27"/>
      <c r="J1127" s="141">
        <v>0</v>
      </c>
    </row>
    <row r="1128" spans="1:10" ht="26.25" hidden="1" thickBot="1" x14ac:dyDescent="0.3">
      <c r="A1128" s="226"/>
      <c r="B1128" s="244"/>
      <c r="C1128" s="32" t="s">
        <v>355</v>
      </c>
      <c r="D1128" s="43" t="s">
        <v>144</v>
      </c>
      <c r="E1128" s="33">
        <v>1</v>
      </c>
      <c r="F1128" s="30" t="s">
        <v>523</v>
      </c>
      <c r="G1128" s="30" t="str">
        <f t="shared" si="18"/>
        <v/>
      </c>
      <c r="H1128" s="35">
        <f>SUM(G1128:G1130)</f>
        <v>21.698</v>
      </c>
      <c r="I1128" s="36"/>
      <c r="J1128" s="141">
        <v>0</v>
      </c>
    </row>
    <row r="1129" spans="1:10" ht="15.75" hidden="1" thickBot="1" x14ac:dyDescent="0.3">
      <c r="A1129" s="226"/>
      <c r="B1129" s="244"/>
      <c r="C1129" s="32" t="s">
        <v>39</v>
      </c>
      <c r="D1129" s="43" t="s">
        <v>12</v>
      </c>
      <c r="E1129" s="33">
        <v>0.5</v>
      </c>
      <c r="F1129" s="27">
        <v>24.300999999999998</v>
      </c>
      <c r="G1129" s="30">
        <f t="shared" si="18"/>
        <v>12.150499999999999</v>
      </c>
      <c r="H1129" s="31"/>
      <c r="I1129" s="27"/>
      <c r="J1129" s="141">
        <v>0</v>
      </c>
    </row>
    <row r="1130" spans="1:10" ht="26.25" hidden="1" thickBot="1" x14ac:dyDescent="0.3">
      <c r="A1130" s="226"/>
      <c r="B1130" s="244"/>
      <c r="C1130" s="32" t="s">
        <v>107</v>
      </c>
      <c r="D1130" s="43" t="s">
        <v>12</v>
      </c>
      <c r="E1130" s="33">
        <v>0.5</v>
      </c>
      <c r="F1130" s="27">
        <v>19.094999999999999</v>
      </c>
      <c r="G1130" s="30">
        <f t="shared" si="18"/>
        <v>9.5474999999999994</v>
      </c>
      <c r="H1130" s="31"/>
      <c r="I1130" s="27"/>
      <c r="J1130" s="141">
        <v>0</v>
      </c>
    </row>
    <row r="1131" spans="1:10" ht="15.75" hidden="1" thickBot="1" x14ac:dyDescent="0.3">
      <c r="A1131" s="227"/>
      <c r="B1131" s="230"/>
      <c r="C1131" s="32"/>
      <c r="D1131" s="32"/>
      <c r="E1131" s="33"/>
      <c r="F1131" s="27" t="s">
        <v>523</v>
      </c>
      <c r="G1131" s="27" t="str">
        <f t="shared" si="18"/>
        <v/>
      </c>
      <c r="H1131" s="31"/>
      <c r="I1131" s="27"/>
      <c r="J1131" s="141">
        <v>0</v>
      </c>
    </row>
    <row r="1132" spans="1:10" ht="15.75" hidden="1" thickBot="1" x14ac:dyDescent="0.3">
      <c r="A1132" s="225" t="s">
        <v>356</v>
      </c>
      <c r="B1132" s="228" t="str">
        <f>INDEX(Orçamentária!A:B,MATCH(Composições!A1132,Orçamentária!A:A,0),2)</f>
        <v>Instalação de metais e acessórios reaproveitados</v>
      </c>
      <c r="C1132" s="37"/>
      <c r="D1132" s="22" t="str">
        <f>TRIM(INDEX(Orçamentária!C:C,MATCH(Composições!A1132,Orçamentária!A:A,0),1))</f>
        <v>un</v>
      </c>
      <c r="E1132" s="23"/>
      <c r="F1132" s="38" t="s">
        <v>523</v>
      </c>
      <c r="G1132" s="24" t="str">
        <f t="shared" si="18"/>
        <v/>
      </c>
      <c r="H1132" s="25"/>
      <c r="I1132" s="26"/>
      <c r="J1132" s="141">
        <v>0</v>
      </c>
    </row>
    <row r="1133" spans="1:10" ht="15.75" hidden="1" thickBot="1" x14ac:dyDescent="0.3">
      <c r="A1133" s="226"/>
      <c r="B1133" s="244"/>
      <c r="C1133" s="28"/>
      <c r="D1133" s="28"/>
      <c r="E1133" s="29"/>
      <c r="F1133" s="39" t="s">
        <v>523</v>
      </c>
      <c r="G1133" s="27" t="str">
        <f t="shared" si="18"/>
        <v/>
      </c>
      <c r="H1133" s="31"/>
      <c r="I1133" s="27"/>
      <c r="J1133" s="141">
        <v>0</v>
      </c>
    </row>
    <row r="1134" spans="1:10" ht="15.75" hidden="1" thickBot="1" x14ac:dyDescent="0.3">
      <c r="A1134" s="226"/>
      <c r="B1134" s="244"/>
      <c r="C1134" s="32" t="s">
        <v>39</v>
      </c>
      <c r="D1134" s="43" t="s">
        <v>12</v>
      </c>
      <c r="E1134" s="33">
        <v>0.16209999999999999</v>
      </c>
      <c r="F1134" s="27">
        <v>24.300999999999998</v>
      </c>
      <c r="G1134" s="30">
        <f t="shared" si="18"/>
        <v>3.9391920999999996</v>
      </c>
      <c r="H1134" s="35">
        <f>SUM(G1134:G1135)</f>
        <v>4.3726485999999998</v>
      </c>
      <c r="I1134" s="36"/>
      <c r="J1134" s="141">
        <v>0</v>
      </c>
    </row>
    <row r="1135" spans="1:10" ht="26.25" hidden="1" thickBot="1" x14ac:dyDescent="0.3">
      <c r="A1135" s="226"/>
      <c r="B1135" s="244"/>
      <c r="C1135" s="32" t="s">
        <v>107</v>
      </c>
      <c r="D1135" s="43" t="s">
        <v>12</v>
      </c>
      <c r="E1135" s="33">
        <v>2.2700000000000001E-2</v>
      </c>
      <c r="F1135" s="27">
        <v>19.094999999999999</v>
      </c>
      <c r="G1135" s="30">
        <f t="shared" si="18"/>
        <v>0.43345650000000002</v>
      </c>
      <c r="H1135" s="41"/>
      <c r="I1135" s="42"/>
      <c r="J1135" s="141">
        <v>0</v>
      </c>
    </row>
    <row r="1136" spans="1:10" ht="15.75" hidden="1" thickBot="1" x14ac:dyDescent="0.3">
      <c r="A1136" s="227"/>
      <c r="B1136" s="230"/>
      <c r="C1136" s="32"/>
      <c r="D1136" s="32"/>
      <c r="E1136" s="33"/>
      <c r="F1136" s="27" t="s">
        <v>523</v>
      </c>
      <c r="G1136" s="27" t="str">
        <f t="shared" si="18"/>
        <v/>
      </c>
      <c r="H1136" s="31"/>
      <c r="I1136" s="27"/>
      <c r="J1136" s="141">
        <v>0</v>
      </c>
    </row>
    <row r="1137" spans="1:10" ht="15.75" hidden="1" thickBot="1" x14ac:dyDescent="0.3">
      <c r="A1137" s="225" t="s">
        <v>357</v>
      </c>
      <c r="B1137" s="228" t="str">
        <f>INDEX(Orçamentária!A:B,MATCH(Composições!A1137,Orçamentária!A:A,0),2)</f>
        <v>Ligação flexível 1/2” x 40 cm</v>
      </c>
      <c r="C1137" s="37"/>
      <c r="D1137" s="22" t="str">
        <f>TRIM(INDEX(Orçamentária!C:C,MATCH(Composições!A1137,Orçamentária!A:A,0),1))</f>
        <v>un</v>
      </c>
      <c r="E1137" s="23"/>
      <c r="F1137" s="38" t="s">
        <v>523</v>
      </c>
      <c r="G1137" s="24" t="str">
        <f t="shared" si="18"/>
        <v/>
      </c>
      <c r="H1137" s="25"/>
      <c r="I1137" s="26"/>
      <c r="J1137" s="141">
        <v>0</v>
      </c>
    </row>
    <row r="1138" spans="1:10" ht="15.75" hidden="1" thickBot="1" x14ac:dyDescent="0.3">
      <c r="A1138" s="226"/>
      <c r="B1138" s="244"/>
      <c r="C1138" s="28"/>
      <c r="D1138" s="28"/>
      <c r="E1138" s="29"/>
      <c r="F1138" s="39" t="s">
        <v>523</v>
      </c>
      <c r="G1138" s="27" t="str">
        <f t="shared" si="18"/>
        <v/>
      </c>
      <c r="H1138" s="31"/>
      <c r="I1138" s="27"/>
      <c r="J1138" s="141">
        <v>0</v>
      </c>
    </row>
    <row r="1139" spans="1:10" ht="15.75" hidden="1" thickBot="1" x14ac:dyDescent="0.3">
      <c r="A1139" s="226"/>
      <c r="B1139" s="244"/>
      <c r="C1139" s="32" t="s">
        <v>358</v>
      </c>
      <c r="D1139" s="43" t="s">
        <v>280</v>
      </c>
      <c r="E1139" s="33">
        <v>1</v>
      </c>
      <c r="F1139" s="30">
        <v>40.698</v>
      </c>
      <c r="G1139" s="30">
        <f t="shared" si="18"/>
        <v>40.698</v>
      </c>
      <c r="H1139" s="35">
        <f>SUM(G1139:G1142)</f>
        <v>45.340650000000004</v>
      </c>
      <c r="I1139" s="36"/>
      <c r="J1139" s="141">
        <v>0</v>
      </c>
    </row>
    <row r="1140" spans="1:10" ht="15.75" hidden="1" thickBot="1" x14ac:dyDescent="0.3">
      <c r="A1140" s="226"/>
      <c r="B1140" s="244"/>
      <c r="C1140" s="32" t="s">
        <v>343</v>
      </c>
      <c r="D1140" s="43" t="s">
        <v>280</v>
      </c>
      <c r="E1140" s="33">
        <v>1.7500000000000002E-2</v>
      </c>
      <c r="F1140" s="30">
        <v>4.3699999999999992</v>
      </c>
      <c r="G1140" s="30">
        <f t="shared" si="18"/>
        <v>7.6474999999999987E-2</v>
      </c>
      <c r="H1140" s="31"/>
      <c r="I1140" s="27"/>
      <c r="J1140" s="141">
        <v>0</v>
      </c>
    </row>
    <row r="1141" spans="1:10" ht="15.75" hidden="1" thickBot="1" x14ac:dyDescent="0.3">
      <c r="A1141" s="226"/>
      <c r="B1141" s="244"/>
      <c r="C1141" s="32" t="s">
        <v>39</v>
      </c>
      <c r="D1141" s="43" t="s">
        <v>12</v>
      </c>
      <c r="E1141" s="33">
        <v>0.15</v>
      </c>
      <c r="F1141" s="27">
        <v>24.300999999999998</v>
      </c>
      <c r="G1141" s="30">
        <f t="shared" si="18"/>
        <v>3.6451499999999997</v>
      </c>
      <c r="H1141" s="31"/>
      <c r="I1141" s="27"/>
      <c r="J1141" s="141">
        <v>0</v>
      </c>
    </row>
    <row r="1142" spans="1:10" ht="15.75" hidden="1" thickBot="1" x14ac:dyDescent="0.3">
      <c r="A1142" s="226"/>
      <c r="B1142" s="244"/>
      <c r="C1142" s="32" t="s">
        <v>23</v>
      </c>
      <c r="D1142" s="43" t="s">
        <v>12</v>
      </c>
      <c r="E1142" s="33">
        <v>0.05</v>
      </c>
      <c r="F1142" s="27">
        <v>18.420500000000001</v>
      </c>
      <c r="G1142" s="30">
        <f t="shared" si="18"/>
        <v>0.92102500000000009</v>
      </c>
      <c r="H1142" s="31"/>
      <c r="I1142" s="27"/>
      <c r="J1142" s="141">
        <v>0</v>
      </c>
    </row>
    <row r="1143" spans="1:10" ht="15.75" hidden="1" thickBot="1" x14ac:dyDescent="0.3">
      <c r="A1143" s="227"/>
      <c r="B1143" s="230"/>
      <c r="C1143" s="32"/>
      <c r="D1143" s="32"/>
      <c r="E1143" s="33"/>
      <c r="F1143" s="27" t="s">
        <v>523</v>
      </c>
      <c r="G1143" s="27" t="str">
        <f t="shared" si="18"/>
        <v/>
      </c>
      <c r="H1143" s="31"/>
      <c r="I1143" s="27"/>
      <c r="J1143" s="141">
        <v>0</v>
      </c>
    </row>
    <row r="1144" spans="1:10" ht="15.75" hidden="1" thickBot="1" x14ac:dyDescent="0.3">
      <c r="A1144" s="225" t="s">
        <v>359</v>
      </c>
      <c r="B1144" s="228" t="str">
        <f>INDEX(Orçamentária!A:B,MATCH(Composições!A1144,Orçamentária!A:A,0),2)</f>
        <v>Sifão articulado para cozinha</v>
      </c>
      <c r="C1144" s="37"/>
      <c r="D1144" s="22" t="str">
        <f>TRIM(INDEX(Orçamentária!C:C,MATCH(Composições!A1144,Orçamentária!A:A,0),1))</f>
        <v>un</v>
      </c>
      <c r="E1144" s="23"/>
      <c r="F1144" s="38" t="s">
        <v>523</v>
      </c>
      <c r="G1144" s="24" t="str">
        <f t="shared" si="18"/>
        <v/>
      </c>
      <c r="H1144" s="25"/>
      <c r="I1144" s="26"/>
      <c r="J1144" s="141">
        <v>0</v>
      </c>
    </row>
    <row r="1145" spans="1:10" ht="15.75" hidden="1" thickBot="1" x14ac:dyDescent="0.3">
      <c r="A1145" s="226"/>
      <c r="B1145" s="244"/>
      <c r="C1145" s="28"/>
      <c r="D1145" s="28"/>
      <c r="E1145" s="29"/>
      <c r="F1145" s="39" t="s">
        <v>523</v>
      </c>
      <c r="G1145" s="27" t="str">
        <f t="shared" si="18"/>
        <v/>
      </c>
      <c r="H1145" s="31"/>
      <c r="I1145" s="27"/>
      <c r="J1145" s="141">
        <v>0</v>
      </c>
    </row>
    <row r="1146" spans="1:10" ht="26.25" hidden="1" thickBot="1" x14ac:dyDescent="0.3">
      <c r="A1146" s="226"/>
      <c r="B1146" s="244"/>
      <c r="C1146" s="32" t="s">
        <v>360</v>
      </c>
      <c r="D1146" s="43" t="s">
        <v>144</v>
      </c>
      <c r="E1146" s="33">
        <v>1</v>
      </c>
      <c r="F1146" s="30" t="s">
        <v>523</v>
      </c>
      <c r="G1146" s="30" t="str">
        <f t="shared" si="18"/>
        <v/>
      </c>
      <c r="H1146" s="35">
        <f>SUM(G1146:G1149)</f>
        <v>8.3768244999999979</v>
      </c>
      <c r="I1146" s="36"/>
      <c r="J1146" s="141">
        <v>0</v>
      </c>
    </row>
    <row r="1147" spans="1:10" ht="15.75" hidden="1" thickBot="1" x14ac:dyDescent="0.3">
      <c r="A1147" s="226"/>
      <c r="B1147" s="244"/>
      <c r="C1147" s="32" t="s">
        <v>343</v>
      </c>
      <c r="D1147" s="43" t="s">
        <v>280</v>
      </c>
      <c r="E1147" s="33">
        <v>3.32E-2</v>
      </c>
      <c r="F1147" s="30">
        <v>4.3699999999999992</v>
      </c>
      <c r="G1147" s="30">
        <f t="shared" si="18"/>
        <v>0.14508399999999996</v>
      </c>
      <c r="H1147" s="31"/>
      <c r="I1147" s="27"/>
      <c r="J1147" s="141">
        <v>0</v>
      </c>
    </row>
    <row r="1148" spans="1:10" ht="15.75" hidden="1" thickBot="1" x14ac:dyDescent="0.3">
      <c r="A1148" s="226"/>
      <c r="B1148" s="244"/>
      <c r="C1148" s="32" t="s">
        <v>23</v>
      </c>
      <c r="D1148" s="43" t="s">
        <v>12</v>
      </c>
      <c r="E1148" s="33">
        <v>8.6199999999999999E-2</v>
      </c>
      <c r="F1148" s="27">
        <v>18.420500000000001</v>
      </c>
      <c r="G1148" s="30">
        <f t="shared" si="18"/>
        <v>1.5878471000000001</v>
      </c>
      <c r="H1148" s="31"/>
      <c r="I1148" s="27"/>
      <c r="J1148" s="141">
        <v>0</v>
      </c>
    </row>
    <row r="1149" spans="1:10" ht="15.75" hidden="1" thickBot="1" x14ac:dyDescent="0.3">
      <c r="A1149" s="226"/>
      <c r="B1149" s="244"/>
      <c r="C1149" s="32" t="s">
        <v>39</v>
      </c>
      <c r="D1149" s="43" t="s">
        <v>12</v>
      </c>
      <c r="E1149" s="33">
        <v>0.27339999999999998</v>
      </c>
      <c r="F1149" s="27">
        <v>24.300999999999998</v>
      </c>
      <c r="G1149" s="30">
        <f t="shared" si="18"/>
        <v>6.6438933999999987</v>
      </c>
      <c r="H1149" s="31"/>
      <c r="I1149" s="27"/>
      <c r="J1149" s="141">
        <v>0</v>
      </c>
    </row>
    <row r="1150" spans="1:10" ht="15.75" hidden="1" thickBot="1" x14ac:dyDescent="0.3">
      <c r="A1150" s="227"/>
      <c r="B1150" s="230"/>
      <c r="C1150" s="32"/>
      <c r="D1150" s="32"/>
      <c r="E1150" s="33"/>
      <c r="F1150" s="27" t="s">
        <v>523</v>
      </c>
      <c r="G1150" s="27" t="str">
        <f t="shared" si="18"/>
        <v/>
      </c>
      <c r="H1150" s="31"/>
      <c r="I1150" s="27"/>
      <c r="J1150" s="141">
        <v>0</v>
      </c>
    </row>
    <row r="1151" spans="1:10" ht="15.75" hidden="1" thickBot="1" x14ac:dyDescent="0.3">
      <c r="A1151" s="225" t="s">
        <v>361</v>
      </c>
      <c r="B1151" s="228" t="str">
        <f>INDEX(Orçamentária!A:B,MATCH(Composições!A1151,Orçamentária!A:A,0),2)</f>
        <v>Sifão para lavatório 1 1/2"</v>
      </c>
      <c r="C1151" s="37"/>
      <c r="D1151" s="22" t="str">
        <f>TRIM(INDEX(Orçamentária!C:C,MATCH(Composições!A1151,Orçamentária!A:A,0),1))</f>
        <v>un</v>
      </c>
      <c r="E1151" s="23"/>
      <c r="F1151" s="38" t="s">
        <v>523</v>
      </c>
      <c r="G1151" s="24" t="str">
        <f t="shared" si="18"/>
        <v/>
      </c>
      <c r="H1151" s="25"/>
      <c r="I1151" s="26"/>
      <c r="J1151" s="141">
        <v>0</v>
      </c>
    </row>
    <row r="1152" spans="1:10" ht="15.75" hidden="1" thickBot="1" x14ac:dyDescent="0.3">
      <c r="A1152" s="226"/>
      <c r="B1152" s="244"/>
      <c r="C1152" s="28"/>
      <c r="D1152" s="28"/>
      <c r="E1152" s="29"/>
      <c r="F1152" s="39" t="s">
        <v>523</v>
      </c>
      <c r="G1152" s="27" t="str">
        <f t="shared" si="18"/>
        <v/>
      </c>
      <c r="H1152" s="31"/>
      <c r="I1152" s="27"/>
      <c r="J1152" s="141">
        <v>0</v>
      </c>
    </row>
    <row r="1153" spans="1:10" ht="15.75" hidden="1" thickBot="1" x14ac:dyDescent="0.3">
      <c r="A1153" s="226"/>
      <c r="B1153" s="244"/>
      <c r="C1153" s="32" t="s">
        <v>362</v>
      </c>
      <c r="D1153" s="43" t="s">
        <v>280</v>
      </c>
      <c r="E1153" s="33">
        <v>1</v>
      </c>
      <c r="F1153" s="30">
        <v>162.14599999999999</v>
      </c>
      <c r="G1153" s="30">
        <f t="shared" si="18"/>
        <v>162.14599999999999</v>
      </c>
      <c r="H1153" s="35">
        <f>SUM(G1153:G1156)</f>
        <v>170.58361500000001</v>
      </c>
      <c r="I1153" s="36"/>
      <c r="J1153" s="141">
        <v>0</v>
      </c>
    </row>
    <row r="1154" spans="1:10" ht="15.75" hidden="1" thickBot="1" x14ac:dyDescent="0.3">
      <c r="A1154" s="226"/>
      <c r="B1154" s="244"/>
      <c r="C1154" s="32" t="s">
        <v>343</v>
      </c>
      <c r="D1154" s="43" t="s">
        <v>280</v>
      </c>
      <c r="E1154" s="33">
        <v>0.05</v>
      </c>
      <c r="F1154" s="30">
        <v>4.3699999999999992</v>
      </c>
      <c r="G1154" s="30">
        <f t="shared" si="18"/>
        <v>0.21849999999999997</v>
      </c>
      <c r="H1154" s="31"/>
      <c r="I1154" s="27"/>
      <c r="J1154" s="141">
        <v>0</v>
      </c>
    </row>
    <row r="1155" spans="1:10" ht="15.75" hidden="1" thickBot="1" x14ac:dyDescent="0.3">
      <c r="A1155" s="226"/>
      <c r="B1155" s="244"/>
      <c r="C1155" s="32" t="s">
        <v>39</v>
      </c>
      <c r="D1155" s="43" t="s">
        <v>12</v>
      </c>
      <c r="E1155" s="33">
        <v>0.27</v>
      </c>
      <c r="F1155" s="27">
        <v>24.300999999999998</v>
      </c>
      <c r="G1155" s="30">
        <f t="shared" si="18"/>
        <v>6.5612700000000004</v>
      </c>
      <c r="H1155" s="31"/>
      <c r="I1155" s="27"/>
      <c r="J1155" s="141">
        <v>0</v>
      </c>
    </row>
    <row r="1156" spans="1:10" ht="15.75" hidden="1" thickBot="1" x14ac:dyDescent="0.3">
      <c r="A1156" s="226"/>
      <c r="B1156" s="244"/>
      <c r="C1156" s="32" t="s">
        <v>23</v>
      </c>
      <c r="D1156" s="43" t="s">
        <v>12</v>
      </c>
      <c r="E1156" s="33">
        <v>0.09</v>
      </c>
      <c r="F1156" s="27">
        <v>18.420500000000001</v>
      </c>
      <c r="G1156" s="30">
        <f t="shared" si="18"/>
        <v>1.657845</v>
      </c>
      <c r="H1156" s="31"/>
      <c r="I1156" s="27"/>
      <c r="J1156" s="141">
        <v>0</v>
      </c>
    </row>
    <row r="1157" spans="1:10" ht="15.75" hidden="1" thickBot="1" x14ac:dyDescent="0.3">
      <c r="A1157" s="227"/>
      <c r="B1157" s="230"/>
      <c r="C1157" s="32"/>
      <c r="D1157" s="32"/>
      <c r="E1157" s="33"/>
      <c r="F1157" s="27" t="s">
        <v>523</v>
      </c>
      <c r="G1157" s="27" t="str">
        <f t="shared" si="18"/>
        <v/>
      </c>
      <c r="H1157" s="31"/>
      <c r="I1157" s="27"/>
      <c r="J1157" s="141">
        <v>0</v>
      </c>
    </row>
    <row r="1158" spans="1:10" ht="15.75" hidden="1" thickBot="1" x14ac:dyDescent="0.3">
      <c r="A1158" s="225" t="s">
        <v>363</v>
      </c>
      <c r="B1158" s="228" t="str">
        <f>INDEX(Orçamentária!A:B,MATCH(Composições!A1158,Orçamentária!A:A,0),2)</f>
        <v>Sifão para tanque</v>
      </c>
      <c r="C1158" s="37"/>
      <c r="D1158" s="22" t="str">
        <f>TRIM(INDEX(Orçamentária!C:C,MATCH(Composições!A1158,Orçamentária!A:A,0),1))</f>
        <v>un</v>
      </c>
      <c r="E1158" s="23"/>
      <c r="F1158" s="38" t="s">
        <v>523</v>
      </c>
      <c r="G1158" s="24" t="str">
        <f t="shared" si="18"/>
        <v/>
      </c>
      <c r="H1158" s="25"/>
      <c r="I1158" s="26"/>
      <c r="J1158" s="141">
        <v>0</v>
      </c>
    </row>
    <row r="1159" spans="1:10" ht="15.75" hidden="1" thickBot="1" x14ac:dyDescent="0.3">
      <c r="A1159" s="226"/>
      <c r="B1159" s="244"/>
      <c r="C1159" s="28"/>
      <c r="D1159" s="28"/>
      <c r="E1159" s="29"/>
      <c r="F1159" s="39" t="s">
        <v>523</v>
      </c>
      <c r="G1159" s="27" t="str">
        <f t="shared" si="18"/>
        <v/>
      </c>
      <c r="H1159" s="31"/>
      <c r="I1159" s="27"/>
      <c r="J1159" s="141">
        <v>0</v>
      </c>
    </row>
    <row r="1160" spans="1:10" ht="15.75" hidden="1" thickBot="1" x14ac:dyDescent="0.3">
      <c r="A1160" s="226"/>
      <c r="B1160" s="244"/>
      <c r="C1160" s="32" t="s">
        <v>343</v>
      </c>
      <c r="D1160" s="43" t="s">
        <v>280</v>
      </c>
      <c r="E1160" s="33">
        <v>3.32E-2</v>
      </c>
      <c r="F1160" s="30">
        <v>4.3699999999999992</v>
      </c>
      <c r="G1160" s="30">
        <f t="shared" si="18"/>
        <v>0.14508399999999996</v>
      </c>
      <c r="H1160" s="35">
        <f>SUM(G1160:G1163)</f>
        <v>180.09882449999998</v>
      </c>
      <c r="I1160" s="36"/>
      <c r="J1160" s="141">
        <v>0</v>
      </c>
    </row>
    <row r="1161" spans="1:10" ht="15.75" hidden="1" thickBot="1" x14ac:dyDescent="0.3">
      <c r="A1161" s="226"/>
      <c r="B1161" s="244"/>
      <c r="C1161" s="32" t="s">
        <v>23</v>
      </c>
      <c r="D1161" s="43" t="s">
        <v>12</v>
      </c>
      <c r="E1161" s="33">
        <v>8.6199999999999999E-2</v>
      </c>
      <c r="F1161" s="27">
        <v>18.420500000000001</v>
      </c>
      <c r="G1161" s="30">
        <f t="shared" si="18"/>
        <v>1.5878471000000001</v>
      </c>
      <c r="H1161" s="41"/>
      <c r="I1161" s="42"/>
      <c r="J1161" s="141">
        <v>0</v>
      </c>
    </row>
    <row r="1162" spans="1:10" ht="15.75" hidden="1" thickBot="1" x14ac:dyDescent="0.3">
      <c r="A1162" s="226"/>
      <c r="B1162" s="244"/>
      <c r="C1162" s="32" t="s">
        <v>39</v>
      </c>
      <c r="D1162" s="43" t="s">
        <v>12</v>
      </c>
      <c r="E1162" s="33">
        <v>0.27339999999999998</v>
      </c>
      <c r="F1162" s="27">
        <v>24.300999999999998</v>
      </c>
      <c r="G1162" s="30">
        <f t="shared" si="18"/>
        <v>6.6438933999999987</v>
      </c>
      <c r="H1162" s="31"/>
      <c r="I1162" s="27"/>
      <c r="J1162" s="141">
        <v>0</v>
      </c>
    </row>
    <row r="1163" spans="1:10" ht="15.75" hidden="1" thickBot="1" x14ac:dyDescent="0.3">
      <c r="A1163" s="226"/>
      <c r="B1163" s="244"/>
      <c r="C1163" s="32" t="s">
        <v>364</v>
      </c>
      <c r="D1163" s="32" t="s">
        <v>20</v>
      </c>
      <c r="E1163" s="33">
        <v>1</v>
      </c>
      <c r="F1163" s="30">
        <v>171.72199999999998</v>
      </c>
      <c r="G1163" s="27">
        <f t="shared" si="18"/>
        <v>171.72199999999998</v>
      </c>
      <c r="H1163" s="31"/>
      <c r="I1163" s="27"/>
      <c r="J1163" s="141">
        <v>0</v>
      </c>
    </row>
    <row r="1164" spans="1:10" ht="15.75" hidden="1" thickBot="1" x14ac:dyDescent="0.3">
      <c r="A1164" s="227"/>
      <c r="B1164" s="230"/>
      <c r="C1164" s="32"/>
      <c r="D1164" s="32"/>
      <c r="E1164" s="33"/>
      <c r="F1164" s="27" t="s">
        <v>523</v>
      </c>
      <c r="G1164" s="27" t="str">
        <f t="shared" si="18"/>
        <v/>
      </c>
      <c r="H1164" s="31"/>
      <c r="I1164" s="27"/>
      <c r="J1164" s="141">
        <v>0</v>
      </c>
    </row>
    <row r="1165" spans="1:10" ht="15.75" hidden="1" thickBot="1" x14ac:dyDescent="0.3">
      <c r="A1165" s="225" t="s">
        <v>365</v>
      </c>
      <c r="B1165" s="228" t="str">
        <f>INDEX(Orçamentária!A:B,MATCH(Composições!A1165,Orçamentária!A:A,0),2)</f>
        <v>Torneira de mesa para cozinha bica móvel – Linha Administrativa</v>
      </c>
      <c r="C1165" s="37"/>
      <c r="D1165" s="22" t="str">
        <f>TRIM(INDEX(Orçamentária!C:C,MATCH(Composições!A1165,Orçamentária!A:A,0),1))</f>
        <v>un</v>
      </c>
      <c r="E1165" s="23"/>
      <c r="F1165" s="38" t="s">
        <v>523</v>
      </c>
      <c r="G1165" s="24" t="str">
        <f t="shared" si="18"/>
        <v/>
      </c>
      <c r="H1165" s="25"/>
      <c r="I1165" s="26"/>
      <c r="J1165" s="141">
        <v>0</v>
      </c>
    </row>
    <row r="1166" spans="1:10" ht="15.75" hidden="1" thickBot="1" x14ac:dyDescent="0.3">
      <c r="A1166" s="226"/>
      <c r="B1166" s="244"/>
      <c r="C1166" s="28"/>
      <c r="D1166" s="28"/>
      <c r="E1166" s="29"/>
      <c r="F1166" s="39" t="s">
        <v>523</v>
      </c>
      <c r="G1166" s="27" t="str">
        <f t="shared" si="18"/>
        <v/>
      </c>
      <c r="H1166" s="31"/>
      <c r="I1166" s="27"/>
      <c r="J1166" s="141">
        <v>0</v>
      </c>
    </row>
    <row r="1167" spans="1:10" ht="15.75" hidden="1" thickBot="1" x14ac:dyDescent="0.3">
      <c r="A1167" s="226"/>
      <c r="B1167" s="244"/>
      <c r="C1167" s="32" t="s">
        <v>366</v>
      </c>
      <c r="D1167" s="43" t="s">
        <v>144</v>
      </c>
      <c r="E1167" s="33">
        <v>1</v>
      </c>
      <c r="F1167" s="30" t="s">
        <v>523</v>
      </c>
      <c r="G1167" s="30" t="str">
        <f t="shared" si="18"/>
        <v/>
      </c>
      <c r="H1167" s="35">
        <f>SUM(G1167:G1170)</f>
        <v>5.1098229499999999</v>
      </c>
      <c r="I1167" s="36"/>
      <c r="J1167" s="141">
        <v>0</v>
      </c>
    </row>
    <row r="1168" spans="1:10" ht="15.75" hidden="1" thickBot="1" x14ac:dyDescent="0.3">
      <c r="A1168" s="226"/>
      <c r="B1168" s="244"/>
      <c r="C1168" s="32" t="s">
        <v>343</v>
      </c>
      <c r="D1168" s="43" t="s">
        <v>280</v>
      </c>
      <c r="E1168" s="33">
        <v>2.1000000000000001E-2</v>
      </c>
      <c r="F1168" s="30">
        <v>4.3699999999999992</v>
      </c>
      <c r="G1168" s="30">
        <f t="shared" si="18"/>
        <v>9.176999999999999E-2</v>
      </c>
      <c r="H1168" s="31"/>
      <c r="I1168" s="27"/>
      <c r="J1168" s="141">
        <v>0</v>
      </c>
    </row>
    <row r="1169" spans="1:10" ht="15.75" hidden="1" thickBot="1" x14ac:dyDescent="0.3">
      <c r="A1169" s="226"/>
      <c r="B1169" s="244"/>
      <c r="C1169" s="32" t="s">
        <v>39</v>
      </c>
      <c r="D1169" s="43" t="s">
        <v>12</v>
      </c>
      <c r="E1169" s="33">
        <v>0.16669999999999999</v>
      </c>
      <c r="F1169" s="27">
        <v>24.300999999999998</v>
      </c>
      <c r="G1169" s="30">
        <f t="shared" si="18"/>
        <v>4.0509766999999997</v>
      </c>
      <c r="H1169" s="31"/>
      <c r="I1169" s="27"/>
      <c r="J1169" s="141">
        <v>0</v>
      </c>
    </row>
    <row r="1170" spans="1:10" ht="15.75" hidden="1" thickBot="1" x14ac:dyDescent="0.3">
      <c r="A1170" s="226"/>
      <c r="B1170" s="244"/>
      <c r="C1170" s="32" t="s">
        <v>23</v>
      </c>
      <c r="D1170" s="43" t="s">
        <v>12</v>
      </c>
      <c r="E1170" s="33">
        <v>5.2499999999999998E-2</v>
      </c>
      <c r="F1170" s="27">
        <v>18.420500000000001</v>
      </c>
      <c r="G1170" s="30">
        <f t="shared" ref="G1170:G1233" si="19">IF(ISNUMBER(F1170),E1170*F1170,"")</f>
        <v>0.96707624999999997</v>
      </c>
      <c r="H1170" s="31"/>
      <c r="I1170" s="27"/>
      <c r="J1170" s="141">
        <v>0</v>
      </c>
    </row>
    <row r="1171" spans="1:10" ht="15.75" hidden="1" thickBot="1" x14ac:dyDescent="0.3">
      <c r="A1171" s="227"/>
      <c r="B1171" s="230"/>
      <c r="C1171" s="32"/>
      <c r="D1171" s="32"/>
      <c r="E1171" s="33"/>
      <c r="F1171" s="27" t="s">
        <v>523</v>
      </c>
      <c r="G1171" s="27" t="str">
        <f t="shared" si="19"/>
        <v/>
      </c>
      <c r="H1171" s="31"/>
      <c r="I1171" s="27"/>
      <c r="J1171" s="141">
        <v>0</v>
      </c>
    </row>
    <row r="1172" spans="1:10" ht="15.75" hidden="1" thickBot="1" x14ac:dyDescent="0.3">
      <c r="A1172" s="225" t="s">
        <v>367</v>
      </c>
      <c r="B1172" s="228" t="str">
        <f>INDEX(Orçamentária!A:B,MATCH(Composições!A1172,Orçamentária!A:A,0),2)</f>
        <v>Torneira de mesa para cozinha bica móvel</v>
      </c>
      <c r="C1172" s="37"/>
      <c r="D1172" s="22" t="str">
        <f>TRIM(INDEX(Orçamentária!C:C,MATCH(Composições!A1172,Orçamentária!A:A,0),1))</f>
        <v>un</v>
      </c>
      <c r="E1172" s="23"/>
      <c r="F1172" s="38" t="s">
        <v>523</v>
      </c>
      <c r="G1172" s="24" t="str">
        <f t="shared" si="19"/>
        <v/>
      </c>
      <c r="H1172" s="25"/>
      <c r="I1172" s="26"/>
      <c r="J1172" s="141">
        <v>0</v>
      </c>
    </row>
    <row r="1173" spans="1:10" ht="15.75" hidden="1" thickBot="1" x14ac:dyDescent="0.3">
      <c r="A1173" s="226"/>
      <c r="B1173" s="244"/>
      <c r="C1173" s="28"/>
      <c r="D1173" s="28"/>
      <c r="E1173" s="29"/>
      <c r="F1173" s="39" t="s">
        <v>523</v>
      </c>
      <c r="G1173" s="27" t="str">
        <f t="shared" si="19"/>
        <v/>
      </c>
      <c r="H1173" s="31"/>
      <c r="I1173" s="27"/>
      <c r="J1173" s="141">
        <v>0</v>
      </c>
    </row>
    <row r="1174" spans="1:10" ht="26.25" hidden="1" thickBot="1" x14ac:dyDescent="0.3">
      <c r="A1174" s="226"/>
      <c r="B1174" s="244"/>
      <c r="C1174" s="32" t="s">
        <v>368</v>
      </c>
      <c r="D1174" s="43" t="s">
        <v>144</v>
      </c>
      <c r="E1174" s="33">
        <v>1</v>
      </c>
      <c r="F1174" s="30" t="s">
        <v>523</v>
      </c>
      <c r="G1174" s="30" t="str">
        <f t="shared" si="19"/>
        <v/>
      </c>
      <c r="H1174" s="35">
        <f>SUM(G1174:G1177)</f>
        <v>5.1098229499999999</v>
      </c>
      <c r="I1174" s="36"/>
      <c r="J1174" s="141">
        <v>0</v>
      </c>
    </row>
    <row r="1175" spans="1:10" ht="15.75" hidden="1" thickBot="1" x14ac:dyDescent="0.3">
      <c r="A1175" s="226"/>
      <c r="B1175" s="244"/>
      <c r="C1175" s="32" t="s">
        <v>343</v>
      </c>
      <c r="D1175" s="43" t="s">
        <v>280</v>
      </c>
      <c r="E1175" s="33">
        <v>2.1000000000000001E-2</v>
      </c>
      <c r="F1175" s="30">
        <v>4.3699999999999992</v>
      </c>
      <c r="G1175" s="30">
        <f t="shared" si="19"/>
        <v>9.176999999999999E-2</v>
      </c>
      <c r="H1175" s="31"/>
      <c r="I1175" s="27"/>
      <c r="J1175" s="141">
        <v>0</v>
      </c>
    </row>
    <row r="1176" spans="1:10" ht="15.75" hidden="1" thickBot="1" x14ac:dyDescent="0.3">
      <c r="A1176" s="226"/>
      <c r="B1176" s="244"/>
      <c r="C1176" s="32" t="s">
        <v>39</v>
      </c>
      <c r="D1176" s="43" t="s">
        <v>12</v>
      </c>
      <c r="E1176" s="33">
        <v>0.16669999999999999</v>
      </c>
      <c r="F1176" s="27">
        <v>24.300999999999998</v>
      </c>
      <c r="G1176" s="30">
        <f t="shared" si="19"/>
        <v>4.0509766999999997</v>
      </c>
      <c r="H1176" s="31"/>
      <c r="I1176" s="27"/>
      <c r="J1176" s="141">
        <v>0</v>
      </c>
    </row>
    <row r="1177" spans="1:10" ht="15.75" hidden="1" thickBot="1" x14ac:dyDescent="0.3">
      <c r="A1177" s="226"/>
      <c r="B1177" s="244"/>
      <c r="C1177" s="32" t="s">
        <v>23</v>
      </c>
      <c r="D1177" s="43" t="s">
        <v>12</v>
      </c>
      <c r="E1177" s="33">
        <v>5.2499999999999998E-2</v>
      </c>
      <c r="F1177" s="27">
        <v>18.420500000000001</v>
      </c>
      <c r="G1177" s="30">
        <f t="shared" si="19"/>
        <v>0.96707624999999997</v>
      </c>
      <c r="H1177" s="31"/>
      <c r="I1177" s="27"/>
      <c r="J1177" s="141">
        <v>0</v>
      </c>
    </row>
    <row r="1178" spans="1:10" ht="15.75" hidden="1" thickBot="1" x14ac:dyDescent="0.3">
      <c r="A1178" s="227"/>
      <c r="B1178" s="230"/>
      <c r="C1178" s="32"/>
      <c r="D1178" s="32"/>
      <c r="E1178" s="33"/>
      <c r="F1178" s="27" t="s">
        <v>523</v>
      </c>
      <c r="G1178" s="27" t="str">
        <f t="shared" si="19"/>
        <v/>
      </c>
      <c r="H1178" s="31"/>
      <c r="I1178" s="27"/>
      <c r="J1178" s="141">
        <v>0</v>
      </c>
    </row>
    <row r="1179" spans="1:10" ht="15.75" hidden="1" thickBot="1" x14ac:dyDescent="0.3">
      <c r="A1179" s="225" t="s">
        <v>369</v>
      </c>
      <c r="B1179" s="228" t="str">
        <f>INDEX(Orçamentária!A:B,MATCH(Composições!A1179,Orçamentária!A:A,0),2)</f>
        <v>Torneira de mesa para lavatório – Linha Acessibilidade</v>
      </c>
      <c r="C1179" s="37"/>
      <c r="D1179" s="22" t="str">
        <f>TRIM(INDEX(Orçamentária!C:C,MATCH(Composições!A1179,Orçamentária!A:A,0),1))</f>
        <v>un</v>
      </c>
      <c r="E1179" s="23"/>
      <c r="F1179" s="38" t="s">
        <v>523</v>
      </c>
      <c r="G1179" s="24" t="str">
        <f t="shared" si="19"/>
        <v/>
      </c>
      <c r="H1179" s="25"/>
      <c r="I1179" s="26"/>
      <c r="J1179" s="141">
        <v>0</v>
      </c>
    </row>
    <row r="1180" spans="1:10" ht="15.75" hidden="1" thickBot="1" x14ac:dyDescent="0.3">
      <c r="A1180" s="226"/>
      <c r="B1180" s="244"/>
      <c r="C1180" s="28"/>
      <c r="D1180" s="28"/>
      <c r="E1180" s="29"/>
      <c r="F1180" s="39" t="s">
        <v>523</v>
      </c>
      <c r="G1180" s="27" t="str">
        <f t="shared" si="19"/>
        <v/>
      </c>
      <c r="H1180" s="31"/>
      <c r="I1180" s="27"/>
      <c r="J1180" s="141">
        <v>0</v>
      </c>
    </row>
    <row r="1181" spans="1:10" ht="26.25" hidden="1" thickBot="1" x14ac:dyDescent="0.3">
      <c r="A1181" s="226"/>
      <c r="B1181" s="244"/>
      <c r="C1181" s="32" t="s">
        <v>370</v>
      </c>
      <c r="D1181" s="43" t="s">
        <v>144</v>
      </c>
      <c r="E1181" s="33">
        <v>1</v>
      </c>
      <c r="F1181" s="30" t="s">
        <v>523</v>
      </c>
      <c r="G1181" s="30" t="str">
        <f t="shared" si="19"/>
        <v/>
      </c>
      <c r="H1181" s="35">
        <f>SUM(G1181:G1184)</f>
        <v>2.9828071499999997</v>
      </c>
      <c r="I1181" s="36"/>
      <c r="J1181" s="141">
        <v>0</v>
      </c>
    </row>
    <row r="1182" spans="1:10" ht="15.75" hidden="1" thickBot="1" x14ac:dyDescent="0.3">
      <c r="A1182" s="226"/>
      <c r="B1182" s="244"/>
      <c r="C1182" s="32" t="s">
        <v>343</v>
      </c>
      <c r="D1182" s="43" t="s">
        <v>280</v>
      </c>
      <c r="E1182" s="33">
        <v>2.1000000000000001E-2</v>
      </c>
      <c r="F1182" s="30">
        <v>4.3699999999999992</v>
      </c>
      <c r="G1182" s="30">
        <f t="shared" si="19"/>
        <v>9.176999999999999E-2</v>
      </c>
      <c r="H1182" s="31"/>
      <c r="I1182" s="27"/>
      <c r="J1182" s="141">
        <v>0</v>
      </c>
    </row>
    <row r="1183" spans="1:10" ht="15.75" hidden="1" thickBot="1" x14ac:dyDescent="0.3">
      <c r="A1183" s="226"/>
      <c r="B1183" s="244"/>
      <c r="C1183" s="32" t="s">
        <v>39</v>
      </c>
      <c r="D1183" s="43" t="s">
        <v>12</v>
      </c>
      <c r="E1183" s="33">
        <v>9.6000000000000002E-2</v>
      </c>
      <c r="F1183" s="27">
        <v>24.300999999999998</v>
      </c>
      <c r="G1183" s="30">
        <f t="shared" si="19"/>
        <v>2.3328959999999999</v>
      </c>
      <c r="H1183" s="31"/>
      <c r="I1183" s="27"/>
      <c r="J1183" s="141">
        <v>0</v>
      </c>
    </row>
    <row r="1184" spans="1:10" ht="15.75" hidden="1" thickBot="1" x14ac:dyDescent="0.3">
      <c r="A1184" s="226"/>
      <c r="B1184" s="244"/>
      <c r="C1184" s="32" t="s">
        <v>23</v>
      </c>
      <c r="D1184" s="43" t="s">
        <v>12</v>
      </c>
      <c r="E1184" s="33">
        <v>3.0300000000000001E-2</v>
      </c>
      <c r="F1184" s="27">
        <v>18.420500000000001</v>
      </c>
      <c r="G1184" s="30">
        <f t="shared" si="19"/>
        <v>0.55814114999999997</v>
      </c>
      <c r="H1184" s="31"/>
      <c r="I1184" s="27"/>
      <c r="J1184" s="141">
        <v>0</v>
      </c>
    </row>
    <row r="1185" spans="1:10" ht="15.75" hidden="1" thickBot="1" x14ac:dyDescent="0.3">
      <c r="A1185" s="227"/>
      <c r="B1185" s="230"/>
      <c r="C1185" s="32"/>
      <c r="D1185" s="32"/>
      <c r="E1185" s="33"/>
      <c r="F1185" s="27" t="s">
        <v>523</v>
      </c>
      <c r="G1185" s="27" t="str">
        <f t="shared" si="19"/>
        <v/>
      </c>
      <c r="H1185" s="31"/>
      <c r="I1185" s="27"/>
      <c r="J1185" s="141">
        <v>0</v>
      </c>
    </row>
    <row r="1186" spans="1:10" ht="15.75" hidden="1" thickBot="1" x14ac:dyDescent="0.3">
      <c r="A1186" s="225" t="s">
        <v>371</v>
      </c>
      <c r="B1186" s="228" t="str">
        <f>INDEX(Orçamentária!A:B,MATCH(Composições!A1186,Orçamentária!A:A,0),2)</f>
        <v>Torneira de mesa para lavatório bica alta</v>
      </c>
      <c r="C1186" s="37"/>
      <c r="D1186" s="22" t="str">
        <f>TRIM(INDEX(Orçamentária!C:C,MATCH(Composições!A1186,Orçamentária!A:A,0),1))</f>
        <v>un</v>
      </c>
      <c r="E1186" s="23"/>
      <c r="F1186" s="38" t="s">
        <v>523</v>
      </c>
      <c r="G1186" s="24" t="str">
        <f t="shared" si="19"/>
        <v/>
      </c>
      <c r="H1186" s="25"/>
      <c r="I1186" s="26"/>
      <c r="J1186" s="141">
        <v>0</v>
      </c>
    </row>
    <row r="1187" spans="1:10" ht="15.75" hidden="1" thickBot="1" x14ac:dyDescent="0.3">
      <c r="A1187" s="226"/>
      <c r="B1187" s="244"/>
      <c r="C1187" s="28"/>
      <c r="D1187" s="28"/>
      <c r="E1187" s="29"/>
      <c r="F1187" s="39" t="s">
        <v>523</v>
      </c>
      <c r="G1187" s="27" t="str">
        <f t="shared" si="19"/>
        <v/>
      </c>
      <c r="H1187" s="31"/>
      <c r="I1187" s="27"/>
      <c r="J1187" s="141">
        <v>0</v>
      </c>
    </row>
    <row r="1188" spans="1:10" ht="26.25" hidden="1" thickBot="1" x14ac:dyDescent="0.3">
      <c r="A1188" s="226"/>
      <c r="B1188" s="244"/>
      <c r="C1188" s="32" t="s">
        <v>372</v>
      </c>
      <c r="D1188" s="43" t="s">
        <v>144</v>
      </c>
      <c r="E1188" s="33">
        <v>1</v>
      </c>
      <c r="F1188" s="30" t="s">
        <v>523</v>
      </c>
      <c r="G1188" s="30" t="str">
        <f t="shared" si="19"/>
        <v/>
      </c>
      <c r="H1188" s="35">
        <f>SUM(G1188:G1191)</f>
        <v>2.9828071499999997</v>
      </c>
      <c r="I1188" s="36"/>
      <c r="J1188" s="141">
        <v>0</v>
      </c>
    </row>
    <row r="1189" spans="1:10" ht="15.75" hidden="1" thickBot="1" x14ac:dyDescent="0.3">
      <c r="A1189" s="226"/>
      <c r="B1189" s="244"/>
      <c r="C1189" s="32" t="s">
        <v>343</v>
      </c>
      <c r="D1189" s="43" t="s">
        <v>280</v>
      </c>
      <c r="E1189" s="33">
        <v>2.1000000000000001E-2</v>
      </c>
      <c r="F1189" s="30">
        <v>4.3699999999999992</v>
      </c>
      <c r="G1189" s="30">
        <f t="shared" si="19"/>
        <v>9.176999999999999E-2</v>
      </c>
      <c r="H1189" s="31"/>
      <c r="I1189" s="27"/>
      <c r="J1189" s="141">
        <v>0</v>
      </c>
    </row>
    <row r="1190" spans="1:10" ht="15.75" hidden="1" thickBot="1" x14ac:dyDescent="0.3">
      <c r="A1190" s="226"/>
      <c r="B1190" s="244"/>
      <c r="C1190" s="32" t="s">
        <v>39</v>
      </c>
      <c r="D1190" s="43" t="s">
        <v>12</v>
      </c>
      <c r="E1190" s="33">
        <v>9.6000000000000002E-2</v>
      </c>
      <c r="F1190" s="27">
        <v>24.300999999999998</v>
      </c>
      <c r="G1190" s="30">
        <f t="shared" si="19"/>
        <v>2.3328959999999999</v>
      </c>
      <c r="H1190" s="31"/>
      <c r="I1190" s="27"/>
      <c r="J1190" s="141">
        <v>0</v>
      </c>
    </row>
    <row r="1191" spans="1:10" ht="15.75" hidden="1" thickBot="1" x14ac:dyDescent="0.3">
      <c r="A1191" s="226"/>
      <c r="B1191" s="244"/>
      <c r="C1191" s="32" t="s">
        <v>23</v>
      </c>
      <c r="D1191" s="43" t="s">
        <v>12</v>
      </c>
      <c r="E1191" s="33">
        <v>3.0300000000000001E-2</v>
      </c>
      <c r="F1191" s="27">
        <v>18.420500000000001</v>
      </c>
      <c r="G1191" s="30">
        <f t="shared" si="19"/>
        <v>0.55814114999999997</v>
      </c>
      <c r="H1191" s="31"/>
      <c r="I1191" s="27"/>
      <c r="J1191" s="141">
        <v>0</v>
      </c>
    </row>
    <row r="1192" spans="1:10" ht="15.75" hidden="1" thickBot="1" x14ac:dyDescent="0.3">
      <c r="A1192" s="227"/>
      <c r="B1192" s="230"/>
      <c r="C1192" s="32"/>
      <c r="D1192" s="32"/>
      <c r="E1192" s="33"/>
      <c r="F1192" s="27" t="s">
        <v>523</v>
      </c>
      <c r="G1192" s="27" t="str">
        <f t="shared" si="19"/>
        <v/>
      </c>
      <c r="H1192" s="31"/>
      <c r="I1192" s="27"/>
      <c r="J1192" s="141">
        <v>0</v>
      </c>
    </row>
    <row r="1193" spans="1:10" ht="15.75" hidden="1" thickBot="1" x14ac:dyDescent="0.3">
      <c r="A1193" s="225" t="s">
        <v>373</v>
      </c>
      <c r="B1193" s="228" t="str">
        <f>INDEX(Orçamentária!A:B,MATCH(Composições!A1193,Orçamentária!A:A,0),2)</f>
        <v>Torneira de mesa para lavatório bica baixa</v>
      </c>
      <c r="C1193" s="37"/>
      <c r="D1193" s="22" t="str">
        <f>TRIM(INDEX(Orçamentária!C:C,MATCH(Composições!A1193,Orçamentária!A:A,0),1))</f>
        <v>un</v>
      </c>
      <c r="E1193" s="23"/>
      <c r="F1193" s="38" t="s">
        <v>523</v>
      </c>
      <c r="G1193" s="24" t="str">
        <f t="shared" si="19"/>
        <v/>
      </c>
      <c r="H1193" s="25"/>
      <c r="I1193" s="26"/>
      <c r="J1193" s="141">
        <v>0</v>
      </c>
    </row>
    <row r="1194" spans="1:10" ht="15.75" hidden="1" thickBot="1" x14ac:dyDescent="0.3">
      <c r="A1194" s="226"/>
      <c r="B1194" s="244"/>
      <c r="C1194" s="28"/>
      <c r="D1194" s="28"/>
      <c r="E1194" s="29"/>
      <c r="F1194" s="39" t="s">
        <v>523</v>
      </c>
      <c r="G1194" s="27" t="str">
        <f t="shared" si="19"/>
        <v/>
      </c>
      <c r="H1194" s="31"/>
      <c r="I1194" s="27"/>
      <c r="J1194" s="141">
        <v>0</v>
      </c>
    </row>
    <row r="1195" spans="1:10" ht="26.25" hidden="1" thickBot="1" x14ac:dyDescent="0.3">
      <c r="A1195" s="226"/>
      <c r="B1195" s="244"/>
      <c r="C1195" s="32" t="s">
        <v>374</v>
      </c>
      <c r="D1195" s="43" t="s">
        <v>144</v>
      </c>
      <c r="E1195" s="33">
        <v>1</v>
      </c>
      <c r="F1195" s="30" t="s">
        <v>523</v>
      </c>
      <c r="G1195" s="30" t="str">
        <f t="shared" si="19"/>
        <v/>
      </c>
      <c r="H1195" s="35">
        <f>SUM(G1195:G1198)</f>
        <v>2.9828071499999997</v>
      </c>
      <c r="I1195" s="36"/>
      <c r="J1195" s="141">
        <v>0</v>
      </c>
    </row>
    <row r="1196" spans="1:10" ht="15.75" hidden="1" thickBot="1" x14ac:dyDescent="0.3">
      <c r="A1196" s="226"/>
      <c r="B1196" s="244"/>
      <c r="C1196" s="32" t="s">
        <v>343</v>
      </c>
      <c r="D1196" s="43" t="s">
        <v>280</v>
      </c>
      <c r="E1196" s="33">
        <v>2.1000000000000001E-2</v>
      </c>
      <c r="F1196" s="30">
        <v>4.3699999999999992</v>
      </c>
      <c r="G1196" s="30">
        <f t="shared" si="19"/>
        <v>9.176999999999999E-2</v>
      </c>
      <c r="H1196" s="31"/>
      <c r="I1196" s="27"/>
      <c r="J1196" s="141">
        <v>0</v>
      </c>
    </row>
    <row r="1197" spans="1:10" ht="15.75" hidden="1" thickBot="1" x14ac:dyDescent="0.3">
      <c r="A1197" s="226"/>
      <c r="B1197" s="244"/>
      <c r="C1197" s="32" t="s">
        <v>39</v>
      </c>
      <c r="D1197" s="43" t="s">
        <v>12</v>
      </c>
      <c r="E1197" s="33">
        <v>9.6000000000000002E-2</v>
      </c>
      <c r="F1197" s="27">
        <v>24.300999999999998</v>
      </c>
      <c r="G1197" s="30">
        <f t="shared" si="19"/>
        <v>2.3328959999999999</v>
      </c>
      <c r="H1197" s="31"/>
      <c r="I1197" s="27"/>
      <c r="J1197" s="141">
        <v>0</v>
      </c>
    </row>
    <row r="1198" spans="1:10" ht="15.75" hidden="1" thickBot="1" x14ac:dyDescent="0.3">
      <c r="A1198" s="226"/>
      <c r="B1198" s="244"/>
      <c r="C1198" s="32" t="s">
        <v>23</v>
      </c>
      <c r="D1198" s="43" t="s">
        <v>12</v>
      </c>
      <c r="E1198" s="33">
        <v>3.0300000000000001E-2</v>
      </c>
      <c r="F1198" s="27">
        <v>18.420500000000001</v>
      </c>
      <c r="G1198" s="30">
        <f t="shared" si="19"/>
        <v>0.55814114999999997</v>
      </c>
      <c r="H1198" s="31"/>
      <c r="I1198" s="27"/>
      <c r="J1198" s="141">
        <v>0</v>
      </c>
    </row>
    <row r="1199" spans="1:10" ht="15.75" hidden="1" thickBot="1" x14ac:dyDescent="0.3">
      <c r="A1199" s="227"/>
      <c r="B1199" s="230"/>
      <c r="C1199" s="32"/>
      <c r="D1199" s="32"/>
      <c r="E1199" s="33"/>
      <c r="F1199" s="27" t="s">
        <v>523</v>
      </c>
      <c r="G1199" s="27" t="str">
        <f t="shared" si="19"/>
        <v/>
      </c>
      <c r="H1199" s="31"/>
      <c r="I1199" s="27"/>
      <c r="J1199" s="141">
        <v>0</v>
      </c>
    </row>
    <row r="1200" spans="1:10" ht="15.75" hidden="1" thickBot="1" x14ac:dyDescent="0.3">
      <c r="A1200" s="225" t="s">
        <v>375</v>
      </c>
      <c r="B1200" s="228" t="str">
        <f>INDEX(Orçamentária!A:B,MATCH(Composições!A1200,Orçamentária!A:A,0),2)</f>
        <v>Torneira de mesa para lavatório com fechamento automático – Linha Administrativa</v>
      </c>
      <c r="C1200" s="37"/>
      <c r="D1200" s="22" t="str">
        <f>TRIM(INDEX(Orçamentária!C:C,MATCH(Composições!A1200,Orçamentária!A:A,0),1))</f>
        <v>un</v>
      </c>
      <c r="E1200" s="23"/>
      <c r="F1200" s="38" t="s">
        <v>523</v>
      </c>
      <c r="G1200" s="24" t="str">
        <f t="shared" si="19"/>
        <v/>
      </c>
      <c r="H1200" s="25"/>
      <c r="I1200" s="26"/>
      <c r="J1200" s="141">
        <v>0</v>
      </c>
    </row>
    <row r="1201" spans="1:10" ht="15.75" hidden="1" thickBot="1" x14ac:dyDescent="0.3">
      <c r="A1201" s="226"/>
      <c r="B1201" s="244"/>
      <c r="C1201" s="28"/>
      <c r="D1201" s="28"/>
      <c r="E1201" s="29"/>
      <c r="F1201" s="39" t="s">
        <v>523</v>
      </c>
      <c r="G1201" s="27" t="str">
        <f t="shared" si="19"/>
        <v/>
      </c>
      <c r="H1201" s="31"/>
      <c r="I1201" s="27"/>
      <c r="J1201" s="141">
        <v>0</v>
      </c>
    </row>
    <row r="1202" spans="1:10" ht="26.25" hidden="1" thickBot="1" x14ac:dyDescent="0.3">
      <c r="A1202" s="226"/>
      <c r="B1202" s="244"/>
      <c r="C1202" s="32" t="s">
        <v>7675</v>
      </c>
      <c r="D1202" s="43" t="s">
        <v>280</v>
      </c>
      <c r="E1202" s="33">
        <v>1</v>
      </c>
      <c r="F1202" s="30">
        <v>108.61349999999999</v>
      </c>
      <c r="G1202" s="30">
        <f t="shared" si="19"/>
        <v>108.61349999999999</v>
      </c>
      <c r="H1202" s="35">
        <f>SUM(G1202:G1205)</f>
        <v>111.59630714999999</v>
      </c>
      <c r="I1202" s="36"/>
      <c r="J1202" s="141">
        <v>0</v>
      </c>
    </row>
    <row r="1203" spans="1:10" ht="15.75" hidden="1" thickBot="1" x14ac:dyDescent="0.3">
      <c r="A1203" s="226"/>
      <c r="B1203" s="244"/>
      <c r="C1203" s="32" t="s">
        <v>343</v>
      </c>
      <c r="D1203" s="43" t="s">
        <v>280</v>
      </c>
      <c r="E1203" s="33">
        <v>2.1000000000000001E-2</v>
      </c>
      <c r="F1203" s="30">
        <v>4.3699999999999992</v>
      </c>
      <c r="G1203" s="30">
        <f t="shared" si="19"/>
        <v>9.176999999999999E-2</v>
      </c>
      <c r="H1203" s="31"/>
      <c r="I1203" s="27"/>
      <c r="J1203" s="141">
        <v>0</v>
      </c>
    </row>
    <row r="1204" spans="1:10" ht="15.75" hidden="1" thickBot="1" x14ac:dyDescent="0.3">
      <c r="A1204" s="226"/>
      <c r="B1204" s="244"/>
      <c r="C1204" s="32" t="s">
        <v>39</v>
      </c>
      <c r="D1204" s="43" t="s">
        <v>12</v>
      </c>
      <c r="E1204" s="33">
        <v>9.6000000000000002E-2</v>
      </c>
      <c r="F1204" s="27">
        <v>24.300999999999998</v>
      </c>
      <c r="G1204" s="30">
        <f t="shared" si="19"/>
        <v>2.3328959999999999</v>
      </c>
      <c r="H1204" s="31"/>
      <c r="I1204" s="27"/>
      <c r="J1204" s="141">
        <v>0</v>
      </c>
    </row>
    <row r="1205" spans="1:10" ht="15.75" hidden="1" thickBot="1" x14ac:dyDescent="0.3">
      <c r="A1205" s="226"/>
      <c r="B1205" s="244"/>
      <c r="C1205" s="32" t="s">
        <v>23</v>
      </c>
      <c r="D1205" s="43" t="s">
        <v>12</v>
      </c>
      <c r="E1205" s="33">
        <v>3.0300000000000001E-2</v>
      </c>
      <c r="F1205" s="27">
        <v>18.420500000000001</v>
      </c>
      <c r="G1205" s="30">
        <f t="shared" si="19"/>
        <v>0.55814114999999997</v>
      </c>
      <c r="H1205" s="31"/>
      <c r="I1205" s="27"/>
      <c r="J1205" s="141">
        <v>0</v>
      </c>
    </row>
    <row r="1206" spans="1:10" ht="15.75" hidden="1" thickBot="1" x14ac:dyDescent="0.3">
      <c r="A1206" s="227"/>
      <c r="B1206" s="230"/>
      <c r="C1206" s="32"/>
      <c r="D1206" s="32"/>
      <c r="E1206" s="33"/>
      <c r="F1206" s="27" t="s">
        <v>523</v>
      </c>
      <c r="G1206" s="27" t="str">
        <f t="shared" si="19"/>
        <v/>
      </c>
      <c r="H1206" s="31"/>
      <c r="I1206" s="27"/>
      <c r="J1206" s="141">
        <v>0</v>
      </c>
    </row>
    <row r="1207" spans="1:10" ht="15.75" hidden="1" thickBot="1" x14ac:dyDescent="0.3">
      <c r="A1207" s="225" t="s">
        <v>376</v>
      </c>
      <c r="B1207" s="228" t="str">
        <f>INDEX(Orçamentária!A:B,MATCH(Composições!A1207,Orçamentária!A:A,0),2)</f>
        <v>Torneira de parede para cozinha</v>
      </c>
      <c r="C1207" s="37"/>
      <c r="D1207" s="22" t="str">
        <f>TRIM(INDEX(Orçamentária!C:C,MATCH(Composições!A1207,Orçamentária!A:A,0),1))</f>
        <v>un</v>
      </c>
      <c r="E1207" s="23"/>
      <c r="F1207" s="38" t="s">
        <v>523</v>
      </c>
      <c r="G1207" s="24" t="str">
        <f t="shared" si="19"/>
        <v/>
      </c>
      <c r="H1207" s="25"/>
      <c r="I1207" s="26"/>
      <c r="J1207" s="141">
        <v>0</v>
      </c>
    </row>
    <row r="1208" spans="1:10" ht="15.75" hidden="1" thickBot="1" x14ac:dyDescent="0.3">
      <c r="A1208" s="226"/>
      <c r="B1208" s="244"/>
      <c r="C1208" s="28"/>
      <c r="D1208" s="28"/>
      <c r="E1208" s="29"/>
      <c r="F1208" s="39" t="s">
        <v>523</v>
      </c>
      <c r="G1208" s="27" t="str">
        <f t="shared" si="19"/>
        <v/>
      </c>
      <c r="H1208" s="31"/>
      <c r="I1208" s="27"/>
      <c r="J1208" s="141">
        <v>0</v>
      </c>
    </row>
    <row r="1209" spans="1:10" ht="26.25" hidden="1" thickBot="1" x14ac:dyDescent="0.3">
      <c r="A1209" s="226"/>
      <c r="B1209" s="244"/>
      <c r="C1209" s="32" t="s">
        <v>377</v>
      </c>
      <c r="D1209" s="43" t="s">
        <v>144</v>
      </c>
      <c r="E1209" s="33">
        <v>1</v>
      </c>
      <c r="F1209" s="30" t="s">
        <v>523</v>
      </c>
      <c r="G1209" s="30" t="str">
        <f t="shared" si="19"/>
        <v/>
      </c>
      <c r="H1209" s="35">
        <f>SUM(G1209:G1212)</f>
        <v>3.5964387499999999</v>
      </c>
      <c r="I1209" s="36"/>
      <c r="J1209" s="141">
        <v>0</v>
      </c>
    </row>
    <row r="1210" spans="1:10" ht="15.75" hidden="1" thickBot="1" x14ac:dyDescent="0.3">
      <c r="A1210" s="226"/>
      <c r="B1210" s="244"/>
      <c r="C1210" s="32" t="s">
        <v>343</v>
      </c>
      <c r="D1210" s="43" t="s">
        <v>280</v>
      </c>
      <c r="E1210" s="33">
        <v>2.1000000000000001E-2</v>
      </c>
      <c r="F1210" s="30">
        <v>4.3699999999999992</v>
      </c>
      <c r="G1210" s="30">
        <f t="shared" si="19"/>
        <v>9.176999999999999E-2</v>
      </c>
      <c r="H1210" s="31"/>
      <c r="I1210" s="27"/>
      <c r="J1210" s="141">
        <v>0</v>
      </c>
    </row>
    <row r="1211" spans="1:10" ht="15.75" hidden="1" thickBot="1" x14ac:dyDescent="0.3">
      <c r="A1211" s="226"/>
      <c r="B1211" s="244"/>
      <c r="C1211" s="32" t="s">
        <v>39</v>
      </c>
      <c r="D1211" s="43" t="s">
        <v>12</v>
      </c>
      <c r="E1211" s="33">
        <v>0.1164</v>
      </c>
      <c r="F1211" s="27">
        <v>24.300999999999998</v>
      </c>
      <c r="G1211" s="30">
        <f t="shared" si="19"/>
        <v>2.8286363999999997</v>
      </c>
      <c r="H1211" s="31"/>
      <c r="I1211" s="27"/>
      <c r="J1211" s="141">
        <v>0</v>
      </c>
    </row>
    <row r="1212" spans="1:10" ht="15.75" hidden="1" thickBot="1" x14ac:dyDescent="0.3">
      <c r="A1212" s="226"/>
      <c r="B1212" s="244"/>
      <c r="C1212" s="32" t="s">
        <v>23</v>
      </c>
      <c r="D1212" s="43" t="s">
        <v>12</v>
      </c>
      <c r="E1212" s="33">
        <v>3.6700000000000003E-2</v>
      </c>
      <c r="F1212" s="27">
        <v>18.420500000000001</v>
      </c>
      <c r="G1212" s="30">
        <f t="shared" si="19"/>
        <v>0.67603235000000006</v>
      </c>
      <c r="H1212" s="31"/>
      <c r="I1212" s="27"/>
      <c r="J1212" s="141">
        <v>0</v>
      </c>
    </row>
    <row r="1213" spans="1:10" ht="15.75" hidden="1" thickBot="1" x14ac:dyDescent="0.3">
      <c r="A1213" s="227"/>
      <c r="B1213" s="230"/>
      <c r="C1213" s="32"/>
      <c r="D1213" s="32"/>
      <c r="E1213" s="33"/>
      <c r="F1213" s="27" t="s">
        <v>523</v>
      </c>
      <c r="G1213" s="27" t="str">
        <f t="shared" si="19"/>
        <v/>
      </c>
      <c r="H1213" s="31"/>
      <c r="I1213" s="27"/>
      <c r="J1213" s="141">
        <v>0</v>
      </c>
    </row>
    <row r="1214" spans="1:10" ht="15.75" hidden="1" thickBot="1" x14ac:dyDescent="0.3">
      <c r="A1214" s="225" t="s">
        <v>378</v>
      </c>
      <c r="B1214" s="228" t="str">
        <f>INDEX(Orçamentária!A:B,MATCH(Composições!A1214,Orçamentária!A:A,0),2)</f>
        <v>Torneira de parede para tanque</v>
      </c>
      <c r="C1214" s="37"/>
      <c r="D1214" s="22" t="str">
        <f>TRIM(INDEX(Orçamentária!C:C,MATCH(Composições!A1214,Orçamentária!A:A,0),1))</f>
        <v>un</v>
      </c>
      <c r="E1214" s="23"/>
      <c r="F1214" s="38" t="s">
        <v>523</v>
      </c>
      <c r="G1214" s="24" t="str">
        <f t="shared" si="19"/>
        <v/>
      </c>
      <c r="H1214" s="25"/>
      <c r="I1214" s="26"/>
      <c r="J1214" s="141">
        <v>0</v>
      </c>
    </row>
    <row r="1215" spans="1:10" ht="15.75" hidden="1" thickBot="1" x14ac:dyDescent="0.3">
      <c r="A1215" s="226"/>
      <c r="B1215" s="244"/>
      <c r="C1215" s="28"/>
      <c r="D1215" s="28"/>
      <c r="E1215" s="29"/>
      <c r="F1215" s="39" t="s">
        <v>523</v>
      </c>
      <c r="G1215" s="27" t="str">
        <f t="shared" si="19"/>
        <v/>
      </c>
      <c r="H1215" s="31"/>
      <c r="I1215" s="27"/>
      <c r="J1215" s="141">
        <v>0</v>
      </c>
    </row>
    <row r="1216" spans="1:10" ht="15.75" hidden="1" thickBot="1" x14ac:dyDescent="0.3">
      <c r="A1216" s="226"/>
      <c r="B1216" s="244"/>
      <c r="C1216" s="32" t="s">
        <v>343</v>
      </c>
      <c r="D1216" s="43" t="s">
        <v>280</v>
      </c>
      <c r="E1216" s="33">
        <v>2.1000000000000001E-2</v>
      </c>
      <c r="F1216" s="30">
        <v>4.3699999999999992</v>
      </c>
      <c r="G1216" s="30">
        <f t="shared" si="19"/>
        <v>9.176999999999999E-2</v>
      </c>
      <c r="H1216" s="35">
        <f>SUM(G1216:G1219)</f>
        <v>48.127198549999996</v>
      </c>
      <c r="I1216" s="36"/>
      <c r="J1216" s="141">
        <v>0</v>
      </c>
    </row>
    <row r="1217" spans="1:10" ht="15.75" hidden="1" thickBot="1" x14ac:dyDescent="0.3">
      <c r="A1217" s="226"/>
      <c r="B1217" s="244"/>
      <c r="C1217" s="32" t="s">
        <v>39</v>
      </c>
      <c r="D1217" s="43" t="s">
        <v>12</v>
      </c>
      <c r="E1217" s="33">
        <v>0.1525</v>
      </c>
      <c r="F1217" s="27">
        <v>24.300999999999998</v>
      </c>
      <c r="G1217" s="30">
        <f t="shared" si="19"/>
        <v>3.7059024999999997</v>
      </c>
      <c r="H1217" s="31"/>
      <c r="I1217" s="27"/>
      <c r="J1217" s="141">
        <v>0</v>
      </c>
    </row>
    <row r="1218" spans="1:10" ht="15.75" hidden="1" thickBot="1" x14ac:dyDescent="0.3">
      <c r="A1218" s="226"/>
      <c r="B1218" s="244"/>
      <c r="C1218" s="32" t="s">
        <v>23</v>
      </c>
      <c r="D1218" s="32" t="s">
        <v>12</v>
      </c>
      <c r="E1218" s="33">
        <v>4.8099999999999997E-2</v>
      </c>
      <c r="F1218" s="27">
        <v>18.420500000000001</v>
      </c>
      <c r="G1218" s="30">
        <f t="shared" si="19"/>
        <v>0.88602605000000001</v>
      </c>
      <c r="H1218" s="31"/>
      <c r="I1218" s="27"/>
      <c r="J1218" s="141">
        <v>0</v>
      </c>
    </row>
    <row r="1219" spans="1:10" ht="39" hidden="1" thickBot="1" x14ac:dyDescent="0.3">
      <c r="A1219" s="226"/>
      <c r="B1219" s="244"/>
      <c r="C1219" s="32" t="s">
        <v>7676</v>
      </c>
      <c r="D1219" s="32" t="s">
        <v>20</v>
      </c>
      <c r="E1219" s="33">
        <v>1</v>
      </c>
      <c r="F1219" s="30">
        <v>43.443499999999993</v>
      </c>
      <c r="G1219" s="27">
        <f t="shared" si="19"/>
        <v>43.443499999999993</v>
      </c>
      <c r="H1219" s="31"/>
      <c r="I1219" s="27"/>
      <c r="J1219" s="141">
        <v>0</v>
      </c>
    </row>
    <row r="1220" spans="1:10" ht="15.75" hidden="1" thickBot="1" x14ac:dyDescent="0.3">
      <c r="A1220" s="227"/>
      <c r="B1220" s="230"/>
      <c r="C1220" s="32"/>
      <c r="D1220" s="32"/>
      <c r="E1220" s="33"/>
      <c r="F1220" s="27" t="s">
        <v>523</v>
      </c>
      <c r="G1220" s="27" t="str">
        <f t="shared" si="19"/>
        <v/>
      </c>
      <c r="H1220" s="31"/>
      <c r="I1220" s="27"/>
      <c r="J1220" s="141">
        <v>0</v>
      </c>
    </row>
    <row r="1221" spans="1:10" ht="15.75" hidden="1" thickBot="1" x14ac:dyDescent="0.3">
      <c r="A1221" s="225" t="s">
        <v>379</v>
      </c>
      <c r="B1221" s="228" t="str">
        <f>INDEX(Orçamentária!A:B,MATCH(Composições!A1221,Orçamentária!A:A,0),2)</f>
        <v>Acabamento para válvula de descarga 1 1/2" – Linha Acessibilidade</v>
      </c>
      <c r="C1221" s="37"/>
      <c r="D1221" s="22" t="str">
        <f>TRIM(INDEX(Orçamentária!C:C,MATCH(Composições!A1221,Orçamentária!A:A,0),1))</f>
        <v>un</v>
      </c>
      <c r="E1221" s="23"/>
      <c r="F1221" s="38" t="s">
        <v>523</v>
      </c>
      <c r="G1221" s="24" t="str">
        <f t="shared" si="19"/>
        <v/>
      </c>
      <c r="H1221" s="25"/>
      <c r="I1221" s="26"/>
      <c r="J1221" s="141">
        <v>0</v>
      </c>
    </row>
    <row r="1222" spans="1:10" ht="15.75" hidden="1" thickBot="1" x14ac:dyDescent="0.3">
      <c r="A1222" s="226"/>
      <c r="B1222" s="244"/>
      <c r="C1222" s="28"/>
      <c r="D1222" s="28"/>
      <c r="E1222" s="29"/>
      <c r="F1222" s="39" t="s">
        <v>523</v>
      </c>
      <c r="G1222" s="27" t="str">
        <f t="shared" si="19"/>
        <v/>
      </c>
      <c r="H1222" s="31"/>
      <c r="I1222" s="27"/>
      <c r="J1222" s="141">
        <v>0</v>
      </c>
    </row>
    <row r="1223" spans="1:10" ht="26.25" hidden="1" thickBot="1" x14ac:dyDescent="0.3">
      <c r="A1223" s="226"/>
      <c r="B1223" s="244"/>
      <c r="C1223" s="157" t="s">
        <v>6669</v>
      </c>
      <c r="D1223" s="43" t="s">
        <v>144</v>
      </c>
      <c r="E1223" s="33">
        <v>1</v>
      </c>
      <c r="F1223" s="30" t="s">
        <v>523</v>
      </c>
      <c r="G1223" s="30" t="str">
        <f t="shared" si="19"/>
        <v/>
      </c>
      <c r="H1223" s="35">
        <f>SUM(G1223:G1225)</f>
        <v>21.698</v>
      </c>
      <c r="I1223" s="36"/>
      <c r="J1223" s="141">
        <v>0</v>
      </c>
    </row>
    <row r="1224" spans="1:10" ht="26.25" hidden="1" thickBot="1" x14ac:dyDescent="0.3">
      <c r="A1224" s="226"/>
      <c r="B1224" s="244"/>
      <c r="C1224" s="32" t="s">
        <v>107</v>
      </c>
      <c r="D1224" s="43" t="s">
        <v>12</v>
      </c>
      <c r="E1224" s="33">
        <v>0.5</v>
      </c>
      <c r="F1224" s="27">
        <v>19.094999999999999</v>
      </c>
      <c r="G1224" s="30">
        <f t="shared" si="19"/>
        <v>9.5474999999999994</v>
      </c>
      <c r="H1224" s="31"/>
      <c r="I1224" s="27"/>
      <c r="J1224" s="141">
        <v>0</v>
      </c>
    </row>
    <row r="1225" spans="1:10" ht="15.75" hidden="1" thickBot="1" x14ac:dyDescent="0.3">
      <c r="A1225" s="226"/>
      <c r="B1225" s="244"/>
      <c r="C1225" s="32" t="s">
        <v>39</v>
      </c>
      <c r="D1225" s="43" t="s">
        <v>12</v>
      </c>
      <c r="E1225" s="33">
        <v>0.5</v>
      </c>
      <c r="F1225" s="27">
        <v>24.300999999999998</v>
      </c>
      <c r="G1225" s="30">
        <f t="shared" si="19"/>
        <v>12.150499999999999</v>
      </c>
      <c r="H1225" s="31"/>
      <c r="I1225" s="27"/>
      <c r="J1225" s="141">
        <v>0</v>
      </c>
    </row>
    <row r="1226" spans="1:10" ht="15.75" hidden="1" thickBot="1" x14ac:dyDescent="0.3">
      <c r="A1226" s="227"/>
      <c r="B1226" s="230"/>
      <c r="C1226" s="32"/>
      <c r="D1226" s="32"/>
      <c r="E1226" s="33"/>
      <c r="F1226" s="27" t="s">
        <v>523</v>
      </c>
      <c r="G1226" s="27" t="str">
        <f t="shared" si="19"/>
        <v/>
      </c>
      <c r="H1226" s="31"/>
      <c r="I1226" s="27"/>
      <c r="J1226" s="141">
        <v>0</v>
      </c>
    </row>
    <row r="1227" spans="1:10" ht="15.75" hidden="1" thickBot="1" x14ac:dyDescent="0.3">
      <c r="A1227" s="225" t="s">
        <v>381</v>
      </c>
      <c r="B1227" s="228" t="str">
        <f>INDEX(Orçamentária!A:B,MATCH(Composições!A1227,Orçamentária!A:A,0),2)</f>
        <v>Acabamento para válvula de descarga 1 1/2"</v>
      </c>
      <c r="C1227" s="37"/>
      <c r="D1227" s="22" t="str">
        <f>TRIM(INDEX(Orçamentária!C:C,MATCH(Composições!A1227,Orçamentária!A:A,0),1))</f>
        <v>un</v>
      </c>
      <c r="E1227" s="23"/>
      <c r="F1227" s="38" t="s">
        <v>523</v>
      </c>
      <c r="G1227" s="24" t="str">
        <f t="shared" si="19"/>
        <v/>
      </c>
      <c r="H1227" s="25"/>
      <c r="I1227" s="26"/>
      <c r="J1227" s="141">
        <v>0</v>
      </c>
    </row>
    <row r="1228" spans="1:10" ht="15.75" hidden="1" thickBot="1" x14ac:dyDescent="0.3">
      <c r="A1228" s="226"/>
      <c r="B1228" s="244"/>
      <c r="C1228" s="28"/>
      <c r="D1228" s="28"/>
      <c r="E1228" s="29"/>
      <c r="F1228" s="39" t="s">
        <v>523</v>
      </c>
      <c r="G1228" s="27" t="str">
        <f t="shared" si="19"/>
        <v/>
      </c>
      <c r="H1228" s="31"/>
      <c r="I1228" s="27"/>
      <c r="J1228" s="141">
        <v>0</v>
      </c>
    </row>
    <row r="1229" spans="1:10" ht="15.75" hidden="1" thickBot="1" x14ac:dyDescent="0.3">
      <c r="A1229" s="226"/>
      <c r="B1229" s="244"/>
      <c r="C1229" s="157" t="s">
        <v>6667</v>
      </c>
      <c r="D1229" s="43" t="s">
        <v>280</v>
      </c>
      <c r="E1229" s="33">
        <v>1</v>
      </c>
      <c r="F1229" s="30" t="s">
        <v>523</v>
      </c>
      <c r="G1229" s="30" t="str">
        <f t="shared" si="19"/>
        <v/>
      </c>
      <c r="H1229" s="35">
        <f>SUM(G1229:G1231)</f>
        <v>21.698</v>
      </c>
      <c r="I1229" s="36"/>
      <c r="J1229" s="141">
        <v>0</v>
      </c>
    </row>
    <row r="1230" spans="1:10" ht="26.25" hidden="1" thickBot="1" x14ac:dyDescent="0.3">
      <c r="A1230" s="226"/>
      <c r="B1230" s="244"/>
      <c r="C1230" s="32" t="s">
        <v>107</v>
      </c>
      <c r="D1230" s="43" t="s">
        <v>12</v>
      </c>
      <c r="E1230" s="33">
        <v>0.5</v>
      </c>
      <c r="F1230" s="27">
        <v>19.094999999999999</v>
      </c>
      <c r="G1230" s="30">
        <f t="shared" si="19"/>
        <v>9.5474999999999994</v>
      </c>
      <c r="H1230" s="31"/>
      <c r="I1230" s="27"/>
      <c r="J1230" s="141">
        <v>0</v>
      </c>
    </row>
    <row r="1231" spans="1:10" ht="15.75" hidden="1" thickBot="1" x14ac:dyDescent="0.3">
      <c r="A1231" s="226"/>
      <c r="B1231" s="244"/>
      <c r="C1231" s="32" t="s">
        <v>39</v>
      </c>
      <c r="D1231" s="43" t="s">
        <v>12</v>
      </c>
      <c r="E1231" s="33">
        <v>0.5</v>
      </c>
      <c r="F1231" s="27">
        <v>24.300999999999998</v>
      </c>
      <c r="G1231" s="30">
        <f t="shared" si="19"/>
        <v>12.150499999999999</v>
      </c>
      <c r="H1231" s="31"/>
      <c r="I1231" s="27"/>
      <c r="J1231" s="141">
        <v>0</v>
      </c>
    </row>
    <row r="1232" spans="1:10" ht="15.75" hidden="1" thickBot="1" x14ac:dyDescent="0.3">
      <c r="A1232" s="227"/>
      <c r="B1232" s="230"/>
      <c r="C1232" s="32"/>
      <c r="D1232" s="32"/>
      <c r="E1232" s="33"/>
      <c r="F1232" s="27" t="s">
        <v>523</v>
      </c>
      <c r="G1232" s="27" t="str">
        <f t="shared" si="19"/>
        <v/>
      </c>
      <c r="H1232" s="31"/>
      <c r="I1232" s="27"/>
      <c r="J1232" s="141">
        <v>0</v>
      </c>
    </row>
    <row r="1233" spans="1:10" ht="15.75" hidden="1" thickBot="1" x14ac:dyDescent="0.3">
      <c r="A1233" s="225" t="s">
        <v>382</v>
      </c>
      <c r="B1233" s="228" t="str">
        <f>INDEX(Orçamentária!A:B,MATCH(Composições!A1233,Orçamentária!A:A,0),2)</f>
        <v>Acabamento para válvula de descarga 1 1/4" – Linha Acessibilidade</v>
      </c>
      <c r="C1233" s="37"/>
      <c r="D1233" s="22" t="str">
        <f>TRIM(INDEX(Orçamentária!C:C,MATCH(Composições!A1233,Orçamentária!A:A,0),1))</f>
        <v>un</v>
      </c>
      <c r="E1233" s="23"/>
      <c r="F1233" s="38" t="s">
        <v>523</v>
      </c>
      <c r="G1233" s="24" t="str">
        <f t="shared" si="19"/>
        <v/>
      </c>
      <c r="H1233" s="25"/>
      <c r="I1233" s="26"/>
      <c r="J1233" s="141">
        <v>0</v>
      </c>
    </row>
    <row r="1234" spans="1:10" ht="15.75" hidden="1" thickBot="1" x14ac:dyDescent="0.3">
      <c r="A1234" s="226"/>
      <c r="B1234" s="244"/>
      <c r="C1234" s="28"/>
      <c r="D1234" s="28"/>
      <c r="E1234" s="29"/>
      <c r="F1234" s="39" t="s">
        <v>523</v>
      </c>
      <c r="G1234" s="27" t="str">
        <f t="shared" ref="G1234:G1297" si="20">IF(ISNUMBER(F1234),E1234*F1234,"")</f>
        <v/>
      </c>
      <c r="H1234" s="31"/>
      <c r="I1234" s="27"/>
      <c r="J1234" s="141">
        <v>0</v>
      </c>
    </row>
    <row r="1235" spans="1:10" ht="26.25" hidden="1" thickBot="1" x14ac:dyDescent="0.3">
      <c r="A1235" s="226"/>
      <c r="B1235" s="244"/>
      <c r="C1235" s="157" t="s">
        <v>6668</v>
      </c>
      <c r="D1235" s="43" t="s">
        <v>144</v>
      </c>
      <c r="E1235" s="33">
        <v>1</v>
      </c>
      <c r="F1235" s="30" t="s">
        <v>523</v>
      </c>
      <c r="G1235" s="30" t="str">
        <f t="shared" si="20"/>
        <v/>
      </c>
      <c r="H1235" s="35">
        <f>SUM(G1235:G1237)</f>
        <v>21.698</v>
      </c>
      <c r="I1235" s="36"/>
      <c r="J1235" s="141">
        <v>0</v>
      </c>
    </row>
    <row r="1236" spans="1:10" ht="26.25" hidden="1" thickBot="1" x14ac:dyDescent="0.3">
      <c r="A1236" s="226"/>
      <c r="B1236" s="244"/>
      <c r="C1236" s="32" t="s">
        <v>107</v>
      </c>
      <c r="D1236" s="43" t="s">
        <v>12</v>
      </c>
      <c r="E1236" s="33">
        <v>0.5</v>
      </c>
      <c r="F1236" s="27">
        <v>19.094999999999999</v>
      </c>
      <c r="G1236" s="30">
        <f t="shared" si="20"/>
        <v>9.5474999999999994</v>
      </c>
      <c r="H1236" s="31"/>
      <c r="I1236" s="27"/>
      <c r="J1236" s="141">
        <v>0</v>
      </c>
    </row>
    <row r="1237" spans="1:10" ht="15.75" hidden="1" thickBot="1" x14ac:dyDescent="0.3">
      <c r="A1237" s="226"/>
      <c r="B1237" s="244"/>
      <c r="C1237" s="32" t="s">
        <v>39</v>
      </c>
      <c r="D1237" s="43" t="s">
        <v>12</v>
      </c>
      <c r="E1237" s="33">
        <v>0.5</v>
      </c>
      <c r="F1237" s="27">
        <v>24.300999999999998</v>
      </c>
      <c r="G1237" s="30">
        <f t="shared" si="20"/>
        <v>12.150499999999999</v>
      </c>
      <c r="H1237" s="31"/>
      <c r="I1237" s="27"/>
      <c r="J1237" s="141">
        <v>0</v>
      </c>
    </row>
    <row r="1238" spans="1:10" ht="15.75" hidden="1" thickBot="1" x14ac:dyDescent="0.3">
      <c r="A1238" s="227"/>
      <c r="B1238" s="230"/>
      <c r="C1238" s="32"/>
      <c r="D1238" s="32"/>
      <c r="E1238" s="33"/>
      <c r="F1238" s="27" t="s">
        <v>523</v>
      </c>
      <c r="G1238" s="27" t="str">
        <f t="shared" si="20"/>
        <v/>
      </c>
      <c r="H1238" s="31"/>
      <c r="I1238" s="27"/>
      <c r="J1238" s="141">
        <v>0</v>
      </c>
    </row>
    <row r="1239" spans="1:10" ht="15.75" hidden="1" thickBot="1" x14ac:dyDescent="0.3">
      <c r="A1239" s="225" t="s">
        <v>383</v>
      </c>
      <c r="B1239" s="228" t="str">
        <f>INDEX(Orçamentária!A:B,MATCH(Composições!A1239,Orçamentária!A:A,0),2)</f>
        <v>Acabamento para válvula de descarga 1 1/4"</v>
      </c>
      <c r="C1239" s="37"/>
      <c r="D1239" s="22" t="str">
        <f>TRIM(INDEX(Orçamentária!C:C,MATCH(Composições!A1239,Orçamentária!A:A,0),1))</f>
        <v>un</v>
      </c>
      <c r="E1239" s="23"/>
      <c r="F1239" s="38" t="s">
        <v>523</v>
      </c>
      <c r="G1239" s="24" t="str">
        <f t="shared" si="20"/>
        <v/>
      </c>
      <c r="H1239" s="25"/>
      <c r="I1239" s="26"/>
      <c r="J1239" s="141">
        <v>0</v>
      </c>
    </row>
    <row r="1240" spans="1:10" ht="15.75" hidden="1" thickBot="1" x14ac:dyDescent="0.3">
      <c r="A1240" s="226"/>
      <c r="B1240" s="244"/>
      <c r="C1240" s="28"/>
      <c r="D1240" s="28"/>
      <c r="E1240" s="29"/>
      <c r="F1240" s="39" t="s">
        <v>523</v>
      </c>
      <c r="G1240" s="27" t="str">
        <f t="shared" si="20"/>
        <v/>
      </c>
      <c r="H1240" s="31"/>
      <c r="I1240" s="27"/>
      <c r="J1240" s="141">
        <v>0</v>
      </c>
    </row>
    <row r="1241" spans="1:10" ht="15.75" hidden="1" thickBot="1" x14ac:dyDescent="0.3">
      <c r="A1241" s="226"/>
      <c r="B1241" s="244"/>
      <c r="C1241" s="157" t="s">
        <v>6667</v>
      </c>
      <c r="D1241" s="43" t="s">
        <v>144</v>
      </c>
      <c r="E1241" s="33">
        <v>1</v>
      </c>
      <c r="F1241" s="30" t="s">
        <v>523</v>
      </c>
      <c r="G1241" s="30" t="str">
        <f t="shared" si="20"/>
        <v/>
      </c>
      <c r="H1241" s="35">
        <f>SUM(G1241:G1243)</f>
        <v>21.698</v>
      </c>
      <c r="I1241" s="36"/>
      <c r="J1241" s="141">
        <v>0</v>
      </c>
    </row>
    <row r="1242" spans="1:10" ht="26.25" hidden="1" thickBot="1" x14ac:dyDescent="0.3">
      <c r="A1242" s="226"/>
      <c r="B1242" s="244"/>
      <c r="C1242" s="32" t="s">
        <v>107</v>
      </c>
      <c r="D1242" s="43" t="s">
        <v>12</v>
      </c>
      <c r="E1242" s="33">
        <v>0.5</v>
      </c>
      <c r="F1242" s="27">
        <v>19.094999999999999</v>
      </c>
      <c r="G1242" s="30">
        <f t="shared" si="20"/>
        <v>9.5474999999999994</v>
      </c>
      <c r="H1242" s="31"/>
      <c r="I1242" s="27"/>
      <c r="J1242" s="141">
        <v>0</v>
      </c>
    </row>
    <row r="1243" spans="1:10" ht="15.75" hidden="1" thickBot="1" x14ac:dyDescent="0.3">
      <c r="A1243" s="226"/>
      <c r="B1243" s="244"/>
      <c r="C1243" s="32" t="s">
        <v>39</v>
      </c>
      <c r="D1243" s="43" t="s">
        <v>12</v>
      </c>
      <c r="E1243" s="33">
        <v>0.5</v>
      </c>
      <c r="F1243" s="27">
        <v>24.300999999999998</v>
      </c>
      <c r="G1243" s="30">
        <f t="shared" si="20"/>
        <v>12.150499999999999</v>
      </c>
      <c r="H1243" s="31"/>
      <c r="I1243" s="27"/>
      <c r="J1243" s="141">
        <v>0</v>
      </c>
    </row>
    <row r="1244" spans="1:10" ht="15.75" hidden="1" thickBot="1" x14ac:dyDescent="0.3">
      <c r="A1244" s="227"/>
      <c r="B1244" s="230"/>
      <c r="C1244" s="32"/>
      <c r="D1244" s="32"/>
      <c r="E1244" s="33"/>
      <c r="F1244" s="27" t="s">
        <v>523</v>
      </c>
      <c r="G1244" s="27" t="str">
        <f t="shared" si="20"/>
        <v/>
      </c>
      <c r="H1244" s="31"/>
      <c r="I1244" s="27"/>
      <c r="J1244" s="141">
        <v>0</v>
      </c>
    </row>
    <row r="1245" spans="1:10" ht="15.75" hidden="1" thickBot="1" x14ac:dyDescent="0.3">
      <c r="A1245" s="225" t="s">
        <v>384</v>
      </c>
      <c r="B1245" s="228" t="str">
        <f>INDEX(Orçamentária!A:B,MATCH(Composições!A1245,Orçamentária!A:A,0),2)</f>
        <v>Válvula de escoamento para lavatório</v>
      </c>
      <c r="C1245" s="37"/>
      <c r="D1245" s="22" t="str">
        <f>TRIM(INDEX(Orçamentária!C:C,MATCH(Composições!A1245,Orçamentária!A:A,0),1))</f>
        <v>un</v>
      </c>
      <c r="E1245" s="23"/>
      <c r="F1245" s="38" t="s">
        <v>523</v>
      </c>
      <c r="G1245" s="24" t="str">
        <f t="shared" si="20"/>
        <v/>
      </c>
      <c r="H1245" s="25"/>
      <c r="I1245" s="26"/>
      <c r="J1245" s="141">
        <v>0</v>
      </c>
    </row>
    <row r="1246" spans="1:10" ht="15.75" hidden="1" thickBot="1" x14ac:dyDescent="0.3">
      <c r="A1246" s="226"/>
      <c r="B1246" s="244"/>
      <c r="C1246" s="28"/>
      <c r="D1246" s="28"/>
      <c r="E1246" s="29"/>
      <c r="F1246" s="39" t="s">
        <v>523</v>
      </c>
      <c r="G1246" s="27" t="str">
        <f t="shared" si="20"/>
        <v/>
      </c>
      <c r="H1246" s="31"/>
      <c r="I1246" s="27"/>
      <c r="J1246" s="141">
        <v>0</v>
      </c>
    </row>
    <row r="1247" spans="1:10" ht="15.75" hidden="1" thickBot="1" x14ac:dyDescent="0.3">
      <c r="A1247" s="226"/>
      <c r="B1247" s="244"/>
      <c r="C1247" s="32" t="s">
        <v>385</v>
      </c>
      <c r="D1247" s="43" t="s">
        <v>280</v>
      </c>
      <c r="E1247" s="33">
        <v>1</v>
      </c>
      <c r="F1247" s="30">
        <v>40.536499999999997</v>
      </c>
      <c r="G1247" s="30">
        <f t="shared" si="20"/>
        <v>40.536499999999997</v>
      </c>
      <c r="H1247" s="35">
        <f>SUM(G1247:G1250)</f>
        <v>45.984077400000004</v>
      </c>
      <c r="I1247" s="36"/>
      <c r="J1247" s="141">
        <v>0</v>
      </c>
    </row>
    <row r="1248" spans="1:10" ht="15.75" hidden="1" thickBot="1" x14ac:dyDescent="0.3">
      <c r="A1248" s="226"/>
      <c r="B1248" s="244"/>
      <c r="C1248" s="32" t="s">
        <v>343</v>
      </c>
      <c r="D1248" s="43" t="s">
        <v>280</v>
      </c>
      <c r="E1248" s="33">
        <v>4.8000000000000001E-2</v>
      </c>
      <c r="F1248" s="30">
        <v>4.3699999999999992</v>
      </c>
      <c r="G1248" s="30">
        <f t="shared" si="20"/>
        <v>0.20975999999999997</v>
      </c>
      <c r="H1248" s="31"/>
      <c r="I1248" s="27"/>
      <c r="J1248" s="141">
        <v>0</v>
      </c>
    </row>
    <row r="1249" spans="1:10" ht="15.75" hidden="1" thickBot="1" x14ac:dyDescent="0.3">
      <c r="A1249" s="226"/>
      <c r="B1249" s="244"/>
      <c r="C1249" s="32" t="s">
        <v>39</v>
      </c>
      <c r="D1249" s="43" t="s">
        <v>12</v>
      </c>
      <c r="E1249" s="33">
        <v>0.17399999999999999</v>
      </c>
      <c r="F1249" s="27">
        <v>24.300999999999998</v>
      </c>
      <c r="G1249" s="30">
        <f t="shared" si="20"/>
        <v>4.2283739999999996</v>
      </c>
      <c r="H1249" s="31"/>
      <c r="I1249" s="27"/>
      <c r="J1249" s="141">
        <v>0</v>
      </c>
    </row>
    <row r="1250" spans="1:10" ht="15.75" hidden="1" thickBot="1" x14ac:dyDescent="0.3">
      <c r="A1250" s="226"/>
      <c r="B1250" s="244"/>
      <c r="C1250" s="32" t="s">
        <v>23</v>
      </c>
      <c r="D1250" s="43" t="s">
        <v>12</v>
      </c>
      <c r="E1250" s="33">
        <v>5.4800000000000001E-2</v>
      </c>
      <c r="F1250" s="27">
        <v>18.420500000000001</v>
      </c>
      <c r="G1250" s="30">
        <f t="shared" si="20"/>
        <v>1.0094434000000001</v>
      </c>
      <c r="H1250" s="31"/>
      <c r="I1250" s="27"/>
      <c r="J1250" s="141">
        <v>0</v>
      </c>
    </row>
    <row r="1251" spans="1:10" ht="15.75" hidden="1" thickBot="1" x14ac:dyDescent="0.3">
      <c r="A1251" s="227"/>
      <c r="B1251" s="230"/>
      <c r="C1251" s="32"/>
      <c r="D1251" s="32"/>
      <c r="E1251" s="33"/>
      <c r="F1251" s="27" t="s">
        <v>523</v>
      </c>
      <c r="G1251" s="27" t="str">
        <f t="shared" si="20"/>
        <v/>
      </c>
      <c r="H1251" s="31"/>
      <c r="I1251" s="27"/>
      <c r="J1251" s="141">
        <v>0</v>
      </c>
    </row>
    <row r="1252" spans="1:10" ht="15.75" hidden="1" thickBot="1" x14ac:dyDescent="0.3">
      <c r="A1252" s="225" t="s">
        <v>386</v>
      </c>
      <c r="B1252" s="228" t="str">
        <f>INDEX(Orçamentária!A:B,MATCH(Composições!A1252,Orçamentária!A:A,0),2)</f>
        <v>Válvula de escoamento para tanque</v>
      </c>
      <c r="C1252" s="37"/>
      <c r="D1252" s="22" t="str">
        <f>TRIM(INDEX(Orçamentária!C:C,MATCH(Composições!A1252,Orçamentária!A:A,0),1))</f>
        <v>un</v>
      </c>
      <c r="E1252" s="23"/>
      <c r="F1252" s="38" t="s">
        <v>523</v>
      </c>
      <c r="G1252" s="24" t="str">
        <f t="shared" si="20"/>
        <v/>
      </c>
      <c r="H1252" s="25"/>
      <c r="I1252" s="26"/>
      <c r="J1252" s="141">
        <v>0</v>
      </c>
    </row>
    <row r="1253" spans="1:10" ht="15.75" hidden="1" thickBot="1" x14ac:dyDescent="0.3">
      <c r="A1253" s="226"/>
      <c r="B1253" s="244"/>
      <c r="C1253" s="28"/>
      <c r="D1253" s="28"/>
      <c r="E1253" s="29"/>
      <c r="F1253" s="39" t="s">
        <v>523</v>
      </c>
      <c r="G1253" s="27" t="str">
        <f t="shared" si="20"/>
        <v/>
      </c>
      <c r="H1253" s="31"/>
      <c r="I1253" s="27"/>
      <c r="J1253" s="141">
        <v>0</v>
      </c>
    </row>
    <row r="1254" spans="1:10" ht="15.75" hidden="1" thickBot="1" x14ac:dyDescent="0.3">
      <c r="A1254" s="226"/>
      <c r="B1254" s="244"/>
      <c r="C1254" s="32" t="s">
        <v>343</v>
      </c>
      <c r="D1254" s="43" t="s">
        <v>280</v>
      </c>
      <c r="E1254" s="33">
        <v>3.32E-2</v>
      </c>
      <c r="F1254" s="30">
        <v>4.3699999999999992</v>
      </c>
      <c r="G1254" s="30">
        <f t="shared" si="20"/>
        <v>0.14508399999999996</v>
      </c>
      <c r="H1254" s="35">
        <f>SUM(G1254:G1257)</f>
        <v>54.859182599999997</v>
      </c>
      <c r="I1254" s="36"/>
      <c r="J1254" s="141">
        <v>0</v>
      </c>
    </row>
    <row r="1255" spans="1:10" ht="26.25" hidden="1" thickBot="1" x14ac:dyDescent="0.3">
      <c r="A1255" s="226"/>
      <c r="B1255" s="244"/>
      <c r="C1255" s="32" t="s">
        <v>6706</v>
      </c>
      <c r="D1255" s="32" t="s">
        <v>20</v>
      </c>
      <c r="E1255" s="33">
        <v>1</v>
      </c>
      <c r="F1255" s="30">
        <v>51.005499999999998</v>
      </c>
      <c r="G1255" s="30">
        <f t="shared" si="20"/>
        <v>51.005499999999998</v>
      </c>
      <c r="H1255" s="31"/>
      <c r="I1255" s="27"/>
      <c r="J1255" s="141">
        <v>0</v>
      </c>
    </row>
    <row r="1256" spans="1:10" ht="15.75" hidden="1" thickBot="1" x14ac:dyDescent="0.3">
      <c r="A1256" s="226"/>
      <c r="B1256" s="244"/>
      <c r="C1256" s="32" t="s">
        <v>39</v>
      </c>
      <c r="D1256" s="43" t="s">
        <v>12</v>
      </c>
      <c r="E1256" s="33">
        <v>0.1232</v>
      </c>
      <c r="F1256" s="27">
        <v>24.300999999999998</v>
      </c>
      <c r="G1256" s="30">
        <f t="shared" si="20"/>
        <v>2.9938832</v>
      </c>
      <c r="H1256" s="31"/>
      <c r="I1256" s="27"/>
      <c r="J1256" s="141">
        <v>0</v>
      </c>
    </row>
    <row r="1257" spans="1:10" ht="15.75" hidden="1" thickBot="1" x14ac:dyDescent="0.3">
      <c r="A1257" s="226"/>
      <c r="B1257" s="244"/>
      <c r="C1257" s="32" t="s">
        <v>23</v>
      </c>
      <c r="D1257" s="32" t="s">
        <v>12</v>
      </c>
      <c r="E1257" s="33">
        <v>3.8800000000000001E-2</v>
      </c>
      <c r="F1257" s="27">
        <v>18.420500000000001</v>
      </c>
      <c r="G1257" s="30">
        <f t="shared" si="20"/>
        <v>0.7147154</v>
      </c>
      <c r="H1257" s="31"/>
      <c r="I1257" s="27"/>
      <c r="J1257" s="141">
        <v>0</v>
      </c>
    </row>
    <row r="1258" spans="1:10" ht="15.75" hidden="1" thickBot="1" x14ac:dyDescent="0.3">
      <c r="A1258" s="227"/>
      <c r="B1258" s="230"/>
      <c r="C1258" s="32"/>
      <c r="D1258" s="32"/>
      <c r="E1258" s="33"/>
      <c r="F1258" s="27" t="s">
        <v>523</v>
      </c>
      <c r="G1258" s="27" t="str">
        <f t="shared" si="20"/>
        <v/>
      </c>
      <c r="H1258" s="31"/>
      <c r="I1258" s="27"/>
      <c r="J1258" s="141">
        <v>0</v>
      </c>
    </row>
    <row r="1259" spans="1:10" ht="15.75" hidden="1" thickBot="1" x14ac:dyDescent="0.3">
      <c r="A1259" s="225" t="s">
        <v>387</v>
      </c>
      <c r="B1259" s="228" t="str">
        <f>INDEX(Orçamentária!A:B,MATCH(Composições!A1259,Orçamentária!A:A,0),2)</f>
        <v>Válvula descarga para mictório – Linha Administrativa</v>
      </c>
      <c r="C1259" s="37"/>
      <c r="D1259" s="22" t="str">
        <f>TRIM(INDEX(Orçamentária!C:C,MATCH(Composições!A1259,Orçamentária!A:A,0),1))</f>
        <v>un</v>
      </c>
      <c r="E1259" s="23"/>
      <c r="F1259" s="38" t="s">
        <v>523</v>
      </c>
      <c r="G1259" s="24" t="str">
        <f t="shared" si="20"/>
        <v/>
      </c>
      <c r="H1259" s="25"/>
      <c r="I1259" s="26"/>
      <c r="J1259" s="141">
        <v>0</v>
      </c>
    </row>
    <row r="1260" spans="1:10" ht="15.75" hidden="1" thickBot="1" x14ac:dyDescent="0.3">
      <c r="A1260" s="226"/>
      <c r="B1260" s="244"/>
      <c r="C1260" s="28"/>
      <c r="D1260" s="28"/>
      <c r="E1260" s="29"/>
      <c r="F1260" s="39" t="s">
        <v>523</v>
      </c>
      <c r="G1260" s="27" t="str">
        <f t="shared" si="20"/>
        <v/>
      </c>
      <c r="H1260" s="31"/>
      <c r="I1260" s="27"/>
      <c r="J1260" s="141">
        <v>0</v>
      </c>
    </row>
    <row r="1261" spans="1:10" ht="26.25" hidden="1" thickBot="1" x14ac:dyDescent="0.3">
      <c r="A1261" s="226"/>
      <c r="B1261" s="244"/>
      <c r="C1261" s="32" t="s">
        <v>388</v>
      </c>
      <c r="D1261" s="43" t="s">
        <v>280</v>
      </c>
      <c r="E1261" s="33">
        <v>1</v>
      </c>
      <c r="F1261" s="30">
        <v>224.5515</v>
      </c>
      <c r="G1261" s="27">
        <f t="shared" si="20"/>
        <v>224.5515</v>
      </c>
      <c r="H1261" s="35">
        <f>SUM(G1261:G1264)</f>
        <v>264.99781080000002</v>
      </c>
      <c r="I1261" s="36"/>
      <c r="J1261" s="141">
        <v>0</v>
      </c>
    </row>
    <row r="1262" spans="1:10" ht="15.75" hidden="1" thickBot="1" x14ac:dyDescent="0.3">
      <c r="A1262" s="226"/>
      <c r="B1262" s="244"/>
      <c r="C1262" s="32" t="s">
        <v>380</v>
      </c>
      <c r="D1262" s="46" t="s">
        <v>280</v>
      </c>
      <c r="E1262" s="33">
        <v>1.9199999999999998E-2</v>
      </c>
      <c r="F1262" s="30">
        <v>16.111999999999998</v>
      </c>
      <c r="G1262" s="27">
        <f t="shared" si="20"/>
        <v>0.30935039999999991</v>
      </c>
      <c r="H1262" s="31"/>
      <c r="I1262" s="27"/>
      <c r="J1262" s="141">
        <v>0</v>
      </c>
    </row>
    <row r="1263" spans="1:10" ht="26.25" hidden="1" thickBot="1" x14ac:dyDescent="0.3">
      <c r="A1263" s="226"/>
      <c r="B1263" s="244"/>
      <c r="C1263" s="32" t="s">
        <v>107</v>
      </c>
      <c r="D1263" s="43" t="s">
        <v>12</v>
      </c>
      <c r="E1263" s="33">
        <v>0.92490000000000006</v>
      </c>
      <c r="F1263" s="27">
        <v>19.094999999999999</v>
      </c>
      <c r="G1263" s="27">
        <f t="shared" si="20"/>
        <v>17.6609655</v>
      </c>
      <c r="H1263" s="31"/>
      <c r="I1263" s="27"/>
      <c r="J1263" s="141">
        <v>0</v>
      </c>
    </row>
    <row r="1264" spans="1:10" ht="15.75" hidden="1" thickBot="1" x14ac:dyDescent="0.3">
      <c r="A1264" s="226"/>
      <c r="B1264" s="244"/>
      <c r="C1264" s="32" t="s">
        <v>39</v>
      </c>
      <c r="D1264" s="43" t="s">
        <v>12</v>
      </c>
      <c r="E1264" s="33">
        <v>0.92490000000000006</v>
      </c>
      <c r="F1264" s="27">
        <v>24.300999999999998</v>
      </c>
      <c r="G1264" s="30">
        <f t="shared" si="20"/>
        <v>22.4759949</v>
      </c>
      <c r="H1264" s="31"/>
      <c r="I1264" s="27"/>
      <c r="J1264" s="141">
        <v>0</v>
      </c>
    </row>
    <row r="1265" spans="1:10" ht="15.75" hidden="1" thickBot="1" x14ac:dyDescent="0.3">
      <c r="A1265" s="227"/>
      <c r="B1265" s="230"/>
      <c r="C1265" s="32"/>
      <c r="D1265" s="32"/>
      <c r="E1265" s="33"/>
      <c r="F1265" s="27" t="s">
        <v>523</v>
      </c>
      <c r="G1265" s="27" t="str">
        <f t="shared" si="20"/>
        <v/>
      </c>
      <c r="H1265" s="31"/>
      <c r="I1265" s="27"/>
      <c r="J1265" s="141">
        <v>0</v>
      </c>
    </row>
    <row r="1266" spans="1:10" ht="15.75" hidden="1" thickBot="1" x14ac:dyDescent="0.3">
      <c r="A1266" s="225" t="s">
        <v>389</v>
      </c>
      <c r="B1266" s="228" t="str">
        <f>INDEX(Orçamentária!A:B,MATCH(Composições!A1266,Orçamentária!A:A,0),2)</f>
        <v>Alarme de emergência para sanitários PNE</v>
      </c>
      <c r="C1266" s="37"/>
      <c r="D1266" s="22" t="str">
        <f>TRIM(INDEX(Orçamentária!C:C,MATCH(Composições!A1266,Orçamentária!A:A,0),1))</f>
        <v>un</v>
      </c>
      <c r="E1266" s="23"/>
      <c r="F1266" s="38" t="s">
        <v>523</v>
      </c>
      <c r="G1266" s="24" t="str">
        <f t="shared" si="20"/>
        <v/>
      </c>
      <c r="H1266" s="25"/>
      <c r="I1266" s="26"/>
      <c r="J1266" s="141">
        <v>0</v>
      </c>
    </row>
    <row r="1267" spans="1:10" ht="15.75" hidden="1" thickBot="1" x14ac:dyDescent="0.3">
      <c r="A1267" s="226"/>
      <c r="B1267" s="244"/>
      <c r="C1267" s="28"/>
      <c r="D1267" s="28"/>
      <c r="E1267" s="29"/>
      <c r="F1267" s="39" t="s">
        <v>523</v>
      </c>
      <c r="G1267" s="27" t="str">
        <f t="shared" si="20"/>
        <v/>
      </c>
      <c r="H1267" s="31"/>
      <c r="I1267" s="27"/>
      <c r="J1267" s="141">
        <v>0</v>
      </c>
    </row>
    <row r="1268" spans="1:10" ht="15.75" hidden="1" thickBot="1" x14ac:dyDescent="0.3">
      <c r="A1268" s="226"/>
      <c r="B1268" s="244"/>
      <c r="C1268" s="32" t="s">
        <v>30</v>
      </c>
      <c r="D1268" s="32" t="s">
        <v>12</v>
      </c>
      <c r="E1268" s="33">
        <v>0.28999999999999998</v>
      </c>
      <c r="F1268" s="27">
        <v>25.146499999999996</v>
      </c>
      <c r="G1268" s="27">
        <f t="shared" si="20"/>
        <v>7.2924849999999983</v>
      </c>
      <c r="H1268" s="35">
        <f>SUM(G1268:G1270)</f>
        <v>12.920949999999998</v>
      </c>
      <c r="I1268" s="36"/>
      <c r="J1268" s="141">
        <v>0</v>
      </c>
    </row>
    <row r="1269" spans="1:10" ht="15.75" hidden="1" thickBot="1" x14ac:dyDescent="0.3">
      <c r="A1269" s="226"/>
      <c r="B1269" s="244"/>
      <c r="C1269" s="32" t="s">
        <v>74</v>
      </c>
      <c r="D1269" s="43" t="s">
        <v>12</v>
      </c>
      <c r="E1269" s="33">
        <v>0.28999999999999998</v>
      </c>
      <c r="F1269" s="27">
        <v>19.4085</v>
      </c>
      <c r="G1269" s="27">
        <f t="shared" si="20"/>
        <v>5.6284649999999994</v>
      </c>
      <c r="H1269" s="31"/>
      <c r="I1269" s="27"/>
      <c r="J1269" s="141">
        <v>0</v>
      </c>
    </row>
    <row r="1270" spans="1:10" ht="26.25" hidden="1" thickBot="1" x14ac:dyDescent="0.3">
      <c r="A1270" s="226"/>
      <c r="B1270" s="244"/>
      <c r="C1270" s="32" t="s">
        <v>390</v>
      </c>
      <c r="D1270" s="32" t="s">
        <v>144</v>
      </c>
      <c r="E1270" s="33">
        <v>1</v>
      </c>
      <c r="F1270" s="30" t="s">
        <v>523</v>
      </c>
      <c r="G1270" s="27" t="str">
        <f t="shared" si="20"/>
        <v/>
      </c>
      <c r="H1270" s="31"/>
      <c r="I1270" s="27"/>
      <c r="J1270" s="141">
        <v>0</v>
      </c>
    </row>
    <row r="1271" spans="1:10" ht="15.75" hidden="1" thickBot="1" x14ac:dyDescent="0.3">
      <c r="A1271" s="227"/>
      <c r="B1271" s="230"/>
      <c r="C1271" s="32"/>
      <c r="D1271" s="32"/>
      <c r="E1271" s="33"/>
      <c r="F1271" s="27" t="s">
        <v>523</v>
      </c>
      <c r="G1271" s="27" t="str">
        <f t="shared" si="20"/>
        <v/>
      </c>
      <c r="H1271" s="31"/>
      <c r="I1271" s="27"/>
      <c r="J1271" s="141">
        <v>0</v>
      </c>
    </row>
    <row r="1272" spans="1:10" ht="15.75" hidden="1" thickBot="1" x14ac:dyDescent="0.3">
      <c r="A1272" s="225" t="s">
        <v>391</v>
      </c>
      <c r="B1272" s="228" t="str">
        <f>INDEX(Orçamentária!A:B,MATCH(Composições!A1272,Orçamentária!A:A,0),2)</f>
        <v>Barra de apoio 40cm – Linha Acessibilidade</v>
      </c>
      <c r="C1272" s="37"/>
      <c r="D1272" s="22" t="str">
        <f>TRIM(INDEX(Orçamentária!C:C,MATCH(Composições!A1272,Orçamentária!A:A,0),1))</f>
        <v>un</v>
      </c>
      <c r="E1272" s="23"/>
      <c r="F1272" s="38" t="s">
        <v>523</v>
      </c>
      <c r="G1272" s="24" t="str">
        <f t="shared" si="20"/>
        <v/>
      </c>
      <c r="H1272" s="25"/>
      <c r="I1272" s="26"/>
      <c r="J1272" s="141">
        <v>0</v>
      </c>
    </row>
    <row r="1273" spans="1:10" ht="15.75" hidden="1" thickBot="1" x14ac:dyDescent="0.3">
      <c r="A1273" s="226"/>
      <c r="B1273" s="244"/>
      <c r="C1273" s="28"/>
      <c r="D1273" s="28"/>
      <c r="E1273" s="29"/>
      <c r="F1273" s="39" t="s">
        <v>523</v>
      </c>
      <c r="G1273" s="27" t="str">
        <f t="shared" si="20"/>
        <v/>
      </c>
      <c r="H1273" s="31"/>
      <c r="I1273" s="27"/>
      <c r="J1273" s="141">
        <v>0</v>
      </c>
    </row>
    <row r="1274" spans="1:10" ht="26.25" hidden="1" thickBot="1" x14ac:dyDescent="0.3">
      <c r="A1274" s="226"/>
      <c r="B1274" s="244"/>
      <c r="C1274" s="32" t="s">
        <v>392</v>
      </c>
      <c r="D1274" s="43" t="s">
        <v>144</v>
      </c>
      <c r="E1274" s="33">
        <v>1</v>
      </c>
      <c r="F1274" s="30" t="s">
        <v>523</v>
      </c>
      <c r="G1274" s="30" t="str">
        <f t="shared" si="20"/>
        <v/>
      </c>
      <c r="H1274" s="35">
        <f>SUM(G1274:G1277)</f>
        <v>46.844499999999996</v>
      </c>
      <c r="I1274" s="36"/>
      <c r="J1274" s="141">
        <v>0</v>
      </c>
    </row>
    <row r="1275" spans="1:10" ht="26.25" hidden="1" thickBot="1" x14ac:dyDescent="0.3">
      <c r="A1275" s="226"/>
      <c r="B1275" s="244"/>
      <c r="C1275" s="32" t="s">
        <v>393</v>
      </c>
      <c r="D1275" s="43" t="s">
        <v>280</v>
      </c>
      <c r="E1275" s="33">
        <v>6</v>
      </c>
      <c r="F1275" s="30">
        <v>0.58899999999999997</v>
      </c>
      <c r="G1275" s="30">
        <f t="shared" si="20"/>
        <v>3.5339999999999998</v>
      </c>
      <c r="H1275" s="31"/>
      <c r="I1275" s="27"/>
      <c r="J1275" s="141">
        <v>0</v>
      </c>
    </row>
    <row r="1276" spans="1:10" ht="15.75" hidden="1" thickBot="1" x14ac:dyDescent="0.3">
      <c r="A1276" s="226"/>
      <c r="B1276" s="244"/>
      <c r="C1276" s="32" t="s">
        <v>22</v>
      </c>
      <c r="D1276" s="32" t="s">
        <v>12</v>
      </c>
      <c r="E1276" s="33">
        <v>1</v>
      </c>
      <c r="F1276" s="27">
        <v>24.889999999999997</v>
      </c>
      <c r="G1276" s="30">
        <f t="shared" si="20"/>
        <v>24.889999999999997</v>
      </c>
      <c r="H1276" s="31"/>
      <c r="I1276" s="27"/>
      <c r="J1276" s="141">
        <v>0</v>
      </c>
    </row>
    <row r="1277" spans="1:10" ht="15.75" hidden="1" thickBot="1" x14ac:dyDescent="0.3">
      <c r="A1277" s="226"/>
      <c r="B1277" s="244"/>
      <c r="C1277" s="32" t="s">
        <v>23</v>
      </c>
      <c r="D1277" s="32" t="s">
        <v>12</v>
      </c>
      <c r="E1277" s="33">
        <v>1</v>
      </c>
      <c r="F1277" s="27">
        <v>18.420500000000001</v>
      </c>
      <c r="G1277" s="30">
        <f t="shared" si="20"/>
        <v>18.420500000000001</v>
      </c>
      <c r="H1277" s="31"/>
      <c r="I1277" s="27"/>
      <c r="J1277" s="141">
        <v>0</v>
      </c>
    </row>
    <row r="1278" spans="1:10" ht="15.75" hidden="1" thickBot="1" x14ac:dyDescent="0.3">
      <c r="A1278" s="227"/>
      <c r="B1278" s="230"/>
      <c r="C1278" s="32"/>
      <c r="D1278" s="32"/>
      <c r="E1278" s="33"/>
      <c r="F1278" s="27" t="s">
        <v>523</v>
      </c>
      <c r="G1278" s="27" t="str">
        <f t="shared" si="20"/>
        <v/>
      </c>
      <c r="H1278" s="31"/>
      <c r="I1278" s="27"/>
      <c r="J1278" s="141">
        <v>0</v>
      </c>
    </row>
    <row r="1279" spans="1:10" ht="15.75" hidden="1" thickBot="1" x14ac:dyDescent="0.3">
      <c r="A1279" s="225" t="s">
        <v>394</v>
      </c>
      <c r="B1279" s="228" t="str">
        <f>INDEX(Orçamentária!A:B,MATCH(Composições!A1279,Orçamentária!A:A,0),2)</f>
        <v>Barra de apoio 70cm – Linha Acessibilidade</v>
      </c>
      <c r="C1279" s="37"/>
      <c r="D1279" s="22" t="str">
        <f>TRIM(INDEX(Orçamentária!C:C,MATCH(Composições!A1279,Orçamentária!A:A,0),1))</f>
        <v>un</v>
      </c>
      <c r="E1279" s="23"/>
      <c r="F1279" s="38" t="s">
        <v>523</v>
      </c>
      <c r="G1279" s="24" t="str">
        <f t="shared" si="20"/>
        <v/>
      </c>
      <c r="H1279" s="25"/>
      <c r="I1279" s="26"/>
      <c r="J1279" s="141">
        <v>0</v>
      </c>
    </row>
    <row r="1280" spans="1:10" ht="15.75" hidden="1" thickBot="1" x14ac:dyDescent="0.3">
      <c r="A1280" s="226"/>
      <c r="B1280" s="244"/>
      <c r="C1280" s="28"/>
      <c r="D1280" s="28"/>
      <c r="E1280" s="29"/>
      <c r="F1280" s="39" t="s">
        <v>523</v>
      </c>
      <c r="G1280" s="27" t="str">
        <f t="shared" si="20"/>
        <v/>
      </c>
      <c r="H1280" s="31"/>
      <c r="I1280" s="27"/>
      <c r="J1280" s="141">
        <v>0</v>
      </c>
    </row>
    <row r="1281" spans="1:10" ht="26.25" hidden="1" thickBot="1" x14ac:dyDescent="0.3">
      <c r="A1281" s="226"/>
      <c r="B1281" s="244"/>
      <c r="C1281" s="32" t="s">
        <v>395</v>
      </c>
      <c r="D1281" s="43" t="s">
        <v>144</v>
      </c>
      <c r="E1281" s="33">
        <v>1</v>
      </c>
      <c r="F1281" s="30" t="s">
        <v>523</v>
      </c>
      <c r="G1281" s="30" t="str">
        <f t="shared" si="20"/>
        <v/>
      </c>
      <c r="H1281" s="35">
        <f>SUM(G1281:G1284)</f>
        <v>46.844499999999996</v>
      </c>
      <c r="I1281" s="36"/>
      <c r="J1281" s="141">
        <v>0</v>
      </c>
    </row>
    <row r="1282" spans="1:10" ht="26.25" hidden="1" thickBot="1" x14ac:dyDescent="0.3">
      <c r="A1282" s="226"/>
      <c r="B1282" s="244"/>
      <c r="C1282" s="32" t="s">
        <v>393</v>
      </c>
      <c r="D1282" s="43" t="s">
        <v>280</v>
      </c>
      <c r="E1282" s="33">
        <v>6</v>
      </c>
      <c r="F1282" s="30">
        <v>0.58899999999999997</v>
      </c>
      <c r="G1282" s="30">
        <f t="shared" si="20"/>
        <v>3.5339999999999998</v>
      </c>
      <c r="H1282" s="31"/>
      <c r="I1282" s="27"/>
      <c r="J1282" s="141">
        <v>0</v>
      </c>
    </row>
    <row r="1283" spans="1:10" ht="15.75" hidden="1" thickBot="1" x14ac:dyDescent="0.3">
      <c r="A1283" s="226"/>
      <c r="B1283" s="244"/>
      <c r="C1283" s="32" t="s">
        <v>22</v>
      </c>
      <c r="D1283" s="32" t="s">
        <v>12</v>
      </c>
      <c r="E1283" s="33">
        <v>1</v>
      </c>
      <c r="F1283" s="27">
        <v>24.889999999999997</v>
      </c>
      <c r="G1283" s="30">
        <f t="shared" si="20"/>
        <v>24.889999999999997</v>
      </c>
      <c r="H1283" s="31"/>
      <c r="I1283" s="27"/>
      <c r="J1283" s="141">
        <v>0</v>
      </c>
    </row>
    <row r="1284" spans="1:10" ht="15.75" hidden="1" thickBot="1" x14ac:dyDescent="0.3">
      <c r="A1284" s="226"/>
      <c r="B1284" s="244"/>
      <c r="C1284" s="32" t="s">
        <v>23</v>
      </c>
      <c r="D1284" s="32" t="s">
        <v>12</v>
      </c>
      <c r="E1284" s="33">
        <v>1</v>
      </c>
      <c r="F1284" s="27">
        <v>18.420500000000001</v>
      </c>
      <c r="G1284" s="30">
        <f t="shared" si="20"/>
        <v>18.420500000000001</v>
      </c>
      <c r="H1284" s="31"/>
      <c r="I1284" s="27"/>
      <c r="J1284" s="141">
        <v>0</v>
      </c>
    </row>
    <row r="1285" spans="1:10" ht="15.75" hidden="1" thickBot="1" x14ac:dyDescent="0.3">
      <c r="A1285" s="227"/>
      <c r="B1285" s="230"/>
      <c r="C1285" s="32"/>
      <c r="D1285" s="32"/>
      <c r="E1285" s="33"/>
      <c r="F1285" s="27" t="s">
        <v>523</v>
      </c>
      <c r="G1285" s="27" t="str">
        <f t="shared" si="20"/>
        <v/>
      </c>
      <c r="H1285" s="31"/>
      <c r="I1285" s="27"/>
      <c r="J1285" s="141">
        <v>0</v>
      </c>
    </row>
    <row r="1286" spans="1:10" ht="15.75" hidden="1" thickBot="1" x14ac:dyDescent="0.3">
      <c r="A1286" s="225" t="s">
        <v>396</v>
      </c>
      <c r="B1286" s="228" t="str">
        <f>INDEX(Orçamentária!A:B,MATCH(Composições!A1286,Orçamentária!A:A,0),2)</f>
        <v>Barra de apoio 80cm – Linha Acessibilidade</v>
      </c>
      <c r="C1286" s="37"/>
      <c r="D1286" s="22" t="str">
        <f>TRIM(INDEX(Orçamentária!C:C,MATCH(Composições!A1286,Orçamentária!A:A,0),1))</f>
        <v>un</v>
      </c>
      <c r="E1286" s="23"/>
      <c r="F1286" s="38" t="s">
        <v>523</v>
      </c>
      <c r="G1286" s="24" t="str">
        <f t="shared" si="20"/>
        <v/>
      </c>
      <c r="H1286" s="25"/>
      <c r="I1286" s="26"/>
      <c r="J1286" s="141">
        <v>0</v>
      </c>
    </row>
    <row r="1287" spans="1:10" ht="15.75" hidden="1" thickBot="1" x14ac:dyDescent="0.3">
      <c r="A1287" s="226"/>
      <c r="B1287" s="244"/>
      <c r="C1287" s="28"/>
      <c r="D1287" s="28"/>
      <c r="E1287" s="29"/>
      <c r="F1287" s="39" t="s">
        <v>523</v>
      </c>
      <c r="G1287" s="27" t="str">
        <f t="shared" si="20"/>
        <v/>
      </c>
      <c r="H1287" s="31"/>
      <c r="I1287" s="27"/>
      <c r="J1287" s="141">
        <v>0</v>
      </c>
    </row>
    <row r="1288" spans="1:10" ht="26.25" hidden="1" thickBot="1" x14ac:dyDescent="0.3">
      <c r="A1288" s="226"/>
      <c r="B1288" s="244"/>
      <c r="C1288" s="32" t="s">
        <v>397</v>
      </c>
      <c r="D1288" s="43" t="s">
        <v>144</v>
      </c>
      <c r="E1288" s="33">
        <v>1</v>
      </c>
      <c r="F1288" s="30" t="s">
        <v>523</v>
      </c>
      <c r="G1288" s="30" t="str">
        <f t="shared" si="20"/>
        <v/>
      </c>
      <c r="H1288" s="35">
        <f>SUM(G1288:G1291)</f>
        <v>46.844499999999996</v>
      </c>
      <c r="I1288" s="36"/>
      <c r="J1288" s="141">
        <v>0</v>
      </c>
    </row>
    <row r="1289" spans="1:10" ht="26.25" hidden="1" thickBot="1" x14ac:dyDescent="0.3">
      <c r="A1289" s="226"/>
      <c r="B1289" s="244"/>
      <c r="C1289" s="32" t="s">
        <v>393</v>
      </c>
      <c r="D1289" s="43" t="s">
        <v>280</v>
      </c>
      <c r="E1289" s="33">
        <v>6</v>
      </c>
      <c r="F1289" s="30">
        <v>0.58899999999999997</v>
      </c>
      <c r="G1289" s="30">
        <f t="shared" si="20"/>
        <v>3.5339999999999998</v>
      </c>
      <c r="H1289" s="31"/>
      <c r="I1289" s="27"/>
      <c r="J1289" s="141">
        <v>0</v>
      </c>
    </row>
    <row r="1290" spans="1:10" ht="15.75" hidden="1" thickBot="1" x14ac:dyDescent="0.3">
      <c r="A1290" s="226"/>
      <c r="B1290" s="244"/>
      <c r="C1290" s="32" t="s">
        <v>22</v>
      </c>
      <c r="D1290" s="32" t="s">
        <v>12</v>
      </c>
      <c r="E1290" s="33">
        <v>1</v>
      </c>
      <c r="F1290" s="27">
        <v>24.889999999999997</v>
      </c>
      <c r="G1290" s="30">
        <f t="shared" si="20"/>
        <v>24.889999999999997</v>
      </c>
      <c r="H1290" s="31"/>
      <c r="I1290" s="27"/>
      <c r="J1290" s="141">
        <v>0</v>
      </c>
    </row>
    <row r="1291" spans="1:10" ht="15.75" hidden="1" thickBot="1" x14ac:dyDescent="0.3">
      <c r="A1291" s="226"/>
      <c r="B1291" s="244"/>
      <c r="C1291" s="32" t="s">
        <v>23</v>
      </c>
      <c r="D1291" s="32" t="s">
        <v>12</v>
      </c>
      <c r="E1291" s="33">
        <v>1</v>
      </c>
      <c r="F1291" s="27">
        <v>18.420500000000001</v>
      </c>
      <c r="G1291" s="30">
        <f t="shared" si="20"/>
        <v>18.420500000000001</v>
      </c>
      <c r="H1291" s="31"/>
      <c r="I1291" s="27"/>
      <c r="J1291" s="141">
        <v>0</v>
      </c>
    </row>
    <row r="1292" spans="1:10" ht="15.75" hidden="1" thickBot="1" x14ac:dyDescent="0.3">
      <c r="A1292" s="227"/>
      <c r="B1292" s="230"/>
      <c r="C1292" s="32"/>
      <c r="D1292" s="32"/>
      <c r="E1292" s="33"/>
      <c r="F1292" s="27" t="s">
        <v>523</v>
      </c>
      <c r="G1292" s="27" t="str">
        <f t="shared" si="20"/>
        <v/>
      </c>
      <c r="H1292" s="31"/>
      <c r="I1292" s="27"/>
      <c r="J1292" s="141">
        <v>0</v>
      </c>
    </row>
    <row r="1293" spans="1:10" ht="15.75" hidden="1" thickBot="1" x14ac:dyDescent="0.3">
      <c r="A1293" s="225" t="s">
        <v>398</v>
      </c>
      <c r="B1293" s="228" t="str">
        <f>INDEX(Orçamentária!A:B,MATCH(Composições!A1293,Orçamentária!A:A,0),2)</f>
        <v>Barra de apoio lateral fixa 30cm – Linha Acessibilidade</v>
      </c>
      <c r="C1293" s="37"/>
      <c r="D1293" s="22" t="str">
        <f>TRIM(INDEX(Orçamentária!C:C,MATCH(Composições!A1293,Orçamentária!A:A,0),1))</f>
        <v>un</v>
      </c>
      <c r="E1293" s="23"/>
      <c r="F1293" s="38" t="s">
        <v>523</v>
      </c>
      <c r="G1293" s="24" t="str">
        <f t="shared" si="20"/>
        <v/>
      </c>
      <c r="H1293" s="25"/>
      <c r="I1293" s="26"/>
      <c r="J1293" s="141">
        <v>0</v>
      </c>
    </row>
    <row r="1294" spans="1:10" ht="15.75" hidden="1" thickBot="1" x14ac:dyDescent="0.3">
      <c r="A1294" s="226"/>
      <c r="B1294" s="244"/>
      <c r="C1294" s="28"/>
      <c r="D1294" s="28"/>
      <c r="E1294" s="29"/>
      <c r="F1294" s="39" t="s">
        <v>523</v>
      </c>
      <c r="G1294" s="27" t="str">
        <f t="shared" si="20"/>
        <v/>
      </c>
      <c r="H1294" s="31"/>
      <c r="I1294" s="27"/>
      <c r="J1294" s="141">
        <v>0</v>
      </c>
    </row>
    <row r="1295" spans="1:10" ht="15.75" hidden="1" thickBot="1" x14ac:dyDescent="0.3">
      <c r="A1295" s="226"/>
      <c r="B1295" s="244"/>
      <c r="C1295" s="32" t="s">
        <v>22</v>
      </c>
      <c r="D1295" s="32" t="s">
        <v>12</v>
      </c>
      <c r="E1295" s="33">
        <v>1</v>
      </c>
      <c r="F1295" s="27">
        <v>24.889999999999997</v>
      </c>
      <c r="G1295" s="30">
        <f t="shared" si="20"/>
        <v>24.889999999999997</v>
      </c>
      <c r="H1295" s="35">
        <f>SUM(G1295:G1298)</f>
        <v>46.844499999999996</v>
      </c>
      <c r="I1295" s="36"/>
      <c r="J1295" s="141">
        <v>0</v>
      </c>
    </row>
    <row r="1296" spans="1:10" ht="15.75" hidden="1" thickBot="1" x14ac:dyDescent="0.3">
      <c r="A1296" s="226"/>
      <c r="B1296" s="244"/>
      <c r="C1296" s="32" t="s">
        <v>23</v>
      </c>
      <c r="D1296" s="32" t="s">
        <v>12</v>
      </c>
      <c r="E1296" s="33">
        <v>1</v>
      </c>
      <c r="F1296" s="27">
        <v>18.420500000000001</v>
      </c>
      <c r="G1296" s="30">
        <f t="shared" si="20"/>
        <v>18.420500000000001</v>
      </c>
      <c r="H1296" s="31"/>
      <c r="I1296" s="27"/>
      <c r="J1296" s="141">
        <v>0</v>
      </c>
    </row>
    <row r="1297" spans="1:10" ht="26.25" hidden="1" thickBot="1" x14ac:dyDescent="0.3">
      <c r="A1297" s="226"/>
      <c r="B1297" s="244"/>
      <c r="C1297" s="32" t="s">
        <v>399</v>
      </c>
      <c r="D1297" s="32" t="s">
        <v>20</v>
      </c>
      <c r="E1297" s="33">
        <v>1</v>
      </c>
      <c r="F1297" s="30" t="s">
        <v>523</v>
      </c>
      <c r="G1297" s="27" t="str">
        <f t="shared" si="20"/>
        <v/>
      </c>
      <c r="H1297" s="31"/>
      <c r="I1297" s="27"/>
      <c r="J1297" s="141">
        <v>0</v>
      </c>
    </row>
    <row r="1298" spans="1:10" ht="26.25" hidden="1" thickBot="1" x14ac:dyDescent="0.3">
      <c r="A1298" s="226"/>
      <c r="B1298" s="244"/>
      <c r="C1298" s="32" t="s">
        <v>393</v>
      </c>
      <c r="D1298" s="43" t="s">
        <v>280</v>
      </c>
      <c r="E1298" s="33">
        <v>6</v>
      </c>
      <c r="F1298" s="30">
        <v>0.58899999999999997</v>
      </c>
      <c r="G1298" s="30">
        <f t="shared" ref="G1298:G1361" si="21">IF(ISNUMBER(F1298),E1298*F1298,"")</f>
        <v>3.5339999999999998</v>
      </c>
      <c r="H1298" s="31"/>
      <c r="I1298" s="27"/>
      <c r="J1298" s="141">
        <v>0</v>
      </c>
    </row>
    <row r="1299" spans="1:10" ht="15.75" hidden="1" thickBot="1" x14ac:dyDescent="0.3">
      <c r="A1299" s="227"/>
      <c r="B1299" s="230"/>
      <c r="C1299" s="32"/>
      <c r="D1299" s="32"/>
      <c r="E1299" s="33"/>
      <c r="F1299" s="27" t="s">
        <v>523</v>
      </c>
      <c r="G1299" s="27" t="str">
        <f t="shared" si="21"/>
        <v/>
      </c>
      <c r="H1299" s="31"/>
      <c r="I1299" s="27"/>
      <c r="J1299" s="141">
        <v>0</v>
      </c>
    </row>
    <row r="1300" spans="1:10" ht="15.75" hidden="1" thickBot="1" x14ac:dyDescent="0.3">
      <c r="A1300" s="225" t="s">
        <v>400</v>
      </c>
      <c r="B1300" s="228" t="str">
        <f>INDEX(Orçamentária!A:B,MATCH(Composições!A1300,Orçamentária!A:A,0),2)</f>
        <v>Lavatório suspenso – Linha Acessibilidade</v>
      </c>
      <c r="C1300" s="37"/>
      <c r="D1300" s="22" t="str">
        <f>TRIM(INDEX(Orçamentária!C:C,MATCH(Composições!A1300,Orçamentária!A:A,0),1))</f>
        <v>un</v>
      </c>
      <c r="E1300" s="23"/>
      <c r="F1300" s="38" t="s">
        <v>523</v>
      </c>
      <c r="G1300" s="24" t="str">
        <f t="shared" si="21"/>
        <v/>
      </c>
      <c r="H1300" s="25"/>
      <c r="I1300" s="26"/>
      <c r="J1300" s="141">
        <v>0</v>
      </c>
    </row>
    <row r="1301" spans="1:10" ht="15.75" hidden="1" thickBot="1" x14ac:dyDescent="0.3">
      <c r="A1301" s="226"/>
      <c r="B1301" s="244"/>
      <c r="C1301" s="28"/>
      <c r="D1301" s="28"/>
      <c r="E1301" s="29"/>
      <c r="F1301" s="39" t="s">
        <v>523</v>
      </c>
      <c r="G1301" s="27" t="str">
        <f t="shared" si="21"/>
        <v/>
      </c>
      <c r="H1301" s="31"/>
      <c r="I1301" s="27"/>
      <c r="J1301" s="141">
        <v>0</v>
      </c>
    </row>
    <row r="1302" spans="1:10" ht="26.25" hidden="1" thickBot="1" x14ac:dyDescent="0.3">
      <c r="A1302" s="226"/>
      <c r="B1302" s="244"/>
      <c r="C1302" s="32" t="s">
        <v>401</v>
      </c>
      <c r="D1302" s="43" t="s">
        <v>144</v>
      </c>
      <c r="E1302" s="33">
        <v>1</v>
      </c>
      <c r="F1302" s="30" t="s">
        <v>523</v>
      </c>
      <c r="G1302" s="30" t="str">
        <f t="shared" si="21"/>
        <v/>
      </c>
      <c r="H1302" s="35">
        <f>SUM(G1302:G1306)</f>
        <v>45.566010900000009</v>
      </c>
      <c r="I1302" s="36"/>
      <c r="J1302" s="141">
        <v>0</v>
      </c>
    </row>
    <row r="1303" spans="1:10" ht="26.25" hidden="1" thickBot="1" x14ac:dyDescent="0.3">
      <c r="A1303" s="226"/>
      <c r="B1303" s="244"/>
      <c r="C1303" s="32" t="s">
        <v>341</v>
      </c>
      <c r="D1303" s="43" t="s">
        <v>280</v>
      </c>
      <c r="E1303" s="33">
        <v>2</v>
      </c>
      <c r="F1303" s="30">
        <v>15.361500000000001</v>
      </c>
      <c r="G1303" s="30">
        <f t="shared" si="21"/>
        <v>30.723000000000003</v>
      </c>
      <c r="H1303" s="31"/>
      <c r="I1303" s="27"/>
      <c r="J1303" s="141">
        <v>0</v>
      </c>
    </row>
    <row r="1304" spans="1:10" ht="15.75" hidden="1" thickBot="1" x14ac:dyDescent="0.3">
      <c r="A1304" s="226"/>
      <c r="B1304" s="244"/>
      <c r="C1304" s="32" t="s">
        <v>3539</v>
      </c>
      <c r="D1304" s="43" t="s">
        <v>42</v>
      </c>
      <c r="E1304" s="33">
        <v>3.04E-2</v>
      </c>
      <c r="F1304" s="30">
        <v>64.619</v>
      </c>
      <c r="G1304" s="30">
        <f t="shared" si="21"/>
        <v>1.9644176</v>
      </c>
      <c r="H1304" s="31"/>
      <c r="I1304" s="27"/>
      <c r="J1304" s="141">
        <v>0</v>
      </c>
    </row>
    <row r="1305" spans="1:10" ht="15.75" hidden="1" thickBot="1" x14ac:dyDescent="0.3">
      <c r="A1305" s="226"/>
      <c r="B1305" s="244"/>
      <c r="C1305" s="32" t="s">
        <v>39</v>
      </c>
      <c r="D1305" s="43" t="s">
        <v>12</v>
      </c>
      <c r="E1305" s="33">
        <v>0.38700000000000001</v>
      </c>
      <c r="F1305" s="27">
        <v>24.300999999999998</v>
      </c>
      <c r="G1305" s="30">
        <f t="shared" si="21"/>
        <v>9.4044869999999996</v>
      </c>
      <c r="H1305" s="31"/>
      <c r="I1305" s="27"/>
      <c r="J1305" s="141">
        <v>0</v>
      </c>
    </row>
    <row r="1306" spans="1:10" ht="15.75" hidden="1" thickBot="1" x14ac:dyDescent="0.3">
      <c r="A1306" s="226"/>
      <c r="B1306" s="244"/>
      <c r="C1306" s="32" t="s">
        <v>23</v>
      </c>
      <c r="D1306" s="43" t="s">
        <v>12</v>
      </c>
      <c r="E1306" s="33">
        <v>0.18859999999999999</v>
      </c>
      <c r="F1306" s="27">
        <v>18.420500000000001</v>
      </c>
      <c r="G1306" s="30">
        <f t="shared" si="21"/>
        <v>3.4741062999999999</v>
      </c>
      <c r="H1306" s="31"/>
      <c r="I1306" s="27"/>
      <c r="J1306" s="141">
        <v>0</v>
      </c>
    </row>
    <row r="1307" spans="1:10" ht="15.75" hidden="1" thickBot="1" x14ac:dyDescent="0.3">
      <c r="A1307" s="227"/>
      <c r="B1307" s="230"/>
      <c r="C1307" s="32"/>
      <c r="D1307" s="32"/>
      <c r="E1307" s="33"/>
      <c r="F1307" s="27" t="s">
        <v>523</v>
      </c>
      <c r="G1307" s="27" t="str">
        <f t="shared" si="21"/>
        <v/>
      </c>
      <c r="H1307" s="31"/>
      <c r="I1307" s="27"/>
      <c r="J1307" s="141">
        <v>0</v>
      </c>
    </row>
    <row r="1308" spans="1:10" ht="15.75" hidden="1" thickBot="1" x14ac:dyDescent="0.3">
      <c r="A1308" s="225" t="s">
        <v>402</v>
      </c>
      <c r="B1308" s="228" t="str">
        <f>INDEX(Orçamentária!A:B,MATCH(Composições!A1308,Orçamentária!A:A,0),2)</f>
        <v>Lavatório suspenso com Coluna – Linha Acessibilidade</v>
      </c>
      <c r="C1308" s="37"/>
      <c r="D1308" s="22" t="str">
        <f>TRIM(INDEX(Orçamentária!C:C,MATCH(Composições!A1308,Orçamentária!A:A,0),1))</f>
        <v>un</v>
      </c>
      <c r="E1308" s="23"/>
      <c r="F1308" s="38" t="s">
        <v>523</v>
      </c>
      <c r="G1308" s="24" t="str">
        <f t="shared" si="21"/>
        <v/>
      </c>
      <c r="H1308" s="25"/>
      <c r="I1308" s="26"/>
      <c r="J1308" s="141">
        <v>0</v>
      </c>
    </row>
    <row r="1309" spans="1:10" ht="15.75" hidden="1" thickBot="1" x14ac:dyDescent="0.3">
      <c r="A1309" s="226"/>
      <c r="B1309" s="244"/>
      <c r="C1309" s="28"/>
      <c r="D1309" s="28"/>
      <c r="E1309" s="29"/>
      <c r="F1309" s="39" t="s">
        <v>523</v>
      </c>
      <c r="G1309" s="27" t="str">
        <f t="shared" si="21"/>
        <v/>
      </c>
      <c r="H1309" s="31"/>
      <c r="I1309" s="27"/>
      <c r="J1309" s="141">
        <v>0</v>
      </c>
    </row>
    <row r="1310" spans="1:10" ht="15.75" hidden="1" thickBot="1" x14ac:dyDescent="0.3">
      <c r="A1310" s="226"/>
      <c r="B1310" s="244"/>
      <c r="C1310" s="32" t="s">
        <v>39</v>
      </c>
      <c r="D1310" s="43" t="s">
        <v>12</v>
      </c>
      <c r="E1310" s="33">
        <v>1.4666999999999999</v>
      </c>
      <c r="F1310" s="27">
        <v>24.300999999999998</v>
      </c>
      <c r="G1310" s="30">
        <f t="shared" si="21"/>
        <v>35.642276699999996</v>
      </c>
      <c r="H1310" s="35">
        <f>SUM(G1310:G1315)</f>
        <v>145.41192194999999</v>
      </c>
      <c r="I1310" s="36"/>
      <c r="J1310" s="141">
        <v>0</v>
      </c>
    </row>
    <row r="1311" spans="1:10" ht="15.75" hidden="1" thickBot="1" x14ac:dyDescent="0.3">
      <c r="A1311" s="226"/>
      <c r="B1311" s="244"/>
      <c r="C1311" s="32" t="s">
        <v>23</v>
      </c>
      <c r="D1311" s="43" t="s">
        <v>12</v>
      </c>
      <c r="E1311" s="33">
        <v>0.65169999999999995</v>
      </c>
      <c r="F1311" s="27">
        <v>18.420500000000001</v>
      </c>
      <c r="G1311" s="30">
        <f t="shared" si="21"/>
        <v>12.00463985</v>
      </c>
      <c r="H1311" s="31"/>
      <c r="I1311" s="27"/>
      <c r="J1311" s="141">
        <v>0</v>
      </c>
    </row>
    <row r="1312" spans="1:10" ht="26.25" hidden="1" thickBot="1" x14ac:dyDescent="0.3">
      <c r="A1312" s="226"/>
      <c r="B1312" s="244"/>
      <c r="C1312" s="32" t="s">
        <v>401</v>
      </c>
      <c r="D1312" s="43" t="s">
        <v>144</v>
      </c>
      <c r="E1312" s="33">
        <v>1</v>
      </c>
      <c r="F1312" s="30" t="s">
        <v>523</v>
      </c>
      <c r="G1312" s="30" t="str">
        <f t="shared" si="21"/>
        <v/>
      </c>
      <c r="H1312" s="31"/>
      <c r="I1312" s="27"/>
      <c r="J1312" s="141">
        <v>0</v>
      </c>
    </row>
    <row r="1313" spans="1:10" ht="26.25" hidden="1" thickBot="1" x14ac:dyDescent="0.3">
      <c r="A1313" s="226"/>
      <c r="B1313" s="244"/>
      <c r="C1313" s="32" t="s">
        <v>341</v>
      </c>
      <c r="D1313" s="43" t="s">
        <v>280</v>
      </c>
      <c r="E1313" s="33">
        <v>6</v>
      </c>
      <c r="F1313" s="30">
        <v>15.361500000000001</v>
      </c>
      <c r="G1313" s="30">
        <f t="shared" si="21"/>
        <v>92.169000000000011</v>
      </c>
      <c r="H1313" s="31"/>
      <c r="I1313" s="27"/>
      <c r="J1313" s="141">
        <v>0</v>
      </c>
    </row>
    <row r="1314" spans="1:10" ht="15.75" hidden="1" thickBot="1" x14ac:dyDescent="0.3">
      <c r="A1314" s="226"/>
      <c r="B1314" s="244"/>
      <c r="C1314" s="32" t="s">
        <v>3539</v>
      </c>
      <c r="D1314" s="43" t="s">
        <v>42</v>
      </c>
      <c r="E1314" s="33">
        <v>8.6599999999999996E-2</v>
      </c>
      <c r="F1314" s="30">
        <v>64.619</v>
      </c>
      <c r="G1314" s="30">
        <f t="shared" si="21"/>
        <v>5.5960054000000001</v>
      </c>
      <c r="H1314" s="31"/>
      <c r="I1314" s="27"/>
      <c r="J1314" s="141">
        <v>0</v>
      </c>
    </row>
    <row r="1315" spans="1:10" ht="26.25" hidden="1" thickBot="1" x14ac:dyDescent="0.3">
      <c r="A1315" s="226"/>
      <c r="B1315" s="244"/>
      <c r="C1315" s="32" t="s">
        <v>403</v>
      </c>
      <c r="D1315" s="32" t="s">
        <v>20</v>
      </c>
      <c r="E1315" s="33">
        <v>1</v>
      </c>
      <c r="F1315" s="30" t="s">
        <v>523</v>
      </c>
      <c r="G1315" s="27" t="str">
        <f t="shared" si="21"/>
        <v/>
      </c>
      <c r="H1315" s="31"/>
      <c r="I1315" s="27"/>
      <c r="J1315" s="141">
        <v>0</v>
      </c>
    </row>
    <row r="1316" spans="1:10" ht="15.75" hidden="1" thickBot="1" x14ac:dyDescent="0.3">
      <c r="A1316" s="226"/>
      <c r="B1316" s="244"/>
      <c r="C1316" s="32"/>
      <c r="D1316" s="32"/>
      <c r="E1316" s="33"/>
      <c r="F1316" s="30" t="s">
        <v>523</v>
      </c>
      <c r="G1316" s="27" t="str">
        <f t="shared" si="21"/>
        <v/>
      </c>
      <c r="H1316" s="31"/>
      <c r="I1316" s="27"/>
      <c r="J1316" s="141">
        <v>0</v>
      </c>
    </row>
    <row r="1317" spans="1:10" ht="15.75" hidden="1" thickBot="1" x14ac:dyDescent="0.3">
      <c r="A1317" s="225" t="s">
        <v>404</v>
      </c>
      <c r="B1317" s="228" t="str">
        <f>INDEX(Orçamentária!A:B,MATCH(Composições!A1317,Orçamentária!A:A,0),2)</f>
        <v>Cabide</v>
      </c>
      <c r="C1317" s="37"/>
      <c r="D1317" s="22" t="str">
        <f>TRIM(INDEX(Orçamentária!C:C,MATCH(Composições!A1317,Orçamentária!A:A,0),1))</f>
        <v>un</v>
      </c>
      <c r="E1317" s="23"/>
      <c r="F1317" s="38" t="s">
        <v>523</v>
      </c>
      <c r="G1317" s="24" t="str">
        <f t="shared" si="21"/>
        <v/>
      </c>
      <c r="H1317" s="25"/>
      <c r="I1317" s="26"/>
      <c r="J1317" s="141">
        <v>0</v>
      </c>
    </row>
    <row r="1318" spans="1:10" ht="15.75" hidden="1" thickBot="1" x14ac:dyDescent="0.3">
      <c r="A1318" s="226"/>
      <c r="B1318" s="244"/>
      <c r="C1318" s="28"/>
      <c r="D1318" s="28"/>
      <c r="E1318" s="29"/>
      <c r="F1318" s="39" t="s">
        <v>523</v>
      </c>
      <c r="G1318" s="27" t="str">
        <f t="shared" si="21"/>
        <v/>
      </c>
      <c r="H1318" s="31"/>
      <c r="I1318" s="27"/>
      <c r="J1318" s="141">
        <v>0</v>
      </c>
    </row>
    <row r="1319" spans="1:10" ht="15.75" hidden="1" thickBot="1" x14ac:dyDescent="0.3">
      <c r="A1319" s="226"/>
      <c r="B1319" s="244"/>
      <c r="C1319" s="32" t="s">
        <v>405</v>
      </c>
      <c r="D1319" s="43" t="s">
        <v>144</v>
      </c>
      <c r="E1319" s="33">
        <v>1</v>
      </c>
      <c r="F1319" s="30" t="s">
        <v>523</v>
      </c>
      <c r="G1319" s="30" t="str">
        <f t="shared" si="21"/>
        <v/>
      </c>
      <c r="H1319" s="35">
        <f>SUM(G1319:G1321)</f>
        <v>9.5186579999999985</v>
      </c>
      <c r="I1319" s="36"/>
      <c r="J1319" s="141">
        <v>0</v>
      </c>
    </row>
    <row r="1320" spans="1:10" ht="15.75" hidden="1" thickBot="1" x14ac:dyDescent="0.3">
      <c r="A1320" s="226"/>
      <c r="B1320" s="244"/>
      <c r="C1320" s="32" t="s">
        <v>39</v>
      </c>
      <c r="D1320" s="43" t="s">
        <v>12</v>
      </c>
      <c r="E1320" s="33">
        <v>0.31619999999999998</v>
      </c>
      <c r="F1320" s="27">
        <v>24.300999999999998</v>
      </c>
      <c r="G1320" s="30">
        <f t="shared" si="21"/>
        <v>7.6839761999999991</v>
      </c>
      <c r="H1320" s="31"/>
      <c r="I1320" s="27"/>
      <c r="J1320" s="141">
        <v>0</v>
      </c>
    </row>
    <row r="1321" spans="1:10" ht="15.75" hidden="1" thickBot="1" x14ac:dyDescent="0.3">
      <c r="A1321" s="226"/>
      <c r="B1321" s="244"/>
      <c r="C1321" s="32" t="s">
        <v>23</v>
      </c>
      <c r="D1321" s="43" t="s">
        <v>12</v>
      </c>
      <c r="E1321" s="33">
        <v>9.9599999999999994E-2</v>
      </c>
      <c r="F1321" s="27">
        <v>18.420500000000001</v>
      </c>
      <c r="G1321" s="30">
        <f t="shared" si="21"/>
        <v>1.8346818</v>
      </c>
      <c r="H1321" s="31"/>
      <c r="I1321" s="27"/>
      <c r="J1321" s="141">
        <v>0</v>
      </c>
    </row>
    <row r="1322" spans="1:10" ht="15.75" hidden="1" thickBot="1" x14ac:dyDescent="0.3">
      <c r="A1322" s="227"/>
      <c r="B1322" s="230"/>
      <c r="C1322" s="32"/>
      <c r="D1322" s="32"/>
      <c r="E1322" s="33"/>
      <c r="F1322" s="27" t="s">
        <v>523</v>
      </c>
      <c r="G1322" s="27" t="str">
        <f t="shared" si="21"/>
        <v/>
      </c>
      <c r="H1322" s="31"/>
      <c r="I1322" s="27"/>
      <c r="J1322" s="141">
        <v>0</v>
      </c>
    </row>
    <row r="1323" spans="1:10" ht="15.75" hidden="1" thickBot="1" x14ac:dyDescent="0.3">
      <c r="A1323" s="225" t="s">
        <v>406</v>
      </c>
      <c r="B1323" s="228" t="str">
        <f>INDEX(Orçamentária!A:B,MATCH(Composições!A1323,Orçamentária!A:A,0),2)</f>
        <v>Papeleira</v>
      </c>
      <c r="C1323" s="37"/>
      <c r="D1323" s="22" t="str">
        <f>TRIM(INDEX(Orçamentária!C:C,MATCH(Composições!A1323,Orçamentária!A:A,0),1))</f>
        <v>un</v>
      </c>
      <c r="E1323" s="23"/>
      <c r="F1323" s="38" t="s">
        <v>523</v>
      </c>
      <c r="G1323" s="24" t="str">
        <f t="shared" si="21"/>
        <v/>
      </c>
      <c r="H1323" s="25"/>
      <c r="I1323" s="26"/>
      <c r="J1323" s="141">
        <v>0</v>
      </c>
    </row>
    <row r="1324" spans="1:10" ht="15.75" hidden="1" thickBot="1" x14ac:dyDescent="0.3">
      <c r="A1324" s="226"/>
      <c r="B1324" s="244"/>
      <c r="C1324" s="28"/>
      <c r="D1324" s="28"/>
      <c r="E1324" s="29"/>
      <c r="F1324" s="39" t="s">
        <v>523</v>
      </c>
      <c r="G1324" s="27" t="str">
        <f t="shared" si="21"/>
        <v/>
      </c>
      <c r="H1324" s="31"/>
      <c r="I1324" s="27"/>
      <c r="J1324" s="141">
        <v>0</v>
      </c>
    </row>
    <row r="1325" spans="1:10" ht="15.75" hidden="1" thickBot="1" x14ac:dyDescent="0.3">
      <c r="A1325" s="226"/>
      <c r="B1325" s="244"/>
      <c r="C1325" s="32" t="s">
        <v>407</v>
      </c>
      <c r="D1325" s="43" t="s">
        <v>144</v>
      </c>
      <c r="E1325" s="33">
        <v>1</v>
      </c>
      <c r="F1325" s="30" t="s">
        <v>523</v>
      </c>
      <c r="G1325" s="30" t="str">
        <f t="shared" si="21"/>
        <v/>
      </c>
      <c r="H1325" s="35">
        <f>SUM(G1325:G1327)</f>
        <v>9.5186579999999985</v>
      </c>
      <c r="I1325" s="36"/>
      <c r="J1325" s="141">
        <v>0</v>
      </c>
    </row>
    <row r="1326" spans="1:10" ht="15.75" hidden="1" thickBot="1" x14ac:dyDescent="0.3">
      <c r="A1326" s="226"/>
      <c r="B1326" s="244"/>
      <c r="C1326" s="32" t="s">
        <v>39</v>
      </c>
      <c r="D1326" s="43" t="s">
        <v>12</v>
      </c>
      <c r="E1326" s="33">
        <v>0.31619999999999998</v>
      </c>
      <c r="F1326" s="27">
        <v>24.300999999999998</v>
      </c>
      <c r="G1326" s="30">
        <f t="shared" si="21"/>
        <v>7.6839761999999991</v>
      </c>
      <c r="H1326" s="31"/>
      <c r="I1326" s="27"/>
      <c r="J1326" s="141">
        <v>0</v>
      </c>
    </row>
    <row r="1327" spans="1:10" ht="15.75" hidden="1" thickBot="1" x14ac:dyDescent="0.3">
      <c r="A1327" s="226"/>
      <c r="B1327" s="244"/>
      <c r="C1327" s="32" t="s">
        <v>23</v>
      </c>
      <c r="D1327" s="43" t="s">
        <v>12</v>
      </c>
      <c r="E1327" s="33">
        <v>9.9599999999999994E-2</v>
      </c>
      <c r="F1327" s="27">
        <v>18.420500000000001</v>
      </c>
      <c r="G1327" s="30">
        <f t="shared" si="21"/>
        <v>1.8346818</v>
      </c>
      <c r="H1327" s="31"/>
      <c r="I1327" s="27"/>
      <c r="J1327" s="141">
        <v>0</v>
      </c>
    </row>
    <row r="1328" spans="1:10" ht="15.75" hidden="1" thickBot="1" x14ac:dyDescent="0.3">
      <c r="A1328" s="227"/>
      <c r="B1328" s="230"/>
      <c r="C1328" s="32"/>
      <c r="D1328" s="32"/>
      <c r="E1328" s="33"/>
      <c r="F1328" s="27" t="s">
        <v>523</v>
      </c>
      <c r="G1328" s="27" t="str">
        <f t="shared" si="21"/>
        <v/>
      </c>
      <c r="H1328" s="31"/>
      <c r="I1328" s="27"/>
      <c r="J1328" s="141">
        <v>0</v>
      </c>
    </row>
    <row r="1329" spans="1:10" ht="15.75" hidden="1" thickBot="1" x14ac:dyDescent="0.3">
      <c r="A1329" s="225" t="s">
        <v>408</v>
      </c>
      <c r="B1329" s="228" t="str">
        <f>INDEX(Orçamentária!A:B,MATCH(Composições!A1329,Orçamentária!A:A,0),2)</f>
        <v>Porta toalha argola</v>
      </c>
      <c r="C1329" s="37"/>
      <c r="D1329" s="22" t="str">
        <f>TRIM(INDEX(Orçamentária!C:C,MATCH(Composições!A1329,Orçamentária!A:A,0),1))</f>
        <v>un</v>
      </c>
      <c r="E1329" s="23"/>
      <c r="F1329" s="38" t="s">
        <v>523</v>
      </c>
      <c r="G1329" s="24" t="str">
        <f t="shared" si="21"/>
        <v/>
      </c>
      <c r="H1329" s="25"/>
      <c r="I1329" s="26"/>
      <c r="J1329" s="141">
        <v>0</v>
      </c>
    </row>
    <row r="1330" spans="1:10" ht="15.75" hidden="1" thickBot="1" x14ac:dyDescent="0.3">
      <c r="A1330" s="226"/>
      <c r="B1330" s="244"/>
      <c r="C1330" s="28"/>
      <c r="D1330" s="28"/>
      <c r="E1330" s="29"/>
      <c r="F1330" s="39" t="s">
        <v>523</v>
      </c>
      <c r="G1330" s="27" t="str">
        <f t="shared" si="21"/>
        <v/>
      </c>
      <c r="H1330" s="31"/>
      <c r="I1330" s="27"/>
      <c r="J1330" s="141">
        <v>0</v>
      </c>
    </row>
    <row r="1331" spans="1:10" ht="26.25" hidden="1" thickBot="1" x14ac:dyDescent="0.3">
      <c r="A1331" s="226"/>
      <c r="B1331" s="244"/>
      <c r="C1331" s="32" t="s">
        <v>409</v>
      </c>
      <c r="D1331" s="43" t="s">
        <v>144</v>
      </c>
      <c r="E1331" s="33">
        <v>1</v>
      </c>
      <c r="F1331" s="30" t="s">
        <v>523</v>
      </c>
      <c r="G1331" s="30" t="str">
        <f t="shared" si="21"/>
        <v/>
      </c>
      <c r="H1331" s="35">
        <f>SUM(G1331:G1333)</f>
        <v>9.5186579999999985</v>
      </c>
      <c r="I1331" s="36"/>
      <c r="J1331" s="141">
        <v>0</v>
      </c>
    </row>
    <row r="1332" spans="1:10" ht="15.75" hidden="1" thickBot="1" x14ac:dyDescent="0.3">
      <c r="A1332" s="226"/>
      <c r="B1332" s="244"/>
      <c r="C1332" s="32" t="s">
        <v>39</v>
      </c>
      <c r="D1332" s="43" t="s">
        <v>12</v>
      </c>
      <c r="E1332" s="33">
        <v>0.31619999999999998</v>
      </c>
      <c r="F1332" s="27">
        <v>24.300999999999998</v>
      </c>
      <c r="G1332" s="30">
        <f t="shared" si="21"/>
        <v>7.6839761999999991</v>
      </c>
      <c r="H1332" s="31"/>
      <c r="I1332" s="27"/>
      <c r="J1332" s="141">
        <v>0</v>
      </c>
    </row>
    <row r="1333" spans="1:10" ht="15.75" hidden="1" thickBot="1" x14ac:dyDescent="0.3">
      <c r="A1333" s="226"/>
      <c r="B1333" s="244"/>
      <c r="C1333" s="32" t="s">
        <v>23</v>
      </c>
      <c r="D1333" s="43" t="s">
        <v>12</v>
      </c>
      <c r="E1333" s="33">
        <v>9.9599999999999994E-2</v>
      </c>
      <c r="F1333" s="27">
        <v>18.420500000000001</v>
      </c>
      <c r="G1333" s="30">
        <f t="shared" si="21"/>
        <v>1.8346818</v>
      </c>
      <c r="H1333" s="31"/>
      <c r="I1333" s="27"/>
      <c r="J1333" s="141">
        <v>0</v>
      </c>
    </row>
    <row r="1334" spans="1:10" ht="15.75" hidden="1" thickBot="1" x14ac:dyDescent="0.3">
      <c r="A1334" s="227"/>
      <c r="B1334" s="230"/>
      <c r="C1334" s="32"/>
      <c r="D1334" s="32"/>
      <c r="E1334" s="33"/>
      <c r="F1334" s="27" t="s">
        <v>523</v>
      </c>
      <c r="G1334" s="27" t="str">
        <f t="shared" si="21"/>
        <v/>
      </c>
      <c r="H1334" s="31"/>
      <c r="I1334" s="27"/>
      <c r="J1334" s="141">
        <v>0</v>
      </c>
    </row>
    <row r="1335" spans="1:10" ht="15.75" hidden="1" thickBot="1" x14ac:dyDescent="0.3">
      <c r="A1335" s="225" t="s">
        <v>410</v>
      </c>
      <c r="B1335" s="228" t="str">
        <f>INDEX(Orçamentária!A:B,MATCH(Composições!A1335,Orçamentária!A:A,0),2)</f>
        <v>Porta toalha barra</v>
      </c>
      <c r="C1335" s="37"/>
      <c r="D1335" s="22" t="str">
        <f>TRIM(INDEX(Orçamentária!C:C,MATCH(Composições!A1335,Orçamentária!A:A,0),1))</f>
        <v>un</v>
      </c>
      <c r="E1335" s="23"/>
      <c r="F1335" s="38" t="s">
        <v>523</v>
      </c>
      <c r="G1335" s="24" t="str">
        <f t="shared" si="21"/>
        <v/>
      </c>
      <c r="H1335" s="25"/>
      <c r="I1335" s="26"/>
      <c r="J1335" s="141">
        <v>0</v>
      </c>
    </row>
    <row r="1336" spans="1:10" ht="15.75" hidden="1" thickBot="1" x14ac:dyDescent="0.3">
      <c r="A1336" s="226"/>
      <c r="B1336" s="244"/>
      <c r="C1336" s="28"/>
      <c r="D1336" s="28"/>
      <c r="E1336" s="29"/>
      <c r="F1336" s="39" t="s">
        <v>523</v>
      </c>
      <c r="G1336" s="27" t="str">
        <f t="shared" si="21"/>
        <v/>
      </c>
      <c r="H1336" s="31"/>
      <c r="I1336" s="27"/>
      <c r="J1336" s="141">
        <v>0</v>
      </c>
    </row>
    <row r="1337" spans="1:10" ht="26.25" hidden="1" thickBot="1" x14ac:dyDescent="0.3">
      <c r="A1337" s="226"/>
      <c r="B1337" s="244"/>
      <c r="C1337" s="32" t="s">
        <v>411</v>
      </c>
      <c r="D1337" s="43" t="s">
        <v>144</v>
      </c>
      <c r="E1337" s="33">
        <v>1</v>
      </c>
      <c r="F1337" s="30" t="s">
        <v>523</v>
      </c>
      <c r="G1337" s="30" t="str">
        <f t="shared" si="21"/>
        <v/>
      </c>
      <c r="H1337" s="35">
        <f>SUM(G1337:G1339)</f>
        <v>19.034885899999999</v>
      </c>
      <c r="I1337" s="36"/>
      <c r="J1337" s="141">
        <v>0</v>
      </c>
    </row>
    <row r="1338" spans="1:10" ht="15.75" hidden="1" thickBot="1" x14ac:dyDescent="0.3">
      <c r="A1338" s="226"/>
      <c r="B1338" s="244"/>
      <c r="C1338" s="32" t="s">
        <v>39</v>
      </c>
      <c r="D1338" s="43" t="s">
        <v>12</v>
      </c>
      <c r="E1338" s="33">
        <v>0.63229999999999997</v>
      </c>
      <c r="F1338" s="27">
        <v>24.300999999999998</v>
      </c>
      <c r="G1338" s="30">
        <f t="shared" si="21"/>
        <v>15.365522299999999</v>
      </c>
      <c r="H1338" s="31"/>
      <c r="I1338" s="27"/>
      <c r="J1338" s="141">
        <v>0</v>
      </c>
    </row>
    <row r="1339" spans="1:10" ht="15.75" hidden="1" thickBot="1" x14ac:dyDescent="0.3">
      <c r="A1339" s="226"/>
      <c r="B1339" s="244"/>
      <c r="C1339" s="32" t="s">
        <v>23</v>
      </c>
      <c r="D1339" s="43" t="s">
        <v>12</v>
      </c>
      <c r="E1339" s="33">
        <v>0.19919999999999999</v>
      </c>
      <c r="F1339" s="27">
        <v>18.420500000000001</v>
      </c>
      <c r="G1339" s="30">
        <f t="shared" si="21"/>
        <v>3.6693636000000001</v>
      </c>
      <c r="H1339" s="31"/>
      <c r="I1339" s="27"/>
      <c r="J1339" s="141">
        <v>0</v>
      </c>
    </row>
    <row r="1340" spans="1:10" ht="15.75" hidden="1" thickBot="1" x14ac:dyDescent="0.3">
      <c r="A1340" s="227"/>
      <c r="B1340" s="230"/>
      <c r="C1340" s="32"/>
      <c r="D1340" s="32"/>
      <c r="E1340" s="33"/>
      <c r="F1340" s="27" t="s">
        <v>523</v>
      </c>
      <c r="G1340" s="27" t="str">
        <f t="shared" si="21"/>
        <v/>
      </c>
      <c r="H1340" s="31"/>
      <c r="I1340" s="27"/>
      <c r="J1340" s="141">
        <v>0</v>
      </c>
    </row>
    <row r="1341" spans="1:10" ht="15.75" hidden="1" thickBot="1" x14ac:dyDescent="0.3">
      <c r="A1341" s="225" t="s">
        <v>412</v>
      </c>
      <c r="B1341" s="228" t="str">
        <f>INDEX(Orçamentária!A:B,MATCH(Composições!A1341,Orçamentária!A:A,0),2)</f>
        <v>Caixa 4x2 de embutir para alvenaria</v>
      </c>
      <c r="C1341" s="37"/>
      <c r="D1341" s="22" t="str">
        <f>TRIM(INDEX(Orçamentária!C:C,MATCH(Composições!A1341,Orçamentária!A:A,0),1))</f>
        <v>un</v>
      </c>
      <c r="E1341" s="23"/>
      <c r="F1341" s="38" t="s">
        <v>523</v>
      </c>
      <c r="G1341" s="24" t="str">
        <f t="shared" si="21"/>
        <v/>
      </c>
      <c r="H1341" s="25"/>
      <c r="I1341" s="26"/>
      <c r="J1341" s="141">
        <v>0</v>
      </c>
    </row>
    <row r="1342" spans="1:10" ht="15.75" hidden="1" thickBot="1" x14ac:dyDescent="0.3">
      <c r="A1342" s="226"/>
      <c r="B1342" s="244"/>
      <c r="C1342" s="28"/>
      <c r="D1342" s="28"/>
      <c r="E1342" s="29"/>
      <c r="F1342" s="39" t="s">
        <v>523</v>
      </c>
      <c r="G1342" s="27" t="str">
        <f t="shared" si="21"/>
        <v/>
      </c>
      <c r="H1342" s="31"/>
      <c r="I1342" s="27"/>
      <c r="J1342" s="141">
        <v>0</v>
      </c>
    </row>
    <row r="1343" spans="1:10" ht="15.75" hidden="1" thickBot="1" x14ac:dyDescent="0.3">
      <c r="A1343" s="226"/>
      <c r="B1343" s="244"/>
      <c r="C1343" s="32" t="s">
        <v>74</v>
      </c>
      <c r="D1343" s="32" t="s">
        <v>12</v>
      </c>
      <c r="E1343" s="33">
        <v>0.14499999999999999</v>
      </c>
      <c r="F1343" s="27">
        <v>19.4085</v>
      </c>
      <c r="G1343" s="30">
        <f t="shared" si="21"/>
        <v>2.8142324999999997</v>
      </c>
      <c r="H1343" s="35">
        <f>SUM(G1343:G1346)</f>
        <v>10.496925414530498</v>
      </c>
      <c r="I1343" s="36"/>
      <c r="J1343" s="141">
        <v>0</v>
      </c>
    </row>
    <row r="1344" spans="1:10" ht="15.75" hidden="1" thickBot="1" x14ac:dyDescent="0.3">
      <c r="A1344" s="226"/>
      <c r="B1344" s="244"/>
      <c r="C1344" s="32" t="s">
        <v>30</v>
      </c>
      <c r="D1344" s="32" t="s">
        <v>12</v>
      </c>
      <c r="E1344" s="33">
        <v>0.14499999999999999</v>
      </c>
      <c r="F1344" s="27">
        <v>25.146499999999996</v>
      </c>
      <c r="G1344" s="30">
        <f t="shared" si="21"/>
        <v>3.6462424999999992</v>
      </c>
      <c r="H1344" s="31"/>
      <c r="I1344" s="27"/>
      <c r="J1344" s="141">
        <v>0</v>
      </c>
    </row>
    <row r="1345" spans="1:10" ht="26.25" hidden="1" thickBot="1" x14ac:dyDescent="0.3">
      <c r="A1345" s="226"/>
      <c r="B1345" s="244"/>
      <c r="C1345" s="32" t="s">
        <v>108</v>
      </c>
      <c r="D1345" s="32" t="s">
        <v>109</v>
      </c>
      <c r="E1345" s="33">
        <v>8.9999999999999998E-4</v>
      </c>
      <c r="F1345" s="30">
        <v>706.05601614500006</v>
      </c>
      <c r="G1345" s="30">
        <f t="shared" si="21"/>
        <v>0.6354504145305</v>
      </c>
      <c r="H1345" s="31"/>
      <c r="I1345" s="27"/>
      <c r="J1345" s="141">
        <v>0</v>
      </c>
    </row>
    <row r="1346" spans="1:10" ht="15.75" hidden="1" thickBot="1" x14ac:dyDescent="0.3">
      <c r="A1346" s="226"/>
      <c r="B1346" s="244"/>
      <c r="C1346" s="32" t="s">
        <v>413</v>
      </c>
      <c r="D1346" s="32" t="s">
        <v>20</v>
      </c>
      <c r="E1346" s="33">
        <v>1</v>
      </c>
      <c r="F1346" s="30">
        <v>3.4009999999999998</v>
      </c>
      <c r="G1346" s="27">
        <f t="shared" si="21"/>
        <v>3.4009999999999998</v>
      </c>
      <c r="H1346" s="31"/>
      <c r="I1346" s="27"/>
      <c r="J1346" s="141">
        <v>0</v>
      </c>
    </row>
    <row r="1347" spans="1:10" ht="15.75" hidden="1" thickBot="1" x14ac:dyDescent="0.3">
      <c r="A1347" s="227"/>
      <c r="B1347" s="230"/>
      <c r="C1347" s="32"/>
      <c r="D1347" s="32"/>
      <c r="E1347" s="33"/>
      <c r="F1347" s="27" t="s">
        <v>523</v>
      </c>
      <c r="G1347" s="27" t="str">
        <f t="shared" si="21"/>
        <v/>
      </c>
      <c r="H1347" s="31"/>
      <c r="I1347" s="27"/>
      <c r="J1347" s="141">
        <v>0</v>
      </c>
    </row>
    <row r="1348" spans="1:10" ht="15.75" hidden="1" thickBot="1" x14ac:dyDescent="0.3">
      <c r="A1348" s="225" t="s">
        <v>414</v>
      </c>
      <c r="B1348" s="228" t="str">
        <f>INDEX(Orçamentária!A:B,MATCH(Composições!A1348,Orçamentária!A:A,0),2)</f>
        <v>Caixa 4x2 para drywall</v>
      </c>
      <c r="C1348" s="37"/>
      <c r="D1348" s="22" t="str">
        <f>TRIM(INDEX(Orçamentária!C:C,MATCH(Composições!A1348,Orçamentária!A:A,0),1))</f>
        <v>un</v>
      </c>
      <c r="E1348" s="23"/>
      <c r="F1348" s="38" t="s">
        <v>523</v>
      </c>
      <c r="G1348" s="24" t="str">
        <f t="shared" si="21"/>
        <v/>
      </c>
      <c r="H1348" s="25"/>
      <c r="I1348" s="26"/>
      <c r="J1348" s="141">
        <v>0</v>
      </c>
    </row>
    <row r="1349" spans="1:10" ht="15.75" hidden="1" thickBot="1" x14ac:dyDescent="0.3">
      <c r="A1349" s="226"/>
      <c r="B1349" s="244"/>
      <c r="C1349" s="28"/>
      <c r="D1349" s="28"/>
      <c r="E1349" s="29"/>
      <c r="F1349" s="39" t="s">
        <v>523</v>
      </c>
      <c r="G1349" s="27" t="str">
        <f t="shared" si="21"/>
        <v/>
      </c>
      <c r="H1349" s="31"/>
      <c r="I1349" s="27"/>
      <c r="J1349" s="141">
        <v>0</v>
      </c>
    </row>
    <row r="1350" spans="1:10" ht="15.75" hidden="1" thickBot="1" x14ac:dyDescent="0.3">
      <c r="A1350" s="226"/>
      <c r="B1350" s="244"/>
      <c r="C1350" s="32" t="s">
        <v>74</v>
      </c>
      <c r="D1350" s="32" t="s">
        <v>12</v>
      </c>
      <c r="E1350" s="33">
        <v>0.14499999999999999</v>
      </c>
      <c r="F1350" s="27">
        <v>19.4085</v>
      </c>
      <c r="G1350" s="30">
        <f t="shared" si="21"/>
        <v>2.8142324999999997</v>
      </c>
      <c r="H1350" s="35">
        <f>SUM(G1350:G1352)</f>
        <v>6.4604749999999989</v>
      </c>
      <c r="I1350" s="36"/>
      <c r="J1350" s="141">
        <v>0</v>
      </c>
    </row>
    <row r="1351" spans="1:10" ht="15.75" hidden="1" thickBot="1" x14ac:dyDescent="0.3">
      <c r="A1351" s="226"/>
      <c r="B1351" s="244"/>
      <c r="C1351" s="32" t="s">
        <v>30</v>
      </c>
      <c r="D1351" s="32" t="s">
        <v>12</v>
      </c>
      <c r="E1351" s="33">
        <v>0.14499999999999999</v>
      </c>
      <c r="F1351" s="27">
        <v>25.146499999999996</v>
      </c>
      <c r="G1351" s="30">
        <f t="shared" si="21"/>
        <v>3.6462424999999992</v>
      </c>
      <c r="H1351" s="31"/>
      <c r="I1351" s="27"/>
      <c r="J1351" s="141">
        <v>0</v>
      </c>
    </row>
    <row r="1352" spans="1:10" ht="15.75" hidden="1" thickBot="1" x14ac:dyDescent="0.3">
      <c r="A1352" s="226"/>
      <c r="B1352" s="244"/>
      <c r="C1352" s="32" t="s">
        <v>415</v>
      </c>
      <c r="D1352" s="32" t="s">
        <v>20</v>
      </c>
      <c r="E1352" s="33">
        <v>1</v>
      </c>
      <c r="F1352" s="30" t="s">
        <v>523</v>
      </c>
      <c r="G1352" s="27" t="str">
        <f t="shared" si="21"/>
        <v/>
      </c>
      <c r="H1352" s="31"/>
      <c r="I1352" s="27"/>
      <c r="J1352" s="141">
        <v>0</v>
      </c>
    </row>
    <row r="1353" spans="1:10" ht="15.75" hidden="1" thickBot="1" x14ac:dyDescent="0.3">
      <c r="A1353" s="227"/>
      <c r="B1353" s="230"/>
      <c r="C1353" s="32"/>
      <c r="D1353" s="32"/>
      <c r="E1353" s="33"/>
      <c r="F1353" s="27" t="s">
        <v>523</v>
      </c>
      <c r="G1353" s="27" t="str">
        <f t="shared" si="21"/>
        <v/>
      </c>
      <c r="H1353" s="31"/>
      <c r="I1353" s="27"/>
      <c r="J1353" s="141">
        <v>0</v>
      </c>
    </row>
    <row r="1354" spans="1:10" ht="15.75" hidden="1" thickBot="1" x14ac:dyDescent="0.3">
      <c r="A1354" s="225" t="s">
        <v>416</v>
      </c>
      <c r="B1354" s="228" t="str">
        <f>INDEX(Orçamentária!A:B,MATCH(Composições!A1354,Orçamentária!A:A,0),2)</f>
        <v>Caixa 4x4 de embutir para alvenaria</v>
      </c>
      <c r="C1354" s="37"/>
      <c r="D1354" s="22" t="str">
        <f>TRIM(INDEX(Orçamentária!C:C,MATCH(Composições!A1354,Orçamentária!A:A,0),1))</f>
        <v>un</v>
      </c>
      <c r="E1354" s="23"/>
      <c r="F1354" s="38" t="s">
        <v>523</v>
      </c>
      <c r="G1354" s="24" t="str">
        <f t="shared" si="21"/>
        <v/>
      </c>
      <c r="H1354" s="25"/>
      <c r="I1354" s="26"/>
      <c r="J1354" s="141">
        <v>0</v>
      </c>
    </row>
    <row r="1355" spans="1:10" ht="15.75" hidden="1" thickBot="1" x14ac:dyDescent="0.3">
      <c r="A1355" s="226"/>
      <c r="B1355" s="244"/>
      <c r="C1355" s="28"/>
      <c r="D1355" s="28"/>
      <c r="E1355" s="29"/>
      <c r="F1355" s="39" t="s">
        <v>523</v>
      </c>
      <c r="G1355" s="27" t="str">
        <f t="shared" si="21"/>
        <v/>
      </c>
      <c r="H1355" s="31"/>
      <c r="I1355" s="27"/>
      <c r="J1355" s="141">
        <v>0</v>
      </c>
    </row>
    <row r="1356" spans="1:10" ht="15.75" hidden="1" thickBot="1" x14ac:dyDescent="0.3">
      <c r="A1356" s="226"/>
      <c r="B1356" s="244"/>
      <c r="C1356" s="32" t="s">
        <v>74</v>
      </c>
      <c r="D1356" s="32" t="s">
        <v>12</v>
      </c>
      <c r="E1356" s="33">
        <v>0.16600000000000001</v>
      </c>
      <c r="F1356" s="27">
        <v>19.4085</v>
      </c>
      <c r="G1356" s="30">
        <f t="shared" si="21"/>
        <v>3.2218110000000002</v>
      </c>
      <c r="H1356" s="35">
        <f>SUM(G1356:G1359)</f>
        <v>14.997897219374</v>
      </c>
      <c r="I1356" s="36"/>
      <c r="J1356" s="141">
        <v>0</v>
      </c>
    </row>
    <row r="1357" spans="1:10" ht="15.75" hidden="1" thickBot="1" x14ac:dyDescent="0.3">
      <c r="A1357" s="226"/>
      <c r="B1357" s="244"/>
      <c r="C1357" s="32" t="s">
        <v>30</v>
      </c>
      <c r="D1357" s="32" t="s">
        <v>12</v>
      </c>
      <c r="E1357" s="33">
        <v>0.16600000000000001</v>
      </c>
      <c r="F1357" s="27">
        <v>25.146499999999996</v>
      </c>
      <c r="G1357" s="30">
        <f t="shared" si="21"/>
        <v>4.1743189999999997</v>
      </c>
      <c r="H1357" s="31"/>
      <c r="I1357" s="27"/>
      <c r="J1357" s="141">
        <v>0</v>
      </c>
    </row>
    <row r="1358" spans="1:10" ht="26.25" hidden="1" thickBot="1" x14ac:dyDescent="0.3">
      <c r="A1358" s="226"/>
      <c r="B1358" s="244"/>
      <c r="C1358" s="32" t="s">
        <v>108</v>
      </c>
      <c r="D1358" s="32" t="s">
        <v>109</v>
      </c>
      <c r="E1358" s="33">
        <v>1.1999999999999999E-3</v>
      </c>
      <c r="F1358" s="30">
        <v>706.05601614500006</v>
      </c>
      <c r="G1358" s="30">
        <f t="shared" si="21"/>
        <v>0.84726721937399996</v>
      </c>
      <c r="H1358" s="31"/>
      <c r="I1358" s="27"/>
      <c r="J1358" s="141">
        <v>0</v>
      </c>
    </row>
    <row r="1359" spans="1:10" ht="15.75" hidden="1" thickBot="1" x14ac:dyDescent="0.3">
      <c r="A1359" s="226"/>
      <c r="B1359" s="244"/>
      <c r="C1359" s="32" t="s">
        <v>417</v>
      </c>
      <c r="D1359" s="32" t="s">
        <v>20</v>
      </c>
      <c r="E1359" s="33">
        <v>1</v>
      </c>
      <c r="F1359" s="30">
        <v>6.7545000000000002</v>
      </c>
      <c r="G1359" s="27">
        <f t="shared" si="21"/>
        <v>6.7545000000000002</v>
      </c>
      <c r="H1359" s="31"/>
      <c r="I1359" s="27"/>
      <c r="J1359" s="141">
        <v>0</v>
      </c>
    </row>
    <row r="1360" spans="1:10" ht="15.75" hidden="1" thickBot="1" x14ac:dyDescent="0.3">
      <c r="A1360" s="227"/>
      <c r="B1360" s="230"/>
      <c r="C1360" s="32"/>
      <c r="D1360" s="32"/>
      <c r="E1360" s="33"/>
      <c r="F1360" s="27" t="s">
        <v>523</v>
      </c>
      <c r="G1360" s="27" t="str">
        <f t="shared" si="21"/>
        <v/>
      </c>
      <c r="H1360" s="31"/>
      <c r="I1360" s="27"/>
      <c r="J1360" s="141">
        <v>0</v>
      </c>
    </row>
    <row r="1361" spans="1:10" ht="15.75" hidden="1" thickBot="1" x14ac:dyDescent="0.3">
      <c r="A1361" s="225" t="s">
        <v>418</v>
      </c>
      <c r="B1361" s="228" t="str">
        <f>INDEX(Orçamentária!A:B,MATCH(Composições!A1361,Orçamentária!A:A,0),2)</f>
        <v>Caixa 4x4 para drywall</v>
      </c>
      <c r="C1361" s="37"/>
      <c r="D1361" s="22" t="str">
        <f>TRIM(INDEX(Orçamentária!C:C,MATCH(Composições!A1361,Orçamentária!A:A,0),1))</f>
        <v>un</v>
      </c>
      <c r="E1361" s="23"/>
      <c r="F1361" s="38" t="s">
        <v>523</v>
      </c>
      <c r="G1361" s="24" t="str">
        <f t="shared" si="21"/>
        <v/>
      </c>
      <c r="H1361" s="25"/>
      <c r="I1361" s="26"/>
      <c r="J1361" s="141">
        <v>0</v>
      </c>
    </row>
    <row r="1362" spans="1:10" ht="15.75" hidden="1" thickBot="1" x14ac:dyDescent="0.3">
      <c r="A1362" s="226"/>
      <c r="B1362" s="244"/>
      <c r="C1362" s="28"/>
      <c r="D1362" s="28"/>
      <c r="E1362" s="29"/>
      <c r="F1362" s="39" t="s">
        <v>523</v>
      </c>
      <c r="G1362" s="27" t="str">
        <f t="shared" ref="G1362:G1425" si="22">IF(ISNUMBER(F1362),E1362*F1362,"")</f>
        <v/>
      </c>
      <c r="H1362" s="31"/>
      <c r="I1362" s="27"/>
      <c r="J1362" s="141">
        <v>0</v>
      </c>
    </row>
    <row r="1363" spans="1:10" ht="15.75" hidden="1" thickBot="1" x14ac:dyDescent="0.3">
      <c r="A1363" s="226"/>
      <c r="B1363" s="244"/>
      <c r="C1363" s="32" t="s">
        <v>74</v>
      </c>
      <c r="D1363" s="32" t="s">
        <v>12</v>
      </c>
      <c r="E1363" s="33">
        <v>0.16600000000000001</v>
      </c>
      <c r="F1363" s="27">
        <v>19.4085</v>
      </c>
      <c r="G1363" s="30">
        <f t="shared" si="22"/>
        <v>3.2218110000000002</v>
      </c>
      <c r="H1363" s="35">
        <f>SUM(G1363:G1365)</f>
        <v>7.3961299999999994</v>
      </c>
      <c r="I1363" s="36"/>
      <c r="J1363" s="141">
        <v>0</v>
      </c>
    </row>
    <row r="1364" spans="1:10" ht="15.75" hidden="1" thickBot="1" x14ac:dyDescent="0.3">
      <c r="A1364" s="226"/>
      <c r="B1364" s="244"/>
      <c r="C1364" s="32" t="s">
        <v>30</v>
      </c>
      <c r="D1364" s="32" t="s">
        <v>12</v>
      </c>
      <c r="E1364" s="33">
        <v>0.16600000000000001</v>
      </c>
      <c r="F1364" s="27">
        <v>25.146499999999996</v>
      </c>
      <c r="G1364" s="30">
        <f t="shared" si="22"/>
        <v>4.1743189999999997</v>
      </c>
      <c r="H1364" s="31"/>
      <c r="I1364" s="27"/>
      <c r="J1364" s="141">
        <v>0</v>
      </c>
    </row>
    <row r="1365" spans="1:10" ht="15.75" hidden="1" thickBot="1" x14ac:dyDescent="0.3">
      <c r="A1365" s="226"/>
      <c r="B1365" s="244"/>
      <c r="C1365" s="32" t="s">
        <v>419</v>
      </c>
      <c r="D1365" s="32" t="s">
        <v>20</v>
      </c>
      <c r="E1365" s="33">
        <v>1</v>
      </c>
      <c r="F1365" s="30" t="s">
        <v>523</v>
      </c>
      <c r="G1365" s="27" t="str">
        <f t="shared" si="22"/>
        <v/>
      </c>
      <c r="H1365" s="31"/>
      <c r="I1365" s="27"/>
      <c r="J1365" s="141">
        <v>0</v>
      </c>
    </row>
    <row r="1366" spans="1:10" ht="15.75" hidden="1" thickBot="1" x14ac:dyDescent="0.3">
      <c r="A1366" s="227"/>
      <c r="B1366" s="230"/>
      <c r="C1366" s="32"/>
      <c r="D1366" s="32"/>
      <c r="E1366" s="33"/>
      <c r="F1366" s="27" t="s">
        <v>523</v>
      </c>
      <c r="G1366" s="27" t="str">
        <f t="shared" si="22"/>
        <v/>
      </c>
      <c r="H1366" s="31"/>
      <c r="I1366" s="27"/>
      <c r="J1366" s="141">
        <v>0</v>
      </c>
    </row>
    <row r="1367" spans="1:10" ht="15.75" hidden="1" thickBot="1" x14ac:dyDescent="0.3">
      <c r="A1367" s="225" t="s">
        <v>420</v>
      </c>
      <c r="B1367" s="228" t="str">
        <f>INDEX(Orçamentária!A:B,MATCH(Composições!A1367,Orçamentária!A:A,0),2)</f>
        <v>Caixa de passagem em alumínio 100x100x50mm</v>
      </c>
      <c r="C1367" s="37"/>
      <c r="D1367" s="22" t="str">
        <f>TRIM(INDEX(Orçamentária!C:C,MATCH(Composições!A1367,Orçamentária!A:A,0),1))</f>
        <v>un</v>
      </c>
      <c r="E1367" s="23"/>
      <c r="F1367" s="38" t="s">
        <v>523</v>
      </c>
      <c r="G1367" s="24" t="str">
        <f t="shared" si="22"/>
        <v/>
      </c>
      <c r="H1367" s="25"/>
      <c r="I1367" s="26"/>
      <c r="J1367" s="141">
        <v>0</v>
      </c>
    </row>
    <row r="1368" spans="1:10" ht="15.75" hidden="1" thickBot="1" x14ac:dyDescent="0.3">
      <c r="A1368" s="226"/>
      <c r="B1368" s="244"/>
      <c r="C1368" s="28"/>
      <c r="D1368" s="28"/>
      <c r="E1368" s="29"/>
      <c r="F1368" s="39" t="s">
        <v>523</v>
      </c>
      <c r="G1368" s="27" t="str">
        <f t="shared" si="22"/>
        <v/>
      </c>
      <c r="H1368" s="31"/>
      <c r="I1368" s="27"/>
      <c r="J1368" s="141">
        <v>0</v>
      </c>
    </row>
    <row r="1369" spans="1:10" ht="15.75" hidden="1" thickBot="1" x14ac:dyDescent="0.3">
      <c r="A1369" s="226"/>
      <c r="B1369" s="244"/>
      <c r="C1369" s="32" t="s">
        <v>74</v>
      </c>
      <c r="D1369" s="32" t="s">
        <v>12</v>
      </c>
      <c r="E1369" s="33">
        <v>0.34599999999999997</v>
      </c>
      <c r="F1369" s="27">
        <v>19.4085</v>
      </c>
      <c r="G1369" s="30">
        <f t="shared" si="22"/>
        <v>6.7153409999999996</v>
      </c>
      <c r="H1369" s="35">
        <f>SUM(G1369:G1371)</f>
        <v>15.416029999999999</v>
      </c>
      <c r="I1369" s="36"/>
      <c r="J1369" s="141">
        <v>0</v>
      </c>
    </row>
    <row r="1370" spans="1:10" ht="15.75" hidden="1" thickBot="1" x14ac:dyDescent="0.3">
      <c r="A1370" s="226"/>
      <c r="B1370" s="244"/>
      <c r="C1370" s="32" t="s">
        <v>30</v>
      </c>
      <c r="D1370" s="32" t="s">
        <v>12</v>
      </c>
      <c r="E1370" s="33">
        <v>0.34599999999999997</v>
      </c>
      <c r="F1370" s="27">
        <v>25.146499999999996</v>
      </c>
      <c r="G1370" s="30">
        <f t="shared" si="22"/>
        <v>8.7006889999999988</v>
      </c>
      <c r="H1370" s="31"/>
      <c r="I1370" s="27"/>
      <c r="J1370" s="141">
        <v>0</v>
      </c>
    </row>
    <row r="1371" spans="1:10" ht="15.75" hidden="1" thickBot="1" x14ac:dyDescent="0.3">
      <c r="A1371" s="226"/>
      <c r="B1371" s="244"/>
      <c r="C1371" s="32" t="s">
        <v>421</v>
      </c>
      <c r="D1371" s="32" t="s">
        <v>93</v>
      </c>
      <c r="E1371" s="33">
        <v>1</v>
      </c>
      <c r="F1371" s="30" t="s">
        <v>523</v>
      </c>
      <c r="G1371" s="30" t="str">
        <f t="shared" si="22"/>
        <v/>
      </c>
      <c r="H1371" s="31"/>
      <c r="I1371" s="27"/>
      <c r="J1371" s="141">
        <v>0</v>
      </c>
    </row>
    <row r="1372" spans="1:10" ht="15.75" hidden="1" thickBot="1" x14ac:dyDescent="0.3">
      <c r="A1372" s="227"/>
      <c r="B1372" s="230"/>
      <c r="C1372" s="32"/>
      <c r="D1372" s="32"/>
      <c r="E1372" s="33"/>
      <c r="F1372" s="27" t="s">
        <v>523</v>
      </c>
      <c r="G1372" s="27" t="str">
        <f t="shared" si="22"/>
        <v/>
      </c>
      <c r="H1372" s="31"/>
      <c r="I1372" s="27"/>
      <c r="J1372" s="141">
        <v>0</v>
      </c>
    </row>
    <row r="1373" spans="1:10" ht="15.75" hidden="1" thickBot="1" x14ac:dyDescent="0.3">
      <c r="A1373" s="225" t="s">
        <v>422</v>
      </c>
      <c r="B1373" s="228" t="str">
        <f>INDEX(Orçamentária!A:B,MATCH(Composições!A1373,Orçamentária!A:A,0),2)</f>
        <v>Caixa de passagem em alumínio 200x200x100mm</v>
      </c>
      <c r="C1373" s="37"/>
      <c r="D1373" s="22" t="str">
        <f>TRIM(INDEX(Orçamentária!C:C,MATCH(Composições!A1373,Orçamentária!A:A,0),1))</f>
        <v>un</v>
      </c>
      <c r="E1373" s="23"/>
      <c r="F1373" s="38" t="s">
        <v>523</v>
      </c>
      <c r="G1373" s="24" t="str">
        <f t="shared" si="22"/>
        <v/>
      </c>
      <c r="H1373" s="25"/>
      <c r="I1373" s="26"/>
      <c r="J1373" s="141">
        <v>0</v>
      </c>
    </row>
    <row r="1374" spans="1:10" ht="15.75" hidden="1" thickBot="1" x14ac:dyDescent="0.3">
      <c r="A1374" s="226"/>
      <c r="B1374" s="244"/>
      <c r="C1374" s="28"/>
      <c r="D1374" s="28"/>
      <c r="E1374" s="29"/>
      <c r="F1374" s="39" t="s">
        <v>523</v>
      </c>
      <c r="G1374" s="27" t="str">
        <f t="shared" si="22"/>
        <v/>
      </c>
      <c r="H1374" s="31"/>
      <c r="I1374" s="27"/>
      <c r="J1374" s="141">
        <v>0</v>
      </c>
    </row>
    <row r="1375" spans="1:10" ht="15.75" hidden="1" thickBot="1" x14ac:dyDescent="0.3">
      <c r="A1375" s="226"/>
      <c r="B1375" s="244"/>
      <c r="C1375" s="32" t="s">
        <v>74</v>
      </c>
      <c r="D1375" s="32" t="s">
        <v>12</v>
      </c>
      <c r="E1375" s="33">
        <v>0.34599999999999997</v>
      </c>
      <c r="F1375" s="27">
        <v>19.4085</v>
      </c>
      <c r="G1375" s="30">
        <f t="shared" si="22"/>
        <v>6.7153409999999996</v>
      </c>
      <c r="H1375" s="35">
        <f>SUM(G1375:G1378)</f>
        <v>15.416029999999999</v>
      </c>
      <c r="I1375" s="36"/>
      <c r="J1375" s="141">
        <v>0</v>
      </c>
    </row>
    <row r="1376" spans="1:10" ht="15.75" hidden="1" thickBot="1" x14ac:dyDescent="0.3">
      <c r="A1376" s="226"/>
      <c r="B1376" s="244"/>
      <c r="C1376" s="32" t="s">
        <v>30</v>
      </c>
      <c r="D1376" s="32" t="s">
        <v>12</v>
      </c>
      <c r="E1376" s="33">
        <v>0.34599999999999997</v>
      </c>
      <c r="F1376" s="27">
        <v>25.146499999999996</v>
      </c>
      <c r="G1376" s="30">
        <f t="shared" si="22"/>
        <v>8.7006889999999988</v>
      </c>
      <c r="H1376" s="31"/>
      <c r="I1376" s="27"/>
      <c r="J1376" s="141">
        <v>0</v>
      </c>
    </row>
    <row r="1377" spans="1:10" ht="15.75" hidden="1" thickBot="1" x14ac:dyDescent="0.3">
      <c r="A1377" s="226"/>
      <c r="B1377" s="244"/>
      <c r="C1377" s="32" t="s">
        <v>423</v>
      </c>
      <c r="D1377" s="32" t="s">
        <v>93</v>
      </c>
      <c r="E1377" s="33">
        <v>1</v>
      </c>
      <c r="F1377" s="30" t="s">
        <v>523</v>
      </c>
      <c r="G1377" s="30" t="str">
        <f t="shared" si="22"/>
        <v/>
      </c>
      <c r="H1377" s="31"/>
      <c r="I1377" s="27"/>
      <c r="J1377" s="141">
        <v>0</v>
      </c>
    </row>
    <row r="1378" spans="1:10" ht="15.75" hidden="1" thickBot="1" x14ac:dyDescent="0.3">
      <c r="A1378" s="226"/>
      <c r="B1378" s="244"/>
      <c r="C1378" s="32" t="s">
        <v>6720</v>
      </c>
      <c r="D1378" s="32" t="s">
        <v>20</v>
      </c>
      <c r="E1378" s="33">
        <v>2</v>
      </c>
      <c r="F1378" s="30" t="s">
        <v>523</v>
      </c>
      <c r="G1378" s="30" t="str">
        <f t="shared" si="22"/>
        <v/>
      </c>
      <c r="H1378" s="31"/>
      <c r="I1378" s="27"/>
      <c r="J1378" s="141">
        <v>0</v>
      </c>
    </row>
    <row r="1379" spans="1:10" ht="15.75" hidden="1" thickBot="1" x14ac:dyDescent="0.3">
      <c r="A1379" s="227"/>
      <c r="B1379" s="230"/>
      <c r="C1379" s="32"/>
      <c r="D1379" s="32"/>
      <c r="E1379" s="33"/>
      <c r="F1379" s="27" t="s">
        <v>523</v>
      </c>
      <c r="G1379" s="27" t="str">
        <f t="shared" si="22"/>
        <v/>
      </c>
      <c r="H1379" s="31"/>
      <c r="I1379" s="27"/>
      <c r="J1379" s="141">
        <v>0</v>
      </c>
    </row>
    <row r="1380" spans="1:10" ht="15.75" hidden="1" thickBot="1" x14ac:dyDescent="0.3">
      <c r="A1380" s="225" t="s">
        <v>424</v>
      </c>
      <c r="B1380" s="228" t="str">
        <f>INDEX(Orçamentária!A:B,MATCH(Composições!A1380,Orçamentária!A:A,0),2)</f>
        <v>Caixa de passagem em PVC 150x150x75mm</v>
      </c>
      <c r="C1380" s="37"/>
      <c r="D1380" s="22" t="str">
        <f>TRIM(INDEX(Orçamentária!C:C,MATCH(Composições!A1380,Orçamentária!A:A,0),1))</f>
        <v>un</v>
      </c>
      <c r="E1380" s="23"/>
      <c r="F1380" s="38" t="s">
        <v>523</v>
      </c>
      <c r="G1380" s="24" t="str">
        <f t="shared" si="22"/>
        <v/>
      </c>
      <c r="H1380" s="25"/>
      <c r="I1380" s="26"/>
      <c r="J1380" s="141">
        <v>0</v>
      </c>
    </row>
    <row r="1381" spans="1:10" ht="15.75" hidden="1" thickBot="1" x14ac:dyDescent="0.3">
      <c r="A1381" s="226"/>
      <c r="B1381" s="244"/>
      <c r="C1381" s="28"/>
      <c r="D1381" s="28"/>
      <c r="E1381" s="29"/>
      <c r="F1381" s="39" t="s">
        <v>523</v>
      </c>
      <c r="G1381" s="27" t="str">
        <f t="shared" si="22"/>
        <v/>
      </c>
      <c r="H1381" s="31"/>
      <c r="I1381" s="27"/>
      <c r="J1381" s="141">
        <v>0</v>
      </c>
    </row>
    <row r="1382" spans="1:10" ht="15.75" hidden="1" thickBot="1" x14ac:dyDescent="0.3">
      <c r="A1382" s="226"/>
      <c r="B1382" s="244"/>
      <c r="C1382" s="32" t="s">
        <v>30</v>
      </c>
      <c r="D1382" s="32" t="s">
        <v>12</v>
      </c>
      <c r="E1382" s="33">
        <v>0.34599999999999997</v>
      </c>
      <c r="F1382" s="27">
        <v>25.146499999999996</v>
      </c>
      <c r="G1382" s="30">
        <f t="shared" si="22"/>
        <v>8.7006889999999988</v>
      </c>
      <c r="H1382" s="35">
        <f>SUM(G1382:G1384)</f>
        <v>61.253681999999998</v>
      </c>
      <c r="I1382" s="36"/>
      <c r="J1382" s="141">
        <v>0</v>
      </c>
    </row>
    <row r="1383" spans="1:10" ht="15.75" hidden="1" thickBot="1" x14ac:dyDescent="0.3">
      <c r="A1383" s="226"/>
      <c r="B1383" s="244"/>
      <c r="C1383" s="32" t="s">
        <v>23</v>
      </c>
      <c r="D1383" s="32" t="s">
        <v>12</v>
      </c>
      <c r="E1383" s="33">
        <v>0.34599999999999997</v>
      </c>
      <c r="F1383" s="27">
        <v>18.420500000000001</v>
      </c>
      <c r="G1383" s="30">
        <f t="shared" si="22"/>
        <v>6.3734929999999999</v>
      </c>
      <c r="H1383" s="31"/>
      <c r="I1383" s="27"/>
      <c r="J1383" s="141">
        <v>0</v>
      </c>
    </row>
    <row r="1384" spans="1:10" ht="26.25" hidden="1" thickBot="1" x14ac:dyDescent="0.3">
      <c r="A1384" s="226"/>
      <c r="B1384" s="244"/>
      <c r="C1384" s="32" t="s">
        <v>425</v>
      </c>
      <c r="D1384" s="32" t="s">
        <v>20</v>
      </c>
      <c r="E1384" s="33">
        <v>1</v>
      </c>
      <c r="F1384" s="30">
        <v>46.179499999999997</v>
      </c>
      <c r="G1384" s="27">
        <f t="shared" si="22"/>
        <v>46.179499999999997</v>
      </c>
      <c r="H1384" s="31"/>
      <c r="I1384" s="27"/>
      <c r="J1384" s="141">
        <v>0</v>
      </c>
    </row>
    <row r="1385" spans="1:10" ht="15.75" hidden="1" thickBot="1" x14ac:dyDescent="0.3">
      <c r="A1385" s="227"/>
      <c r="B1385" s="230"/>
      <c r="C1385" s="32"/>
      <c r="D1385" s="32"/>
      <c r="E1385" s="33"/>
      <c r="F1385" s="27" t="s">
        <v>523</v>
      </c>
      <c r="G1385" s="27" t="str">
        <f t="shared" si="22"/>
        <v/>
      </c>
      <c r="H1385" s="31"/>
      <c r="I1385" s="27"/>
      <c r="J1385" s="141">
        <v>0</v>
      </c>
    </row>
    <row r="1386" spans="1:10" ht="15.75" hidden="1" thickBot="1" x14ac:dyDescent="0.3">
      <c r="A1386" s="225" t="s">
        <v>426</v>
      </c>
      <c r="B1386" s="228" t="str">
        <f>INDEX(Orçamentária!A:B,MATCH(Composições!A1386,Orçamentária!A:A,0),2)</f>
        <v>Caixa para piso elevado</v>
      </c>
      <c r="C1386" s="37"/>
      <c r="D1386" s="22" t="str">
        <f>TRIM(INDEX(Orçamentária!C:C,MATCH(Composições!A1386,Orçamentária!A:A,0),1))</f>
        <v>un</v>
      </c>
      <c r="E1386" s="23"/>
      <c r="F1386" s="38" t="s">
        <v>523</v>
      </c>
      <c r="G1386" s="24" t="str">
        <f t="shared" si="22"/>
        <v/>
      </c>
      <c r="H1386" s="25"/>
      <c r="I1386" s="26"/>
      <c r="J1386" s="141">
        <v>0</v>
      </c>
    </row>
    <row r="1387" spans="1:10" ht="15.75" hidden="1" thickBot="1" x14ac:dyDescent="0.3">
      <c r="A1387" s="226"/>
      <c r="B1387" s="244"/>
      <c r="C1387" s="28"/>
      <c r="D1387" s="28"/>
      <c r="E1387" s="29"/>
      <c r="F1387" s="39" t="s">
        <v>523</v>
      </c>
      <c r="G1387" s="27" t="str">
        <f t="shared" si="22"/>
        <v/>
      </c>
      <c r="H1387" s="31"/>
      <c r="I1387" s="27"/>
      <c r="J1387" s="141">
        <v>0</v>
      </c>
    </row>
    <row r="1388" spans="1:10" ht="15.75" hidden="1" thickBot="1" x14ac:dyDescent="0.3">
      <c r="A1388" s="226"/>
      <c r="B1388" s="244"/>
      <c r="C1388" s="32" t="s">
        <v>30</v>
      </c>
      <c r="D1388" s="32" t="s">
        <v>12</v>
      </c>
      <c r="E1388" s="33">
        <v>0.34599999999999997</v>
      </c>
      <c r="F1388" s="27">
        <v>25.146499999999996</v>
      </c>
      <c r="G1388" s="27">
        <f t="shared" si="22"/>
        <v>8.7006889999999988</v>
      </c>
      <c r="H1388" s="35">
        <f>SUM(G1388:G1390)</f>
        <v>15.416029999999999</v>
      </c>
      <c r="I1388" s="36"/>
      <c r="J1388" s="141">
        <v>0</v>
      </c>
    </row>
    <row r="1389" spans="1:10" ht="15.75" hidden="1" thickBot="1" x14ac:dyDescent="0.3">
      <c r="A1389" s="226"/>
      <c r="B1389" s="244"/>
      <c r="C1389" s="32" t="s">
        <v>74</v>
      </c>
      <c r="D1389" s="32" t="s">
        <v>12</v>
      </c>
      <c r="E1389" s="33">
        <v>0.34599999999999997</v>
      </c>
      <c r="F1389" s="27">
        <v>19.4085</v>
      </c>
      <c r="G1389" s="27">
        <f t="shared" si="22"/>
        <v>6.7153409999999996</v>
      </c>
      <c r="H1389" s="31"/>
      <c r="I1389" s="27"/>
      <c r="J1389" s="141">
        <v>0</v>
      </c>
    </row>
    <row r="1390" spans="1:10" ht="26.25" hidden="1" thickBot="1" x14ac:dyDescent="0.3">
      <c r="A1390" s="226"/>
      <c r="B1390" s="244"/>
      <c r="C1390" s="32" t="s">
        <v>427</v>
      </c>
      <c r="D1390" s="43" t="s">
        <v>20</v>
      </c>
      <c r="E1390" s="33">
        <v>1</v>
      </c>
      <c r="F1390" s="30" t="s">
        <v>523</v>
      </c>
      <c r="G1390" s="27" t="str">
        <f t="shared" si="22"/>
        <v/>
      </c>
      <c r="H1390" s="31"/>
      <c r="I1390" s="27"/>
      <c r="J1390" s="141">
        <v>0</v>
      </c>
    </row>
    <row r="1391" spans="1:10" ht="15.75" hidden="1" thickBot="1" x14ac:dyDescent="0.3">
      <c r="A1391" s="226"/>
      <c r="B1391" s="244"/>
      <c r="C1391" s="32"/>
      <c r="D1391" s="43"/>
      <c r="E1391" s="33"/>
      <c r="F1391" s="30" t="s">
        <v>523</v>
      </c>
      <c r="G1391" s="27" t="str">
        <f t="shared" si="22"/>
        <v/>
      </c>
      <c r="H1391" s="31"/>
      <c r="I1391" s="27"/>
      <c r="J1391" s="141">
        <v>0</v>
      </c>
    </row>
    <row r="1392" spans="1:10" ht="15.75" hidden="1" thickBot="1" x14ac:dyDescent="0.3">
      <c r="A1392" s="225" t="s">
        <v>428</v>
      </c>
      <c r="B1392" s="228" t="str">
        <f>INDEX(Orçamentária!A:B,MATCH(Composições!A1392,Orçamentária!A:A,0),2)</f>
        <v>Canaleta em alumínio aparente 73mmx25mm</v>
      </c>
      <c r="C1392" s="37"/>
      <c r="D1392" s="22" t="str">
        <f>TRIM(INDEX(Orçamentária!C:C,MATCH(Composições!A1392,Orçamentária!A:A,0),1))</f>
        <v>m</v>
      </c>
      <c r="E1392" s="23"/>
      <c r="F1392" s="38" t="s">
        <v>523</v>
      </c>
      <c r="G1392" s="24" t="str">
        <f t="shared" si="22"/>
        <v/>
      </c>
      <c r="H1392" s="25"/>
      <c r="I1392" s="26"/>
      <c r="J1392" s="141">
        <v>0</v>
      </c>
    </row>
    <row r="1393" spans="1:10" ht="15.75" hidden="1" thickBot="1" x14ac:dyDescent="0.3">
      <c r="A1393" s="226"/>
      <c r="B1393" s="244"/>
      <c r="C1393" s="28"/>
      <c r="D1393" s="28"/>
      <c r="E1393" s="29"/>
      <c r="F1393" s="39" t="s">
        <v>523</v>
      </c>
      <c r="G1393" s="27" t="str">
        <f t="shared" si="22"/>
        <v/>
      </c>
      <c r="H1393" s="31"/>
      <c r="I1393" s="27"/>
      <c r="J1393" s="141">
        <v>0</v>
      </c>
    </row>
    <row r="1394" spans="1:10" ht="26.25" hidden="1" thickBot="1" x14ac:dyDescent="0.3">
      <c r="A1394" s="226"/>
      <c r="B1394" s="244"/>
      <c r="C1394" s="32" t="s">
        <v>429</v>
      </c>
      <c r="D1394" s="32" t="s">
        <v>93</v>
      </c>
      <c r="E1394" s="33">
        <v>1.1499999999999999</v>
      </c>
      <c r="F1394" s="30" t="s">
        <v>523</v>
      </c>
      <c r="G1394" s="30" t="str">
        <f t="shared" si="22"/>
        <v/>
      </c>
      <c r="H1394" s="35">
        <f>SUM(G1394:G1396)</f>
        <v>8.0198999999999998</v>
      </c>
      <c r="I1394" s="36"/>
      <c r="J1394" s="141">
        <v>0</v>
      </c>
    </row>
    <row r="1395" spans="1:10" ht="15.75" hidden="1" thickBot="1" x14ac:dyDescent="0.3">
      <c r="A1395" s="226"/>
      <c r="B1395" s="244"/>
      <c r="C1395" s="32" t="s">
        <v>74</v>
      </c>
      <c r="D1395" s="43" t="s">
        <v>12</v>
      </c>
      <c r="E1395" s="33">
        <v>0.18</v>
      </c>
      <c r="F1395" s="27">
        <v>19.4085</v>
      </c>
      <c r="G1395" s="30">
        <f t="shared" si="22"/>
        <v>3.4935299999999998</v>
      </c>
      <c r="H1395" s="31"/>
      <c r="I1395" s="27"/>
      <c r="J1395" s="141">
        <v>0</v>
      </c>
    </row>
    <row r="1396" spans="1:10" ht="15.75" hidden="1" thickBot="1" x14ac:dyDescent="0.3">
      <c r="A1396" s="226"/>
      <c r="B1396" s="244"/>
      <c r="C1396" s="32" t="s">
        <v>30</v>
      </c>
      <c r="D1396" s="32" t="s">
        <v>12</v>
      </c>
      <c r="E1396" s="33">
        <v>0.18</v>
      </c>
      <c r="F1396" s="27">
        <v>25.146499999999996</v>
      </c>
      <c r="G1396" s="30">
        <f t="shared" si="22"/>
        <v>4.5263699999999991</v>
      </c>
      <c r="H1396" s="31"/>
      <c r="I1396" s="27"/>
      <c r="J1396" s="141">
        <v>0</v>
      </c>
    </row>
    <row r="1397" spans="1:10" ht="15.75" hidden="1" thickBot="1" x14ac:dyDescent="0.3">
      <c r="A1397" s="227"/>
      <c r="B1397" s="230"/>
      <c r="C1397" s="32"/>
      <c r="D1397" s="32"/>
      <c r="E1397" s="33"/>
      <c r="F1397" s="27" t="s">
        <v>523</v>
      </c>
      <c r="G1397" s="27" t="str">
        <f t="shared" si="22"/>
        <v/>
      </c>
      <c r="H1397" s="31"/>
      <c r="I1397" s="27"/>
      <c r="J1397" s="141">
        <v>0</v>
      </c>
    </row>
    <row r="1398" spans="1:10" ht="15.75" thickBot="1" x14ac:dyDescent="0.3">
      <c r="A1398" s="225" t="s">
        <v>430</v>
      </c>
      <c r="B1398" s="228" t="str">
        <f>INDEX(Orçamentária!A:B,MATCH(Composições!A1398,Orçamentária!A:A,0),2)</f>
        <v>Condulete de alumínio de 1"</v>
      </c>
      <c r="C1398" s="37"/>
      <c r="D1398" s="22" t="str">
        <f>TRIM(INDEX(Orçamentária!C:C,MATCH(Composições!A1398,Orçamentária!A:A,0),1))</f>
        <v>un</v>
      </c>
      <c r="E1398" s="23"/>
      <c r="F1398" s="38" t="s">
        <v>523</v>
      </c>
      <c r="G1398" s="24" t="str">
        <f t="shared" si="22"/>
        <v/>
      </c>
      <c r="H1398" s="25"/>
      <c r="I1398" s="26"/>
      <c r="J1398" s="141">
        <v>831</v>
      </c>
    </row>
    <row r="1399" spans="1:10" x14ac:dyDescent="0.25">
      <c r="A1399" s="226"/>
      <c r="B1399" s="244"/>
      <c r="C1399" s="28"/>
      <c r="D1399" s="28"/>
      <c r="E1399" s="29"/>
      <c r="F1399" s="39" t="s">
        <v>523</v>
      </c>
      <c r="G1399" s="27" t="str">
        <f t="shared" si="22"/>
        <v/>
      </c>
      <c r="H1399" s="31"/>
      <c r="I1399" s="27"/>
      <c r="J1399" s="141">
        <v>831</v>
      </c>
    </row>
    <row r="1400" spans="1:10" x14ac:dyDescent="0.25">
      <c r="A1400" s="226"/>
      <c r="B1400" s="244"/>
      <c r="C1400" s="32" t="s">
        <v>74</v>
      </c>
      <c r="D1400" s="32" t="s">
        <v>12</v>
      </c>
      <c r="E1400" s="33">
        <v>0.53849999999999998</v>
      </c>
      <c r="F1400" s="27">
        <v>19.4085</v>
      </c>
      <c r="G1400" s="30">
        <f t="shared" si="22"/>
        <v>10.45147725</v>
      </c>
      <c r="H1400" s="35">
        <f>SUM(G1400:G1403)</f>
        <v>44.417867499999993</v>
      </c>
      <c r="I1400" s="36"/>
      <c r="J1400" s="141">
        <v>831</v>
      </c>
    </row>
    <row r="1401" spans="1:10" x14ac:dyDescent="0.25">
      <c r="A1401" s="226"/>
      <c r="B1401" s="244"/>
      <c r="C1401" s="32" t="s">
        <v>30</v>
      </c>
      <c r="D1401" s="32" t="s">
        <v>12</v>
      </c>
      <c r="E1401" s="33">
        <v>0.53849999999999998</v>
      </c>
      <c r="F1401" s="27">
        <v>25.146499999999996</v>
      </c>
      <c r="G1401" s="30">
        <f t="shared" si="22"/>
        <v>13.541390249999997</v>
      </c>
      <c r="H1401" s="31"/>
      <c r="I1401" s="27"/>
      <c r="J1401" s="141">
        <v>831</v>
      </c>
    </row>
    <row r="1402" spans="1:10" ht="25.5" x14ac:dyDescent="0.25">
      <c r="A1402" s="226"/>
      <c r="B1402" s="244"/>
      <c r="C1402" s="32" t="s">
        <v>431</v>
      </c>
      <c r="D1402" s="32" t="s">
        <v>20</v>
      </c>
      <c r="E1402" s="33">
        <v>2</v>
      </c>
      <c r="F1402" s="30">
        <v>0.38949999999999996</v>
      </c>
      <c r="G1402" s="30">
        <f t="shared" si="22"/>
        <v>0.77899999999999991</v>
      </c>
      <c r="H1402" s="31"/>
      <c r="I1402" s="27"/>
      <c r="J1402" s="141">
        <v>831</v>
      </c>
    </row>
    <row r="1403" spans="1:10" ht="25.5" x14ac:dyDescent="0.25">
      <c r="A1403" s="226"/>
      <c r="B1403" s="244"/>
      <c r="C1403" s="32" t="s">
        <v>432</v>
      </c>
      <c r="D1403" s="32" t="s">
        <v>20</v>
      </c>
      <c r="E1403" s="33">
        <v>1</v>
      </c>
      <c r="F1403" s="30">
        <v>19.645999999999997</v>
      </c>
      <c r="G1403" s="27">
        <f t="shared" si="22"/>
        <v>19.645999999999997</v>
      </c>
      <c r="H1403" s="31"/>
      <c r="I1403" s="27"/>
      <c r="J1403" s="141">
        <v>831</v>
      </c>
    </row>
    <row r="1404" spans="1:10" ht="15.75" thickBot="1" x14ac:dyDescent="0.3">
      <c r="A1404" s="227"/>
      <c r="B1404" s="230"/>
      <c r="C1404" s="32"/>
      <c r="D1404" s="32"/>
      <c r="E1404" s="33"/>
      <c r="F1404" s="27" t="s">
        <v>523</v>
      </c>
      <c r="G1404" s="27" t="str">
        <f t="shared" si="22"/>
        <v/>
      </c>
      <c r="H1404" s="31"/>
      <c r="I1404" s="27"/>
      <c r="J1404" s="141">
        <v>831</v>
      </c>
    </row>
    <row r="1405" spans="1:10" ht="15.75" hidden="1" thickBot="1" x14ac:dyDescent="0.3">
      <c r="A1405" s="225" t="s">
        <v>433</v>
      </c>
      <c r="B1405" s="228" t="str">
        <f>INDEX(Orçamentária!A:B,MATCH(Composições!A1405,Orçamentária!A:A,0),2)</f>
        <v>Eletrocalha 100x50 mm</v>
      </c>
      <c r="C1405" s="37"/>
      <c r="D1405" s="22" t="str">
        <f>TRIM(INDEX(Orçamentária!C:C,MATCH(Composições!A1405,Orçamentária!A:A,0),1))</f>
        <v>m</v>
      </c>
      <c r="E1405" s="23"/>
      <c r="F1405" s="38" t="s">
        <v>523</v>
      </c>
      <c r="G1405" s="24" t="str">
        <f t="shared" si="22"/>
        <v/>
      </c>
      <c r="H1405" s="25"/>
      <c r="I1405" s="26"/>
      <c r="J1405" s="141">
        <v>0</v>
      </c>
    </row>
    <row r="1406" spans="1:10" ht="15.75" hidden="1" thickBot="1" x14ac:dyDescent="0.3">
      <c r="A1406" s="226"/>
      <c r="B1406" s="244"/>
      <c r="C1406" s="28"/>
      <c r="D1406" s="28"/>
      <c r="E1406" s="29"/>
      <c r="F1406" s="39" t="s">
        <v>523</v>
      </c>
      <c r="G1406" s="27" t="str">
        <f t="shared" si="22"/>
        <v/>
      </c>
      <c r="H1406" s="31"/>
      <c r="I1406" s="27"/>
      <c r="J1406" s="141">
        <v>0</v>
      </c>
    </row>
    <row r="1407" spans="1:10" ht="15.75" hidden="1" thickBot="1" x14ac:dyDescent="0.3">
      <c r="A1407" s="226"/>
      <c r="B1407" s="244"/>
      <c r="C1407" s="32" t="s">
        <v>30</v>
      </c>
      <c r="D1407" s="32" t="s">
        <v>12</v>
      </c>
      <c r="E1407" s="33">
        <v>0.45</v>
      </c>
      <c r="F1407" s="27">
        <v>25.146499999999996</v>
      </c>
      <c r="G1407" s="27">
        <f t="shared" si="22"/>
        <v>11.315924999999998</v>
      </c>
      <c r="H1407" s="35">
        <f>SUM(G1407:G1418)</f>
        <v>21.152659149999995</v>
      </c>
      <c r="I1407" s="36"/>
      <c r="J1407" s="141">
        <v>0</v>
      </c>
    </row>
    <row r="1408" spans="1:10" ht="15.75" hidden="1" thickBot="1" x14ac:dyDescent="0.3">
      <c r="A1408" s="226"/>
      <c r="B1408" s="244"/>
      <c r="C1408" s="32" t="s">
        <v>74</v>
      </c>
      <c r="D1408" s="43" t="s">
        <v>12</v>
      </c>
      <c r="E1408" s="33">
        <v>0.45</v>
      </c>
      <c r="F1408" s="27">
        <v>19.4085</v>
      </c>
      <c r="G1408" s="27">
        <f t="shared" si="22"/>
        <v>8.7338249999999995</v>
      </c>
      <c r="H1408" s="31"/>
      <c r="I1408" s="27"/>
      <c r="J1408" s="141">
        <v>0</v>
      </c>
    </row>
    <row r="1409" spans="1:10" ht="26.25" hidden="1" thickBot="1" x14ac:dyDescent="0.3">
      <c r="A1409" s="226"/>
      <c r="B1409" s="244"/>
      <c r="C1409" s="32" t="s">
        <v>434</v>
      </c>
      <c r="D1409" s="32" t="s">
        <v>144</v>
      </c>
      <c r="E1409" s="33">
        <v>0.67</v>
      </c>
      <c r="F1409" s="27">
        <v>0</v>
      </c>
      <c r="G1409" s="27">
        <f t="shared" si="22"/>
        <v>0</v>
      </c>
      <c r="H1409" s="58"/>
      <c r="I1409" s="1"/>
      <c r="J1409" s="141">
        <v>0</v>
      </c>
    </row>
    <row r="1410" spans="1:10" ht="26.25" hidden="1" thickBot="1" x14ac:dyDescent="0.3">
      <c r="A1410" s="226"/>
      <c r="B1410" s="244"/>
      <c r="C1410" s="32" t="s">
        <v>435</v>
      </c>
      <c r="D1410" s="32" t="s">
        <v>93</v>
      </c>
      <c r="E1410" s="33">
        <v>1.05</v>
      </c>
      <c r="F1410" s="30" t="s">
        <v>523</v>
      </c>
      <c r="G1410" s="27" t="str">
        <f t="shared" si="22"/>
        <v/>
      </c>
      <c r="H1410" s="31"/>
      <c r="I1410" s="27"/>
      <c r="J1410" s="141">
        <v>0</v>
      </c>
    </row>
    <row r="1411" spans="1:10" ht="15.75" hidden="1" thickBot="1" x14ac:dyDescent="0.3">
      <c r="A1411" s="226"/>
      <c r="B1411" s="244"/>
      <c r="C1411" s="32" t="s">
        <v>436</v>
      </c>
      <c r="D1411" s="32" t="s">
        <v>93</v>
      </c>
      <c r="E1411" s="33">
        <v>0.8</v>
      </c>
      <c r="F1411" s="27">
        <v>0</v>
      </c>
      <c r="G1411" s="27">
        <f t="shared" si="22"/>
        <v>0</v>
      </c>
      <c r="H1411" s="31"/>
      <c r="I1411" s="27"/>
      <c r="J1411" s="141">
        <v>0</v>
      </c>
    </row>
    <row r="1412" spans="1:10" ht="15.75" hidden="1" thickBot="1" x14ac:dyDescent="0.3">
      <c r="A1412" s="226"/>
      <c r="B1412" s="244"/>
      <c r="C1412" s="32" t="s">
        <v>437</v>
      </c>
      <c r="D1412" s="32" t="s">
        <v>280</v>
      </c>
      <c r="E1412" s="33">
        <v>4.0033000000000003</v>
      </c>
      <c r="F1412" s="30">
        <v>0.27549999999999997</v>
      </c>
      <c r="G1412" s="27">
        <f t="shared" si="22"/>
        <v>1.1029091499999999</v>
      </c>
      <c r="H1412" s="31"/>
      <c r="I1412" s="27"/>
      <c r="J1412" s="141">
        <v>0</v>
      </c>
    </row>
    <row r="1413" spans="1:10" ht="15.75" hidden="1" thickBot="1" x14ac:dyDescent="0.3">
      <c r="A1413" s="226"/>
      <c r="B1413" s="244"/>
      <c r="C1413" s="32" t="s">
        <v>438</v>
      </c>
      <c r="D1413" s="32" t="s">
        <v>144</v>
      </c>
      <c r="E1413" s="33">
        <v>4.0033000000000003</v>
      </c>
      <c r="F1413" s="27">
        <v>0</v>
      </c>
      <c r="G1413" s="27">
        <f t="shared" si="22"/>
        <v>0</v>
      </c>
      <c r="H1413" s="31"/>
      <c r="I1413" s="27"/>
      <c r="J1413" s="141">
        <v>0</v>
      </c>
    </row>
    <row r="1414" spans="1:10" ht="15.75" hidden="1" thickBot="1" x14ac:dyDescent="0.3">
      <c r="A1414" s="226"/>
      <c r="B1414" s="244"/>
      <c r="C1414" s="32" t="s">
        <v>439</v>
      </c>
      <c r="D1414" s="32" t="s">
        <v>144</v>
      </c>
      <c r="E1414" s="33">
        <v>0.67</v>
      </c>
      <c r="F1414" s="27">
        <v>0</v>
      </c>
      <c r="G1414" s="27">
        <f t="shared" si="22"/>
        <v>0</v>
      </c>
      <c r="H1414" s="31"/>
      <c r="I1414" s="27"/>
      <c r="J1414" s="141">
        <v>0</v>
      </c>
    </row>
    <row r="1415" spans="1:10" ht="15.75" hidden="1" thickBot="1" x14ac:dyDescent="0.3">
      <c r="A1415" s="226"/>
      <c r="B1415" s="244"/>
      <c r="C1415" s="32" t="s">
        <v>440</v>
      </c>
      <c r="D1415" s="32" t="s">
        <v>144</v>
      </c>
      <c r="E1415" s="33">
        <v>1.05</v>
      </c>
      <c r="F1415" s="27">
        <v>0</v>
      </c>
      <c r="G1415" s="27">
        <f t="shared" si="22"/>
        <v>0</v>
      </c>
      <c r="H1415" s="31"/>
      <c r="I1415" s="27"/>
      <c r="J1415" s="141">
        <v>0</v>
      </c>
    </row>
    <row r="1416" spans="1:10" ht="15.75" hidden="1" thickBot="1" x14ac:dyDescent="0.3">
      <c r="A1416" s="226"/>
      <c r="B1416" s="244"/>
      <c r="C1416" s="32" t="s">
        <v>441</v>
      </c>
      <c r="D1416" s="32" t="s">
        <v>20</v>
      </c>
      <c r="E1416" s="33">
        <v>2.67</v>
      </c>
      <c r="F1416" s="27">
        <v>0</v>
      </c>
      <c r="G1416" s="27">
        <f t="shared" si="22"/>
        <v>0</v>
      </c>
      <c r="H1416" s="31"/>
      <c r="I1416" s="27"/>
      <c r="J1416" s="141">
        <v>0</v>
      </c>
    </row>
    <row r="1417" spans="1:10" ht="15.75" hidden="1" thickBot="1" x14ac:dyDescent="0.3">
      <c r="A1417" s="226"/>
      <c r="B1417" s="244"/>
      <c r="C1417" s="32" t="s">
        <v>442</v>
      </c>
      <c r="D1417" s="32" t="s">
        <v>144</v>
      </c>
      <c r="E1417" s="33">
        <v>0.66669999999999996</v>
      </c>
      <c r="F1417" s="27">
        <v>0</v>
      </c>
      <c r="G1417" s="27">
        <f t="shared" si="22"/>
        <v>0</v>
      </c>
      <c r="H1417" s="31"/>
      <c r="I1417" s="27"/>
      <c r="J1417" s="141">
        <v>0</v>
      </c>
    </row>
    <row r="1418" spans="1:10" ht="26.25" hidden="1" thickBot="1" x14ac:dyDescent="0.3">
      <c r="A1418" s="226"/>
      <c r="B1418" s="244"/>
      <c r="C1418" s="32" t="s">
        <v>443</v>
      </c>
      <c r="D1418" s="32" t="s">
        <v>93</v>
      </c>
      <c r="E1418" s="33">
        <v>1.05</v>
      </c>
      <c r="F1418" s="30" t="s">
        <v>523</v>
      </c>
      <c r="G1418" s="27" t="str">
        <f t="shared" si="22"/>
        <v/>
      </c>
      <c r="H1418" s="31"/>
      <c r="I1418" s="27"/>
      <c r="J1418" s="141">
        <v>0</v>
      </c>
    </row>
    <row r="1419" spans="1:10" ht="15.75" hidden="1" thickBot="1" x14ac:dyDescent="0.3">
      <c r="A1419" s="227"/>
      <c r="B1419" s="230"/>
      <c r="C1419" s="32"/>
      <c r="D1419" s="32"/>
      <c r="E1419" s="33"/>
      <c r="F1419" s="27" t="s">
        <v>523</v>
      </c>
      <c r="G1419" s="27" t="str">
        <f t="shared" si="22"/>
        <v/>
      </c>
      <c r="H1419" s="31"/>
      <c r="I1419" s="27"/>
      <c r="J1419" s="141">
        <v>0</v>
      </c>
    </row>
    <row r="1420" spans="1:10" ht="15.75" hidden="1" thickBot="1" x14ac:dyDescent="0.3">
      <c r="A1420" s="225" t="s">
        <v>444</v>
      </c>
      <c r="B1420" s="228" t="str">
        <f>INDEX(Orçamentária!A:B,MATCH(Composições!A1420,Orçamentária!A:A,0),2)</f>
        <v>Eletrocalha 200x100 mm</v>
      </c>
      <c r="C1420" s="37"/>
      <c r="D1420" s="22" t="str">
        <f>TRIM(INDEX(Orçamentária!C:C,MATCH(Composições!A1420,Orçamentária!A:A,0),1))</f>
        <v>m</v>
      </c>
      <c r="E1420" s="23"/>
      <c r="F1420" s="38" t="s">
        <v>523</v>
      </c>
      <c r="G1420" s="24" t="str">
        <f t="shared" si="22"/>
        <v/>
      </c>
      <c r="H1420" s="25"/>
      <c r="I1420" s="26"/>
      <c r="J1420" s="141">
        <v>0</v>
      </c>
    </row>
    <row r="1421" spans="1:10" ht="15.75" hidden="1" thickBot="1" x14ac:dyDescent="0.3">
      <c r="A1421" s="226"/>
      <c r="B1421" s="244"/>
      <c r="C1421" s="28"/>
      <c r="D1421" s="28"/>
      <c r="E1421" s="29"/>
      <c r="F1421" s="39" t="s">
        <v>523</v>
      </c>
      <c r="G1421" s="27" t="str">
        <f t="shared" si="22"/>
        <v/>
      </c>
      <c r="H1421" s="31"/>
      <c r="I1421" s="27"/>
      <c r="J1421" s="141">
        <v>0</v>
      </c>
    </row>
    <row r="1422" spans="1:10" ht="15.75" hidden="1" thickBot="1" x14ac:dyDescent="0.3">
      <c r="A1422" s="226"/>
      <c r="B1422" s="244"/>
      <c r="C1422" s="32" t="s">
        <v>30</v>
      </c>
      <c r="D1422" s="32" t="s">
        <v>12</v>
      </c>
      <c r="E1422" s="33">
        <v>0.6</v>
      </c>
      <c r="F1422" s="27">
        <v>25.146499999999996</v>
      </c>
      <c r="G1422" s="27">
        <f t="shared" si="22"/>
        <v>15.087899999999998</v>
      </c>
      <c r="H1422" s="35">
        <f>SUM(G1422:G1433)</f>
        <v>28.203260849999996</v>
      </c>
      <c r="I1422" s="36"/>
      <c r="J1422" s="141">
        <v>0</v>
      </c>
    </row>
    <row r="1423" spans="1:10" ht="15.75" hidden="1" thickBot="1" x14ac:dyDescent="0.3">
      <c r="A1423" s="226"/>
      <c r="B1423" s="244"/>
      <c r="C1423" s="32" t="s">
        <v>74</v>
      </c>
      <c r="D1423" s="43" t="s">
        <v>12</v>
      </c>
      <c r="E1423" s="33">
        <v>0.6</v>
      </c>
      <c r="F1423" s="27">
        <v>19.4085</v>
      </c>
      <c r="G1423" s="27">
        <f t="shared" si="22"/>
        <v>11.645099999999999</v>
      </c>
      <c r="H1423" s="31"/>
      <c r="I1423" s="27"/>
      <c r="J1423" s="141">
        <v>0</v>
      </c>
    </row>
    <row r="1424" spans="1:10" ht="26.25" hidden="1" thickBot="1" x14ac:dyDescent="0.3">
      <c r="A1424" s="226"/>
      <c r="B1424" s="244"/>
      <c r="C1424" s="32" t="s">
        <v>434</v>
      </c>
      <c r="D1424" s="32" t="s">
        <v>144</v>
      </c>
      <c r="E1424" s="33">
        <v>1.3332999999999999</v>
      </c>
      <c r="F1424" s="27">
        <v>0</v>
      </c>
      <c r="G1424" s="27">
        <f t="shared" si="22"/>
        <v>0</v>
      </c>
      <c r="H1424" s="58"/>
      <c r="I1424" s="1"/>
      <c r="J1424" s="141">
        <v>0</v>
      </c>
    </row>
    <row r="1425" spans="1:10" ht="26.25" hidden="1" thickBot="1" x14ac:dyDescent="0.3">
      <c r="A1425" s="226"/>
      <c r="B1425" s="244"/>
      <c r="C1425" s="32" t="s">
        <v>445</v>
      </c>
      <c r="D1425" s="32" t="s">
        <v>93</v>
      </c>
      <c r="E1425" s="33">
        <v>1.05</v>
      </c>
      <c r="F1425" s="30" t="s">
        <v>523</v>
      </c>
      <c r="G1425" s="27" t="str">
        <f t="shared" si="22"/>
        <v/>
      </c>
      <c r="H1425" s="31"/>
      <c r="I1425" s="27"/>
      <c r="J1425" s="141">
        <v>0</v>
      </c>
    </row>
    <row r="1426" spans="1:10" ht="15.75" hidden="1" thickBot="1" x14ac:dyDescent="0.3">
      <c r="A1426" s="226"/>
      <c r="B1426" s="244"/>
      <c r="C1426" s="32" t="s">
        <v>436</v>
      </c>
      <c r="D1426" s="32" t="s">
        <v>93</v>
      </c>
      <c r="E1426" s="33">
        <v>1.6</v>
      </c>
      <c r="F1426" s="27">
        <v>0</v>
      </c>
      <c r="G1426" s="27">
        <f t="shared" ref="G1426:G1489" si="23">IF(ISNUMBER(F1426),E1426*F1426,"")</f>
        <v>0</v>
      </c>
      <c r="H1426" s="31"/>
      <c r="I1426" s="27"/>
      <c r="J1426" s="141">
        <v>0</v>
      </c>
    </row>
    <row r="1427" spans="1:10" ht="15.75" hidden="1" thickBot="1" x14ac:dyDescent="0.3">
      <c r="A1427" s="226"/>
      <c r="B1427" s="244"/>
      <c r="C1427" s="32" t="s">
        <v>437</v>
      </c>
      <c r="D1427" s="32" t="s">
        <v>280</v>
      </c>
      <c r="E1427" s="33">
        <v>5.3367000000000004</v>
      </c>
      <c r="F1427" s="30">
        <v>0.27549999999999997</v>
      </c>
      <c r="G1427" s="27">
        <f t="shared" si="23"/>
        <v>1.4702608499999998</v>
      </c>
      <c r="H1427" s="31"/>
      <c r="I1427" s="27"/>
      <c r="J1427" s="141">
        <v>0</v>
      </c>
    </row>
    <row r="1428" spans="1:10" ht="15.75" hidden="1" thickBot="1" x14ac:dyDescent="0.3">
      <c r="A1428" s="226"/>
      <c r="B1428" s="244"/>
      <c r="C1428" s="32" t="s">
        <v>438</v>
      </c>
      <c r="D1428" s="32" t="s">
        <v>144</v>
      </c>
      <c r="E1428" s="33">
        <v>5.34</v>
      </c>
      <c r="F1428" s="27">
        <v>0</v>
      </c>
      <c r="G1428" s="27">
        <f t="shared" si="23"/>
        <v>0</v>
      </c>
      <c r="H1428" s="31"/>
      <c r="I1428" s="27"/>
      <c r="J1428" s="141">
        <v>0</v>
      </c>
    </row>
    <row r="1429" spans="1:10" ht="15.75" hidden="1" thickBot="1" x14ac:dyDescent="0.3">
      <c r="A1429" s="226"/>
      <c r="B1429" s="244"/>
      <c r="C1429" s="32" t="s">
        <v>446</v>
      </c>
      <c r="D1429" s="32" t="s">
        <v>144</v>
      </c>
      <c r="E1429" s="33">
        <v>0.67</v>
      </c>
      <c r="F1429" s="27">
        <v>0</v>
      </c>
      <c r="G1429" s="27">
        <f t="shared" si="23"/>
        <v>0</v>
      </c>
      <c r="H1429" s="31"/>
      <c r="I1429" s="27"/>
      <c r="J1429" s="141">
        <v>0</v>
      </c>
    </row>
    <row r="1430" spans="1:10" ht="15.75" hidden="1" thickBot="1" x14ac:dyDescent="0.3">
      <c r="A1430" s="226"/>
      <c r="B1430" s="244"/>
      <c r="C1430" s="32" t="s">
        <v>440</v>
      </c>
      <c r="D1430" s="32" t="s">
        <v>144</v>
      </c>
      <c r="E1430" s="33">
        <v>1.3332999999999999</v>
      </c>
      <c r="F1430" s="27">
        <v>0</v>
      </c>
      <c r="G1430" s="27">
        <f t="shared" si="23"/>
        <v>0</v>
      </c>
      <c r="H1430" s="31"/>
      <c r="I1430" s="27"/>
      <c r="J1430" s="141">
        <v>0</v>
      </c>
    </row>
    <row r="1431" spans="1:10" ht="15.75" hidden="1" thickBot="1" x14ac:dyDescent="0.3">
      <c r="A1431" s="226"/>
      <c r="B1431" s="244"/>
      <c r="C1431" s="32" t="s">
        <v>441</v>
      </c>
      <c r="D1431" s="32" t="s">
        <v>20</v>
      </c>
      <c r="E1431" s="33">
        <v>2.67</v>
      </c>
      <c r="F1431" s="27">
        <v>0</v>
      </c>
      <c r="G1431" s="27">
        <f t="shared" si="23"/>
        <v>0</v>
      </c>
      <c r="H1431" s="31"/>
      <c r="I1431" s="27"/>
      <c r="J1431" s="141">
        <v>0</v>
      </c>
    </row>
    <row r="1432" spans="1:10" ht="15.75" hidden="1" thickBot="1" x14ac:dyDescent="0.3">
      <c r="A1432" s="226"/>
      <c r="B1432" s="244"/>
      <c r="C1432" s="32" t="s">
        <v>447</v>
      </c>
      <c r="D1432" s="32" t="s">
        <v>144</v>
      </c>
      <c r="E1432" s="33">
        <v>0.67</v>
      </c>
      <c r="F1432" s="27">
        <v>0</v>
      </c>
      <c r="G1432" s="27">
        <f t="shared" si="23"/>
        <v>0</v>
      </c>
      <c r="H1432" s="31"/>
      <c r="I1432" s="27"/>
      <c r="J1432" s="141">
        <v>0</v>
      </c>
    </row>
    <row r="1433" spans="1:10" ht="26.25" hidden="1" thickBot="1" x14ac:dyDescent="0.3">
      <c r="A1433" s="226"/>
      <c r="B1433" s="244"/>
      <c r="C1433" s="32" t="s">
        <v>448</v>
      </c>
      <c r="D1433" s="32" t="s">
        <v>93</v>
      </c>
      <c r="E1433" s="33">
        <v>1.05</v>
      </c>
      <c r="F1433" s="30" t="s">
        <v>523</v>
      </c>
      <c r="G1433" s="27" t="str">
        <f t="shared" si="23"/>
        <v/>
      </c>
      <c r="H1433" s="31"/>
      <c r="I1433" s="27"/>
      <c r="J1433" s="141">
        <v>0</v>
      </c>
    </row>
    <row r="1434" spans="1:10" ht="15.75" hidden="1" thickBot="1" x14ac:dyDescent="0.3">
      <c r="A1434" s="227"/>
      <c r="B1434" s="230"/>
      <c r="C1434" s="32"/>
      <c r="D1434" s="32"/>
      <c r="E1434" s="33"/>
      <c r="F1434" s="27" t="s">
        <v>523</v>
      </c>
      <c r="G1434" s="27" t="str">
        <f t="shared" si="23"/>
        <v/>
      </c>
      <c r="H1434" s="31"/>
      <c r="I1434" s="27"/>
      <c r="J1434" s="141">
        <v>0</v>
      </c>
    </row>
    <row r="1435" spans="1:10" ht="15.75" hidden="1" thickBot="1" x14ac:dyDescent="0.3">
      <c r="A1435" s="225" t="s">
        <v>449</v>
      </c>
      <c r="B1435" s="228" t="str">
        <f>INDEX(Orçamentária!A:B,MATCH(Composições!A1435,Orçamentária!A:A,0),2)</f>
        <v>Eletrocalha 200x50 mm</v>
      </c>
      <c r="C1435" s="37"/>
      <c r="D1435" s="22" t="str">
        <f>TRIM(INDEX(Orçamentária!C:C,MATCH(Composições!A1435,Orçamentária!A:A,0),1))</f>
        <v>m</v>
      </c>
      <c r="E1435" s="23"/>
      <c r="F1435" s="38" t="s">
        <v>523</v>
      </c>
      <c r="G1435" s="24" t="str">
        <f t="shared" si="23"/>
        <v/>
      </c>
      <c r="H1435" s="25"/>
      <c r="I1435" s="26"/>
      <c r="J1435" s="141">
        <v>0</v>
      </c>
    </row>
    <row r="1436" spans="1:10" ht="15.75" hidden="1" thickBot="1" x14ac:dyDescent="0.3">
      <c r="A1436" s="226"/>
      <c r="B1436" s="244"/>
      <c r="C1436" s="28"/>
      <c r="D1436" s="28"/>
      <c r="E1436" s="29"/>
      <c r="F1436" s="39" t="s">
        <v>523</v>
      </c>
      <c r="G1436" s="27" t="str">
        <f t="shared" si="23"/>
        <v/>
      </c>
      <c r="H1436" s="31"/>
      <c r="I1436" s="27"/>
      <c r="J1436" s="141">
        <v>0</v>
      </c>
    </row>
    <row r="1437" spans="1:10" ht="15.75" hidden="1" thickBot="1" x14ac:dyDescent="0.3">
      <c r="A1437" s="226"/>
      <c r="B1437" s="244"/>
      <c r="C1437" s="32" t="s">
        <v>30</v>
      </c>
      <c r="D1437" s="32" t="s">
        <v>12</v>
      </c>
      <c r="E1437" s="33">
        <v>0.5</v>
      </c>
      <c r="F1437" s="27">
        <v>25.146499999999996</v>
      </c>
      <c r="G1437" s="27">
        <f t="shared" si="23"/>
        <v>12.573249999999998</v>
      </c>
      <c r="H1437" s="35">
        <f>SUM(G1437:G1448)</f>
        <v>23.747760849999995</v>
      </c>
      <c r="I1437" s="36"/>
      <c r="J1437" s="141">
        <v>0</v>
      </c>
    </row>
    <row r="1438" spans="1:10" ht="15.75" hidden="1" thickBot="1" x14ac:dyDescent="0.3">
      <c r="A1438" s="226"/>
      <c r="B1438" s="244"/>
      <c r="C1438" s="32" t="s">
        <v>74</v>
      </c>
      <c r="D1438" s="43" t="s">
        <v>12</v>
      </c>
      <c r="E1438" s="33">
        <v>0.5</v>
      </c>
      <c r="F1438" s="27">
        <v>19.4085</v>
      </c>
      <c r="G1438" s="27">
        <f t="shared" si="23"/>
        <v>9.70425</v>
      </c>
      <c r="H1438" s="31"/>
      <c r="I1438" s="27"/>
      <c r="J1438" s="141">
        <v>0</v>
      </c>
    </row>
    <row r="1439" spans="1:10" ht="26.25" hidden="1" thickBot="1" x14ac:dyDescent="0.3">
      <c r="A1439" s="226"/>
      <c r="B1439" s="244"/>
      <c r="C1439" s="32" t="s">
        <v>434</v>
      </c>
      <c r="D1439" s="32" t="s">
        <v>144</v>
      </c>
      <c r="E1439" s="33">
        <v>1.3332999999999999</v>
      </c>
      <c r="F1439" s="27">
        <v>0</v>
      </c>
      <c r="G1439" s="27">
        <f t="shared" si="23"/>
        <v>0</v>
      </c>
      <c r="H1439" s="58"/>
      <c r="I1439" s="1"/>
      <c r="J1439" s="141">
        <v>0</v>
      </c>
    </row>
    <row r="1440" spans="1:10" ht="26.25" hidden="1" thickBot="1" x14ac:dyDescent="0.3">
      <c r="A1440" s="226"/>
      <c r="B1440" s="244"/>
      <c r="C1440" s="32" t="s">
        <v>450</v>
      </c>
      <c r="D1440" s="32" t="s">
        <v>93</v>
      </c>
      <c r="E1440" s="33">
        <v>1.05</v>
      </c>
      <c r="F1440" s="30" t="s">
        <v>523</v>
      </c>
      <c r="G1440" s="27" t="str">
        <f t="shared" si="23"/>
        <v/>
      </c>
      <c r="H1440" s="31"/>
      <c r="I1440" s="27"/>
      <c r="J1440" s="141">
        <v>0</v>
      </c>
    </row>
    <row r="1441" spans="1:10" ht="15.75" hidden="1" thickBot="1" x14ac:dyDescent="0.3">
      <c r="A1441" s="226"/>
      <c r="B1441" s="244"/>
      <c r="C1441" s="32" t="s">
        <v>436</v>
      </c>
      <c r="D1441" s="32" t="s">
        <v>93</v>
      </c>
      <c r="E1441" s="33">
        <v>1.6</v>
      </c>
      <c r="F1441" s="27">
        <v>0</v>
      </c>
      <c r="G1441" s="27">
        <f t="shared" si="23"/>
        <v>0</v>
      </c>
      <c r="H1441" s="31"/>
      <c r="I1441" s="27"/>
      <c r="J1441" s="141">
        <v>0</v>
      </c>
    </row>
    <row r="1442" spans="1:10" ht="15.75" hidden="1" thickBot="1" x14ac:dyDescent="0.3">
      <c r="A1442" s="226"/>
      <c r="B1442" s="244"/>
      <c r="C1442" s="32" t="s">
        <v>437</v>
      </c>
      <c r="D1442" s="32" t="s">
        <v>280</v>
      </c>
      <c r="E1442" s="33">
        <v>5.3367000000000004</v>
      </c>
      <c r="F1442" s="30">
        <v>0.27549999999999997</v>
      </c>
      <c r="G1442" s="27">
        <f t="shared" si="23"/>
        <v>1.4702608499999998</v>
      </c>
      <c r="H1442" s="31"/>
      <c r="I1442" s="27"/>
      <c r="J1442" s="141">
        <v>0</v>
      </c>
    </row>
    <row r="1443" spans="1:10" ht="15.75" hidden="1" thickBot="1" x14ac:dyDescent="0.3">
      <c r="A1443" s="226"/>
      <c r="B1443" s="244"/>
      <c r="C1443" s="32" t="s">
        <v>438</v>
      </c>
      <c r="D1443" s="32" t="s">
        <v>144</v>
      </c>
      <c r="E1443" s="33">
        <v>5.34</v>
      </c>
      <c r="F1443" s="27">
        <v>0</v>
      </c>
      <c r="G1443" s="27">
        <f t="shared" si="23"/>
        <v>0</v>
      </c>
      <c r="H1443" s="31"/>
      <c r="I1443" s="27"/>
      <c r="J1443" s="141">
        <v>0</v>
      </c>
    </row>
    <row r="1444" spans="1:10" ht="15.75" hidden="1" thickBot="1" x14ac:dyDescent="0.3">
      <c r="A1444" s="226"/>
      <c r="B1444" s="244"/>
      <c r="C1444" s="32" t="s">
        <v>451</v>
      </c>
      <c r="D1444" s="32" t="s">
        <v>144</v>
      </c>
      <c r="E1444" s="33">
        <v>0.67</v>
      </c>
      <c r="F1444" s="27">
        <v>0</v>
      </c>
      <c r="G1444" s="27">
        <f t="shared" si="23"/>
        <v>0</v>
      </c>
      <c r="H1444" s="31"/>
      <c r="I1444" s="27"/>
      <c r="J1444" s="141">
        <v>0</v>
      </c>
    </row>
    <row r="1445" spans="1:10" ht="15.75" hidden="1" thickBot="1" x14ac:dyDescent="0.3">
      <c r="A1445" s="226"/>
      <c r="B1445" s="244"/>
      <c r="C1445" s="32" t="s">
        <v>440</v>
      </c>
      <c r="D1445" s="32" t="s">
        <v>144</v>
      </c>
      <c r="E1445" s="33">
        <v>1.3332999999999999</v>
      </c>
      <c r="F1445" s="27">
        <v>0</v>
      </c>
      <c r="G1445" s="27">
        <f t="shared" si="23"/>
        <v>0</v>
      </c>
      <c r="H1445" s="31"/>
      <c r="I1445" s="27"/>
      <c r="J1445" s="141">
        <v>0</v>
      </c>
    </row>
    <row r="1446" spans="1:10" ht="15.75" hidden="1" thickBot="1" x14ac:dyDescent="0.3">
      <c r="A1446" s="226"/>
      <c r="B1446" s="244"/>
      <c r="C1446" s="32" t="s">
        <v>441</v>
      </c>
      <c r="D1446" s="32" t="s">
        <v>20</v>
      </c>
      <c r="E1446" s="33">
        <v>2.67</v>
      </c>
      <c r="F1446" s="27">
        <v>0</v>
      </c>
      <c r="G1446" s="27">
        <f t="shared" si="23"/>
        <v>0</v>
      </c>
      <c r="H1446" s="31"/>
      <c r="I1446" s="27"/>
      <c r="J1446" s="141">
        <v>0</v>
      </c>
    </row>
    <row r="1447" spans="1:10" ht="15.75" hidden="1" thickBot="1" x14ac:dyDescent="0.3">
      <c r="A1447" s="226"/>
      <c r="B1447" s="244"/>
      <c r="C1447" s="32" t="s">
        <v>442</v>
      </c>
      <c r="D1447" s="32" t="s">
        <v>144</v>
      </c>
      <c r="E1447" s="33">
        <v>0.67</v>
      </c>
      <c r="F1447" s="27">
        <v>0</v>
      </c>
      <c r="G1447" s="27">
        <f t="shared" si="23"/>
        <v>0</v>
      </c>
      <c r="H1447" s="31"/>
      <c r="I1447" s="27"/>
      <c r="J1447" s="141">
        <v>0</v>
      </c>
    </row>
    <row r="1448" spans="1:10" ht="26.25" hidden="1" thickBot="1" x14ac:dyDescent="0.3">
      <c r="A1448" s="226"/>
      <c r="B1448" s="244"/>
      <c r="C1448" s="32" t="s">
        <v>448</v>
      </c>
      <c r="D1448" s="32" t="s">
        <v>93</v>
      </c>
      <c r="E1448" s="33">
        <v>1.05</v>
      </c>
      <c r="F1448" s="30" t="s">
        <v>523</v>
      </c>
      <c r="G1448" s="27" t="str">
        <f t="shared" si="23"/>
        <v/>
      </c>
      <c r="H1448" s="31"/>
      <c r="I1448" s="27"/>
      <c r="J1448" s="141">
        <v>0</v>
      </c>
    </row>
    <row r="1449" spans="1:10" ht="15.75" hidden="1" thickBot="1" x14ac:dyDescent="0.3">
      <c r="A1449" s="227"/>
      <c r="B1449" s="230"/>
      <c r="C1449" s="32"/>
      <c r="D1449" s="32"/>
      <c r="E1449" s="33"/>
      <c r="F1449" s="27" t="s">
        <v>523</v>
      </c>
      <c r="G1449" s="27" t="str">
        <f t="shared" si="23"/>
        <v/>
      </c>
      <c r="H1449" s="31"/>
      <c r="I1449" s="27"/>
      <c r="J1449" s="141">
        <v>0</v>
      </c>
    </row>
    <row r="1450" spans="1:10" ht="15.75" hidden="1" thickBot="1" x14ac:dyDescent="0.3">
      <c r="A1450" s="225" t="s">
        <v>452</v>
      </c>
      <c r="B1450" s="228" t="str">
        <f>INDEX(Orçamentária!A:B,MATCH(Composições!A1450,Orçamentária!A:A,0),2)</f>
        <v>Eletrocalha 300x100 mm</v>
      </c>
      <c r="C1450" s="37"/>
      <c r="D1450" s="22" t="str">
        <f>TRIM(INDEX(Orçamentária!C:C,MATCH(Composições!A1450,Orçamentária!A:A,0),1))</f>
        <v>m</v>
      </c>
      <c r="E1450" s="23"/>
      <c r="F1450" s="38" t="s">
        <v>523</v>
      </c>
      <c r="G1450" s="24" t="str">
        <f t="shared" si="23"/>
        <v/>
      </c>
      <c r="H1450" s="25"/>
      <c r="I1450" s="26"/>
      <c r="J1450" s="141">
        <v>0</v>
      </c>
    </row>
    <row r="1451" spans="1:10" ht="15.75" hidden="1" thickBot="1" x14ac:dyDescent="0.3">
      <c r="A1451" s="226"/>
      <c r="B1451" s="244"/>
      <c r="C1451" s="28"/>
      <c r="D1451" s="28"/>
      <c r="E1451" s="29"/>
      <c r="F1451" s="39" t="s">
        <v>523</v>
      </c>
      <c r="G1451" s="27" t="str">
        <f t="shared" si="23"/>
        <v/>
      </c>
      <c r="H1451" s="31"/>
      <c r="I1451" s="27"/>
      <c r="J1451" s="141">
        <v>0</v>
      </c>
    </row>
    <row r="1452" spans="1:10" ht="15.75" hidden="1" thickBot="1" x14ac:dyDescent="0.3">
      <c r="A1452" s="226"/>
      <c r="B1452" s="244"/>
      <c r="C1452" s="32" t="s">
        <v>30</v>
      </c>
      <c r="D1452" s="32" t="s">
        <v>12</v>
      </c>
      <c r="E1452" s="33">
        <v>0.65</v>
      </c>
      <c r="F1452" s="27">
        <v>25.146499999999996</v>
      </c>
      <c r="G1452" s="27">
        <f t="shared" si="23"/>
        <v>16.345224999999999</v>
      </c>
      <c r="H1452" s="35">
        <f>SUM(G1452:G1463)</f>
        <v>30.431010849999996</v>
      </c>
      <c r="I1452" s="36"/>
      <c r="J1452" s="141">
        <v>0</v>
      </c>
    </row>
    <row r="1453" spans="1:10" ht="15.75" hidden="1" thickBot="1" x14ac:dyDescent="0.3">
      <c r="A1453" s="226"/>
      <c r="B1453" s="244"/>
      <c r="C1453" s="32" t="s">
        <v>74</v>
      </c>
      <c r="D1453" s="43" t="s">
        <v>12</v>
      </c>
      <c r="E1453" s="33">
        <v>0.65</v>
      </c>
      <c r="F1453" s="27">
        <v>19.4085</v>
      </c>
      <c r="G1453" s="27">
        <f t="shared" si="23"/>
        <v>12.615525</v>
      </c>
      <c r="H1453" s="31"/>
      <c r="I1453" s="27"/>
      <c r="J1453" s="141">
        <v>0</v>
      </c>
    </row>
    <row r="1454" spans="1:10" ht="26.25" hidden="1" thickBot="1" x14ac:dyDescent="0.3">
      <c r="A1454" s="226"/>
      <c r="B1454" s="244"/>
      <c r="C1454" s="32" t="s">
        <v>434</v>
      </c>
      <c r="D1454" s="32" t="s">
        <v>144</v>
      </c>
      <c r="E1454" s="33">
        <v>1.3332999999999999</v>
      </c>
      <c r="F1454" s="27">
        <v>0</v>
      </c>
      <c r="G1454" s="27">
        <f t="shared" si="23"/>
        <v>0</v>
      </c>
      <c r="H1454" s="58"/>
      <c r="I1454" s="1"/>
      <c r="J1454" s="141">
        <v>0</v>
      </c>
    </row>
    <row r="1455" spans="1:10" ht="26.25" hidden="1" thickBot="1" x14ac:dyDescent="0.3">
      <c r="A1455" s="226"/>
      <c r="B1455" s="244"/>
      <c r="C1455" s="32" t="s">
        <v>453</v>
      </c>
      <c r="D1455" s="32" t="s">
        <v>93</v>
      </c>
      <c r="E1455" s="33">
        <v>1.05</v>
      </c>
      <c r="F1455" s="30" t="s">
        <v>523</v>
      </c>
      <c r="G1455" s="27" t="str">
        <f t="shared" si="23"/>
        <v/>
      </c>
      <c r="H1455" s="31"/>
      <c r="I1455" s="27"/>
      <c r="J1455" s="141">
        <v>0</v>
      </c>
    </row>
    <row r="1456" spans="1:10" ht="15.75" hidden="1" thickBot="1" x14ac:dyDescent="0.3">
      <c r="A1456" s="226"/>
      <c r="B1456" s="244"/>
      <c r="C1456" s="32" t="s">
        <v>436</v>
      </c>
      <c r="D1456" s="32" t="s">
        <v>93</v>
      </c>
      <c r="E1456" s="33">
        <v>1.6</v>
      </c>
      <c r="F1456" s="27">
        <v>0</v>
      </c>
      <c r="G1456" s="27">
        <f t="shared" si="23"/>
        <v>0</v>
      </c>
      <c r="H1456" s="31"/>
      <c r="I1456" s="27"/>
      <c r="J1456" s="141">
        <v>0</v>
      </c>
    </row>
    <row r="1457" spans="1:10" ht="15.75" hidden="1" thickBot="1" x14ac:dyDescent="0.3">
      <c r="A1457" s="226"/>
      <c r="B1457" s="244"/>
      <c r="C1457" s="32" t="s">
        <v>437</v>
      </c>
      <c r="D1457" s="32" t="s">
        <v>280</v>
      </c>
      <c r="E1457" s="33">
        <v>5.3367000000000004</v>
      </c>
      <c r="F1457" s="30">
        <v>0.27549999999999997</v>
      </c>
      <c r="G1457" s="27">
        <f t="shared" si="23"/>
        <v>1.4702608499999998</v>
      </c>
      <c r="H1457" s="31"/>
      <c r="I1457" s="27"/>
      <c r="J1457" s="141">
        <v>0</v>
      </c>
    </row>
    <row r="1458" spans="1:10" ht="15.75" hidden="1" thickBot="1" x14ac:dyDescent="0.3">
      <c r="A1458" s="226"/>
      <c r="B1458" s="244"/>
      <c r="C1458" s="32" t="s">
        <v>438</v>
      </c>
      <c r="D1458" s="32" t="s">
        <v>144</v>
      </c>
      <c r="E1458" s="33">
        <v>5.34</v>
      </c>
      <c r="F1458" s="27">
        <v>0</v>
      </c>
      <c r="G1458" s="27">
        <f t="shared" si="23"/>
        <v>0</v>
      </c>
      <c r="H1458" s="31"/>
      <c r="I1458" s="27"/>
      <c r="J1458" s="141">
        <v>0</v>
      </c>
    </row>
    <row r="1459" spans="1:10" ht="15.75" hidden="1" thickBot="1" x14ac:dyDescent="0.3">
      <c r="A1459" s="226"/>
      <c r="B1459" s="244"/>
      <c r="C1459" s="32" t="s">
        <v>454</v>
      </c>
      <c r="D1459" s="32" t="s">
        <v>144</v>
      </c>
      <c r="E1459" s="33">
        <v>0.67</v>
      </c>
      <c r="F1459" s="27">
        <v>0</v>
      </c>
      <c r="G1459" s="27">
        <f t="shared" si="23"/>
        <v>0</v>
      </c>
      <c r="H1459" s="31"/>
      <c r="I1459" s="27"/>
      <c r="J1459" s="141">
        <v>0</v>
      </c>
    </row>
    <row r="1460" spans="1:10" ht="15.75" hidden="1" thickBot="1" x14ac:dyDescent="0.3">
      <c r="A1460" s="226"/>
      <c r="B1460" s="244"/>
      <c r="C1460" s="32" t="s">
        <v>440</v>
      </c>
      <c r="D1460" s="32" t="s">
        <v>144</v>
      </c>
      <c r="E1460" s="33">
        <v>1.3332999999999999</v>
      </c>
      <c r="F1460" s="27">
        <v>0</v>
      </c>
      <c r="G1460" s="27">
        <f t="shared" si="23"/>
        <v>0</v>
      </c>
      <c r="H1460" s="31"/>
      <c r="I1460" s="27"/>
      <c r="J1460" s="141">
        <v>0</v>
      </c>
    </row>
    <row r="1461" spans="1:10" ht="15.75" hidden="1" thickBot="1" x14ac:dyDescent="0.3">
      <c r="A1461" s="226"/>
      <c r="B1461" s="244"/>
      <c r="C1461" s="32" t="s">
        <v>441</v>
      </c>
      <c r="D1461" s="32" t="s">
        <v>20</v>
      </c>
      <c r="E1461" s="33">
        <v>2.67</v>
      </c>
      <c r="F1461" s="27">
        <v>0</v>
      </c>
      <c r="G1461" s="27">
        <f t="shared" si="23"/>
        <v>0</v>
      </c>
      <c r="H1461" s="31"/>
      <c r="I1461" s="27"/>
      <c r="J1461" s="141">
        <v>0</v>
      </c>
    </row>
    <row r="1462" spans="1:10" ht="15.75" hidden="1" thickBot="1" x14ac:dyDescent="0.3">
      <c r="A1462" s="226"/>
      <c r="B1462" s="244"/>
      <c r="C1462" s="32" t="s">
        <v>447</v>
      </c>
      <c r="D1462" s="32" t="s">
        <v>144</v>
      </c>
      <c r="E1462" s="33">
        <v>0.67</v>
      </c>
      <c r="F1462" s="27">
        <v>0</v>
      </c>
      <c r="G1462" s="27">
        <f t="shared" si="23"/>
        <v>0</v>
      </c>
      <c r="H1462" s="31"/>
      <c r="I1462" s="27"/>
      <c r="J1462" s="141">
        <v>0</v>
      </c>
    </row>
    <row r="1463" spans="1:10" ht="26.25" hidden="1" thickBot="1" x14ac:dyDescent="0.3">
      <c r="A1463" s="226"/>
      <c r="B1463" s="244"/>
      <c r="C1463" s="32" t="s">
        <v>455</v>
      </c>
      <c r="D1463" s="32" t="s">
        <v>93</v>
      </c>
      <c r="E1463" s="33">
        <v>1.05</v>
      </c>
      <c r="F1463" s="30" t="s">
        <v>523</v>
      </c>
      <c r="G1463" s="27" t="str">
        <f t="shared" si="23"/>
        <v/>
      </c>
      <c r="H1463" s="31"/>
      <c r="I1463" s="27"/>
      <c r="J1463" s="141">
        <v>0</v>
      </c>
    </row>
    <row r="1464" spans="1:10" ht="15.75" hidden="1" thickBot="1" x14ac:dyDescent="0.3">
      <c r="A1464" s="227"/>
      <c r="B1464" s="230"/>
      <c r="C1464" s="32"/>
      <c r="D1464" s="32"/>
      <c r="E1464" s="33"/>
      <c r="F1464" s="27" t="s">
        <v>523</v>
      </c>
      <c r="G1464" s="27" t="str">
        <f t="shared" si="23"/>
        <v/>
      </c>
      <c r="H1464" s="31"/>
      <c r="I1464" s="27"/>
      <c r="J1464" s="141">
        <v>0</v>
      </c>
    </row>
    <row r="1465" spans="1:10" ht="15.75" hidden="1" thickBot="1" x14ac:dyDescent="0.3">
      <c r="A1465" s="225" t="s">
        <v>456</v>
      </c>
      <c r="B1465" s="228" t="str">
        <f>INDEX(Orçamentária!A:B,MATCH(Composições!A1465,Orçamentária!A:A,0),2)</f>
        <v>Eletrocalha 300x50 mm</v>
      </c>
      <c r="C1465" s="37"/>
      <c r="D1465" s="22" t="str">
        <f>TRIM(INDEX(Orçamentária!C:C,MATCH(Composições!A1465,Orçamentária!A:A,0),1))</f>
        <v>m</v>
      </c>
      <c r="E1465" s="23"/>
      <c r="F1465" s="38" t="s">
        <v>523</v>
      </c>
      <c r="G1465" s="24" t="str">
        <f t="shared" si="23"/>
        <v/>
      </c>
      <c r="H1465" s="25"/>
      <c r="I1465" s="26"/>
      <c r="J1465" s="141">
        <v>0</v>
      </c>
    </row>
    <row r="1466" spans="1:10" ht="15.75" hidden="1" thickBot="1" x14ac:dyDescent="0.3">
      <c r="A1466" s="226"/>
      <c r="B1466" s="244"/>
      <c r="C1466" s="28"/>
      <c r="D1466" s="28"/>
      <c r="E1466" s="29"/>
      <c r="F1466" s="39" t="s">
        <v>523</v>
      </c>
      <c r="G1466" s="27" t="str">
        <f t="shared" si="23"/>
        <v/>
      </c>
      <c r="H1466" s="31"/>
      <c r="I1466" s="27"/>
      <c r="J1466" s="141">
        <v>0</v>
      </c>
    </row>
    <row r="1467" spans="1:10" ht="15.75" hidden="1" thickBot="1" x14ac:dyDescent="0.3">
      <c r="A1467" s="226"/>
      <c r="B1467" s="244"/>
      <c r="C1467" s="32" t="s">
        <v>30</v>
      </c>
      <c r="D1467" s="32" t="s">
        <v>12</v>
      </c>
      <c r="E1467" s="33">
        <v>0.55000000000000004</v>
      </c>
      <c r="F1467" s="27">
        <v>25.146499999999996</v>
      </c>
      <c r="G1467" s="27">
        <f t="shared" si="23"/>
        <v>13.830575</v>
      </c>
      <c r="H1467" s="35">
        <f>SUM(G1467:G1478)</f>
        <v>25.975510849999999</v>
      </c>
      <c r="I1467" s="36"/>
      <c r="J1467" s="141">
        <v>0</v>
      </c>
    </row>
    <row r="1468" spans="1:10" ht="15.75" hidden="1" thickBot="1" x14ac:dyDescent="0.3">
      <c r="A1468" s="226"/>
      <c r="B1468" s="244"/>
      <c r="C1468" s="32" t="s">
        <v>74</v>
      </c>
      <c r="D1468" s="43" t="s">
        <v>12</v>
      </c>
      <c r="E1468" s="33">
        <v>0.55000000000000004</v>
      </c>
      <c r="F1468" s="27">
        <v>19.4085</v>
      </c>
      <c r="G1468" s="27">
        <f t="shared" si="23"/>
        <v>10.674675000000001</v>
      </c>
      <c r="H1468" s="31"/>
      <c r="I1468" s="27"/>
      <c r="J1468" s="141">
        <v>0</v>
      </c>
    </row>
    <row r="1469" spans="1:10" ht="26.25" hidden="1" thickBot="1" x14ac:dyDescent="0.3">
      <c r="A1469" s="226"/>
      <c r="B1469" s="244"/>
      <c r="C1469" s="32" t="s">
        <v>434</v>
      </c>
      <c r="D1469" s="32" t="s">
        <v>144</v>
      </c>
      <c r="E1469" s="33">
        <v>1.3332999999999999</v>
      </c>
      <c r="F1469" s="27">
        <v>0</v>
      </c>
      <c r="G1469" s="27">
        <f t="shared" si="23"/>
        <v>0</v>
      </c>
      <c r="H1469" s="58"/>
      <c r="I1469" s="1"/>
      <c r="J1469" s="141">
        <v>0</v>
      </c>
    </row>
    <row r="1470" spans="1:10" ht="26.25" hidden="1" thickBot="1" x14ac:dyDescent="0.3">
      <c r="A1470" s="226"/>
      <c r="B1470" s="244"/>
      <c r="C1470" s="32" t="s">
        <v>457</v>
      </c>
      <c r="D1470" s="32" t="s">
        <v>93</v>
      </c>
      <c r="E1470" s="33">
        <v>1.05</v>
      </c>
      <c r="F1470" s="30" t="s">
        <v>523</v>
      </c>
      <c r="G1470" s="27" t="str">
        <f t="shared" si="23"/>
        <v/>
      </c>
      <c r="H1470" s="31"/>
      <c r="I1470" s="27"/>
      <c r="J1470" s="141">
        <v>0</v>
      </c>
    </row>
    <row r="1471" spans="1:10" ht="15.75" hidden="1" thickBot="1" x14ac:dyDescent="0.3">
      <c r="A1471" s="226"/>
      <c r="B1471" s="244"/>
      <c r="C1471" s="32" t="s">
        <v>436</v>
      </c>
      <c r="D1471" s="32" t="s">
        <v>93</v>
      </c>
      <c r="E1471" s="33">
        <v>1.6</v>
      </c>
      <c r="F1471" s="27">
        <v>0</v>
      </c>
      <c r="G1471" s="27">
        <f t="shared" si="23"/>
        <v>0</v>
      </c>
      <c r="H1471" s="31"/>
      <c r="I1471" s="27"/>
      <c r="J1471" s="141">
        <v>0</v>
      </c>
    </row>
    <row r="1472" spans="1:10" ht="15.75" hidden="1" thickBot="1" x14ac:dyDescent="0.3">
      <c r="A1472" s="226"/>
      <c r="B1472" s="244"/>
      <c r="C1472" s="32" t="s">
        <v>437</v>
      </c>
      <c r="D1472" s="32" t="s">
        <v>280</v>
      </c>
      <c r="E1472" s="33">
        <v>5.3367000000000004</v>
      </c>
      <c r="F1472" s="30">
        <v>0.27549999999999997</v>
      </c>
      <c r="G1472" s="27">
        <f t="shared" si="23"/>
        <v>1.4702608499999998</v>
      </c>
      <c r="H1472" s="31"/>
      <c r="I1472" s="27"/>
      <c r="J1472" s="141">
        <v>0</v>
      </c>
    </row>
    <row r="1473" spans="1:10" ht="15.75" hidden="1" thickBot="1" x14ac:dyDescent="0.3">
      <c r="A1473" s="226"/>
      <c r="B1473" s="244"/>
      <c r="C1473" s="32" t="s">
        <v>438</v>
      </c>
      <c r="D1473" s="32" t="s">
        <v>144</v>
      </c>
      <c r="E1473" s="33">
        <v>5.34</v>
      </c>
      <c r="F1473" s="27">
        <v>0</v>
      </c>
      <c r="G1473" s="27">
        <f t="shared" si="23"/>
        <v>0</v>
      </c>
      <c r="H1473" s="31"/>
      <c r="I1473" s="27"/>
      <c r="J1473" s="141">
        <v>0</v>
      </c>
    </row>
    <row r="1474" spans="1:10" ht="15.75" hidden="1" thickBot="1" x14ac:dyDescent="0.3">
      <c r="A1474" s="226"/>
      <c r="B1474" s="244"/>
      <c r="C1474" s="32" t="s">
        <v>458</v>
      </c>
      <c r="D1474" s="32" t="s">
        <v>144</v>
      </c>
      <c r="E1474" s="33">
        <v>0.67</v>
      </c>
      <c r="F1474" s="27">
        <v>0</v>
      </c>
      <c r="G1474" s="27">
        <f t="shared" si="23"/>
        <v>0</v>
      </c>
      <c r="H1474" s="31"/>
      <c r="I1474" s="27"/>
      <c r="J1474" s="141">
        <v>0</v>
      </c>
    </row>
    <row r="1475" spans="1:10" ht="15.75" hidden="1" thickBot="1" x14ac:dyDescent="0.3">
      <c r="A1475" s="226"/>
      <c r="B1475" s="244"/>
      <c r="C1475" s="32" t="s">
        <v>440</v>
      </c>
      <c r="D1475" s="32" t="s">
        <v>144</v>
      </c>
      <c r="E1475" s="33">
        <v>1.3332999999999999</v>
      </c>
      <c r="F1475" s="27">
        <v>0</v>
      </c>
      <c r="G1475" s="27">
        <f t="shared" si="23"/>
        <v>0</v>
      </c>
      <c r="H1475" s="31"/>
      <c r="I1475" s="27"/>
      <c r="J1475" s="141">
        <v>0</v>
      </c>
    </row>
    <row r="1476" spans="1:10" ht="15.75" hidden="1" thickBot="1" x14ac:dyDescent="0.3">
      <c r="A1476" s="226"/>
      <c r="B1476" s="244"/>
      <c r="C1476" s="32" t="s">
        <v>441</v>
      </c>
      <c r="D1476" s="32" t="s">
        <v>20</v>
      </c>
      <c r="E1476" s="33">
        <v>2.67</v>
      </c>
      <c r="F1476" s="27">
        <v>0</v>
      </c>
      <c r="G1476" s="27">
        <f t="shared" si="23"/>
        <v>0</v>
      </c>
      <c r="H1476" s="31"/>
      <c r="I1476" s="27"/>
      <c r="J1476" s="141">
        <v>0</v>
      </c>
    </row>
    <row r="1477" spans="1:10" ht="15.75" hidden="1" thickBot="1" x14ac:dyDescent="0.3">
      <c r="A1477" s="226"/>
      <c r="B1477" s="244"/>
      <c r="C1477" s="32" t="s">
        <v>442</v>
      </c>
      <c r="D1477" s="32" t="s">
        <v>144</v>
      </c>
      <c r="E1477" s="33">
        <v>0.67</v>
      </c>
      <c r="F1477" s="27">
        <v>0</v>
      </c>
      <c r="G1477" s="27">
        <f t="shared" si="23"/>
        <v>0</v>
      </c>
      <c r="H1477" s="31"/>
      <c r="I1477" s="27"/>
      <c r="J1477" s="141">
        <v>0</v>
      </c>
    </row>
    <row r="1478" spans="1:10" ht="26.25" hidden="1" thickBot="1" x14ac:dyDescent="0.3">
      <c r="A1478" s="226"/>
      <c r="B1478" s="244"/>
      <c r="C1478" s="32" t="s">
        <v>455</v>
      </c>
      <c r="D1478" s="32" t="s">
        <v>93</v>
      </c>
      <c r="E1478" s="33">
        <v>1.05</v>
      </c>
      <c r="F1478" s="30" t="s">
        <v>523</v>
      </c>
      <c r="G1478" s="27" t="str">
        <f t="shared" si="23"/>
        <v/>
      </c>
      <c r="H1478" s="31"/>
      <c r="I1478" s="27"/>
      <c r="J1478" s="141">
        <v>0</v>
      </c>
    </row>
    <row r="1479" spans="1:10" ht="15.75" hidden="1" thickBot="1" x14ac:dyDescent="0.3">
      <c r="A1479" s="227"/>
      <c r="B1479" s="230"/>
      <c r="C1479" s="32"/>
      <c r="D1479" s="32"/>
      <c r="E1479" s="33"/>
      <c r="F1479" s="27" t="s">
        <v>523</v>
      </c>
      <c r="G1479" s="27" t="str">
        <f t="shared" si="23"/>
        <v/>
      </c>
      <c r="H1479" s="31"/>
      <c r="I1479" s="27"/>
      <c r="J1479" s="141">
        <v>0</v>
      </c>
    </row>
    <row r="1480" spans="1:10" ht="15.75" hidden="1" thickBot="1" x14ac:dyDescent="0.3">
      <c r="A1480" s="225" t="s">
        <v>459</v>
      </c>
      <c r="B1480" s="228" t="str">
        <f>INDEX(Orçamentária!A:B,MATCH(Composições!A1480,Orçamentária!A:A,0),2)</f>
        <v>Eletrocalha 400x50 mm</v>
      </c>
      <c r="C1480" s="37"/>
      <c r="D1480" s="22" t="str">
        <f>TRIM(INDEX(Orçamentária!C:C,MATCH(Composições!A1480,Orçamentária!A:A,0),1))</f>
        <v>m</v>
      </c>
      <c r="E1480" s="23"/>
      <c r="F1480" s="38" t="s">
        <v>523</v>
      </c>
      <c r="G1480" s="24" t="str">
        <f t="shared" si="23"/>
        <v/>
      </c>
      <c r="H1480" s="25"/>
      <c r="I1480" s="26"/>
      <c r="J1480" s="141">
        <v>0</v>
      </c>
    </row>
    <row r="1481" spans="1:10" ht="15.75" hidden="1" thickBot="1" x14ac:dyDescent="0.3">
      <c r="A1481" s="226"/>
      <c r="B1481" s="244"/>
      <c r="C1481" s="28"/>
      <c r="D1481" s="28"/>
      <c r="E1481" s="29"/>
      <c r="F1481" s="39" t="s">
        <v>523</v>
      </c>
      <c r="G1481" s="27" t="str">
        <f t="shared" si="23"/>
        <v/>
      </c>
      <c r="H1481" s="31"/>
      <c r="I1481" s="27"/>
      <c r="J1481" s="141">
        <v>0</v>
      </c>
    </row>
    <row r="1482" spans="1:10" ht="15.75" hidden="1" thickBot="1" x14ac:dyDescent="0.3">
      <c r="A1482" s="226"/>
      <c r="B1482" s="244"/>
      <c r="C1482" s="32" t="s">
        <v>30</v>
      </c>
      <c r="D1482" s="32" t="s">
        <v>12</v>
      </c>
      <c r="E1482" s="33">
        <v>0.55000000000000004</v>
      </c>
      <c r="F1482" s="27">
        <v>25.146499999999996</v>
      </c>
      <c r="G1482" s="27">
        <f t="shared" si="23"/>
        <v>13.830575</v>
      </c>
      <c r="H1482" s="35">
        <f>SUM(G1482:G1493)</f>
        <v>25.975510849999999</v>
      </c>
      <c r="I1482" s="36"/>
      <c r="J1482" s="141">
        <v>0</v>
      </c>
    </row>
    <row r="1483" spans="1:10" ht="15.75" hidden="1" thickBot="1" x14ac:dyDescent="0.3">
      <c r="A1483" s="226"/>
      <c r="B1483" s="244"/>
      <c r="C1483" s="32" t="s">
        <v>74</v>
      </c>
      <c r="D1483" s="43" t="s">
        <v>12</v>
      </c>
      <c r="E1483" s="33">
        <v>0.55000000000000004</v>
      </c>
      <c r="F1483" s="27">
        <v>19.4085</v>
      </c>
      <c r="G1483" s="27">
        <f t="shared" si="23"/>
        <v>10.674675000000001</v>
      </c>
      <c r="H1483" s="31"/>
      <c r="I1483" s="27"/>
      <c r="J1483" s="141">
        <v>0</v>
      </c>
    </row>
    <row r="1484" spans="1:10" ht="26.25" hidden="1" thickBot="1" x14ac:dyDescent="0.3">
      <c r="A1484" s="226"/>
      <c r="B1484" s="244"/>
      <c r="C1484" s="32" t="s">
        <v>434</v>
      </c>
      <c r="D1484" s="32" t="s">
        <v>144</v>
      </c>
      <c r="E1484" s="33">
        <v>1.3332999999999999</v>
      </c>
      <c r="F1484" s="27">
        <v>0</v>
      </c>
      <c r="G1484" s="27">
        <f t="shared" si="23"/>
        <v>0</v>
      </c>
      <c r="H1484" s="58"/>
      <c r="I1484" s="1"/>
      <c r="J1484" s="141">
        <v>0</v>
      </c>
    </row>
    <row r="1485" spans="1:10" ht="26.25" hidden="1" thickBot="1" x14ac:dyDescent="0.3">
      <c r="A1485" s="226"/>
      <c r="B1485" s="244"/>
      <c r="C1485" s="32" t="s">
        <v>460</v>
      </c>
      <c r="D1485" s="32" t="s">
        <v>93</v>
      </c>
      <c r="E1485" s="33">
        <v>1.05</v>
      </c>
      <c r="F1485" s="30" t="s">
        <v>523</v>
      </c>
      <c r="G1485" s="27" t="str">
        <f t="shared" si="23"/>
        <v/>
      </c>
      <c r="H1485" s="31"/>
      <c r="I1485" s="27"/>
      <c r="J1485" s="141">
        <v>0</v>
      </c>
    </row>
    <row r="1486" spans="1:10" ht="15.75" hidden="1" thickBot="1" x14ac:dyDescent="0.3">
      <c r="A1486" s="226"/>
      <c r="B1486" s="244"/>
      <c r="C1486" s="32" t="s">
        <v>436</v>
      </c>
      <c r="D1486" s="32" t="s">
        <v>93</v>
      </c>
      <c r="E1486" s="33">
        <v>1.6</v>
      </c>
      <c r="F1486" s="27">
        <v>0</v>
      </c>
      <c r="G1486" s="27">
        <f t="shared" si="23"/>
        <v>0</v>
      </c>
      <c r="H1486" s="31"/>
      <c r="I1486" s="27"/>
      <c r="J1486" s="141">
        <v>0</v>
      </c>
    </row>
    <row r="1487" spans="1:10" ht="15.75" hidden="1" thickBot="1" x14ac:dyDescent="0.3">
      <c r="A1487" s="226"/>
      <c r="B1487" s="244"/>
      <c r="C1487" s="32" t="s">
        <v>437</v>
      </c>
      <c r="D1487" s="32" t="s">
        <v>280</v>
      </c>
      <c r="E1487" s="33">
        <v>5.3367000000000004</v>
      </c>
      <c r="F1487" s="30">
        <v>0.27549999999999997</v>
      </c>
      <c r="G1487" s="27">
        <f t="shared" si="23"/>
        <v>1.4702608499999998</v>
      </c>
      <c r="H1487" s="31"/>
      <c r="I1487" s="27"/>
      <c r="J1487" s="141">
        <v>0</v>
      </c>
    </row>
    <row r="1488" spans="1:10" ht="15.75" hidden="1" thickBot="1" x14ac:dyDescent="0.3">
      <c r="A1488" s="226"/>
      <c r="B1488" s="244"/>
      <c r="C1488" s="32" t="s">
        <v>438</v>
      </c>
      <c r="D1488" s="32" t="s">
        <v>144</v>
      </c>
      <c r="E1488" s="33">
        <v>5.34</v>
      </c>
      <c r="F1488" s="27">
        <v>0</v>
      </c>
      <c r="G1488" s="27">
        <f t="shared" si="23"/>
        <v>0</v>
      </c>
      <c r="H1488" s="31"/>
      <c r="I1488" s="27"/>
      <c r="J1488" s="141">
        <v>0</v>
      </c>
    </row>
    <row r="1489" spans="1:10" ht="15.75" hidden="1" thickBot="1" x14ac:dyDescent="0.3">
      <c r="A1489" s="226"/>
      <c r="B1489" s="244"/>
      <c r="C1489" s="32" t="s">
        <v>461</v>
      </c>
      <c r="D1489" s="32" t="s">
        <v>144</v>
      </c>
      <c r="E1489" s="33">
        <v>0.67</v>
      </c>
      <c r="F1489" s="27">
        <v>0</v>
      </c>
      <c r="G1489" s="27">
        <f t="shared" si="23"/>
        <v>0</v>
      </c>
      <c r="H1489" s="31"/>
      <c r="I1489" s="27"/>
      <c r="J1489" s="141">
        <v>0</v>
      </c>
    </row>
    <row r="1490" spans="1:10" ht="15.75" hidden="1" thickBot="1" x14ac:dyDescent="0.3">
      <c r="A1490" s="226"/>
      <c r="B1490" s="244"/>
      <c r="C1490" s="32" t="s">
        <v>440</v>
      </c>
      <c r="D1490" s="32" t="s">
        <v>144</v>
      </c>
      <c r="E1490" s="33">
        <v>1.3332999999999999</v>
      </c>
      <c r="F1490" s="27">
        <v>0</v>
      </c>
      <c r="G1490" s="27">
        <f t="shared" ref="G1490:G1553" si="24">IF(ISNUMBER(F1490),E1490*F1490,"")</f>
        <v>0</v>
      </c>
      <c r="H1490" s="31"/>
      <c r="I1490" s="27"/>
      <c r="J1490" s="141">
        <v>0</v>
      </c>
    </row>
    <row r="1491" spans="1:10" ht="15.75" hidden="1" thickBot="1" x14ac:dyDescent="0.3">
      <c r="A1491" s="226"/>
      <c r="B1491" s="244"/>
      <c r="C1491" s="32" t="s">
        <v>441</v>
      </c>
      <c r="D1491" s="32" t="s">
        <v>20</v>
      </c>
      <c r="E1491" s="33">
        <v>2.67</v>
      </c>
      <c r="F1491" s="27">
        <v>0</v>
      </c>
      <c r="G1491" s="27">
        <f t="shared" si="24"/>
        <v>0</v>
      </c>
      <c r="H1491" s="31"/>
      <c r="I1491" s="27"/>
      <c r="J1491" s="141">
        <v>0</v>
      </c>
    </row>
    <row r="1492" spans="1:10" ht="15.75" hidden="1" thickBot="1" x14ac:dyDescent="0.3">
      <c r="A1492" s="226"/>
      <c r="B1492" s="244"/>
      <c r="C1492" s="32" t="s">
        <v>442</v>
      </c>
      <c r="D1492" s="32" t="s">
        <v>144</v>
      </c>
      <c r="E1492" s="33">
        <v>0.67</v>
      </c>
      <c r="F1492" s="27">
        <v>0</v>
      </c>
      <c r="G1492" s="27">
        <f t="shared" si="24"/>
        <v>0</v>
      </c>
      <c r="H1492" s="31"/>
      <c r="I1492" s="27"/>
      <c r="J1492" s="141">
        <v>0</v>
      </c>
    </row>
    <row r="1493" spans="1:10" ht="26.25" hidden="1" thickBot="1" x14ac:dyDescent="0.3">
      <c r="A1493" s="226"/>
      <c r="B1493" s="244"/>
      <c r="C1493" s="32" t="s">
        <v>462</v>
      </c>
      <c r="D1493" s="32" t="s">
        <v>93</v>
      </c>
      <c r="E1493" s="33">
        <v>1.05</v>
      </c>
      <c r="F1493" s="30" t="s">
        <v>523</v>
      </c>
      <c r="G1493" s="27" t="str">
        <f t="shared" si="24"/>
        <v/>
      </c>
      <c r="H1493" s="31"/>
      <c r="I1493" s="27"/>
      <c r="J1493" s="141">
        <v>0</v>
      </c>
    </row>
    <row r="1494" spans="1:10" ht="15.75" hidden="1" thickBot="1" x14ac:dyDescent="0.3">
      <c r="A1494" s="227"/>
      <c r="B1494" s="230"/>
      <c r="C1494" s="32"/>
      <c r="D1494" s="32"/>
      <c r="E1494" s="33"/>
      <c r="F1494" s="27" t="s">
        <v>523</v>
      </c>
      <c r="G1494" s="27" t="str">
        <f t="shared" si="24"/>
        <v/>
      </c>
      <c r="H1494" s="31"/>
      <c r="I1494" s="27"/>
      <c r="J1494" s="141">
        <v>0</v>
      </c>
    </row>
    <row r="1495" spans="1:10" ht="15.75" hidden="1" thickBot="1" x14ac:dyDescent="0.3">
      <c r="A1495" s="225" t="s">
        <v>463</v>
      </c>
      <c r="B1495" s="228" t="str">
        <f>INDEX(Orçamentária!A:B,MATCH(Composições!A1495,Orçamentária!A:A,0),2)</f>
        <v>Eletrocalha 50x50 mm</v>
      </c>
      <c r="C1495" s="37"/>
      <c r="D1495" s="22" t="str">
        <f>TRIM(INDEX(Orçamentária!C:C,MATCH(Composições!A1495,Orçamentária!A:A,0),1))</f>
        <v>m</v>
      </c>
      <c r="E1495" s="23"/>
      <c r="F1495" s="38" t="s">
        <v>523</v>
      </c>
      <c r="G1495" s="24" t="str">
        <f t="shared" si="24"/>
        <v/>
      </c>
      <c r="H1495" s="25"/>
      <c r="I1495" s="26"/>
      <c r="J1495" s="141">
        <v>0</v>
      </c>
    </row>
    <row r="1496" spans="1:10" ht="15.75" hidden="1" thickBot="1" x14ac:dyDescent="0.3">
      <c r="A1496" s="231"/>
      <c r="B1496" s="244"/>
      <c r="C1496" s="28"/>
      <c r="D1496" s="28"/>
      <c r="E1496" s="29"/>
      <c r="F1496" s="39" t="s">
        <v>523</v>
      </c>
      <c r="G1496" s="27" t="str">
        <f t="shared" si="24"/>
        <v/>
      </c>
      <c r="H1496" s="31"/>
      <c r="I1496" s="27"/>
      <c r="J1496" s="141">
        <v>0</v>
      </c>
    </row>
    <row r="1497" spans="1:10" ht="15.75" hidden="1" thickBot="1" x14ac:dyDescent="0.3">
      <c r="A1497" s="231"/>
      <c r="B1497" s="244"/>
      <c r="C1497" s="32" t="s">
        <v>30</v>
      </c>
      <c r="D1497" s="32" t="s">
        <v>12</v>
      </c>
      <c r="E1497" s="33">
        <v>0.45</v>
      </c>
      <c r="F1497" s="27">
        <v>25.146499999999996</v>
      </c>
      <c r="G1497" s="27">
        <f t="shared" si="24"/>
        <v>11.315924999999998</v>
      </c>
      <c r="H1497" s="35">
        <f>SUM(G1497:G1508)</f>
        <v>21.152659149999995</v>
      </c>
      <c r="I1497" s="36"/>
      <c r="J1497" s="141">
        <v>0</v>
      </c>
    </row>
    <row r="1498" spans="1:10" ht="15.75" hidden="1" thickBot="1" x14ac:dyDescent="0.3">
      <c r="A1498" s="231"/>
      <c r="B1498" s="244"/>
      <c r="C1498" s="32" t="s">
        <v>74</v>
      </c>
      <c r="D1498" s="43" t="s">
        <v>12</v>
      </c>
      <c r="E1498" s="33">
        <v>0.45</v>
      </c>
      <c r="F1498" s="27">
        <v>19.4085</v>
      </c>
      <c r="G1498" s="27">
        <f t="shared" si="24"/>
        <v>8.7338249999999995</v>
      </c>
      <c r="H1498" s="31"/>
      <c r="I1498" s="27"/>
      <c r="J1498" s="141">
        <v>0</v>
      </c>
    </row>
    <row r="1499" spans="1:10" ht="26.25" hidden="1" thickBot="1" x14ac:dyDescent="0.3">
      <c r="A1499" s="231"/>
      <c r="B1499" s="244"/>
      <c r="C1499" s="32" t="s">
        <v>434</v>
      </c>
      <c r="D1499" s="32" t="s">
        <v>144</v>
      </c>
      <c r="E1499" s="33">
        <v>0.67</v>
      </c>
      <c r="F1499" s="27">
        <v>0</v>
      </c>
      <c r="G1499" s="27">
        <f t="shared" si="24"/>
        <v>0</v>
      </c>
      <c r="H1499" s="58"/>
      <c r="I1499" s="1"/>
      <c r="J1499" s="141">
        <v>0</v>
      </c>
    </row>
    <row r="1500" spans="1:10" ht="26.25" hidden="1" thickBot="1" x14ac:dyDescent="0.3">
      <c r="A1500" s="231"/>
      <c r="B1500" s="244"/>
      <c r="C1500" s="32" t="s">
        <v>464</v>
      </c>
      <c r="D1500" s="32" t="s">
        <v>93</v>
      </c>
      <c r="E1500" s="33">
        <v>1.05</v>
      </c>
      <c r="F1500" s="30" t="s">
        <v>523</v>
      </c>
      <c r="G1500" s="27" t="str">
        <f t="shared" si="24"/>
        <v/>
      </c>
      <c r="H1500" s="31"/>
      <c r="I1500" s="27"/>
      <c r="J1500" s="141">
        <v>0</v>
      </c>
    </row>
    <row r="1501" spans="1:10" ht="15.75" hidden="1" thickBot="1" x14ac:dyDescent="0.3">
      <c r="A1501" s="231"/>
      <c r="B1501" s="244"/>
      <c r="C1501" s="32" t="s">
        <v>436</v>
      </c>
      <c r="D1501" s="32" t="s">
        <v>93</v>
      </c>
      <c r="E1501" s="33">
        <v>0.8</v>
      </c>
      <c r="F1501" s="27">
        <v>0</v>
      </c>
      <c r="G1501" s="27">
        <f t="shared" si="24"/>
        <v>0</v>
      </c>
      <c r="H1501" s="31"/>
      <c r="I1501" s="27"/>
      <c r="J1501" s="141">
        <v>0</v>
      </c>
    </row>
    <row r="1502" spans="1:10" ht="15.75" hidden="1" thickBot="1" x14ac:dyDescent="0.3">
      <c r="A1502" s="231"/>
      <c r="B1502" s="244"/>
      <c r="C1502" s="32" t="s">
        <v>437</v>
      </c>
      <c r="D1502" s="32" t="s">
        <v>280</v>
      </c>
      <c r="E1502" s="33">
        <v>4.0033000000000003</v>
      </c>
      <c r="F1502" s="30">
        <v>0.27549999999999997</v>
      </c>
      <c r="G1502" s="27">
        <f t="shared" si="24"/>
        <v>1.1029091499999999</v>
      </c>
      <c r="H1502" s="31"/>
      <c r="I1502" s="27"/>
      <c r="J1502" s="141">
        <v>0</v>
      </c>
    </row>
    <row r="1503" spans="1:10" ht="15.75" hidden="1" thickBot="1" x14ac:dyDescent="0.3">
      <c r="A1503" s="231"/>
      <c r="B1503" s="244"/>
      <c r="C1503" s="32" t="s">
        <v>438</v>
      </c>
      <c r="D1503" s="32" t="s">
        <v>144</v>
      </c>
      <c r="E1503" s="33">
        <v>4.0033000000000003</v>
      </c>
      <c r="F1503" s="27">
        <v>0</v>
      </c>
      <c r="G1503" s="27">
        <f t="shared" si="24"/>
        <v>0</v>
      </c>
      <c r="H1503" s="31"/>
      <c r="I1503" s="27"/>
      <c r="J1503" s="141">
        <v>0</v>
      </c>
    </row>
    <row r="1504" spans="1:10" ht="15.75" hidden="1" thickBot="1" x14ac:dyDescent="0.3">
      <c r="A1504" s="231"/>
      <c r="B1504" s="244"/>
      <c r="C1504" s="32" t="s">
        <v>465</v>
      </c>
      <c r="D1504" s="32" t="s">
        <v>144</v>
      </c>
      <c r="E1504" s="33">
        <v>0.67</v>
      </c>
      <c r="F1504" s="27">
        <v>0</v>
      </c>
      <c r="G1504" s="27">
        <f t="shared" si="24"/>
        <v>0</v>
      </c>
      <c r="H1504" s="31"/>
      <c r="I1504" s="27"/>
      <c r="J1504" s="141">
        <v>0</v>
      </c>
    </row>
    <row r="1505" spans="1:10" ht="15.75" hidden="1" thickBot="1" x14ac:dyDescent="0.3">
      <c r="A1505" s="231"/>
      <c r="B1505" s="244"/>
      <c r="C1505" s="32" t="s">
        <v>440</v>
      </c>
      <c r="D1505" s="32" t="s">
        <v>144</v>
      </c>
      <c r="E1505" s="33">
        <v>1.05</v>
      </c>
      <c r="F1505" s="27">
        <v>0</v>
      </c>
      <c r="G1505" s="27">
        <f t="shared" si="24"/>
        <v>0</v>
      </c>
      <c r="H1505" s="31"/>
      <c r="I1505" s="27"/>
      <c r="J1505" s="141">
        <v>0</v>
      </c>
    </row>
    <row r="1506" spans="1:10" ht="15.75" hidden="1" thickBot="1" x14ac:dyDescent="0.3">
      <c r="A1506" s="231"/>
      <c r="B1506" s="244"/>
      <c r="C1506" s="32" t="s">
        <v>441</v>
      </c>
      <c r="D1506" s="32" t="s">
        <v>20</v>
      </c>
      <c r="E1506" s="33">
        <v>2.67</v>
      </c>
      <c r="F1506" s="27">
        <v>0</v>
      </c>
      <c r="G1506" s="27">
        <f t="shared" si="24"/>
        <v>0</v>
      </c>
      <c r="H1506" s="31"/>
      <c r="I1506" s="27"/>
      <c r="J1506" s="141">
        <v>0</v>
      </c>
    </row>
    <row r="1507" spans="1:10" ht="15.75" hidden="1" thickBot="1" x14ac:dyDescent="0.3">
      <c r="A1507" s="231"/>
      <c r="B1507" s="244"/>
      <c r="C1507" s="32" t="s">
        <v>442</v>
      </c>
      <c r="D1507" s="32" t="s">
        <v>144</v>
      </c>
      <c r="E1507" s="33">
        <v>0.66669999999999996</v>
      </c>
      <c r="F1507" s="27">
        <v>0</v>
      </c>
      <c r="G1507" s="27">
        <f t="shared" si="24"/>
        <v>0</v>
      </c>
      <c r="H1507" s="31"/>
      <c r="I1507" s="27"/>
      <c r="J1507" s="141">
        <v>0</v>
      </c>
    </row>
    <row r="1508" spans="1:10" ht="26.25" hidden="1" thickBot="1" x14ac:dyDescent="0.3">
      <c r="A1508" s="231"/>
      <c r="B1508" s="244"/>
      <c r="C1508" s="32" t="s">
        <v>466</v>
      </c>
      <c r="D1508" s="32" t="s">
        <v>93</v>
      </c>
      <c r="E1508" s="33">
        <v>1.05</v>
      </c>
      <c r="F1508" s="30" t="s">
        <v>523</v>
      </c>
      <c r="G1508" s="27" t="str">
        <f t="shared" si="24"/>
        <v/>
      </c>
      <c r="H1508" s="31"/>
      <c r="I1508" s="27"/>
      <c r="J1508" s="141">
        <v>0</v>
      </c>
    </row>
    <row r="1509" spans="1:10" ht="15.75" hidden="1" thickBot="1" x14ac:dyDescent="0.3">
      <c r="A1509" s="232"/>
      <c r="B1509" s="230"/>
      <c r="C1509" s="32"/>
      <c r="D1509" s="32"/>
      <c r="E1509" s="33"/>
      <c r="F1509" s="27" t="s">
        <v>523</v>
      </c>
      <c r="G1509" s="27" t="str">
        <f t="shared" si="24"/>
        <v/>
      </c>
      <c r="H1509" s="31"/>
      <c r="I1509" s="27"/>
      <c r="J1509" s="141">
        <v>0</v>
      </c>
    </row>
    <row r="1510" spans="1:10" ht="15.75" thickBot="1" x14ac:dyDescent="0.3">
      <c r="A1510" s="225" t="s">
        <v>467</v>
      </c>
      <c r="B1510" s="228" t="str">
        <f>INDEX(Orçamentária!A:B,MATCH(Composições!A1510,Orçamentária!A:A,0),2)</f>
        <v>Eletroduto de aço galvanizado de 1 1/2"</v>
      </c>
      <c r="C1510" s="37"/>
      <c r="D1510" s="22" t="str">
        <f>TRIM(INDEX(Orçamentária!C:C,MATCH(Composições!A1510,Orçamentária!A:A,0),1))</f>
        <v>m</v>
      </c>
      <c r="E1510" s="23"/>
      <c r="F1510" s="38" t="s">
        <v>523</v>
      </c>
      <c r="G1510" s="24" t="str">
        <f t="shared" si="24"/>
        <v/>
      </c>
      <c r="H1510" s="25"/>
      <c r="I1510" s="26"/>
      <c r="J1510" s="141">
        <v>1769.3</v>
      </c>
    </row>
    <row r="1511" spans="1:10" x14ac:dyDescent="0.25">
      <c r="A1511" s="226"/>
      <c r="B1511" s="244"/>
      <c r="C1511" s="28"/>
      <c r="D1511" s="28"/>
      <c r="E1511" s="29"/>
      <c r="F1511" s="39" t="s">
        <v>523</v>
      </c>
      <c r="G1511" s="27" t="str">
        <f t="shared" si="24"/>
        <v/>
      </c>
      <c r="H1511" s="31"/>
      <c r="I1511" s="27"/>
      <c r="J1511" s="141">
        <v>1769.3</v>
      </c>
    </row>
    <row r="1512" spans="1:10" x14ac:dyDescent="0.25">
      <c r="A1512" s="226"/>
      <c r="B1512" s="244"/>
      <c r="C1512" s="32" t="s">
        <v>468</v>
      </c>
      <c r="D1512" s="32" t="s">
        <v>93</v>
      </c>
      <c r="E1512" s="33">
        <v>1.05</v>
      </c>
      <c r="F1512" s="27">
        <v>31.520999999999997</v>
      </c>
      <c r="G1512" s="30">
        <f t="shared" si="24"/>
        <v>33.097049999999996</v>
      </c>
      <c r="H1512" s="35">
        <f>SUM(G1512:G1516)</f>
        <v>54.91990301565</v>
      </c>
      <c r="I1512" s="36"/>
      <c r="J1512" s="141">
        <v>1769.3</v>
      </c>
    </row>
    <row r="1513" spans="1:10" x14ac:dyDescent="0.25">
      <c r="A1513" s="226"/>
      <c r="B1513" s="244"/>
      <c r="C1513" s="32" t="s">
        <v>30</v>
      </c>
      <c r="D1513" s="32" t="s">
        <v>12</v>
      </c>
      <c r="E1513" s="33">
        <v>0.28210000000000002</v>
      </c>
      <c r="F1513" s="27">
        <v>25.146499999999996</v>
      </c>
      <c r="G1513" s="30">
        <f t="shared" si="24"/>
        <v>7.0938276499999997</v>
      </c>
      <c r="H1513" s="31"/>
      <c r="I1513" s="27"/>
      <c r="J1513" s="141">
        <v>1769.3</v>
      </c>
    </row>
    <row r="1514" spans="1:10" x14ac:dyDescent="0.25">
      <c r="A1514" s="226"/>
      <c r="B1514" s="244"/>
      <c r="C1514" s="32" t="s">
        <v>74</v>
      </c>
      <c r="D1514" s="32" t="s">
        <v>12</v>
      </c>
      <c r="E1514" s="33">
        <v>0.28210000000000002</v>
      </c>
      <c r="F1514" s="27">
        <v>19.4085</v>
      </c>
      <c r="G1514" s="30">
        <f t="shared" si="24"/>
        <v>5.4751378500000003</v>
      </c>
      <c r="H1514" s="31"/>
      <c r="I1514" s="27"/>
      <c r="J1514" s="141">
        <v>1769.3</v>
      </c>
    </row>
    <row r="1515" spans="1:10" ht="38.25" x14ac:dyDescent="0.25">
      <c r="A1515" s="226"/>
      <c r="B1515" s="244"/>
      <c r="C1515" s="32" t="s">
        <v>469</v>
      </c>
      <c r="D1515" s="32" t="s">
        <v>93</v>
      </c>
      <c r="E1515" s="33">
        <v>2</v>
      </c>
      <c r="F1515" s="30">
        <v>1.4490065000000001</v>
      </c>
      <c r="G1515" s="30">
        <f t="shared" si="24"/>
        <v>2.8980130000000002</v>
      </c>
      <c r="H1515" s="31"/>
      <c r="I1515" s="27"/>
      <c r="J1515" s="141">
        <v>1769.3</v>
      </c>
    </row>
    <row r="1516" spans="1:10" ht="25.5" x14ac:dyDescent="0.25">
      <c r="A1516" s="226"/>
      <c r="B1516" s="244"/>
      <c r="C1516" s="32" t="s">
        <v>470</v>
      </c>
      <c r="D1516" s="32" t="s">
        <v>280</v>
      </c>
      <c r="E1516" s="33">
        <v>0.33329999999999999</v>
      </c>
      <c r="F1516" s="30">
        <v>19.069530499999999</v>
      </c>
      <c r="G1516" s="30">
        <f t="shared" si="24"/>
        <v>6.3558745156499992</v>
      </c>
      <c r="H1516" s="31"/>
      <c r="I1516" s="27"/>
      <c r="J1516" s="141">
        <v>1769.3</v>
      </c>
    </row>
    <row r="1517" spans="1:10" ht="15.75" thickBot="1" x14ac:dyDescent="0.3">
      <c r="A1517" s="227"/>
      <c r="B1517" s="230"/>
      <c r="C1517" s="32"/>
      <c r="D1517" s="32"/>
      <c r="E1517" s="33"/>
      <c r="F1517" s="27" t="s">
        <v>523</v>
      </c>
      <c r="G1517" s="27" t="str">
        <f t="shared" si="24"/>
        <v/>
      </c>
      <c r="H1517" s="31"/>
      <c r="I1517" s="27"/>
      <c r="J1517" s="141">
        <v>1769.3</v>
      </c>
    </row>
    <row r="1518" spans="1:10" ht="15.75" hidden="1" thickBot="1" x14ac:dyDescent="0.3">
      <c r="A1518" s="225" t="s">
        <v>471</v>
      </c>
      <c r="B1518" s="228" t="str">
        <f>INDEX(Orçamentária!A:B,MATCH(Composições!A1518,Orçamentária!A:A,0),2)</f>
        <v>Eletroduto de aço galvanizado de 1 1/4"</v>
      </c>
      <c r="C1518" s="37"/>
      <c r="D1518" s="22" t="str">
        <f>TRIM(INDEX(Orçamentária!C:C,MATCH(Composições!A1518,Orçamentária!A:A,0),1))</f>
        <v>m</v>
      </c>
      <c r="E1518" s="23"/>
      <c r="F1518" s="38" t="s">
        <v>523</v>
      </c>
      <c r="G1518" s="24" t="str">
        <f t="shared" si="24"/>
        <v/>
      </c>
      <c r="H1518" s="25"/>
      <c r="I1518" s="26"/>
      <c r="J1518" s="141">
        <v>0</v>
      </c>
    </row>
    <row r="1519" spans="1:10" ht="15.75" hidden="1" thickBot="1" x14ac:dyDescent="0.3">
      <c r="A1519" s="226"/>
      <c r="B1519" s="244"/>
      <c r="C1519" s="28"/>
      <c r="D1519" s="28"/>
      <c r="E1519" s="29"/>
      <c r="F1519" s="39" t="s">
        <v>523</v>
      </c>
      <c r="G1519" s="27" t="str">
        <f t="shared" si="24"/>
        <v/>
      </c>
      <c r="H1519" s="31"/>
      <c r="I1519" s="27"/>
      <c r="J1519" s="141">
        <v>0</v>
      </c>
    </row>
    <row r="1520" spans="1:10" ht="15.75" hidden="1" thickBot="1" x14ac:dyDescent="0.3">
      <c r="A1520" s="226"/>
      <c r="B1520" s="244"/>
      <c r="C1520" s="32" t="s">
        <v>472</v>
      </c>
      <c r="D1520" s="32" t="s">
        <v>93</v>
      </c>
      <c r="E1520" s="33">
        <v>1.05</v>
      </c>
      <c r="F1520" s="27">
        <v>0</v>
      </c>
      <c r="G1520" s="30">
        <f t="shared" si="24"/>
        <v>0</v>
      </c>
      <c r="H1520" s="35">
        <f>SUM(G1520:G1524)</f>
        <v>19.023142944299998</v>
      </c>
      <c r="I1520" s="36"/>
      <c r="J1520" s="141">
        <v>0</v>
      </c>
    </row>
    <row r="1521" spans="1:10" ht="15.75" hidden="1" thickBot="1" x14ac:dyDescent="0.3">
      <c r="A1521" s="226"/>
      <c r="B1521" s="244"/>
      <c r="C1521" s="32" t="s">
        <v>30</v>
      </c>
      <c r="D1521" s="32" t="s">
        <v>12</v>
      </c>
      <c r="E1521" s="33">
        <v>0.247</v>
      </c>
      <c r="F1521" s="27">
        <v>25.146499999999996</v>
      </c>
      <c r="G1521" s="30">
        <f t="shared" si="24"/>
        <v>6.2111854999999991</v>
      </c>
      <c r="H1521" s="31"/>
      <c r="I1521" s="27"/>
      <c r="J1521" s="141">
        <v>0</v>
      </c>
    </row>
    <row r="1522" spans="1:10" ht="15.75" hidden="1" thickBot="1" x14ac:dyDescent="0.3">
      <c r="A1522" s="226"/>
      <c r="B1522" s="244"/>
      <c r="C1522" s="32" t="s">
        <v>74</v>
      </c>
      <c r="D1522" s="32" t="s">
        <v>12</v>
      </c>
      <c r="E1522" s="33">
        <v>0.247</v>
      </c>
      <c r="F1522" s="27">
        <v>19.4085</v>
      </c>
      <c r="G1522" s="30">
        <f t="shared" si="24"/>
        <v>4.7938995000000002</v>
      </c>
      <c r="H1522" s="31"/>
      <c r="I1522" s="27"/>
      <c r="J1522" s="141">
        <v>0</v>
      </c>
    </row>
    <row r="1523" spans="1:10" ht="39" hidden="1" thickBot="1" x14ac:dyDescent="0.3">
      <c r="A1523" s="226"/>
      <c r="B1523" s="244"/>
      <c r="C1523" s="32" t="s">
        <v>469</v>
      </c>
      <c r="D1523" s="32" t="s">
        <v>93</v>
      </c>
      <c r="E1523" s="33">
        <v>2</v>
      </c>
      <c r="F1523" s="30">
        <v>1.4490065000000001</v>
      </c>
      <c r="G1523" s="30">
        <f t="shared" si="24"/>
        <v>2.8980130000000002</v>
      </c>
      <c r="H1523" s="31"/>
      <c r="I1523" s="27"/>
      <c r="J1523" s="141">
        <v>0</v>
      </c>
    </row>
    <row r="1524" spans="1:10" ht="26.25" hidden="1" thickBot="1" x14ac:dyDescent="0.3">
      <c r="A1524" s="226"/>
      <c r="B1524" s="244"/>
      <c r="C1524" s="32" t="s">
        <v>473</v>
      </c>
      <c r="D1524" s="32" t="s">
        <v>280</v>
      </c>
      <c r="E1524" s="33">
        <v>0.33329999999999999</v>
      </c>
      <c r="F1524" s="30">
        <v>15.361670999999998</v>
      </c>
      <c r="G1524" s="30">
        <f t="shared" si="24"/>
        <v>5.1200449442999991</v>
      </c>
      <c r="H1524" s="31"/>
      <c r="I1524" s="27"/>
      <c r="J1524" s="141">
        <v>0</v>
      </c>
    </row>
    <row r="1525" spans="1:10" ht="15.75" hidden="1" thickBot="1" x14ac:dyDescent="0.3">
      <c r="A1525" s="227"/>
      <c r="B1525" s="230"/>
      <c r="C1525" s="32"/>
      <c r="D1525" s="32"/>
      <c r="E1525" s="33"/>
      <c r="F1525" s="27" t="s">
        <v>523</v>
      </c>
      <c r="G1525" s="27" t="str">
        <f t="shared" si="24"/>
        <v/>
      </c>
      <c r="H1525" s="31"/>
      <c r="I1525" s="27"/>
      <c r="J1525" s="141">
        <v>0</v>
      </c>
    </row>
    <row r="1526" spans="1:10" ht="15.75" thickBot="1" x14ac:dyDescent="0.3">
      <c r="A1526" s="225" t="s">
        <v>474</v>
      </c>
      <c r="B1526" s="228" t="str">
        <f>INDEX(Orçamentária!A:B,MATCH(Composições!A1526,Orçamentária!A:A,0),2)</f>
        <v>Eletroduto de aço galvanizado de 1"</v>
      </c>
      <c r="C1526" s="37"/>
      <c r="D1526" s="22" t="str">
        <f>TRIM(INDEX(Orçamentária!C:C,MATCH(Composições!A1526,Orçamentária!A:A,0),1))</f>
        <v>m</v>
      </c>
      <c r="E1526" s="23"/>
      <c r="F1526" s="38" t="s">
        <v>523</v>
      </c>
      <c r="G1526" s="24" t="str">
        <f t="shared" si="24"/>
        <v/>
      </c>
      <c r="H1526" s="25"/>
      <c r="I1526" s="26"/>
      <c r="J1526" s="141">
        <v>1244.7</v>
      </c>
    </row>
    <row r="1527" spans="1:10" x14ac:dyDescent="0.25">
      <c r="A1527" s="226"/>
      <c r="B1527" s="244"/>
      <c r="C1527" s="28"/>
      <c r="D1527" s="28"/>
      <c r="E1527" s="29"/>
      <c r="F1527" s="39" t="s">
        <v>523</v>
      </c>
      <c r="G1527" s="27" t="str">
        <f t="shared" si="24"/>
        <v/>
      </c>
      <c r="H1527" s="31"/>
      <c r="I1527" s="27"/>
      <c r="J1527" s="141">
        <v>1244.7</v>
      </c>
    </row>
    <row r="1528" spans="1:10" x14ac:dyDescent="0.25">
      <c r="A1528" s="226"/>
      <c r="B1528" s="244"/>
      <c r="C1528" s="32" t="s">
        <v>475</v>
      </c>
      <c r="D1528" s="32" t="s">
        <v>93</v>
      </c>
      <c r="E1528" s="33">
        <v>1.05</v>
      </c>
      <c r="F1528" s="27">
        <v>16.121499999999997</v>
      </c>
      <c r="G1528" s="30">
        <f t="shared" si="24"/>
        <v>16.927574999999997</v>
      </c>
      <c r="H1528" s="35">
        <f>SUM(G1528:G1532)</f>
        <v>33.425448698949992</v>
      </c>
      <c r="I1528" s="36"/>
      <c r="J1528" s="141">
        <v>1244.7</v>
      </c>
    </row>
    <row r="1529" spans="1:10" x14ac:dyDescent="0.25">
      <c r="A1529" s="226"/>
      <c r="B1529" s="244"/>
      <c r="C1529" s="32" t="s">
        <v>30</v>
      </c>
      <c r="D1529" s="32" t="s">
        <v>12</v>
      </c>
      <c r="E1529" s="33">
        <v>0.21629999999999999</v>
      </c>
      <c r="F1529" s="27">
        <v>25.146499999999996</v>
      </c>
      <c r="G1529" s="30">
        <f t="shared" si="24"/>
        <v>5.4391879499999991</v>
      </c>
      <c r="H1529" s="31"/>
      <c r="I1529" s="27"/>
      <c r="J1529" s="141">
        <v>1244.7</v>
      </c>
    </row>
    <row r="1530" spans="1:10" x14ac:dyDescent="0.25">
      <c r="A1530" s="226"/>
      <c r="B1530" s="244"/>
      <c r="C1530" s="32" t="s">
        <v>74</v>
      </c>
      <c r="D1530" s="32" t="s">
        <v>12</v>
      </c>
      <c r="E1530" s="33">
        <v>0.21629999999999999</v>
      </c>
      <c r="F1530" s="27">
        <v>19.4085</v>
      </c>
      <c r="G1530" s="30">
        <f t="shared" si="24"/>
        <v>4.1980585499999998</v>
      </c>
      <c r="H1530" s="31"/>
      <c r="I1530" s="27"/>
      <c r="J1530" s="141">
        <v>1244.7</v>
      </c>
    </row>
    <row r="1531" spans="1:10" ht="38.25" x14ac:dyDescent="0.25">
      <c r="A1531" s="226"/>
      <c r="B1531" s="244"/>
      <c r="C1531" s="32" t="s">
        <v>469</v>
      </c>
      <c r="D1531" s="32" t="s">
        <v>93</v>
      </c>
      <c r="E1531" s="33">
        <v>2</v>
      </c>
      <c r="F1531" s="30">
        <v>1.4490065000000001</v>
      </c>
      <c r="G1531" s="30">
        <f t="shared" si="24"/>
        <v>2.8980130000000002</v>
      </c>
      <c r="H1531" s="31"/>
      <c r="I1531" s="27"/>
      <c r="J1531" s="141">
        <v>1244.7</v>
      </c>
    </row>
    <row r="1532" spans="1:10" ht="25.5" x14ac:dyDescent="0.25">
      <c r="A1532" s="226"/>
      <c r="B1532" s="244"/>
      <c r="C1532" s="32" t="s">
        <v>476</v>
      </c>
      <c r="D1532" s="32" t="s">
        <v>280</v>
      </c>
      <c r="E1532" s="33">
        <v>0.33329999999999999</v>
      </c>
      <c r="F1532" s="30">
        <v>11.889031499999998</v>
      </c>
      <c r="G1532" s="30">
        <f t="shared" si="24"/>
        <v>3.962614198949999</v>
      </c>
      <c r="H1532" s="31"/>
      <c r="I1532" s="27"/>
      <c r="J1532" s="141">
        <v>1244.7</v>
      </c>
    </row>
    <row r="1533" spans="1:10" ht="15.75" thickBot="1" x14ac:dyDescent="0.3">
      <c r="A1533" s="227"/>
      <c r="B1533" s="230"/>
      <c r="C1533" s="32"/>
      <c r="D1533" s="32"/>
      <c r="E1533" s="33"/>
      <c r="F1533" s="27" t="s">
        <v>523</v>
      </c>
      <c r="G1533" s="27" t="str">
        <f t="shared" si="24"/>
        <v/>
      </c>
      <c r="H1533" s="31"/>
      <c r="I1533" s="27"/>
      <c r="J1533" s="141">
        <v>1244.7</v>
      </c>
    </row>
    <row r="1534" spans="1:10" ht="15.75" hidden="1" thickBot="1" x14ac:dyDescent="0.3">
      <c r="A1534" s="225" t="s">
        <v>477</v>
      </c>
      <c r="B1534" s="228" t="str">
        <f>INDEX(Orçamentária!A:B,MATCH(Composições!A1534,Orçamentária!A:A,0),2)</f>
        <v>Eletroduto de aço galvanizado de 2"</v>
      </c>
      <c r="C1534" s="37"/>
      <c r="D1534" s="22" t="str">
        <f>TRIM(INDEX(Orçamentária!C:C,MATCH(Composições!A1534,Orçamentária!A:A,0),1))</f>
        <v>m</v>
      </c>
      <c r="E1534" s="23"/>
      <c r="F1534" s="38" t="s">
        <v>523</v>
      </c>
      <c r="G1534" s="24" t="str">
        <f t="shared" si="24"/>
        <v/>
      </c>
      <c r="H1534" s="25"/>
      <c r="I1534" s="26"/>
      <c r="J1534" s="141">
        <v>0</v>
      </c>
    </row>
    <row r="1535" spans="1:10" ht="15.75" hidden="1" thickBot="1" x14ac:dyDescent="0.3">
      <c r="A1535" s="226"/>
      <c r="B1535" s="244"/>
      <c r="C1535" s="28"/>
      <c r="D1535" s="28"/>
      <c r="E1535" s="29"/>
      <c r="F1535" s="39" t="s">
        <v>523</v>
      </c>
      <c r="G1535" s="27" t="str">
        <f t="shared" si="24"/>
        <v/>
      </c>
      <c r="H1535" s="31"/>
      <c r="I1535" s="27"/>
      <c r="J1535" s="141">
        <v>0</v>
      </c>
    </row>
    <row r="1536" spans="1:10" ht="15.75" hidden="1" thickBot="1" x14ac:dyDescent="0.3">
      <c r="A1536" s="226"/>
      <c r="B1536" s="244"/>
      <c r="C1536" s="32" t="s">
        <v>478</v>
      </c>
      <c r="D1536" s="32" t="s">
        <v>93</v>
      </c>
      <c r="E1536" s="33">
        <v>1.05</v>
      </c>
      <c r="F1536" s="27">
        <v>0</v>
      </c>
      <c r="G1536" s="30">
        <f t="shared" si="24"/>
        <v>0</v>
      </c>
      <c r="H1536" s="35">
        <f>SUM(G1536:G1540)</f>
        <v>25.774656365649999</v>
      </c>
      <c r="I1536" s="36"/>
      <c r="J1536" s="141">
        <v>0</v>
      </c>
    </row>
    <row r="1537" spans="1:10" ht="15.75" hidden="1" thickBot="1" x14ac:dyDescent="0.3">
      <c r="A1537" s="226"/>
      <c r="B1537" s="244"/>
      <c r="C1537" s="32" t="s">
        <v>30</v>
      </c>
      <c r="D1537" s="32" t="s">
        <v>12</v>
      </c>
      <c r="E1537" s="33">
        <v>0.28210000000000002</v>
      </c>
      <c r="F1537" s="27">
        <v>25.146499999999996</v>
      </c>
      <c r="G1537" s="30">
        <f t="shared" si="24"/>
        <v>7.0938276499999997</v>
      </c>
      <c r="H1537" s="31"/>
      <c r="I1537" s="27"/>
      <c r="J1537" s="141">
        <v>0</v>
      </c>
    </row>
    <row r="1538" spans="1:10" ht="15.75" hidden="1" thickBot="1" x14ac:dyDescent="0.3">
      <c r="A1538" s="226"/>
      <c r="B1538" s="244"/>
      <c r="C1538" s="32" t="s">
        <v>74</v>
      </c>
      <c r="D1538" s="32" t="s">
        <v>12</v>
      </c>
      <c r="E1538" s="33">
        <v>0.28210000000000002</v>
      </c>
      <c r="F1538" s="27">
        <v>19.4085</v>
      </c>
      <c r="G1538" s="30">
        <f t="shared" si="24"/>
        <v>5.4751378500000003</v>
      </c>
      <c r="H1538" s="31"/>
      <c r="I1538" s="27"/>
      <c r="J1538" s="141">
        <v>0</v>
      </c>
    </row>
    <row r="1539" spans="1:10" ht="51.75" hidden="1" thickBot="1" x14ac:dyDescent="0.3">
      <c r="A1539" s="226"/>
      <c r="B1539" s="244"/>
      <c r="C1539" s="32" t="s">
        <v>479</v>
      </c>
      <c r="D1539" s="32" t="s">
        <v>480</v>
      </c>
      <c r="E1539" s="33">
        <v>2</v>
      </c>
      <c r="F1539" s="30">
        <v>2.9483725000000001</v>
      </c>
      <c r="G1539" s="30">
        <f t="shared" si="24"/>
        <v>5.8967450000000001</v>
      </c>
      <c r="H1539" s="31"/>
      <c r="I1539" s="27"/>
      <c r="J1539" s="141">
        <v>0</v>
      </c>
    </row>
    <row r="1540" spans="1:10" ht="26.25" hidden="1" thickBot="1" x14ac:dyDescent="0.3">
      <c r="A1540" s="226"/>
      <c r="B1540" s="244"/>
      <c r="C1540" s="32" t="s">
        <v>481</v>
      </c>
      <c r="D1540" s="32" t="s">
        <v>280</v>
      </c>
      <c r="E1540" s="33">
        <v>0.33329999999999999</v>
      </c>
      <c r="F1540" s="30">
        <v>21.929030499999996</v>
      </c>
      <c r="G1540" s="27">
        <f t="shared" si="24"/>
        <v>7.3089458656499984</v>
      </c>
      <c r="H1540" s="31"/>
      <c r="I1540" s="27"/>
      <c r="J1540" s="141">
        <v>0</v>
      </c>
    </row>
    <row r="1541" spans="1:10" ht="15.75" hidden="1" thickBot="1" x14ac:dyDescent="0.3">
      <c r="A1541" s="227"/>
      <c r="B1541" s="230"/>
      <c r="C1541" s="32"/>
      <c r="D1541" s="32"/>
      <c r="E1541" s="33"/>
      <c r="F1541" s="27" t="s">
        <v>523</v>
      </c>
      <c r="G1541" s="27" t="str">
        <f t="shared" si="24"/>
        <v/>
      </c>
      <c r="H1541" s="31"/>
      <c r="I1541" s="27"/>
      <c r="J1541" s="141">
        <v>0</v>
      </c>
    </row>
    <row r="1542" spans="1:10" ht="15.75" hidden="1" thickBot="1" x14ac:dyDescent="0.3">
      <c r="A1542" s="225" t="s">
        <v>482</v>
      </c>
      <c r="B1542" s="228" t="str">
        <f>INDEX(Orçamentária!A:B,MATCH(Composições!A1542,Orçamentária!A:A,0),2)</f>
        <v>Eletroduto de aço galvanizado de 3/4"</v>
      </c>
      <c r="C1542" s="37"/>
      <c r="D1542" s="22" t="str">
        <f>TRIM(INDEX(Orçamentária!C:C,MATCH(Composições!A1542,Orçamentária!A:A,0),1))</f>
        <v>m</v>
      </c>
      <c r="E1542" s="23"/>
      <c r="F1542" s="38" t="s">
        <v>523</v>
      </c>
      <c r="G1542" s="24" t="str">
        <f t="shared" si="24"/>
        <v/>
      </c>
      <c r="H1542" s="25"/>
      <c r="I1542" s="26"/>
      <c r="J1542" s="141">
        <v>0</v>
      </c>
    </row>
    <row r="1543" spans="1:10" ht="15.75" hidden="1" thickBot="1" x14ac:dyDescent="0.3">
      <c r="A1543" s="226"/>
      <c r="B1543" s="244"/>
      <c r="C1543" s="28"/>
      <c r="D1543" s="28"/>
      <c r="E1543" s="29"/>
      <c r="F1543" s="39" t="s">
        <v>523</v>
      </c>
      <c r="G1543" s="27" t="str">
        <f t="shared" si="24"/>
        <v/>
      </c>
      <c r="H1543" s="31"/>
      <c r="I1543" s="27"/>
      <c r="J1543" s="141">
        <v>0</v>
      </c>
    </row>
    <row r="1544" spans="1:10" ht="15.75" hidden="1" thickBot="1" x14ac:dyDescent="0.3">
      <c r="A1544" s="226"/>
      <c r="B1544" s="244"/>
      <c r="C1544" s="32" t="s">
        <v>483</v>
      </c>
      <c r="D1544" s="32" t="s">
        <v>93</v>
      </c>
      <c r="E1544" s="33">
        <v>1.05</v>
      </c>
      <c r="F1544" s="27">
        <v>0</v>
      </c>
      <c r="G1544" s="30">
        <f t="shared" si="24"/>
        <v>0</v>
      </c>
      <c r="H1544" s="35">
        <f>SUM(G1544:G1548)</f>
        <v>15.08321876005</v>
      </c>
      <c r="I1544" s="36"/>
      <c r="J1544" s="141">
        <v>0</v>
      </c>
    </row>
    <row r="1545" spans="1:10" ht="15.75" hidden="1" thickBot="1" x14ac:dyDescent="0.3">
      <c r="A1545" s="226"/>
      <c r="B1545" s="244"/>
      <c r="C1545" s="32" t="s">
        <v>30</v>
      </c>
      <c r="D1545" s="32" t="s">
        <v>12</v>
      </c>
      <c r="E1545" s="33">
        <v>0.19439999999999999</v>
      </c>
      <c r="F1545" s="27">
        <v>25.146499999999996</v>
      </c>
      <c r="G1545" s="30">
        <f t="shared" si="24"/>
        <v>4.8884795999999993</v>
      </c>
      <c r="H1545" s="31"/>
      <c r="I1545" s="27"/>
      <c r="J1545" s="141">
        <v>0</v>
      </c>
    </row>
    <row r="1546" spans="1:10" ht="15.75" hidden="1" thickBot="1" x14ac:dyDescent="0.3">
      <c r="A1546" s="226"/>
      <c r="B1546" s="244"/>
      <c r="C1546" s="32" t="s">
        <v>74</v>
      </c>
      <c r="D1546" s="32" t="s">
        <v>12</v>
      </c>
      <c r="E1546" s="33">
        <v>0.19439999999999999</v>
      </c>
      <c r="F1546" s="27">
        <v>19.4085</v>
      </c>
      <c r="G1546" s="30">
        <f t="shared" si="24"/>
        <v>3.7730123999999998</v>
      </c>
      <c r="H1546" s="31"/>
      <c r="I1546" s="27"/>
      <c r="J1546" s="141">
        <v>0</v>
      </c>
    </row>
    <row r="1547" spans="1:10" ht="39" hidden="1" thickBot="1" x14ac:dyDescent="0.3">
      <c r="A1547" s="226"/>
      <c r="B1547" s="244"/>
      <c r="C1547" s="32" t="s">
        <v>469</v>
      </c>
      <c r="D1547" s="32" t="s">
        <v>93</v>
      </c>
      <c r="E1547" s="33">
        <v>2</v>
      </c>
      <c r="F1547" s="30">
        <v>1.4490065000000001</v>
      </c>
      <c r="G1547" s="30">
        <f t="shared" si="24"/>
        <v>2.8980130000000002</v>
      </c>
      <c r="H1547" s="31"/>
      <c r="I1547" s="27"/>
      <c r="J1547" s="141">
        <v>0</v>
      </c>
    </row>
    <row r="1548" spans="1:10" ht="26.25" hidden="1" thickBot="1" x14ac:dyDescent="0.3">
      <c r="A1548" s="226"/>
      <c r="B1548" s="244"/>
      <c r="C1548" s="32" t="s">
        <v>484</v>
      </c>
      <c r="D1548" s="32" t="s">
        <v>280</v>
      </c>
      <c r="E1548" s="33">
        <v>0.33329999999999999</v>
      </c>
      <c r="F1548" s="30">
        <v>10.572198500000001</v>
      </c>
      <c r="G1548" s="30">
        <f t="shared" si="24"/>
        <v>3.5237137600500001</v>
      </c>
      <c r="H1548" s="31"/>
      <c r="I1548" s="27"/>
      <c r="J1548" s="141">
        <v>0</v>
      </c>
    </row>
    <row r="1549" spans="1:10" ht="15.75" hidden="1" thickBot="1" x14ac:dyDescent="0.3">
      <c r="A1549" s="227"/>
      <c r="B1549" s="230"/>
      <c r="C1549" s="32"/>
      <c r="D1549" s="32"/>
      <c r="E1549" s="33"/>
      <c r="F1549" s="27" t="s">
        <v>523</v>
      </c>
      <c r="G1549" s="27" t="str">
        <f t="shared" si="24"/>
        <v/>
      </c>
      <c r="H1549" s="31"/>
      <c r="I1549" s="27"/>
      <c r="J1549" s="141">
        <v>0</v>
      </c>
    </row>
    <row r="1550" spans="1:10" ht="15.75" hidden="1" thickBot="1" x14ac:dyDescent="0.3">
      <c r="A1550" s="225" t="s">
        <v>485</v>
      </c>
      <c r="B1550" s="228" t="str">
        <f>INDEX(Orçamentária!A:B,MATCH(Composições!A1550,Orçamentária!A:A,0),2)</f>
        <v>Eletroduto de PVC Corrugado Reforçado 1'' (DE 32mm)</v>
      </c>
      <c r="C1550" s="37"/>
      <c r="D1550" s="22" t="str">
        <f>TRIM(INDEX(Orçamentária!C:C,MATCH(Composições!A1550,Orçamentária!A:A,0),1))</f>
        <v>m</v>
      </c>
      <c r="E1550" s="23"/>
      <c r="F1550" s="38" t="s">
        <v>523</v>
      </c>
      <c r="G1550" s="24" t="str">
        <f t="shared" si="24"/>
        <v/>
      </c>
      <c r="H1550" s="25"/>
      <c r="I1550" s="26"/>
      <c r="J1550" s="141">
        <v>0</v>
      </c>
    </row>
    <row r="1551" spans="1:10" ht="15.75" hidden="1" thickBot="1" x14ac:dyDescent="0.3">
      <c r="A1551" s="226"/>
      <c r="B1551" s="244"/>
      <c r="C1551" s="28"/>
      <c r="D1551" s="28"/>
      <c r="E1551" s="29"/>
      <c r="F1551" s="39" t="s">
        <v>523</v>
      </c>
      <c r="G1551" s="27" t="str">
        <f t="shared" si="24"/>
        <v/>
      </c>
      <c r="H1551" s="31"/>
      <c r="I1551" s="27"/>
      <c r="J1551" s="141">
        <v>0</v>
      </c>
    </row>
    <row r="1552" spans="1:10" ht="26.25" hidden="1" thickBot="1" x14ac:dyDescent="0.3">
      <c r="A1552" s="226"/>
      <c r="B1552" s="244"/>
      <c r="C1552" s="32" t="s">
        <v>486</v>
      </c>
      <c r="D1552" s="32" t="s">
        <v>93</v>
      </c>
      <c r="E1552" s="33">
        <v>1.1000000000000001</v>
      </c>
      <c r="F1552" s="30">
        <v>7.9705000000000004</v>
      </c>
      <c r="G1552" s="30">
        <f t="shared" si="24"/>
        <v>8.7675500000000017</v>
      </c>
      <c r="H1552" s="35">
        <f>SUM(G1552:G1555)</f>
        <v>15.627044000000001</v>
      </c>
      <c r="I1552" s="36"/>
      <c r="J1552" s="141">
        <v>0</v>
      </c>
    </row>
    <row r="1553" spans="1:10" ht="15.75" hidden="1" thickBot="1" x14ac:dyDescent="0.3">
      <c r="A1553" s="226"/>
      <c r="B1553" s="244"/>
      <c r="C1553" s="32" t="s">
        <v>30</v>
      </c>
      <c r="D1553" s="32" t="s">
        <v>12</v>
      </c>
      <c r="E1553" s="33">
        <v>0.09</v>
      </c>
      <c r="F1553" s="27">
        <v>25.146499999999996</v>
      </c>
      <c r="G1553" s="30">
        <f t="shared" si="24"/>
        <v>2.2631849999999996</v>
      </c>
      <c r="H1553" s="31"/>
      <c r="I1553" s="27"/>
      <c r="J1553" s="141">
        <v>0</v>
      </c>
    </row>
    <row r="1554" spans="1:10" ht="15.75" hidden="1" thickBot="1" x14ac:dyDescent="0.3">
      <c r="A1554" s="226"/>
      <c r="B1554" s="244"/>
      <c r="C1554" s="32" t="s">
        <v>74</v>
      </c>
      <c r="D1554" s="32" t="s">
        <v>12</v>
      </c>
      <c r="E1554" s="33">
        <v>0.09</v>
      </c>
      <c r="F1554" s="27">
        <v>19.4085</v>
      </c>
      <c r="G1554" s="30">
        <f t="shared" ref="G1554:G1617" si="25">IF(ISNUMBER(F1554),E1554*F1554,"")</f>
        <v>1.7467649999999999</v>
      </c>
      <c r="H1554" s="31"/>
      <c r="I1554" s="27"/>
      <c r="J1554" s="141">
        <v>0</v>
      </c>
    </row>
    <row r="1555" spans="1:10" ht="39" hidden="1" thickBot="1" x14ac:dyDescent="0.3">
      <c r="A1555" s="226"/>
      <c r="B1555" s="244"/>
      <c r="C1555" s="32" t="s">
        <v>487</v>
      </c>
      <c r="D1555" s="32" t="s">
        <v>93</v>
      </c>
      <c r="E1555" s="33">
        <v>1</v>
      </c>
      <c r="F1555" s="30">
        <v>2.8495440000000003</v>
      </c>
      <c r="G1555" s="27">
        <f t="shared" si="25"/>
        <v>2.8495440000000003</v>
      </c>
      <c r="H1555" s="31"/>
      <c r="I1555" s="27"/>
      <c r="J1555" s="141">
        <v>0</v>
      </c>
    </row>
    <row r="1556" spans="1:10" ht="15.75" hidden="1" thickBot="1" x14ac:dyDescent="0.3">
      <c r="A1556" s="227"/>
      <c r="B1556" s="230"/>
      <c r="C1556" s="32"/>
      <c r="D1556" s="32"/>
      <c r="E1556" s="33"/>
      <c r="F1556" s="27" t="s">
        <v>523</v>
      </c>
      <c r="G1556" s="27" t="str">
        <f t="shared" si="25"/>
        <v/>
      </c>
      <c r="H1556" s="31"/>
      <c r="I1556" s="27"/>
      <c r="J1556" s="141">
        <v>0</v>
      </c>
    </row>
    <row r="1557" spans="1:10" ht="15.75" hidden="1" thickBot="1" x14ac:dyDescent="0.3">
      <c r="A1557" s="225" t="s">
        <v>488</v>
      </c>
      <c r="B1557" s="228" t="str">
        <f>INDEX(Orçamentária!A:B,MATCH(Composições!A1557,Orçamentária!A:A,0),2)</f>
        <v>Eletroduto de PVC Corrugado Reforçado 3/4'' (DE 25mm)</v>
      </c>
      <c r="C1557" s="37"/>
      <c r="D1557" s="22" t="str">
        <f>TRIM(INDEX(Orçamentária!C:C,MATCH(Composições!A1557,Orçamentária!A:A,0),1))</f>
        <v>m</v>
      </c>
      <c r="E1557" s="23"/>
      <c r="F1557" s="38" t="s">
        <v>523</v>
      </c>
      <c r="G1557" s="24" t="str">
        <f t="shared" si="25"/>
        <v/>
      </c>
      <c r="H1557" s="25"/>
      <c r="I1557" s="26"/>
      <c r="J1557" s="141">
        <v>0</v>
      </c>
    </row>
    <row r="1558" spans="1:10" ht="15.75" hidden="1" thickBot="1" x14ac:dyDescent="0.3">
      <c r="A1558" s="226"/>
      <c r="B1558" s="244"/>
      <c r="C1558" s="28"/>
      <c r="D1558" s="28"/>
      <c r="E1558" s="29"/>
      <c r="F1558" s="39" t="s">
        <v>523</v>
      </c>
      <c r="G1558" s="27" t="str">
        <f t="shared" si="25"/>
        <v/>
      </c>
      <c r="H1558" s="31"/>
      <c r="I1558" s="27"/>
      <c r="J1558" s="141">
        <v>0</v>
      </c>
    </row>
    <row r="1559" spans="1:10" ht="15.75" hidden="1" thickBot="1" x14ac:dyDescent="0.3">
      <c r="A1559" s="226"/>
      <c r="B1559" s="244"/>
      <c r="C1559" s="32" t="s">
        <v>30</v>
      </c>
      <c r="D1559" s="32" t="s">
        <v>12</v>
      </c>
      <c r="E1559" s="33">
        <v>7.0000000000000007E-2</v>
      </c>
      <c r="F1559" s="27">
        <v>25.146499999999996</v>
      </c>
      <c r="G1559" s="27">
        <f t="shared" si="25"/>
        <v>1.7602549999999999</v>
      </c>
      <c r="H1559" s="35">
        <f>SUM(G1559:G1562)</f>
        <v>10.524594</v>
      </c>
      <c r="I1559" s="36"/>
      <c r="J1559" s="141">
        <v>0</v>
      </c>
    </row>
    <row r="1560" spans="1:10" ht="15.75" hidden="1" thickBot="1" x14ac:dyDescent="0.3">
      <c r="A1560" s="226"/>
      <c r="B1560" s="244"/>
      <c r="C1560" s="32" t="s">
        <v>74</v>
      </c>
      <c r="D1560" s="32" t="s">
        <v>12</v>
      </c>
      <c r="E1560" s="33">
        <v>7.0000000000000007E-2</v>
      </c>
      <c r="F1560" s="27">
        <v>19.4085</v>
      </c>
      <c r="G1560" s="27">
        <f t="shared" si="25"/>
        <v>1.3585950000000002</v>
      </c>
      <c r="H1560" s="31"/>
      <c r="I1560" s="27"/>
      <c r="J1560" s="141">
        <v>0</v>
      </c>
    </row>
    <row r="1561" spans="1:10" ht="26.25" hidden="1" thickBot="1" x14ac:dyDescent="0.3">
      <c r="A1561" s="226"/>
      <c r="B1561" s="244"/>
      <c r="C1561" s="32" t="s">
        <v>489</v>
      </c>
      <c r="D1561" s="32" t="s">
        <v>93</v>
      </c>
      <c r="E1561" s="33">
        <v>1.1000000000000001</v>
      </c>
      <c r="F1561" s="30">
        <v>4.1420000000000003</v>
      </c>
      <c r="G1561" s="27">
        <f t="shared" si="25"/>
        <v>4.5562000000000005</v>
      </c>
      <c r="H1561" s="31"/>
      <c r="I1561" s="27"/>
      <c r="J1561" s="141">
        <v>0</v>
      </c>
    </row>
    <row r="1562" spans="1:10" ht="39" hidden="1" thickBot="1" x14ac:dyDescent="0.3">
      <c r="A1562" s="226"/>
      <c r="B1562" s="244"/>
      <c r="C1562" s="32" t="s">
        <v>487</v>
      </c>
      <c r="D1562" s="32" t="s">
        <v>93</v>
      </c>
      <c r="E1562" s="33">
        <v>1</v>
      </c>
      <c r="F1562" s="30">
        <v>2.8495440000000003</v>
      </c>
      <c r="G1562" s="27">
        <f t="shared" si="25"/>
        <v>2.8495440000000003</v>
      </c>
      <c r="H1562" s="31"/>
      <c r="I1562" s="27"/>
      <c r="J1562" s="141">
        <v>0</v>
      </c>
    </row>
    <row r="1563" spans="1:10" ht="15.75" hidden="1" thickBot="1" x14ac:dyDescent="0.3">
      <c r="A1563" s="227"/>
      <c r="B1563" s="230"/>
      <c r="C1563" s="32"/>
      <c r="D1563" s="32"/>
      <c r="E1563" s="33"/>
      <c r="F1563" s="27" t="s">
        <v>523</v>
      </c>
      <c r="G1563" s="27" t="str">
        <f t="shared" si="25"/>
        <v/>
      </c>
      <c r="H1563" s="31"/>
      <c r="I1563" s="27"/>
      <c r="J1563" s="141">
        <v>0</v>
      </c>
    </row>
    <row r="1564" spans="1:10" ht="15.75" thickBot="1" x14ac:dyDescent="0.3">
      <c r="A1564" s="225" t="s">
        <v>490</v>
      </c>
      <c r="B1564" s="228" t="str">
        <f>INDEX(Orçamentária!A:B,MATCH(Composições!A1564,Orçamentária!A:A,0),2)</f>
        <v>Eletroduto flexível metálico com capa de PVC 1’’</v>
      </c>
      <c r="C1564" s="37"/>
      <c r="D1564" s="22" t="str">
        <f>TRIM(INDEX(Orçamentária!C:C,MATCH(Composições!A1564,Orçamentária!A:A,0),1))</f>
        <v>m</v>
      </c>
      <c r="E1564" s="23"/>
      <c r="F1564" s="38" t="s">
        <v>523</v>
      </c>
      <c r="G1564" s="24" t="str">
        <f t="shared" si="25"/>
        <v/>
      </c>
      <c r="H1564" s="25"/>
      <c r="I1564" s="26"/>
      <c r="J1564" s="141">
        <v>100.5</v>
      </c>
    </row>
    <row r="1565" spans="1:10" x14ac:dyDescent="0.25">
      <c r="A1565" s="226"/>
      <c r="B1565" s="244"/>
      <c r="C1565" s="28"/>
      <c r="D1565" s="28"/>
      <c r="E1565" s="29"/>
      <c r="F1565" s="39" t="s">
        <v>523</v>
      </c>
      <c r="G1565" s="27" t="str">
        <f t="shared" si="25"/>
        <v/>
      </c>
      <c r="H1565" s="31"/>
      <c r="I1565" s="27"/>
      <c r="J1565" s="141">
        <v>100.5</v>
      </c>
    </row>
    <row r="1566" spans="1:10" ht="25.5" x14ac:dyDescent="0.25">
      <c r="A1566" s="226"/>
      <c r="B1566" s="244"/>
      <c r="C1566" s="32" t="s">
        <v>491</v>
      </c>
      <c r="D1566" s="32" t="s">
        <v>93</v>
      </c>
      <c r="E1566" s="33">
        <v>1.1000000000000001</v>
      </c>
      <c r="F1566" s="30">
        <v>19.218499999999999</v>
      </c>
      <c r="G1566" s="27">
        <f t="shared" si="25"/>
        <v>21.140350000000002</v>
      </c>
      <c r="H1566" s="35">
        <f>SUM(G1566:G1569)</f>
        <v>25.952955000000003</v>
      </c>
      <c r="I1566" s="36"/>
      <c r="J1566" s="141">
        <v>100.5</v>
      </c>
    </row>
    <row r="1567" spans="1:10" ht="25.5" x14ac:dyDescent="0.25">
      <c r="A1567" s="226"/>
      <c r="B1567" s="244"/>
      <c r="C1567" s="32" t="s">
        <v>3513</v>
      </c>
      <c r="D1567" s="32" t="s">
        <v>42</v>
      </c>
      <c r="E1567" s="33">
        <v>2E-3</v>
      </c>
      <c r="F1567" s="30">
        <v>22.61</v>
      </c>
      <c r="G1567" s="27">
        <f t="shared" si="25"/>
        <v>4.5220000000000003E-2</v>
      </c>
      <c r="H1567" s="31"/>
      <c r="I1567" s="27"/>
      <c r="J1567" s="141">
        <v>100.5</v>
      </c>
    </row>
    <row r="1568" spans="1:10" x14ac:dyDescent="0.25">
      <c r="A1568" s="226"/>
      <c r="B1568" s="244"/>
      <c r="C1568" s="32" t="s">
        <v>74</v>
      </c>
      <c r="D1568" s="43" t="s">
        <v>12</v>
      </c>
      <c r="E1568" s="33">
        <v>0.107</v>
      </c>
      <c r="F1568" s="27">
        <v>19.4085</v>
      </c>
      <c r="G1568" s="27">
        <f t="shared" si="25"/>
        <v>2.0767094999999998</v>
      </c>
      <c r="H1568" s="31"/>
      <c r="I1568" s="27"/>
      <c r="J1568" s="141">
        <v>100.5</v>
      </c>
    </row>
    <row r="1569" spans="1:10" x14ac:dyDescent="0.25">
      <c r="A1569" s="226"/>
      <c r="B1569" s="244"/>
      <c r="C1569" s="32" t="s">
        <v>30</v>
      </c>
      <c r="D1569" s="32" t="s">
        <v>12</v>
      </c>
      <c r="E1569" s="33">
        <v>0.107</v>
      </c>
      <c r="F1569" s="27">
        <v>25.146499999999996</v>
      </c>
      <c r="G1569" s="27">
        <f t="shared" si="25"/>
        <v>2.6906754999999993</v>
      </c>
      <c r="H1569" s="31"/>
      <c r="I1569" s="27"/>
      <c r="J1569" s="141">
        <v>100.5</v>
      </c>
    </row>
    <row r="1570" spans="1:10" ht="15.75" thickBot="1" x14ac:dyDescent="0.3">
      <c r="A1570" s="227"/>
      <c r="B1570" s="230"/>
      <c r="C1570" s="32"/>
      <c r="D1570" s="32"/>
      <c r="E1570" s="33"/>
      <c r="F1570" s="27" t="s">
        <v>523</v>
      </c>
      <c r="G1570" s="27" t="str">
        <f t="shared" si="25"/>
        <v/>
      </c>
      <c r="H1570" s="31"/>
      <c r="I1570" s="27"/>
      <c r="J1570" s="141">
        <v>100.5</v>
      </c>
    </row>
    <row r="1571" spans="1:10" ht="15.75" hidden="1" thickBot="1" x14ac:dyDescent="0.3">
      <c r="A1571" s="225" t="s">
        <v>492</v>
      </c>
      <c r="B1571" s="228" t="str">
        <f>INDEX(Orçamentária!A:B,MATCH(Composições!A1571,Orçamentária!A:A,0),2)</f>
        <v>Eletroduto flexível metálico com capa de PVC 3/4"</v>
      </c>
      <c r="C1571" s="37"/>
      <c r="D1571" s="22" t="str">
        <f>TRIM(INDEX(Orçamentária!C:C,MATCH(Composições!A1571,Orçamentária!A:A,0),1))</f>
        <v>m</v>
      </c>
      <c r="E1571" s="23"/>
      <c r="F1571" s="38" t="s">
        <v>523</v>
      </c>
      <c r="G1571" s="24" t="str">
        <f t="shared" si="25"/>
        <v/>
      </c>
      <c r="H1571" s="25"/>
      <c r="I1571" s="26"/>
      <c r="J1571" s="141">
        <v>0</v>
      </c>
    </row>
    <row r="1572" spans="1:10" ht="15.75" hidden="1" thickBot="1" x14ac:dyDescent="0.3">
      <c r="A1572" s="226"/>
      <c r="B1572" s="244"/>
      <c r="C1572" s="28"/>
      <c r="D1572" s="28"/>
      <c r="E1572" s="29"/>
      <c r="F1572" s="39" t="s">
        <v>523</v>
      </c>
      <c r="G1572" s="27" t="str">
        <f t="shared" si="25"/>
        <v/>
      </c>
      <c r="H1572" s="31"/>
      <c r="I1572" s="27"/>
      <c r="J1572" s="141">
        <v>0</v>
      </c>
    </row>
    <row r="1573" spans="1:10" ht="26.25" hidden="1" thickBot="1" x14ac:dyDescent="0.3">
      <c r="A1573" s="226"/>
      <c r="B1573" s="244"/>
      <c r="C1573" s="32" t="s">
        <v>493</v>
      </c>
      <c r="D1573" s="32" t="s">
        <v>93</v>
      </c>
      <c r="E1573" s="33">
        <v>1.1000000000000001</v>
      </c>
      <c r="F1573" s="30">
        <v>14.648999999999999</v>
      </c>
      <c r="G1573" s="30">
        <f t="shared" si="25"/>
        <v>16.113900000000001</v>
      </c>
      <c r="H1573" s="35">
        <f>SUM(G1573:G1576)</f>
        <v>20.030882999999999</v>
      </c>
      <c r="I1573" s="36"/>
      <c r="J1573" s="141">
        <v>0</v>
      </c>
    </row>
    <row r="1574" spans="1:10" ht="26.25" hidden="1" thickBot="1" x14ac:dyDescent="0.3">
      <c r="A1574" s="226"/>
      <c r="B1574" s="244"/>
      <c r="C1574" s="32" t="s">
        <v>3513</v>
      </c>
      <c r="D1574" s="32" t="s">
        <v>42</v>
      </c>
      <c r="E1574" s="33">
        <v>1.8E-3</v>
      </c>
      <c r="F1574" s="30">
        <v>22.61</v>
      </c>
      <c r="G1574" s="30">
        <f t="shared" si="25"/>
        <v>4.0697999999999998E-2</v>
      </c>
      <c r="H1574" s="31"/>
      <c r="I1574" s="27"/>
      <c r="J1574" s="141">
        <v>0</v>
      </c>
    </row>
    <row r="1575" spans="1:10" ht="15.75" hidden="1" thickBot="1" x14ac:dyDescent="0.3">
      <c r="A1575" s="226"/>
      <c r="B1575" s="244"/>
      <c r="C1575" s="32" t="s">
        <v>74</v>
      </c>
      <c r="D1575" s="43" t="s">
        <v>12</v>
      </c>
      <c r="E1575" s="33">
        <v>8.6999999999999994E-2</v>
      </c>
      <c r="F1575" s="27">
        <v>19.4085</v>
      </c>
      <c r="G1575" s="30">
        <f t="shared" si="25"/>
        <v>1.6885394999999999</v>
      </c>
      <c r="H1575" s="31"/>
      <c r="I1575" s="27"/>
      <c r="J1575" s="141">
        <v>0</v>
      </c>
    </row>
    <row r="1576" spans="1:10" ht="15.75" hidden="1" thickBot="1" x14ac:dyDescent="0.3">
      <c r="A1576" s="226"/>
      <c r="B1576" s="244"/>
      <c r="C1576" s="32" t="s">
        <v>30</v>
      </c>
      <c r="D1576" s="32" t="s">
        <v>12</v>
      </c>
      <c r="E1576" s="33">
        <v>8.6999999999999994E-2</v>
      </c>
      <c r="F1576" s="27">
        <v>25.146499999999996</v>
      </c>
      <c r="G1576" s="30">
        <f t="shared" si="25"/>
        <v>2.1877454999999997</v>
      </c>
      <c r="H1576" s="31"/>
      <c r="I1576" s="27"/>
      <c r="J1576" s="141">
        <v>0</v>
      </c>
    </row>
    <row r="1577" spans="1:10" ht="15.75" hidden="1" thickBot="1" x14ac:dyDescent="0.3">
      <c r="A1577" s="227"/>
      <c r="B1577" s="230"/>
      <c r="C1577" s="32"/>
      <c r="D1577" s="32"/>
      <c r="E1577" s="33"/>
      <c r="F1577" s="27" t="s">
        <v>523</v>
      </c>
      <c r="G1577" s="27" t="str">
        <f t="shared" si="25"/>
        <v/>
      </c>
      <c r="H1577" s="31"/>
      <c r="I1577" s="27"/>
      <c r="J1577" s="141">
        <v>0</v>
      </c>
    </row>
    <row r="1578" spans="1:10" ht="15.75" hidden="1" thickBot="1" x14ac:dyDescent="0.3">
      <c r="A1578" s="225" t="s">
        <v>494</v>
      </c>
      <c r="B1578" s="228" t="str">
        <f>INDEX(Orçamentária!A:B,MATCH(Composições!A1578,Orçamentária!A:A,0),2)</f>
        <v>Perfilado 38x38mm</v>
      </c>
      <c r="C1578" s="37"/>
      <c r="D1578" s="22" t="str">
        <f>TRIM(INDEX(Orçamentária!C:C,MATCH(Composições!A1578,Orçamentária!A:A,0),1))</f>
        <v>m</v>
      </c>
      <c r="E1578" s="23"/>
      <c r="F1578" s="38" t="s">
        <v>523</v>
      </c>
      <c r="G1578" s="24" t="str">
        <f t="shared" si="25"/>
        <v/>
      </c>
      <c r="H1578" s="25"/>
      <c r="I1578" s="26"/>
      <c r="J1578" s="141">
        <v>0</v>
      </c>
    </row>
    <row r="1579" spans="1:10" ht="15.75" hidden="1" thickBot="1" x14ac:dyDescent="0.3">
      <c r="A1579" s="226"/>
      <c r="B1579" s="244"/>
      <c r="C1579" s="28"/>
      <c r="D1579" s="28"/>
      <c r="E1579" s="29"/>
      <c r="F1579" s="39" t="s">
        <v>523</v>
      </c>
      <c r="G1579" s="27" t="str">
        <f t="shared" si="25"/>
        <v/>
      </c>
      <c r="H1579" s="31"/>
      <c r="I1579" s="27"/>
      <c r="J1579" s="141">
        <v>0</v>
      </c>
    </row>
    <row r="1580" spans="1:10" ht="15.75" hidden="1" thickBot="1" x14ac:dyDescent="0.3">
      <c r="A1580" s="226"/>
      <c r="B1580" s="244"/>
      <c r="C1580" s="32" t="s">
        <v>495</v>
      </c>
      <c r="D1580" s="32" t="s">
        <v>93</v>
      </c>
      <c r="E1580" s="33">
        <v>1.05</v>
      </c>
      <c r="F1580" s="30" t="s">
        <v>523</v>
      </c>
      <c r="G1580" s="30" t="str">
        <f t="shared" si="25"/>
        <v/>
      </c>
      <c r="H1580" s="35">
        <f>SUM(G1580:G1591)</f>
        <v>20.783489149999994</v>
      </c>
      <c r="I1580" s="36"/>
      <c r="J1580" s="141">
        <v>0</v>
      </c>
    </row>
    <row r="1581" spans="1:10" ht="15.75" hidden="1" thickBot="1" x14ac:dyDescent="0.3">
      <c r="A1581" s="226"/>
      <c r="B1581" s="244"/>
      <c r="C1581" s="32" t="s">
        <v>74</v>
      </c>
      <c r="D1581" s="32" t="s">
        <v>12</v>
      </c>
      <c r="E1581" s="33">
        <v>0.45</v>
      </c>
      <c r="F1581" s="27">
        <v>19.4085</v>
      </c>
      <c r="G1581" s="30">
        <f t="shared" si="25"/>
        <v>8.7338249999999995</v>
      </c>
      <c r="H1581" s="31"/>
      <c r="I1581" s="27"/>
      <c r="J1581" s="141">
        <v>0</v>
      </c>
    </row>
    <row r="1582" spans="1:10" ht="15.75" hidden="1" thickBot="1" x14ac:dyDescent="0.3">
      <c r="A1582" s="226"/>
      <c r="B1582" s="244"/>
      <c r="C1582" s="32" t="s">
        <v>30</v>
      </c>
      <c r="D1582" s="32" t="s">
        <v>12</v>
      </c>
      <c r="E1582" s="33">
        <v>0.45</v>
      </c>
      <c r="F1582" s="27">
        <v>25.146499999999996</v>
      </c>
      <c r="G1582" s="30">
        <f t="shared" si="25"/>
        <v>11.315924999999998</v>
      </c>
      <c r="H1582" s="31"/>
      <c r="I1582" s="27"/>
      <c r="J1582" s="141">
        <v>0</v>
      </c>
    </row>
    <row r="1583" spans="1:10" ht="26.25" hidden="1" thickBot="1" x14ac:dyDescent="0.3">
      <c r="A1583" s="226"/>
      <c r="B1583" s="244"/>
      <c r="C1583" s="32" t="s">
        <v>434</v>
      </c>
      <c r="D1583" s="32" t="s">
        <v>144</v>
      </c>
      <c r="E1583" s="33">
        <v>0.67</v>
      </c>
      <c r="F1583" s="27">
        <v>0</v>
      </c>
      <c r="G1583" s="30">
        <f t="shared" si="25"/>
        <v>0</v>
      </c>
      <c r="H1583" s="31"/>
      <c r="I1583" s="27"/>
      <c r="J1583" s="141">
        <v>0</v>
      </c>
    </row>
    <row r="1584" spans="1:10" ht="15.75" hidden="1" thickBot="1" x14ac:dyDescent="0.3">
      <c r="A1584" s="226"/>
      <c r="B1584" s="244"/>
      <c r="C1584" s="32" t="s">
        <v>496</v>
      </c>
      <c r="D1584" s="32" t="s">
        <v>144</v>
      </c>
      <c r="E1584" s="33">
        <v>0.67</v>
      </c>
      <c r="F1584" s="27">
        <v>0</v>
      </c>
      <c r="G1584" s="30">
        <f t="shared" si="25"/>
        <v>0</v>
      </c>
      <c r="H1584" s="31"/>
      <c r="I1584" s="27"/>
      <c r="J1584" s="141">
        <v>0</v>
      </c>
    </row>
    <row r="1585" spans="1:10" ht="15.75" hidden="1" thickBot="1" x14ac:dyDescent="0.3">
      <c r="A1585" s="226"/>
      <c r="B1585" s="244"/>
      <c r="C1585" s="32" t="s">
        <v>436</v>
      </c>
      <c r="D1585" s="32" t="s">
        <v>93</v>
      </c>
      <c r="E1585" s="33">
        <v>0.8</v>
      </c>
      <c r="F1585" s="27">
        <v>0</v>
      </c>
      <c r="G1585" s="30">
        <f t="shared" si="25"/>
        <v>0</v>
      </c>
      <c r="H1585" s="31"/>
      <c r="I1585" s="27"/>
      <c r="J1585" s="141">
        <v>0</v>
      </c>
    </row>
    <row r="1586" spans="1:10" ht="15.75" hidden="1" thickBot="1" x14ac:dyDescent="0.3">
      <c r="A1586" s="226"/>
      <c r="B1586" s="244"/>
      <c r="C1586" s="32" t="s">
        <v>437</v>
      </c>
      <c r="D1586" s="32" t="s">
        <v>280</v>
      </c>
      <c r="E1586" s="33">
        <v>2.6633</v>
      </c>
      <c r="F1586" s="30">
        <v>0.27549999999999997</v>
      </c>
      <c r="G1586" s="30">
        <f t="shared" si="25"/>
        <v>0.7337391499999999</v>
      </c>
      <c r="H1586" s="31"/>
      <c r="I1586" s="27"/>
      <c r="J1586" s="141">
        <v>0</v>
      </c>
    </row>
    <row r="1587" spans="1:10" ht="15.75" hidden="1" thickBot="1" x14ac:dyDescent="0.3">
      <c r="A1587" s="226"/>
      <c r="B1587" s="244"/>
      <c r="C1587" s="32" t="s">
        <v>438</v>
      </c>
      <c r="D1587" s="32" t="s">
        <v>144</v>
      </c>
      <c r="E1587" s="33">
        <v>2.6633</v>
      </c>
      <c r="F1587" s="27">
        <v>0</v>
      </c>
      <c r="G1587" s="30">
        <f t="shared" si="25"/>
        <v>0</v>
      </c>
      <c r="H1587" s="31"/>
      <c r="I1587" s="27"/>
      <c r="J1587" s="141">
        <v>0</v>
      </c>
    </row>
    <row r="1588" spans="1:10" ht="15.75" hidden="1" thickBot="1" x14ac:dyDescent="0.3">
      <c r="A1588" s="226"/>
      <c r="B1588" s="244"/>
      <c r="C1588" s="32" t="s">
        <v>440</v>
      </c>
      <c r="D1588" s="32" t="s">
        <v>144</v>
      </c>
      <c r="E1588" s="33">
        <v>0.67</v>
      </c>
      <c r="F1588" s="27">
        <v>0</v>
      </c>
      <c r="G1588" s="30">
        <f t="shared" si="25"/>
        <v>0</v>
      </c>
      <c r="H1588" s="31"/>
      <c r="I1588" s="27"/>
      <c r="J1588" s="141">
        <v>0</v>
      </c>
    </row>
    <row r="1589" spans="1:10" ht="15.75" hidden="1" thickBot="1" x14ac:dyDescent="0.3">
      <c r="A1589" s="226"/>
      <c r="B1589" s="244"/>
      <c r="C1589" s="32" t="s">
        <v>441</v>
      </c>
      <c r="D1589" s="32" t="s">
        <v>20</v>
      </c>
      <c r="E1589" s="33">
        <v>1.33</v>
      </c>
      <c r="F1589" s="27">
        <v>0</v>
      </c>
      <c r="G1589" s="30">
        <f t="shared" si="25"/>
        <v>0</v>
      </c>
      <c r="H1589" s="31"/>
      <c r="I1589" s="27"/>
      <c r="J1589" s="141">
        <v>0</v>
      </c>
    </row>
    <row r="1590" spans="1:10" ht="15.75" hidden="1" thickBot="1" x14ac:dyDescent="0.3">
      <c r="A1590" s="226"/>
      <c r="B1590" s="244"/>
      <c r="C1590" s="32" t="s">
        <v>497</v>
      </c>
      <c r="D1590" s="32" t="s">
        <v>144</v>
      </c>
      <c r="E1590" s="33">
        <v>0.33329999999999999</v>
      </c>
      <c r="F1590" s="27">
        <v>0</v>
      </c>
      <c r="G1590" s="30">
        <f t="shared" si="25"/>
        <v>0</v>
      </c>
      <c r="H1590" s="31"/>
      <c r="I1590" s="27"/>
      <c r="J1590" s="141">
        <v>0</v>
      </c>
    </row>
    <row r="1591" spans="1:10" ht="15.75" hidden="1" thickBot="1" x14ac:dyDescent="0.3">
      <c r="A1591" s="226"/>
      <c r="B1591" s="244"/>
      <c r="C1591" s="32" t="s">
        <v>498</v>
      </c>
      <c r="D1591" s="32" t="s">
        <v>93</v>
      </c>
      <c r="E1591" s="33">
        <v>1.05</v>
      </c>
      <c r="F1591" s="27">
        <v>0</v>
      </c>
      <c r="G1591" s="30">
        <f t="shared" si="25"/>
        <v>0</v>
      </c>
      <c r="H1591" s="31"/>
      <c r="I1591" s="27"/>
      <c r="J1591" s="141">
        <v>0</v>
      </c>
    </row>
    <row r="1592" spans="1:10" ht="15.75" hidden="1" thickBot="1" x14ac:dyDescent="0.3">
      <c r="A1592" s="227"/>
      <c r="B1592" s="230"/>
      <c r="C1592" s="32"/>
      <c r="D1592" s="32"/>
      <c r="E1592" s="33"/>
      <c r="F1592" s="27" t="s">
        <v>523</v>
      </c>
      <c r="G1592" s="27" t="str">
        <f t="shared" si="25"/>
        <v/>
      </c>
      <c r="H1592" s="31"/>
      <c r="I1592" s="27"/>
      <c r="J1592" s="141">
        <v>0</v>
      </c>
    </row>
    <row r="1593" spans="1:10" ht="15.75" hidden="1" thickBot="1" x14ac:dyDescent="0.3">
      <c r="A1593" s="225" t="s">
        <v>499</v>
      </c>
      <c r="B1593" s="228" t="str">
        <f>INDEX(Orçamentária!A:B,MATCH(Composições!A1593,Orçamentária!A:A,0),2)</f>
        <v>Espelho 4x2</v>
      </c>
      <c r="C1593" s="37"/>
      <c r="D1593" s="22" t="str">
        <f>TRIM(INDEX(Orçamentária!C:C,MATCH(Composições!A1593,Orçamentária!A:A,0),1))</f>
        <v>un</v>
      </c>
      <c r="E1593" s="23"/>
      <c r="F1593" s="38" t="s">
        <v>523</v>
      </c>
      <c r="G1593" s="24" t="str">
        <f t="shared" si="25"/>
        <v/>
      </c>
      <c r="H1593" s="25"/>
      <c r="I1593" s="26"/>
      <c r="J1593" s="141">
        <v>0</v>
      </c>
    </row>
    <row r="1594" spans="1:10" ht="15.75" hidden="1" thickBot="1" x14ac:dyDescent="0.3">
      <c r="A1594" s="226"/>
      <c r="B1594" s="244"/>
      <c r="C1594" s="28"/>
      <c r="D1594" s="28"/>
      <c r="E1594" s="29"/>
      <c r="F1594" s="39" t="s">
        <v>523</v>
      </c>
      <c r="G1594" s="27" t="str">
        <f t="shared" si="25"/>
        <v/>
      </c>
      <c r="H1594" s="31"/>
      <c r="I1594" s="27"/>
      <c r="J1594" s="141">
        <v>0</v>
      </c>
    </row>
    <row r="1595" spans="1:10" ht="26.25" hidden="1" thickBot="1" x14ac:dyDescent="0.3">
      <c r="A1595" s="226"/>
      <c r="B1595" s="244"/>
      <c r="C1595" s="32" t="s">
        <v>500</v>
      </c>
      <c r="D1595" s="32" t="s">
        <v>20</v>
      </c>
      <c r="E1595" s="33">
        <v>1</v>
      </c>
      <c r="F1595" s="30">
        <v>3.5814999999999997</v>
      </c>
      <c r="G1595" s="30">
        <f t="shared" si="25"/>
        <v>3.5814999999999997</v>
      </c>
      <c r="H1595" s="35">
        <f>SUM(G1595:G1597)</f>
        <v>7.6563919999999985</v>
      </c>
      <c r="I1595" s="36"/>
      <c r="J1595" s="141">
        <v>0</v>
      </c>
    </row>
    <row r="1596" spans="1:10" ht="26.25" hidden="1" thickBot="1" x14ac:dyDescent="0.3">
      <c r="A1596" s="226"/>
      <c r="B1596" s="244"/>
      <c r="C1596" s="32" t="s">
        <v>501</v>
      </c>
      <c r="D1596" s="32" t="s">
        <v>20</v>
      </c>
      <c r="E1596" s="33">
        <v>1</v>
      </c>
      <c r="F1596" s="30">
        <v>1.8619999999999999</v>
      </c>
      <c r="G1596" s="30">
        <f t="shared" si="25"/>
        <v>1.8619999999999999</v>
      </c>
      <c r="H1596" s="31"/>
      <c r="I1596" s="27"/>
      <c r="J1596" s="141">
        <v>0</v>
      </c>
    </row>
    <row r="1597" spans="1:10" ht="15.75" hidden="1" thickBot="1" x14ac:dyDescent="0.3">
      <c r="A1597" s="226"/>
      <c r="B1597" s="244"/>
      <c r="C1597" s="32" t="s">
        <v>30</v>
      </c>
      <c r="D1597" s="32" t="s">
        <v>12</v>
      </c>
      <c r="E1597" s="33">
        <v>8.7999999999999995E-2</v>
      </c>
      <c r="F1597" s="27">
        <v>25.146499999999996</v>
      </c>
      <c r="G1597" s="30">
        <f t="shared" si="25"/>
        <v>2.2128919999999996</v>
      </c>
      <c r="H1597" s="31"/>
      <c r="I1597" s="27"/>
      <c r="J1597" s="141">
        <v>0</v>
      </c>
    </row>
    <row r="1598" spans="1:10" ht="15.75" hidden="1" thickBot="1" x14ac:dyDescent="0.3">
      <c r="A1598" s="227"/>
      <c r="B1598" s="230"/>
      <c r="C1598" s="32"/>
      <c r="D1598" s="32"/>
      <c r="E1598" s="33"/>
      <c r="F1598" s="27" t="s">
        <v>523</v>
      </c>
      <c r="G1598" s="27" t="str">
        <f t="shared" si="25"/>
        <v/>
      </c>
      <c r="H1598" s="31"/>
      <c r="I1598" s="27"/>
      <c r="J1598" s="141">
        <v>0</v>
      </c>
    </row>
    <row r="1599" spans="1:10" ht="15.75" hidden="1" thickBot="1" x14ac:dyDescent="0.3">
      <c r="A1599" s="225" t="s">
        <v>502</v>
      </c>
      <c r="B1599" s="228" t="str">
        <f>INDEX(Orçamentária!A:B,MATCH(Composições!A1599,Orçamentária!A:A,0),2)</f>
        <v>Espelho 4x4</v>
      </c>
      <c r="C1599" s="37"/>
      <c r="D1599" s="22" t="str">
        <f>TRIM(INDEX(Orçamentária!C:C,MATCH(Composições!A1599,Orçamentária!A:A,0),1))</f>
        <v>un</v>
      </c>
      <c r="E1599" s="23"/>
      <c r="F1599" s="38" t="s">
        <v>523</v>
      </c>
      <c r="G1599" s="24" t="str">
        <f t="shared" si="25"/>
        <v/>
      </c>
      <c r="H1599" s="25"/>
      <c r="I1599" s="26"/>
      <c r="J1599" s="141">
        <v>0</v>
      </c>
    </row>
    <row r="1600" spans="1:10" ht="15.75" hidden="1" thickBot="1" x14ac:dyDescent="0.3">
      <c r="A1600" s="226"/>
      <c r="B1600" s="244"/>
      <c r="C1600" s="28"/>
      <c r="D1600" s="28"/>
      <c r="E1600" s="29"/>
      <c r="F1600" s="39" t="s">
        <v>523</v>
      </c>
      <c r="G1600" s="27" t="str">
        <f t="shared" si="25"/>
        <v/>
      </c>
      <c r="H1600" s="31"/>
      <c r="I1600" s="27"/>
      <c r="J1600" s="141">
        <v>0</v>
      </c>
    </row>
    <row r="1601" spans="1:10" ht="26.25" hidden="1" thickBot="1" x14ac:dyDescent="0.3">
      <c r="A1601" s="226"/>
      <c r="B1601" s="244"/>
      <c r="C1601" s="32" t="s">
        <v>503</v>
      </c>
      <c r="D1601" s="32" t="s">
        <v>20</v>
      </c>
      <c r="E1601" s="33">
        <v>1</v>
      </c>
      <c r="F1601" s="30">
        <v>7.2770000000000001</v>
      </c>
      <c r="G1601" s="27">
        <f t="shared" si="25"/>
        <v>7.2770000000000001</v>
      </c>
      <c r="H1601" s="35">
        <f>SUM(G1601:G1603)</f>
        <v>12.932236</v>
      </c>
      <c r="I1601" s="36"/>
      <c r="J1601" s="141">
        <v>0</v>
      </c>
    </row>
    <row r="1602" spans="1:10" ht="26.25" hidden="1" thickBot="1" x14ac:dyDescent="0.3">
      <c r="A1602" s="226"/>
      <c r="B1602" s="244"/>
      <c r="C1602" s="32" t="s">
        <v>504</v>
      </c>
      <c r="D1602" s="43" t="s">
        <v>20</v>
      </c>
      <c r="E1602" s="33">
        <v>1</v>
      </c>
      <c r="F1602" s="30">
        <v>3.04</v>
      </c>
      <c r="G1602" s="30">
        <f t="shared" si="25"/>
        <v>3.04</v>
      </c>
      <c r="H1602" s="31"/>
      <c r="I1602" s="27"/>
      <c r="J1602" s="141">
        <v>0</v>
      </c>
    </row>
    <row r="1603" spans="1:10" ht="15.75" hidden="1" thickBot="1" x14ac:dyDescent="0.3">
      <c r="A1603" s="226"/>
      <c r="B1603" s="244"/>
      <c r="C1603" s="32" t="s">
        <v>30</v>
      </c>
      <c r="D1603" s="32" t="s">
        <v>12</v>
      </c>
      <c r="E1603" s="33">
        <v>0.104</v>
      </c>
      <c r="F1603" s="27">
        <v>25.146499999999996</v>
      </c>
      <c r="G1603" s="30">
        <f t="shared" si="25"/>
        <v>2.6152359999999994</v>
      </c>
      <c r="H1603" s="31"/>
      <c r="I1603" s="27"/>
      <c r="J1603" s="141">
        <v>0</v>
      </c>
    </row>
    <row r="1604" spans="1:10" ht="15.75" hidden="1" thickBot="1" x14ac:dyDescent="0.3">
      <c r="A1604" s="227"/>
      <c r="B1604" s="230"/>
      <c r="C1604" s="32"/>
      <c r="D1604" s="32"/>
      <c r="E1604" s="33"/>
      <c r="F1604" s="27" t="s">
        <v>523</v>
      </c>
      <c r="G1604" s="27" t="str">
        <f t="shared" si="25"/>
        <v/>
      </c>
      <c r="H1604" s="31"/>
      <c r="I1604" s="27"/>
      <c r="J1604" s="141">
        <v>0</v>
      </c>
    </row>
    <row r="1605" spans="1:10" ht="15.75" hidden="1" thickBot="1" x14ac:dyDescent="0.3">
      <c r="A1605" s="225" t="s">
        <v>505</v>
      </c>
      <c r="B1605" s="228" t="str">
        <f>INDEX(Orçamentária!A:B,MATCH(Composições!A1605,Orçamentária!A:A,0),2)</f>
        <v>Espelho cego redondo</v>
      </c>
      <c r="C1605" s="37"/>
      <c r="D1605" s="22" t="str">
        <f>TRIM(INDEX(Orçamentária!C:C,MATCH(Composições!A1605,Orçamentária!A:A,0),1))</f>
        <v>un</v>
      </c>
      <c r="E1605" s="23"/>
      <c r="F1605" s="38" t="s">
        <v>523</v>
      </c>
      <c r="G1605" s="24" t="str">
        <f t="shared" si="25"/>
        <v/>
      </c>
      <c r="H1605" s="25"/>
      <c r="I1605" s="26"/>
      <c r="J1605" s="141">
        <v>0</v>
      </c>
    </row>
    <row r="1606" spans="1:10" ht="15.75" hidden="1" thickBot="1" x14ac:dyDescent="0.3">
      <c r="A1606" s="226"/>
      <c r="B1606" s="244"/>
      <c r="C1606" s="28"/>
      <c r="D1606" s="28"/>
      <c r="E1606" s="29"/>
      <c r="F1606" s="39" t="s">
        <v>523</v>
      </c>
      <c r="G1606" s="27" t="str">
        <f t="shared" si="25"/>
        <v/>
      </c>
      <c r="H1606" s="31"/>
      <c r="I1606" s="27"/>
      <c r="J1606" s="141">
        <v>0</v>
      </c>
    </row>
    <row r="1607" spans="1:10" ht="15.75" hidden="1" thickBot="1" x14ac:dyDescent="0.3">
      <c r="A1607" s="226"/>
      <c r="B1607" s="244"/>
      <c r="C1607" s="32" t="s">
        <v>506</v>
      </c>
      <c r="D1607" s="32" t="s">
        <v>20</v>
      </c>
      <c r="E1607" s="33">
        <v>1</v>
      </c>
      <c r="F1607" s="30" t="s">
        <v>523</v>
      </c>
      <c r="G1607" s="27" t="str">
        <f t="shared" si="25"/>
        <v/>
      </c>
      <c r="H1607" s="35">
        <f>SUM(G1607:G1609)</f>
        <v>5.6552359999999995</v>
      </c>
      <c r="I1607" s="36"/>
      <c r="J1607" s="141">
        <v>0</v>
      </c>
    </row>
    <row r="1608" spans="1:10" ht="26.25" hidden="1" thickBot="1" x14ac:dyDescent="0.3">
      <c r="A1608" s="226"/>
      <c r="B1608" s="244"/>
      <c r="C1608" s="32" t="s">
        <v>504</v>
      </c>
      <c r="D1608" s="43" t="s">
        <v>20</v>
      </c>
      <c r="E1608" s="33">
        <v>1</v>
      </c>
      <c r="F1608" s="30">
        <v>3.04</v>
      </c>
      <c r="G1608" s="30">
        <f t="shared" si="25"/>
        <v>3.04</v>
      </c>
      <c r="H1608" s="31"/>
      <c r="I1608" s="27"/>
      <c r="J1608" s="141">
        <v>0</v>
      </c>
    </row>
    <row r="1609" spans="1:10" ht="15.75" hidden="1" thickBot="1" x14ac:dyDescent="0.3">
      <c r="A1609" s="226"/>
      <c r="B1609" s="244"/>
      <c r="C1609" s="32" t="s">
        <v>30</v>
      </c>
      <c r="D1609" s="32" t="s">
        <v>12</v>
      </c>
      <c r="E1609" s="33">
        <v>0.104</v>
      </c>
      <c r="F1609" s="27">
        <v>25.146499999999996</v>
      </c>
      <c r="G1609" s="30">
        <f t="shared" si="25"/>
        <v>2.6152359999999994</v>
      </c>
      <c r="H1609" s="31"/>
      <c r="I1609" s="27"/>
      <c r="J1609" s="141">
        <v>0</v>
      </c>
    </row>
    <row r="1610" spans="1:10" ht="15.75" hidden="1" thickBot="1" x14ac:dyDescent="0.3">
      <c r="A1610" s="227"/>
      <c r="B1610" s="230"/>
      <c r="C1610" s="32"/>
      <c r="D1610" s="32"/>
      <c r="E1610" s="33"/>
      <c r="F1610" s="27" t="s">
        <v>523</v>
      </c>
      <c r="G1610" s="27" t="str">
        <f t="shared" si="25"/>
        <v/>
      </c>
      <c r="H1610" s="31"/>
      <c r="I1610" s="27"/>
      <c r="J1610" s="141">
        <v>0</v>
      </c>
    </row>
    <row r="1611" spans="1:10" ht="15.75" thickBot="1" x14ac:dyDescent="0.3">
      <c r="A1611" s="225" t="s">
        <v>507</v>
      </c>
      <c r="B1611" s="228" t="str">
        <f>INDEX(Orçamentária!A:B,MATCH(Composições!A1611,Orçamentária!A:A,0),2)</f>
        <v>Interruptor para condulete</v>
      </c>
      <c r="C1611" s="37"/>
      <c r="D1611" s="22" t="str">
        <f>TRIM(INDEX(Orçamentária!C:C,MATCH(Composições!A1611,Orçamentária!A:A,0),1))</f>
        <v>un</v>
      </c>
      <c r="E1611" s="23"/>
      <c r="F1611" s="38" t="s">
        <v>523</v>
      </c>
      <c r="G1611" s="24" t="str">
        <f t="shared" si="25"/>
        <v/>
      </c>
      <c r="H1611" s="25"/>
      <c r="I1611" s="26"/>
      <c r="J1611" s="141">
        <v>67</v>
      </c>
    </row>
    <row r="1612" spans="1:10" x14ac:dyDescent="0.25">
      <c r="A1612" s="226"/>
      <c r="B1612" s="244"/>
      <c r="C1612" s="28"/>
      <c r="D1612" s="28"/>
      <c r="E1612" s="29"/>
      <c r="F1612" s="39" t="s">
        <v>523</v>
      </c>
      <c r="G1612" s="27" t="str">
        <f t="shared" si="25"/>
        <v/>
      </c>
      <c r="H1612" s="31"/>
      <c r="I1612" s="27"/>
      <c r="J1612" s="141">
        <v>67</v>
      </c>
    </row>
    <row r="1613" spans="1:10" x14ac:dyDescent="0.25">
      <c r="A1613" s="226"/>
      <c r="B1613" s="244"/>
      <c r="C1613" s="32" t="s">
        <v>30</v>
      </c>
      <c r="D1613" s="32" t="s">
        <v>12</v>
      </c>
      <c r="E1613" s="33">
        <f>0.3/2</f>
        <v>0.15</v>
      </c>
      <c r="F1613" s="27">
        <v>25.146499999999996</v>
      </c>
      <c r="G1613" s="30">
        <f t="shared" si="25"/>
        <v>3.7719749999999994</v>
      </c>
      <c r="H1613" s="35">
        <f>SUM(G1613:G1616)</f>
        <v>26.923249999999999</v>
      </c>
      <c r="I1613" s="36"/>
      <c r="J1613" s="141">
        <v>67</v>
      </c>
    </row>
    <row r="1614" spans="1:10" x14ac:dyDescent="0.25">
      <c r="A1614" s="226"/>
      <c r="B1614" s="244"/>
      <c r="C1614" s="32" t="s">
        <v>74</v>
      </c>
      <c r="D1614" s="32" t="s">
        <v>12</v>
      </c>
      <c r="E1614" s="33">
        <f>0.3/2</f>
        <v>0.15</v>
      </c>
      <c r="F1614" s="27">
        <v>19.4085</v>
      </c>
      <c r="G1614" s="30">
        <f t="shared" si="25"/>
        <v>2.9112749999999998</v>
      </c>
      <c r="H1614" s="31"/>
      <c r="I1614" s="27"/>
      <c r="J1614" s="141">
        <v>67</v>
      </c>
    </row>
    <row r="1615" spans="1:10" ht="25.5" x14ac:dyDescent="0.25">
      <c r="A1615" s="226"/>
      <c r="B1615" s="244"/>
      <c r="C1615" s="32" t="s">
        <v>508</v>
      </c>
      <c r="D1615" s="32" t="s">
        <v>20</v>
      </c>
      <c r="E1615" s="33">
        <v>1</v>
      </c>
      <c r="F1615" s="30">
        <v>5.65</v>
      </c>
      <c r="G1615" s="30">
        <f t="shared" si="25"/>
        <v>5.65</v>
      </c>
      <c r="H1615" s="31"/>
      <c r="I1615" s="27"/>
      <c r="J1615" s="141">
        <v>67</v>
      </c>
    </row>
    <row r="1616" spans="1:10" ht="25.5" x14ac:dyDescent="0.25">
      <c r="A1616" s="226"/>
      <c r="B1616" s="244"/>
      <c r="C1616" s="32" t="s">
        <v>509</v>
      </c>
      <c r="D1616" s="32" t="s">
        <v>20</v>
      </c>
      <c r="E1616" s="33">
        <v>1</v>
      </c>
      <c r="F1616" s="30">
        <v>14.59</v>
      </c>
      <c r="G1616" s="27">
        <f t="shared" si="25"/>
        <v>14.59</v>
      </c>
      <c r="H1616" s="31"/>
      <c r="I1616" s="27"/>
      <c r="J1616" s="141">
        <v>67</v>
      </c>
    </row>
    <row r="1617" spans="1:10" ht="15.75" thickBot="1" x14ac:dyDescent="0.3">
      <c r="A1617" s="227"/>
      <c r="B1617" s="230"/>
      <c r="C1617" s="32"/>
      <c r="D1617" s="32"/>
      <c r="E1617" s="33"/>
      <c r="F1617" s="27" t="s">
        <v>523</v>
      </c>
      <c r="G1617" s="27" t="str">
        <f t="shared" si="25"/>
        <v/>
      </c>
      <c r="H1617" s="31"/>
      <c r="I1617" s="27"/>
      <c r="J1617" s="141">
        <v>67</v>
      </c>
    </row>
    <row r="1618" spans="1:10" ht="15.75" hidden="1" thickBot="1" x14ac:dyDescent="0.3">
      <c r="A1618" s="225" t="s">
        <v>510</v>
      </c>
      <c r="B1618" s="228" t="str">
        <f>INDEX(Orçamentária!A:B,MATCH(Composições!A1618,Orçamentária!A:A,0),2)</f>
        <v>Módulo cego</v>
      </c>
      <c r="C1618" s="37"/>
      <c r="D1618" s="22" t="str">
        <f>TRIM(INDEX(Orçamentária!C:C,MATCH(Composições!A1618,Orçamentária!A:A,0),1))</f>
        <v>un</v>
      </c>
      <c r="E1618" s="23"/>
      <c r="F1618" s="38" t="s">
        <v>523</v>
      </c>
      <c r="G1618" s="24" t="str">
        <f t="shared" ref="G1618:G1681" si="26">IF(ISNUMBER(F1618),E1618*F1618,"")</f>
        <v/>
      </c>
      <c r="H1618" s="25"/>
      <c r="I1618" s="26"/>
      <c r="J1618" s="141">
        <v>0</v>
      </c>
    </row>
    <row r="1619" spans="1:10" ht="15.75" hidden="1" thickBot="1" x14ac:dyDescent="0.3">
      <c r="A1619" s="226"/>
      <c r="B1619" s="244"/>
      <c r="C1619" s="28"/>
      <c r="D1619" s="28"/>
      <c r="E1619" s="29"/>
      <c r="F1619" s="39" t="s">
        <v>523</v>
      </c>
      <c r="G1619" s="27" t="str">
        <f t="shared" si="26"/>
        <v/>
      </c>
      <c r="H1619" s="31"/>
      <c r="I1619" s="27"/>
      <c r="J1619" s="141">
        <v>0</v>
      </c>
    </row>
    <row r="1620" spans="1:10" ht="15.75" hidden="1" thickBot="1" x14ac:dyDescent="0.3">
      <c r="A1620" s="226"/>
      <c r="B1620" s="244"/>
      <c r="C1620" s="32" t="s">
        <v>30</v>
      </c>
      <c r="D1620" s="32" t="s">
        <v>12</v>
      </c>
      <c r="E1620" s="33">
        <v>0.1</v>
      </c>
      <c r="F1620" s="27">
        <v>25.146499999999996</v>
      </c>
      <c r="G1620" s="30">
        <f t="shared" si="26"/>
        <v>2.5146499999999996</v>
      </c>
      <c r="H1620" s="35">
        <f>SUM(G1620:G1621)</f>
        <v>2.5146499999999996</v>
      </c>
      <c r="I1620" s="36"/>
      <c r="J1620" s="141">
        <v>0</v>
      </c>
    </row>
    <row r="1621" spans="1:10" ht="15.75" hidden="1" thickBot="1" x14ac:dyDescent="0.3">
      <c r="A1621" s="226"/>
      <c r="B1621" s="244"/>
      <c r="C1621" s="32" t="s">
        <v>511</v>
      </c>
      <c r="D1621" s="32" t="s">
        <v>20</v>
      </c>
      <c r="E1621" s="33">
        <v>1</v>
      </c>
      <c r="F1621" s="30" t="s">
        <v>523</v>
      </c>
      <c r="G1621" s="27" t="str">
        <f t="shared" si="26"/>
        <v/>
      </c>
      <c r="H1621" s="31"/>
      <c r="I1621" s="27"/>
      <c r="J1621" s="141">
        <v>0</v>
      </c>
    </row>
    <row r="1622" spans="1:10" ht="15.75" hidden="1" thickBot="1" x14ac:dyDescent="0.3">
      <c r="A1622" s="227"/>
      <c r="B1622" s="230"/>
      <c r="C1622" s="32"/>
      <c r="D1622" s="32"/>
      <c r="E1622" s="33"/>
      <c r="F1622" s="27" t="s">
        <v>523</v>
      </c>
      <c r="G1622" s="27" t="str">
        <f t="shared" si="26"/>
        <v/>
      </c>
      <c r="H1622" s="31"/>
      <c r="I1622" s="27"/>
      <c r="J1622" s="141">
        <v>0</v>
      </c>
    </row>
    <row r="1623" spans="1:10" ht="15.75" hidden="1" thickBot="1" x14ac:dyDescent="0.3">
      <c r="A1623" s="225" t="s">
        <v>512</v>
      </c>
      <c r="B1623" s="228" t="str">
        <f>INDEX(Orçamentária!A:B,MATCH(Composições!A1623,Orçamentária!A:A,0),2)</f>
        <v>Módulo interruptor paralelo</v>
      </c>
      <c r="C1623" s="37"/>
      <c r="D1623" s="22" t="str">
        <f>TRIM(INDEX(Orçamentária!C:C,MATCH(Composições!A1623,Orçamentária!A:A,0),1))</f>
        <v>un</v>
      </c>
      <c r="E1623" s="23"/>
      <c r="F1623" s="38" t="s">
        <v>523</v>
      </c>
      <c r="G1623" s="24" t="str">
        <f t="shared" si="26"/>
        <v/>
      </c>
      <c r="H1623" s="25"/>
      <c r="I1623" s="26"/>
      <c r="J1623" s="141">
        <v>0</v>
      </c>
    </row>
    <row r="1624" spans="1:10" ht="15.75" hidden="1" thickBot="1" x14ac:dyDescent="0.3">
      <c r="A1624" s="226"/>
      <c r="B1624" s="244"/>
      <c r="C1624" s="28"/>
      <c r="D1624" s="28"/>
      <c r="E1624" s="29"/>
      <c r="F1624" s="39" t="s">
        <v>523</v>
      </c>
      <c r="G1624" s="27" t="str">
        <f t="shared" si="26"/>
        <v/>
      </c>
      <c r="H1624" s="31"/>
      <c r="I1624" s="27"/>
      <c r="J1624" s="141">
        <v>0</v>
      </c>
    </row>
    <row r="1625" spans="1:10" ht="15.75" hidden="1" thickBot="1" x14ac:dyDescent="0.3">
      <c r="A1625" s="226"/>
      <c r="B1625" s="244"/>
      <c r="C1625" s="32" t="s">
        <v>513</v>
      </c>
      <c r="D1625" s="32" t="s">
        <v>20</v>
      </c>
      <c r="E1625" s="33">
        <v>1</v>
      </c>
      <c r="F1625" s="30">
        <v>11.010499999999999</v>
      </c>
      <c r="G1625" s="27">
        <f t="shared" si="26"/>
        <v>11.010499999999999</v>
      </c>
      <c r="H1625" s="35">
        <f>SUM(G1625:G1627)</f>
        <v>24.733439999999998</v>
      </c>
      <c r="I1625" s="36"/>
      <c r="J1625" s="141">
        <v>0</v>
      </c>
    </row>
    <row r="1626" spans="1:10" ht="15.75" hidden="1" thickBot="1" x14ac:dyDescent="0.3">
      <c r="A1626" s="226"/>
      <c r="B1626" s="244"/>
      <c r="C1626" s="32" t="s">
        <v>74</v>
      </c>
      <c r="D1626" s="32" t="s">
        <v>12</v>
      </c>
      <c r="E1626" s="33">
        <v>0.308</v>
      </c>
      <c r="F1626" s="27">
        <v>19.4085</v>
      </c>
      <c r="G1626" s="30">
        <f t="shared" si="26"/>
        <v>5.9778180000000001</v>
      </c>
      <c r="H1626" s="31"/>
      <c r="I1626" s="27"/>
      <c r="J1626" s="141">
        <v>0</v>
      </c>
    </row>
    <row r="1627" spans="1:10" ht="15.75" hidden="1" thickBot="1" x14ac:dyDescent="0.3">
      <c r="A1627" s="226"/>
      <c r="B1627" s="244"/>
      <c r="C1627" s="32" t="s">
        <v>30</v>
      </c>
      <c r="D1627" s="32" t="s">
        <v>12</v>
      </c>
      <c r="E1627" s="33">
        <v>0.308</v>
      </c>
      <c r="F1627" s="27">
        <v>25.146499999999996</v>
      </c>
      <c r="G1627" s="30">
        <f t="shared" si="26"/>
        <v>7.7451219999999985</v>
      </c>
      <c r="H1627" s="31"/>
      <c r="I1627" s="27"/>
      <c r="J1627" s="141">
        <v>0</v>
      </c>
    </row>
    <row r="1628" spans="1:10" ht="15.75" hidden="1" thickBot="1" x14ac:dyDescent="0.3">
      <c r="A1628" s="227"/>
      <c r="B1628" s="230"/>
      <c r="C1628" s="32"/>
      <c r="D1628" s="32"/>
      <c r="E1628" s="33"/>
      <c r="F1628" s="27" t="s">
        <v>523</v>
      </c>
      <c r="G1628" s="27" t="str">
        <f t="shared" si="26"/>
        <v/>
      </c>
      <c r="H1628" s="31"/>
      <c r="I1628" s="27"/>
      <c r="J1628" s="141">
        <v>0</v>
      </c>
    </row>
    <row r="1629" spans="1:10" ht="15.75" hidden="1" thickBot="1" x14ac:dyDescent="0.3">
      <c r="A1629" s="225" t="s">
        <v>514</v>
      </c>
      <c r="B1629" s="228" t="str">
        <f>INDEX(Orçamentária!A:B,MATCH(Composições!A1629,Orçamentária!A:A,0),2)</f>
        <v>Módulo interruptor simples</v>
      </c>
      <c r="C1629" s="37"/>
      <c r="D1629" s="22" t="str">
        <f>TRIM(INDEX(Orçamentária!C:C,MATCH(Composições!A1629,Orçamentária!A:A,0),1))</f>
        <v>un</v>
      </c>
      <c r="E1629" s="23"/>
      <c r="F1629" s="38" t="s">
        <v>523</v>
      </c>
      <c r="G1629" s="24" t="str">
        <f t="shared" si="26"/>
        <v/>
      </c>
      <c r="H1629" s="25"/>
      <c r="I1629" s="26"/>
      <c r="J1629" s="141">
        <v>0</v>
      </c>
    </row>
    <row r="1630" spans="1:10" ht="15.75" hidden="1" thickBot="1" x14ac:dyDescent="0.3">
      <c r="A1630" s="226"/>
      <c r="B1630" s="244"/>
      <c r="C1630" s="28"/>
      <c r="D1630" s="28"/>
      <c r="E1630" s="29"/>
      <c r="F1630" s="39" t="s">
        <v>523</v>
      </c>
      <c r="G1630" s="27" t="str">
        <f t="shared" si="26"/>
        <v/>
      </c>
      <c r="H1630" s="31"/>
      <c r="I1630" s="27"/>
      <c r="J1630" s="141">
        <v>0</v>
      </c>
    </row>
    <row r="1631" spans="1:10" ht="15.75" hidden="1" thickBot="1" x14ac:dyDescent="0.3">
      <c r="A1631" s="226"/>
      <c r="B1631" s="244"/>
      <c r="C1631" s="32" t="s">
        <v>515</v>
      </c>
      <c r="D1631" s="32" t="s">
        <v>20</v>
      </c>
      <c r="E1631" s="33">
        <v>1</v>
      </c>
      <c r="F1631" s="30">
        <v>8.4550000000000001</v>
      </c>
      <c r="G1631" s="27">
        <f t="shared" si="26"/>
        <v>8.4550000000000001</v>
      </c>
      <c r="H1631" s="35">
        <f>SUM(G1631:G1633)</f>
        <v>18.479875</v>
      </c>
      <c r="I1631" s="36"/>
      <c r="J1631" s="141">
        <v>0</v>
      </c>
    </row>
    <row r="1632" spans="1:10" ht="15.75" hidden="1" thickBot="1" x14ac:dyDescent="0.3">
      <c r="A1632" s="226"/>
      <c r="B1632" s="244"/>
      <c r="C1632" s="32" t="s">
        <v>74</v>
      </c>
      <c r="D1632" s="32" t="s">
        <v>12</v>
      </c>
      <c r="E1632" s="33">
        <v>0.22500000000000001</v>
      </c>
      <c r="F1632" s="27">
        <v>19.4085</v>
      </c>
      <c r="G1632" s="30">
        <f t="shared" si="26"/>
        <v>4.3669124999999998</v>
      </c>
      <c r="H1632" s="31"/>
      <c r="I1632" s="27"/>
      <c r="J1632" s="141">
        <v>0</v>
      </c>
    </row>
    <row r="1633" spans="1:10" ht="15.75" hidden="1" thickBot="1" x14ac:dyDescent="0.3">
      <c r="A1633" s="226"/>
      <c r="B1633" s="244"/>
      <c r="C1633" s="32" t="s">
        <v>30</v>
      </c>
      <c r="D1633" s="32" t="s">
        <v>12</v>
      </c>
      <c r="E1633" s="33">
        <v>0.22500000000000001</v>
      </c>
      <c r="F1633" s="27">
        <v>25.146499999999996</v>
      </c>
      <c r="G1633" s="30">
        <f t="shared" si="26"/>
        <v>5.6579624999999991</v>
      </c>
      <c r="H1633" s="31"/>
      <c r="I1633" s="27"/>
      <c r="J1633" s="141">
        <v>0</v>
      </c>
    </row>
    <row r="1634" spans="1:10" ht="15.75" hidden="1" thickBot="1" x14ac:dyDescent="0.3">
      <c r="A1634" s="227"/>
      <c r="B1634" s="230"/>
      <c r="C1634" s="32"/>
      <c r="D1634" s="32"/>
      <c r="E1634" s="33"/>
      <c r="F1634" s="27" t="s">
        <v>523</v>
      </c>
      <c r="G1634" s="27" t="str">
        <f t="shared" si="26"/>
        <v/>
      </c>
      <c r="H1634" s="31"/>
      <c r="I1634" s="27"/>
      <c r="J1634" s="141">
        <v>0</v>
      </c>
    </row>
    <row r="1635" spans="1:10" ht="15.75" hidden="1" thickBot="1" x14ac:dyDescent="0.3">
      <c r="A1635" s="225" t="s">
        <v>516</v>
      </c>
      <c r="B1635" s="228" t="str">
        <f>INDEX(Orçamentária!A:B,MATCH(Composições!A1635,Orçamentária!A:A,0),2)</f>
        <v>Módulo para saída de fio</v>
      </c>
      <c r="C1635" s="37"/>
      <c r="D1635" s="22" t="str">
        <f>TRIM(INDEX(Orçamentária!C:C,MATCH(Composições!A1635,Orçamentária!A:A,0),1))</f>
        <v>un</v>
      </c>
      <c r="E1635" s="23"/>
      <c r="F1635" s="38" t="s">
        <v>523</v>
      </c>
      <c r="G1635" s="24" t="str">
        <f t="shared" si="26"/>
        <v/>
      </c>
      <c r="H1635" s="25"/>
      <c r="I1635" s="26"/>
      <c r="J1635" s="141">
        <v>0</v>
      </c>
    </row>
    <row r="1636" spans="1:10" ht="15.75" hidden="1" thickBot="1" x14ac:dyDescent="0.3">
      <c r="A1636" s="226"/>
      <c r="B1636" s="244"/>
      <c r="C1636" s="28"/>
      <c r="D1636" s="28"/>
      <c r="E1636" s="29"/>
      <c r="F1636" s="39" t="s">
        <v>523</v>
      </c>
      <c r="G1636" s="27" t="str">
        <f t="shared" si="26"/>
        <v/>
      </c>
      <c r="H1636" s="31"/>
      <c r="I1636" s="27"/>
      <c r="J1636" s="141">
        <v>0</v>
      </c>
    </row>
    <row r="1637" spans="1:10" ht="15.75" hidden="1" thickBot="1" x14ac:dyDescent="0.3">
      <c r="A1637" s="226"/>
      <c r="B1637" s="244"/>
      <c r="C1637" s="32" t="s">
        <v>30</v>
      </c>
      <c r="D1637" s="32" t="s">
        <v>12</v>
      </c>
      <c r="E1637" s="33">
        <v>0.1</v>
      </c>
      <c r="F1637" s="27">
        <v>25.146499999999996</v>
      </c>
      <c r="G1637" s="30">
        <f t="shared" si="26"/>
        <v>2.5146499999999996</v>
      </c>
      <c r="H1637" s="35">
        <f>SUM(G1637:G1638)</f>
        <v>2.5146499999999996</v>
      </c>
      <c r="I1637" s="36"/>
      <c r="J1637" s="141">
        <v>0</v>
      </c>
    </row>
    <row r="1638" spans="1:10" ht="15.75" hidden="1" thickBot="1" x14ac:dyDescent="0.3">
      <c r="A1638" s="226"/>
      <c r="B1638" s="244"/>
      <c r="C1638" s="32" t="s">
        <v>517</v>
      </c>
      <c r="D1638" s="32" t="s">
        <v>20</v>
      </c>
      <c r="E1638" s="33">
        <v>1</v>
      </c>
      <c r="F1638" s="30" t="s">
        <v>523</v>
      </c>
      <c r="G1638" s="27" t="str">
        <f t="shared" si="26"/>
        <v/>
      </c>
      <c r="H1638" s="31"/>
      <c r="I1638" s="27"/>
      <c r="J1638" s="141">
        <v>0</v>
      </c>
    </row>
    <row r="1639" spans="1:10" ht="15.75" hidden="1" thickBot="1" x14ac:dyDescent="0.3">
      <c r="A1639" s="227"/>
      <c r="B1639" s="230"/>
      <c r="C1639" s="32"/>
      <c r="D1639" s="32"/>
      <c r="E1639" s="33"/>
      <c r="F1639" s="27" t="s">
        <v>523</v>
      </c>
      <c r="G1639" s="27" t="str">
        <f t="shared" si="26"/>
        <v/>
      </c>
      <c r="H1639" s="31"/>
      <c r="I1639" s="27"/>
      <c r="J1639" s="141">
        <v>0</v>
      </c>
    </row>
    <row r="1640" spans="1:10" ht="15.75" hidden="1" thickBot="1" x14ac:dyDescent="0.3">
      <c r="A1640" s="225" t="s">
        <v>518</v>
      </c>
      <c r="B1640" s="228" t="str">
        <f>INDEX(Orçamentária!A:B,MATCH(Composições!A1640,Orçamentária!A:A,0),2)</f>
        <v>Módulo sensor de presença</v>
      </c>
      <c r="C1640" s="37"/>
      <c r="D1640" s="22" t="str">
        <f>TRIM(INDEX(Orçamentária!C:C,MATCH(Composições!A1640,Orçamentária!A:A,0),1))</f>
        <v>un</v>
      </c>
      <c r="E1640" s="23"/>
      <c r="F1640" s="38" t="s">
        <v>523</v>
      </c>
      <c r="G1640" s="24" t="str">
        <f t="shared" si="26"/>
        <v/>
      </c>
      <c r="H1640" s="25"/>
      <c r="I1640" s="26"/>
      <c r="J1640" s="141">
        <v>0</v>
      </c>
    </row>
    <row r="1641" spans="1:10" ht="15.75" hidden="1" thickBot="1" x14ac:dyDescent="0.3">
      <c r="A1641" s="226"/>
      <c r="B1641" s="244"/>
      <c r="C1641" s="28"/>
      <c r="D1641" s="28"/>
      <c r="E1641" s="29"/>
      <c r="F1641" s="39" t="s">
        <v>523</v>
      </c>
      <c r="G1641" s="27" t="str">
        <f t="shared" si="26"/>
        <v/>
      </c>
      <c r="H1641" s="31"/>
      <c r="I1641" s="27"/>
      <c r="J1641" s="141">
        <v>0</v>
      </c>
    </row>
    <row r="1642" spans="1:10" ht="15.75" hidden="1" thickBot="1" x14ac:dyDescent="0.3">
      <c r="A1642" s="226"/>
      <c r="B1642" s="244"/>
      <c r="C1642" s="32" t="s">
        <v>30</v>
      </c>
      <c r="D1642" s="32" t="s">
        <v>12</v>
      </c>
      <c r="E1642" s="33">
        <v>0.308</v>
      </c>
      <c r="F1642" s="27">
        <v>25.146499999999996</v>
      </c>
      <c r="G1642" s="30">
        <f t="shared" si="26"/>
        <v>7.7451219999999985</v>
      </c>
      <c r="H1642" s="35">
        <f>SUM(G1642:G1644)</f>
        <v>13.722939999999998</v>
      </c>
      <c r="I1642" s="36"/>
      <c r="J1642" s="141">
        <v>0</v>
      </c>
    </row>
    <row r="1643" spans="1:10" ht="15.75" hidden="1" thickBot="1" x14ac:dyDescent="0.3">
      <c r="A1643" s="226"/>
      <c r="B1643" s="244"/>
      <c r="C1643" s="32" t="s">
        <v>74</v>
      </c>
      <c r="D1643" s="32" t="s">
        <v>12</v>
      </c>
      <c r="E1643" s="33">
        <v>0.308</v>
      </c>
      <c r="F1643" s="27">
        <v>19.4085</v>
      </c>
      <c r="G1643" s="30">
        <f t="shared" si="26"/>
        <v>5.9778180000000001</v>
      </c>
      <c r="H1643" s="41"/>
      <c r="I1643" s="42"/>
      <c r="J1643" s="141">
        <v>0</v>
      </c>
    </row>
    <row r="1644" spans="1:10" ht="15.75" hidden="1" thickBot="1" x14ac:dyDescent="0.3">
      <c r="A1644" s="226"/>
      <c r="B1644" s="244"/>
      <c r="C1644" s="32" t="s">
        <v>519</v>
      </c>
      <c r="D1644" s="32" t="s">
        <v>20</v>
      </c>
      <c r="E1644" s="33">
        <v>1</v>
      </c>
      <c r="F1644" s="30" t="s">
        <v>523</v>
      </c>
      <c r="G1644" s="27" t="str">
        <f t="shared" si="26"/>
        <v/>
      </c>
      <c r="H1644" s="31"/>
      <c r="I1644" s="27"/>
      <c r="J1644" s="141">
        <v>0</v>
      </c>
    </row>
    <row r="1645" spans="1:10" ht="15.75" hidden="1" thickBot="1" x14ac:dyDescent="0.3">
      <c r="A1645" s="227"/>
      <c r="B1645" s="230"/>
      <c r="C1645" s="48"/>
      <c r="D1645" s="32"/>
      <c r="E1645" s="33"/>
      <c r="F1645" s="27" t="s">
        <v>523</v>
      </c>
      <c r="G1645" s="27" t="str">
        <f t="shared" si="26"/>
        <v/>
      </c>
      <c r="H1645" s="31"/>
      <c r="I1645" s="27"/>
      <c r="J1645" s="141">
        <v>0</v>
      </c>
    </row>
    <row r="1646" spans="1:10" ht="15.75" hidden="1" thickBot="1" x14ac:dyDescent="0.3">
      <c r="A1646" s="225" t="s">
        <v>520</v>
      </c>
      <c r="B1646" s="228" t="str">
        <f>INDEX(Orçamentária!A:B,MATCH(Composições!A1646,Orçamentária!A:A,0),2)</f>
        <v>Módulo tomada 10 A</v>
      </c>
      <c r="C1646" s="37"/>
      <c r="D1646" s="22" t="str">
        <f>TRIM(INDEX(Orçamentária!C:C,MATCH(Composições!A1646,Orçamentária!A:A,0),1))</f>
        <v>un</v>
      </c>
      <c r="E1646" s="23"/>
      <c r="F1646" s="38" t="s">
        <v>523</v>
      </c>
      <c r="G1646" s="24" t="str">
        <f t="shared" si="26"/>
        <v/>
      </c>
      <c r="H1646" s="25"/>
      <c r="I1646" s="26"/>
      <c r="J1646" s="141">
        <v>0</v>
      </c>
    </row>
    <row r="1647" spans="1:10" ht="15.75" hidden="1" thickBot="1" x14ac:dyDescent="0.3">
      <c r="A1647" s="226"/>
      <c r="B1647" s="244"/>
      <c r="C1647" s="28"/>
      <c r="D1647" s="28"/>
      <c r="E1647" s="29"/>
      <c r="F1647" s="39" t="s">
        <v>523</v>
      </c>
      <c r="G1647" s="27" t="str">
        <f t="shared" si="26"/>
        <v/>
      </c>
      <c r="H1647" s="31"/>
      <c r="I1647" s="27"/>
      <c r="J1647" s="141">
        <v>0</v>
      </c>
    </row>
    <row r="1648" spans="1:10" ht="15.75" hidden="1" thickBot="1" x14ac:dyDescent="0.3">
      <c r="A1648" s="226"/>
      <c r="B1648" s="244"/>
      <c r="C1648" s="32" t="s">
        <v>6637</v>
      </c>
      <c r="D1648" s="32" t="s">
        <v>20</v>
      </c>
      <c r="E1648" s="33">
        <v>1</v>
      </c>
      <c r="F1648" s="30">
        <v>9.6234999999999999</v>
      </c>
      <c r="G1648" s="27">
        <f t="shared" si="26"/>
        <v>9.6234999999999999</v>
      </c>
      <c r="H1648" s="35">
        <f>SUM(G1648:G1650)</f>
        <v>20.093924999999999</v>
      </c>
      <c r="I1648" s="36"/>
      <c r="J1648" s="141">
        <v>0</v>
      </c>
    </row>
    <row r="1649" spans="1:10" ht="15.75" hidden="1" thickBot="1" x14ac:dyDescent="0.3">
      <c r="A1649" s="226"/>
      <c r="B1649" s="244"/>
      <c r="C1649" s="32" t="s">
        <v>74</v>
      </c>
      <c r="D1649" s="32" t="s">
        <v>12</v>
      </c>
      <c r="E1649" s="33">
        <v>0.23499999999999999</v>
      </c>
      <c r="F1649" s="27">
        <v>19.4085</v>
      </c>
      <c r="G1649" s="30">
        <f t="shared" si="26"/>
        <v>4.5609975</v>
      </c>
      <c r="H1649" s="31"/>
      <c r="I1649" s="27"/>
      <c r="J1649" s="141">
        <v>0</v>
      </c>
    </row>
    <row r="1650" spans="1:10" ht="15.75" hidden="1" thickBot="1" x14ac:dyDescent="0.3">
      <c r="A1650" s="226"/>
      <c r="B1650" s="244"/>
      <c r="C1650" s="32" t="s">
        <v>30</v>
      </c>
      <c r="D1650" s="32" t="s">
        <v>12</v>
      </c>
      <c r="E1650" s="33">
        <v>0.23499999999999999</v>
      </c>
      <c r="F1650" s="27">
        <v>25.146499999999996</v>
      </c>
      <c r="G1650" s="30">
        <f t="shared" si="26"/>
        <v>5.9094274999999987</v>
      </c>
      <c r="H1650" s="31"/>
      <c r="I1650" s="27"/>
      <c r="J1650" s="141">
        <v>0</v>
      </c>
    </row>
    <row r="1651" spans="1:10" ht="15.75" hidden="1" thickBot="1" x14ac:dyDescent="0.3">
      <c r="A1651" s="227"/>
      <c r="B1651" s="230"/>
      <c r="C1651" s="32"/>
      <c r="D1651" s="32"/>
      <c r="E1651" s="33"/>
      <c r="F1651" s="27" t="s">
        <v>523</v>
      </c>
      <c r="G1651" s="27" t="str">
        <f t="shared" si="26"/>
        <v/>
      </c>
      <c r="H1651" s="31"/>
      <c r="I1651" s="27"/>
      <c r="J1651" s="141">
        <v>0</v>
      </c>
    </row>
    <row r="1652" spans="1:10" ht="15.75" hidden="1" thickBot="1" x14ac:dyDescent="0.3">
      <c r="A1652" s="225" t="s">
        <v>521</v>
      </c>
      <c r="B1652" s="228" t="str">
        <f>INDEX(Orçamentária!A:B,MATCH(Composições!A1652,Orçamentária!A:A,0),2)</f>
        <v>Módulo tomada 20 A</v>
      </c>
      <c r="C1652" s="37"/>
      <c r="D1652" s="22" t="str">
        <f>TRIM(INDEX(Orçamentária!C:C,MATCH(Composições!A1652,Orçamentária!A:A,0),1))</f>
        <v>un</v>
      </c>
      <c r="E1652" s="23"/>
      <c r="F1652" s="38" t="s">
        <v>523</v>
      </c>
      <c r="G1652" s="24" t="str">
        <f t="shared" si="26"/>
        <v/>
      </c>
      <c r="H1652" s="25"/>
      <c r="I1652" s="26"/>
      <c r="J1652" s="141">
        <v>0</v>
      </c>
    </row>
    <row r="1653" spans="1:10" ht="15.75" hidden="1" thickBot="1" x14ac:dyDescent="0.3">
      <c r="A1653" s="226"/>
      <c r="B1653" s="244"/>
      <c r="C1653" s="28"/>
      <c r="D1653" s="28"/>
      <c r="E1653" s="29"/>
      <c r="F1653" s="39" t="s">
        <v>523</v>
      </c>
      <c r="G1653" s="27" t="str">
        <f t="shared" si="26"/>
        <v/>
      </c>
      <c r="H1653" s="31"/>
      <c r="I1653" s="27"/>
      <c r="J1653" s="141">
        <v>0</v>
      </c>
    </row>
    <row r="1654" spans="1:10" ht="15.75" hidden="1" thickBot="1" x14ac:dyDescent="0.3">
      <c r="A1654" s="226"/>
      <c r="B1654" s="244"/>
      <c r="C1654" s="32" t="s">
        <v>6638</v>
      </c>
      <c r="D1654" s="32" t="s">
        <v>20</v>
      </c>
      <c r="E1654" s="33">
        <v>1</v>
      </c>
      <c r="F1654" s="30">
        <v>12.302499999999998</v>
      </c>
      <c r="G1654" s="27">
        <f t="shared" si="26"/>
        <v>12.302499999999998</v>
      </c>
      <c r="H1654" s="35">
        <f>SUM(G1654:G1656)</f>
        <v>22.772924999999997</v>
      </c>
      <c r="I1654" s="36"/>
      <c r="J1654" s="141">
        <v>0</v>
      </c>
    </row>
    <row r="1655" spans="1:10" ht="15.75" hidden="1" thickBot="1" x14ac:dyDescent="0.3">
      <c r="A1655" s="226"/>
      <c r="B1655" s="244"/>
      <c r="C1655" s="32" t="s">
        <v>74</v>
      </c>
      <c r="D1655" s="32" t="s">
        <v>12</v>
      </c>
      <c r="E1655" s="33">
        <v>0.23499999999999999</v>
      </c>
      <c r="F1655" s="27">
        <v>19.4085</v>
      </c>
      <c r="G1655" s="30">
        <f t="shared" si="26"/>
        <v>4.5609975</v>
      </c>
      <c r="H1655" s="31"/>
      <c r="I1655" s="27"/>
      <c r="J1655" s="141">
        <v>0</v>
      </c>
    </row>
    <row r="1656" spans="1:10" ht="15.75" hidden="1" thickBot="1" x14ac:dyDescent="0.3">
      <c r="A1656" s="226"/>
      <c r="B1656" s="244"/>
      <c r="C1656" s="32" t="s">
        <v>30</v>
      </c>
      <c r="D1656" s="32" t="s">
        <v>12</v>
      </c>
      <c r="E1656" s="33">
        <v>0.23499999999999999</v>
      </c>
      <c r="F1656" s="27">
        <v>25.146499999999996</v>
      </c>
      <c r="G1656" s="30">
        <f t="shared" si="26"/>
        <v>5.9094274999999987</v>
      </c>
      <c r="H1656" s="31"/>
      <c r="I1656" s="27"/>
      <c r="J1656" s="141">
        <v>0</v>
      </c>
    </row>
    <row r="1657" spans="1:10" ht="15.75" hidden="1" thickBot="1" x14ac:dyDescent="0.3">
      <c r="A1657" s="227"/>
      <c r="B1657" s="230"/>
      <c r="C1657" s="32"/>
      <c r="D1657" s="32"/>
      <c r="E1657" s="33"/>
      <c r="F1657" s="27" t="s">
        <v>523</v>
      </c>
      <c r="G1657" s="27" t="str">
        <f t="shared" si="26"/>
        <v/>
      </c>
      <c r="H1657" s="31"/>
      <c r="I1657" s="27"/>
      <c r="J1657" s="141">
        <v>0</v>
      </c>
    </row>
    <row r="1658" spans="1:10" ht="15.75" hidden="1" thickBot="1" x14ac:dyDescent="0.3">
      <c r="A1658" s="225" t="s">
        <v>522</v>
      </c>
      <c r="B1658" s="228" t="str">
        <f>INDEX(Orçamentária!A:B,MATCH(Composições!A1658,Orçamentária!A:A,0),2)</f>
        <v>Porta equipamentos para canaleta de alumínio aparente</v>
      </c>
      <c r="C1658" s="37"/>
      <c r="D1658" s="22" t="str">
        <f>TRIM(INDEX(Orçamentária!C:C,MATCH(Composições!A1658,Orçamentária!A:A,0),1))</f>
        <v>un</v>
      </c>
      <c r="E1658" s="23"/>
      <c r="F1658" s="38" t="s">
        <v>523</v>
      </c>
      <c r="G1658" s="24" t="str">
        <f t="shared" si="26"/>
        <v/>
      </c>
      <c r="H1658" s="25"/>
      <c r="I1658" s="26"/>
      <c r="J1658" s="141">
        <v>0</v>
      </c>
    </row>
    <row r="1659" spans="1:10" ht="15.75" hidden="1" thickBot="1" x14ac:dyDescent="0.3">
      <c r="A1659" s="226"/>
      <c r="B1659" s="244"/>
      <c r="C1659" s="28"/>
      <c r="D1659" s="28"/>
      <c r="E1659" s="29"/>
      <c r="F1659" s="39" t="s">
        <v>523</v>
      </c>
      <c r="G1659" s="27" t="str">
        <f t="shared" si="26"/>
        <v/>
      </c>
      <c r="H1659" s="31"/>
      <c r="I1659" s="27"/>
      <c r="J1659" s="141">
        <v>0</v>
      </c>
    </row>
    <row r="1660" spans="1:10" ht="15.75" hidden="1" thickBot="1" x14ac:dyDescent="0.3">
      <c r="A1660" s="226"/>
      <c r="B1660" s="244"/>
      <c r="C1660" s="32" t="s">
        <v>74</v>
      </c>
      <c r="D1660" s="32" t="s">
        <v>12</v>
      </c>
      <c r="E1660" s="33">
        <f>0.35/2</f>
        <v>0.17499999999999999</v>
      </c>
      <c r="F1660" s="27">
        <v>19.4085</v>
      </c>
      <c r="G1660" s="30">
        <f t="shared" si="26"/>
        <v>3.3964874999999997</v>
      </c>
      <c r="H1660" s="35">
        <f>SUM(G1660:G1662)</f>
        <v>7.7971249999999994</v>
      </c>
      <c r="I1660" s="36"/>
      <c r="J1660" s="141">
        <v>0</v>
      </c>
    </row>
    <row r="1661" spans="1:10" ht="15.75" hidden="1" thickBot="1" x14ac:dyDescent="0.3">
      <c r="A1661" s="226"/>
      <c r="B1661" s="244"/>
      <c r="C1661" s="32" t="s">
        <v>30</v>
      </c>
      <c r="D1661" s="32" t="s">
        <v>12</v>
      </c>
      <c r="E1661" s="33">
        <f>0.35/2</f>
        <v>0.17499999999999999</v>
      </c>
      <c r="F1661" s="27">
        <v>25.146499999999996</v>
      </c>
      <c r="G1661" s="30">
        <f t="shared" si="26"/>
        <v>4.4006374999999993</v>
      </c>
      <c r="H1661" s="59" t="s">
        <v>523</v>
      </c>
      <c r="I1661" s="60"/>
      <c r="J1661" s="141">
        <v>0</v>
      </c>
    </row>
    <row r="1662" spans="1:10" ht="15.75" hidden="1" thickBot="1" x14ac:dyDescent="0.3">
      <c r="A1662" s="226"/>
      <c r="B1662" s="244"/>
      <c r="C1662" s="32" t="s">
        <v>524</v>
      </c>
      <c r="D1662" s="32" t="s">
        <v>20</v>
      </c>
      <c r="E1662" s="33">
        <v>1</v>
      </c>
      <c r="F1662" s="30" t="s">
        <v>523</v>
      </c>
      <c r="G1662" s="30" t="str">
        <f t="shared" si="26"/>
        <v/>
      </c>
      <c r="H1662" s="31"/>
      <c r="I1662" s="27"/>
      <c r="J1662" s="141">
        <v>0</v>
      </c>
    </row>
    <row r="1663" spans="1:10" ht="15.75" hidden="1" thickBot="1" x14ac:dyDescent="0.3">
      <c r="A1663" s="227"/>
      <c r="B1663" s="230"/>
      <c r="C1663" s="32"/>
      <c r="D1663" s="32"/>
      <c r="E1663" s="33"/>
      <c r="F1663" s="27" t="s">
        <v>523</v>
      </c>
      <c r="G1663" s="27" t="str">
        <f t="shared" si="26"/>
        <v/>
      </c>
      <c r="H1663" s="31"/>
      <c r="I1663" s="27"/>
      <c r="J1663" s="141">
        <v>0</v>
      </c>
    </row>
    <row r="1664" spans="1:10" ht="15.75" hidden="1" thickBot="1" x14ac:dyDescent="0.3">
      <c r="A1664" s="225" t="s">
        <v>525</v>
      </c>
      <c r="B1664" s="228" t="str">
        <f>INDEX(Orçamentária!A:B,MATCH(Composições!A1664,Orçamentária!A:A,0),2)</f>
        <v>Tampa cega metálica para caixas de piso 4x2</v>
      </c>
      <c r="C1664" s="37"/>
      <c r="D1664" s="22" t="str">
        <f>TRIM(INDEX(Orçamentária!C:C,MATCH(Composições!A1664,Orçamentária!A:A,0),1))</f>
        <v>un</v>
      </c>
      <c r="E1664" s="23"/>
      <c r="F1664" s="38" t="s">
        <v>523</v>
      </c>
      <c r="G1664" s="24" t="str">
        <f t="shared" si="26"/>
        <v/>
      </c>
      <c r="H1664" s="25"/>
      <c r="I1664" s="26"/>
      <c r="J1664" s="141">
        <v>0</v>
      </c>
    </row>
    <row r="1665" spans="1:10" ht="15.75" hidden="1" thickBot="1" x14ac:dyDescent="0.3">
      <c r="A1665" s="226"/>
      <c r="B1665" s="244"/>
      <c r="C1665" s="28"/>
      <c r="D1665" s="28"/>
      <c r="E1665" s="29"/>
      <c r="F1665" s="39" t="s">
        <v>523</v>
      </c>
      <c r="G1665" s="27" t="str">
        <f t="shared" si="26"/>
        <v/>
      </c>
      <c r="H1665" s="31"/>
      <c r="I1665" s="27"/>
      <c r="J1665" s="141">
        <v>0</v>
      </c>
    </row>
    <row r="1666" spans="1:10" ht="15.75" hidden="1" thickBot="1" x14ac:dyDescent="0.3">
      <c r="A1666" s="226"/>
      <c r="B1666" s="244"/>
      <c r="C1666" s="32" t="s">
        <v>74</v>
      </c>
      <c r="D1666" s="32" t="s">
        <v>12</v>
      </c>
      <c r="E1666" s="33">
        <v>0.1</v>
      </c>
      <c r="F1666" s="27">
        <v>19.4085</v>
      </c>
      <c r="G1666" s="27">
        <f t="shared" si="26"/>
        <v>1.9408500000000002</v>
      </c>
      <c r="H1666" s="35">
        <f>SUM(G1666:G1667)</f>
        <v>1.9408500000000002</v>
      </c>
      <c r="I1666" s="36"/>
      <c r="J1666" s="141">
        <v>0</v>
      </c>
    </row>
    <row r="1667" spans="1:10" ht="15.75" hidden="1" thickBot="1" x14ac:dyDescent="0.3">
      <c r="A1667" s="226"/>
      <c r="B1667" s="244"/>
      <c r="C1667" s="32" t="s">
        <v>526</v>
      </c>
      <c r="D1667" s="32" t="s">
        <v>20</v>
      </c>
      <c r="E1667" s="33">
        <v>1</v>
      </c>
      <c r="F1667" s="30" t="s">
        <v>523</v>
      </c>
      <c r="G1667" s="27" t="str">
        <f t="shared" si="26"/>
        <v/>
      </c>
      <c r="H1667" s="31"/>
      <c r="I1667" s="27"/>
      <c r="J1667" s="141">
        <v>0</v>
      </c>
    </row>
    <row r="1668" spans="1:10" ht="15.75" hidden="1" thickBot="1" x14ac:dyDescent="0.3">
      <c r="A1668" s="227"/>
      <c r="B1668" s="230"/>
      <c r="C1668" s="32"/>
      <c r="D1668" s="32"/>
      <c r="E1668" s="33"/>
      <c r="F1668" s="27" t="s">
        <v>523</v>
      </c>
      <c r="G1668" s="27" t="str">
        <f t="shared" si="26"/>
        <v/>
      </c>
      <c r="H1668" s="31"/>
      <c r="I1668" s="27"/>
      <c r="J1668" s="141">
        <v>0</v>
      </c>
    </row>
    <row r="1669" spans="1:10" ht="15.75" hidden="1" thickBot="1" x14ac:dyDescent="0.3">
      <c r="A1669" s="225" t="s">
        <v>527</v>
      </c>
      <c r="B1669" s="228" t="str">
        <f>INDEX(Orçamentária!A:B,MATCH(Composições!A1669,Orçamentária!A:A,0),2)</f>
        <v>Tampa cega metálica para caixas de piso 4x4</v>
      </c>
      <c r="C1669" s="37"/>
      <c r="D1669" s="22" t="str">
        <f>TRIM(INDEX(Orçamentária!C:C,MATCH(Composições!A1669,Orçamentária!A:A,0),1))</f>
        <v>un</v>
      </c>
      <c r="E1669" s="23"/>
      <c r="F1669" s="38" t="s">
        <v>523</v>
      </c>
      <c r="G1669" s="24" t="str">
        <f t="shared" si="26"/>
        <v/>
      </c>
      <c r="H1669" s="25"/>
      <c r="I1669" s="26"/>
      <c r="J1669" s="141">
        <v>0</v>
      </c>
    </row>
    <row r="1670" spans="1:10" ht="15.75" hidden="1" thickBot="1" x14ac:dyDescent="0.3">
      <c r="A1670" s="226"/>
      <c r="B1670" s="244"/>
      <c r="C1670" s="28"/>
      <c r="D1670" s="28"/>
      <c r="E1670" s="29"/>
      <c r="F1670" s="39" t="s">
        <v>523</v>
      </c>
      <c r="G1670" s="27" t="str">
        <f t="shared" si="26"/>
        <v/>
      </c>
      <c r="H1670" s="31"/>
      <c r="I1670" s="27"/>
      <c r="J1670" s="141">
        <v>0</v>
      </c>
    </row>
    <row r="1671" spans="1:10" ht="15.75" hidden="1" thickBot="1" x14ac:dyDescent="0.3">
      <c r="A1671" s="226"/>
      <c r="B1671" s="244"/>
      <c r="C1671" s="32" t="s">
        <v>74</v>
      </c>
      <c r="D1671" s="32" t="s">
        <v>12</v>
      </c>
      <c r="E1671" s="33">
        <v>0.1</v>
      </c>
      <c r="F1671" s="27">
        <v>19.4085</v>
      </c>
      <c r="G1671" s="27">
        <f t="shared" si="26"/>
        <v>1.9408500000000002</v>
      </c>
      <c r="H1671" s="35">
        <f>SUM(G1671:G1672)</f>
        <v>1.9408500000000002</v>
      </c>
      <c r="I1671" s="36"/>
      <c r="J1671" s="141">
        <v>0</v>
      </c>
    </row>
    <row r="1672" spans="1:10" ht="15.75" hidden="1" thickBot="1" x14ac:dyDescent="0.3">
      <c r="A1672" s="226"/>
      <c r="B1672" s="244"/>
      <c r="C1672" s="32" t="s">
        <v>528</v>
      </c>
      <c r="D1672" s="32" t="s">
        <v>20</v>
      </c>
      <c r="E1672" s="33">
        <v>1</v>
      </c>
      <c r="F1672" s="30" t="s">
        <v>523</v>
      </c>
      <c r="G1672" s="27" t="str">
        <f t="shared" si="26"/>
        <v/>
      </c>
      <c r="H1672" s="31"/>
      <c r="I1672" s="27"/>
      <c r="J1672" s="141">
        <v>0</v>
      </c>
    </row>
    <row r="1673" spans="1:10" ht="15.75" hidden="1" thickBot="1" x14ac:dyDescent="0.3">
      <c r="A1673" s="227"/>
      <c r="B1673" s="230"/>
      <c r="C1673" s="32"/>
      <c r="D1673" s="32"/>
      <c r="E1673" s="33"/>
      <c r="F1673" s="27" t="s">
        <v>523</v>
      </c>
      <c r="G1673" s="27" t="str">
        <f t="shared" si="26"/>
        <v/>
      </c>
      <c r="H1673" s="31"/>
      <c r="I1673" s="27"/>
      <c r="J1673" s="141">
        <v>0</v>
      </c>
    </row>
    <row r="1674" spans="1:10" ht="15.75" hidden="1" thickBot="1" x14ac:dyDescent="0.3">
      <c r="A1674" s="225" t="s">
        <v>529</v>
      </c>
      <c r="B1674" s="228" t="str">
        <f>INDEX(Orçamentária!A:B,MATCH(Composições!A1674,Orçamentária!A:A,0),2)</f>
        <v>Tampa cega para condulete</v>
      </c>
      <c r="C1674" s="37"/>
      <c r="D1674" s="22" t="str">
        <f>TRIM(INDEX(Orçamentária!C:C,MATCH(Composições!A1674,Orçamentária!A:A,0),1))</f>
        <v>un</v>
      </c>
      <c r="E1674" s="23"/>
      <c r="F1674" s="38" t="s">
        <v>523</v>
      </c>
      <c r="G1674" s="24" t="str">
        <f t="shared" si="26"/>
        <v/>
      </c>
      <c r="H1674" s="25"/>
      <c r="I1674" s="26"/>
      <c r="J1674" s="141">
        <v>0</v>
      </c>
    </row>
    <row r="1675" spans="1:10" ht="15.75" hidden="1" thickBot="1" x14ac:dyDescent="0.3">
      <c r="A1675" s="226"/>
      <c r="B1675" s="244"/>
      <c r="C1675" s="28"/>
      <c r="D1675" s="28"/>
      <c r="E1675" s="29"/>
      <c r="F1675" s="39" t="s">
        <v>523</v>
      </c>
      <c r="G1675" s="27" t="str">
        <f t="shared" si="26"/>
        <v/>
      </c>
      <c r="H1675" s="31"/>
      <c r="I1675" s="27"/>
      <c r="J1675" s="141">
        <v>0</v>
      </c>
    </row>
    <row r="1676" spans="1:10" ht="15.75" hidden="1" thickBot="1" x14ac:dyDescent="0.3">
      <c r="A1676" s="226"/>
      <c r="B1676" s="244"/>
      <c r="C1676" s="32" t="s">
        <v>74</v>
      </c>
      <c r="D1676" s="32" t="s">
        <v>12</v>
      </c>
      <c r="E1676" s="33">
        <v>0.15</v>
      </c>
      <c r="F1676" s="27">
        <v>19.4085</v>
      </c>
      <c r="G1676" s="30">
        <f t="shared" si="26"/>
        <v>2.9112749999999998</v>
      </c>
      <c r="H1676" s="35">
        <f>SUM(G1676:G1677)</f>
        <v>2.9112749999999998</v>
      </c>
      <c r="I1676" s="36"/>
      <c r="J1676" s="141">
        <v>0</v>
      </c>
    </row>
    <row r="1677" spans="1:10" ht="26.25" hidden="1" thickBot="1" x14ac:dyDescent="0.3">
      <c r="A1677" s="226"/>
      <c r="B1677" s="244"/>
      <c r="C1677" s="32" t="s">
        <v>530</v>
      </c>
      <c r="D1677" s="32" t="s">
        <v>20</v>
      </c>
      <c r="E1677" s="33">
        <v>1</v>
      </c>
      <c r="F1677" s="30" t="s">
        <v>523</v>
      </c>
      <c r="G1677" s="27" t="str">
        <f t="shared" si="26"/>
        <v/>
      </c>
      <c r="H1677" s="31"/>
      <c r="I1677" s="27"/>
      <c r="J1677" s="141">
        <v>0</v>
      </c>
    </row>
    <row r="1678" spans="1:10" ht="15.75" hidden="1" thickBot="1" x14ac:dyDescent="0.3">
      <c r="A1678" s="226"/>
      <c r="B1678" s="244"/>
      <c r="C1678" s="32"/>
      <c r="D1678" s="32"/>
      <c r="E1678" s="33"/>
      <c r="F1678" s="30" t="s">
        <v>523</v>
      </c>
      <c r="G1678" s="27" t="str">
        <f t="shared" si="26"/>
        <v/>
      </c>
      <c r="H1678" s="31"/>
      <c r="I1678" s="27"/>
      <c r="J1678" s="141">
        <v>0</v>
      </c>
    </row>
    <row r="1679" spans="1:10" ht="15.75" hidden="1" thickBot="1" x14ac:dyDescent="0.3">
      <c r="A1679" s="225" t="s">
        <v>531</v>
      </c>
      <c r="B1679" s="228" t="str">
        <f>INDEX(Orçamentária!A:B,MATCH(Composições!A1679,Orçamentária!A:A,0),2)</f>
        <v>Tampa RJ45 dupla para condulete</v>
      </c>
      <c r="C1679" s="37"/>
      <c r="D1679" s="22" t="str">
        <f>TRIM(INDEX(Orçamentária!C:C,MATCH(Composições!A1679,Orçamentária!A:A,0),1))</f>
        <v>un</v>
      </c>
      <c r="E1679" s="23"/>
      <c r="F1679" s="38" t="s">
        <v>523</v>
      </c>
      <c r="G1679" s="24" t="str">
        <f t="shared" si="26"/>
        <v/>
      </c>
      <c r="H1679" s="25"/>
      <c r="I1679" s="26"/>
      <c r="J1679" s="141">
        <v>0</v>
      </c>
    </row>
    <row r="1680" spans="1:10" ht="15.75" hidden="1" thickBot="1" x14ac:dyDescent="0.3">
      <c r="A1680" s="226"/>
      <c r="B1680" s="244"/>
      <c r="C1680" s="28"/>
      <c r="D1680" s="28"/>
      <c r="E1680" s="29"/>
      <c r="F1680" s="39" t="s">
        <v>523</v>
      </c>
      <c r="G1680" s="27" t="str">
        <f t="shared" si="26"/>
        <v/>
      </c>
      <c r="H1680" s="31"/>
      <c r="I1680" s="27"/>
      <c r="J1680" s="141">
        <v>0</v>
      </c>
    </row>
    <row r="1681" spans="1:10" ht="15.75" hidden="1" thickBot="1" x14ac:dyDescent="0.3">
      <c r="A1681" s="226"/>
      <c r="B1681" s="244"/>
      <c r="C1681" s="32" t="s">
        <v>74</v>
      </c>
      <c r="D1681" s="32" t="s">
        <v>12</v>
      </c>
      <c r="E1681" s="33">
        <v>0.15</v>
      </c>
      <c r="F1681" s="27">
        <v>19.4085</v>
      </c>
      <c r="G1681" s="30">
        <f t="shared" si="26"/>
        <v>2.9112749999999998</v>
      </c>
      <c r="H1681" s="35">
        <f>SUM(G1681:G1683)</f>
        <v>6.6832499999999992</v>
      </c>
      <c r="I1681" s="36"/>
      <c r="J1681" s="141">
        <v>0</v>
      </c>
    </row>
    <row r="1682" spans="1:10" ht="15.75" hidden="1" thickBot="1" x14ac:dyDescent="0.3">
      <c r="A1682" s="226"/>
      <c r="B1682" s="244"/>
      <c r="C1682" s="32" t="s">
        <v>30</v>
      </c>
      <c r="D1682" s="32" t="s">
        <v>12</v>
      </c>
      <c r="E1682" s="33">
        <v>0.15</v>
      </c>
      <c r="F1682" s="27">
        <v>25.146499999999996</v>
      </c>
      <c r="G1682" s="30">
        <f t="shared" ref="G1682:G1745" si="27">IF(ISNUMBER(F1682),E1682*F1682,"")</f>
        <v>3.7719749999999994</v>
      </c>
      <c r="H1682" s="58"/>
      <c r="I1682" s="1"/>
      <c r="J1682" s="141">
        <v>0</v>
      </c>
    </row>
    <row r="1683" spans="1:10" ht="26.25" hidden="1" thickBot="1" x14ac:dyDescent="0.3">
      <c r="A1683" s="226"/>
      <c r="B1683" s="244"/>
      <c r="C1683" s="32" t="s">
        <v>532</v>
      </c>
      <c r="D1683" s="32" t="s">
        <v>20</v>
      </c>
      <c r="E1683" s="33">
        <v>1</v>
      </c>
      <c r="F1683" s="30" t="s">
        <v>523</v>
      </c>
      <c r="G1683" s="27" t="str">
        <f t="shared" si="27"/>
        <v/>
      </c>
      <c r="H1683" s="31"/>
      <c r="I1683" s="27"/>
      <c r="J1683" s="141">
        <v>0</v>
      </c>
    </row>
    <row r="1684" spans="1:10" ht="15.75" hidden="1" thickBot="1" x14ac:dyDescent="0.3">
      <c r="A1684" s="227"/>
      <c r="B1684" s="230"/>
      <c r="C1684" s="32"/>
      <c r="D1684" s="32"/>
      <c r="E1684" s="33"/>
      <c r="F1684" s="27" t="s">
        <v>523</v>
      </c>
      <c r="G1684" s="27" t="str">
        <f t="shared" si="27"/>
        <v/>
      </c>
      <c r="H1684" s="31"/>
      <c r="I1684" s="27"/>
      <c r="J1684" s="141">
        <v>0</v>
      </c>
    </row>
    <row r="1685" spans="1:10" ht="15.75" thickBot="1" x14ac:dyDescent="0.3">
      <c r="A1685" s="225" t="s">
        <v>533</v>
      </c>
      <c r="B1685" s="228" t="str">
        <f>INDEX(Orçamentária!A:B,MATCH(Composições!A1685,Orçamentária!A:A,0),2)</f>
        <v>Tomada para condulete</v>
      </c>
      <c r="C1685" s="37"/>
      <c r="D1685" s="22" t="str">
        <f>TRIM(INDEX(Orçamentária!C:C,MATCH(Composições!A1685,Orçamentária!A:A,0),1))</f>
        <v>un</v>
      </c>
      <c r="E1685" s="23"/>
      <c r="F1685" s="38" t="s">
        <v>523</v>
      </c>
      <c r="G1685" s="24" t="str">
        <f t="shared" si="27"/>
        <v/>
      </c>
      <c r="H1685" s="25"/>
      <c r="I1685" s="26"/>
      <c r="J1685" s="141">
        <v>404</v>
      </c>
    </row>
    <row r="1686" spans="1:10" x14ac:dyDescent="0.25">
      <c r="A1686" s="226"/>
      <c r="B1686" s="244"/>
      <c r="C1686" s="28"/>
      <c r="D1686" s="28"/>
      <c r="E1686" s="29"/>
      <c r="F1686" s="39" t="s">
        <v>523</v>
      </c>
      <c r="G1686" s="27" t="str">
        <f t="shared" si="27"/>
        <v/>
      </c>
      <c r="H1686" s="31"/>
      <c r="I1686" s="27"/>
      <c r="J1686" s="141">
        <v>404</v>
      </c>
    </row>
    <row r="1687" spans="1:10" x14ac:dyDescent="0.25">
      <c r="A1687" s="226"/>
      <c r="B1687" s="244"/>
      <c r="C1687" s="32" t="s">
        <v>30</v>
      </c>
      <c r="D1687" s="32" t="s">
        <v>12</v>
      </c>
      <c r="E1687" s="33">
        <v>0.308</v>
      </c>
      <c r="F1687" s="27">
        <v>25.146499999999996</v>
      </c>
      <c r="G1687" s="30">
        <f t="shared" si="27"/>
        <v>7.7451219999999985</v>
      </c>
      <c r="H1687" s="35">
        <f>SUM(G1687:G1690)</f>
        <v>34.042940000000002</v>
      </c>
      <c r="I1687" s="36"/>
      <c r="J1687" s="141">
        <v>404</v>
      </c>
    </row>
    <row r="1688" spans="1:10" x14ac:dyDescent="0.25">
      <c r="A1688" s="226"/>
      <c r="B1688" s="244"/>
      <c r="C1688" s="32" t="s">
        <v>74</v>
      </c>
      <c r="D1688" s="32" t="s">
        <v>12</v>
      </c>
      <c r="E1688" s="33">
        <v>0.308</v>
      </c>
      <c r="F1688" s="27">
        <v>19.4085</v>
      </c>
      <c r="G1688" s="30">
        <f t="shared" si="27"/>
        <v>5.9778180000000001</v>
      </c>
      <c r="H1688" s="31"/>
      <c r="I1688" s="27"/>
      <c r="J1688" s="141">
        <v>404</v>
      </c>
    </row>
    <row r="1689" spans="1:10" ht="25.5" x14ac:dyDescent="0.25">
      <c r="A1689" s="226"/>
      <c r="B1689" s="244"/>
      <c r="C1689" s="32" t="s">
        <v>508</v>
      </c>
      <c r="D1689" s="32" t="s">
        <v>20</v>
      </c>
      <c r="E1689" s="33">
        <v>1</v>
      </c>
      <c r="F1689" s="30">
        <v>5.65</v>
      </c>
      <c r="G1689" s="30">
        <f t="shared" si="27"/>
        <v>5.65</v>
      </c>
      <c r="H1689" s="31"/>
      <c r="I1689" s="27"/>
      <c r="J1689" s="141">
        <v>404</v>
      </c>
    </row>
    <row r="1690" spans="1:10" ht="25.5" x14ac:dyDescent="0.25">
      <c r="A1690" s="226"/>
      <c r="B1690" s="244"/>
      <c r="C1690" s="32" t="s">
        <v>6413</v>
      </c>
      <c r="D1690" s="32" t="s">
        <v>20</v>
      </c>
      <c r="E1690" s="33">
        <v>1</v>
      </c>
      <c r="F1690" s="30">
        <v>14.67</v>
      </c>
      <c r="G1690" s="27">
        <f t="shared" si="27"/>
        <v>14.67</v>
      </c>
      <c r="H1690" s="31"/>
      <c r="I1690" s="27"/>
      <c r="J1690" s="141">
        <v>404</v>
      </c>
    </row>
    <row r="1691" spans="1:10" ht="15.75" thickBot="1" x14ac:dyDescent="0.3">
      <c r="A1691" s="227"/>
      <c r="B1691" s="230"/>
      <c r="C1691" s="32"/>
      <c r="D1691" s="32"/>
      <c r="E1691" s="33"/>
      <c r="F1691" s="27" t="s">
        <v>523</v>
      </c>
      <c r="G1691" s="27" t="str">
        <f t="shared" si="27"/>
        <v/>
      </c>
      <c r="H1691" s="31"/>
      <c r="I1691" s="27"/>
      <c r="J1691" s="141">
        <v>404</v>
      </c>
    </row>
    <row r="1692" spans="1:10" ht="15.75" hidden="1" thickBot="1" x14ac:dyDescent="0.3">
      <c r="A1692" s="225" t="s">
        <v>534</v>
      </c>
      <c r="B1692" s="228" t="str">
        <f>INDEX(Orçamentária!A:B,MATCH(Composições!A1692,Orçamentária!A:A,0),2)</f>
        <v>Tomada para perfilado e eletrocalha</v>
      </c>
      <c r="C1692" s="37"/>
      <c r="D1692" s="22" t="str">
        <f>TRIM(INDEX(Orçamentária!C:C,MATCH(Composições!A1692,Orçamentária!A:A,0),1))</f>
        <v>un</v>
      </c>
      <c r="E1692" s="23"/>
      <c r="F1692" s="38" t="s">
        <v>523</v>
      </c>
      <c r="G1692" s="24" t="str">
        <f t="shared" si="27"/>
        <v/>
      </c>
      <c r="H1692" s="25"/>
      <c r="I1692" s="26"/>
      <c r="J1692" s="141">
        <v>0</v>
      </c>
    </row>
    <row r="1693" spans="1:10" ht="15.75" hidden="1" thickBot="1" x14ac:dyDescent="0.3">
      <c r="A1693" s="226"/>
      <c r="B1693" s="244"/>
      <c r="C1693" s="28"/>
      <c r="D1693" s="28"/>
      <c r="E1693" s="29"/>
      <c r="F1693" s="39" t="s">
        <v>523</v>
      </c>
      <c r="G1693" s="27" t="str">
        <f t="shared" si="27"/>
        <v/>
      </c>
      <c r="H1693" s="31"/>
      <c r="I1693" s="27"/>
      <c r="J1693" s="141">
        <v>0</v>
      </c>
    </row>
    <row r="1694" spans="1:10" ht="15.75" hidden="1" thickBot="1" x14ac:dyDescent="0.3">
      <c r="A1694" s="226"/>
      <c r="B1694" s="244"/>
      <c r="C1694" s="32" t="s">
        <v>74</v>
      </c>
      <c r="D1694" s="32" t="s">
        <v>12</v>
      </c>
      <c r="E1694" s="33">
        <v>0.65</v>
      </c>
      <c r="F1694" s="27">
        <v>19.4085</v>
      </c>
      <c r="G1694" s="30">
        <f t="shared" si="27"/>
        <v>12.615525</v>
      </c>
      <c r="H1694" s="35">
        <f>SUM(G1694:G1697)</f>
        <v>28.960749999999997</v>
      </c>
      <c r="I1694" s="36"/>
      <c r="J1694" s="141">
        <v>0</v>
      </c>
    </row>
    <row r="1695" spans="1:10" ht="15.75" hidden="1" thickBot="1" x14ac:dyDescent="0.3">
      <c r="A1695" s="226"/>
      <c r="B1695" s="244"/>
      <c r="C1695" s="32" t="s">
        <v>30</v>
      </c>
      <c r="D1695" s="32" t="s">
        <v>12</v>
      </c>
      <c r="E1695" s="33">
        <v>0.65</v>
      </c>
      <c r="F1695" s="27">
        <v>25.146499999999996</v>
      </c>
      <c r="G1695" s="30">
        <f t="shared" si="27"/>
        <v>16.345224999999999</v>
      </c>
      <c r="H1695" s="31"/>
      <c r="I1695" s="27"/>
      <c r="J1695" s="141">
        <v>0</v>
      </c>
    </row>
    <row r="1696" spans="1:10" ht="15.75" hidden="1" thickBot="1" x14ac:dyDescent="0.3">
      <c r="A1696" s="226"/>
      <c r="B1696" s="244"/>
      <c r="C1696" s="32" t="s">
        <v>535</v>
      </c>
      <c r="D1696" s="32" t="s">
        <v>20</v>
      </c>
      <c r="E1696" s="33">
        <v>1</v>
      </c>
      <c r="F1696" s="27">
        <v>0</v>
      </c>
      <c r="G1696" s="27">
        <f t="shared" si="27"/>
        <v>0</v>
      </c>
      <c r="H1696" s="31"/>
      <c r="I1696" s="27"/>
      <c r="J1696" s="141">
        <v>0</v>
      </c>
    </row>
    <row r="1697" spans="1:10" ht="15.75" hidden="1" thickBot="1" x14ac:dyDescent="0.3">
      <c r="A1697" s="226"/>
      <c r="B1697" s="244"/>
      <c r="C1697" s="32" t="s">
        <v>536</v>
      </c>
      <c r="D1697" s="32" t="s">
        <v>20</v>
      </c>
      <c r="E1697" s="33">
        <v>1</v>
      </c>
      <c r="F1697" s="27">
        <v>0</v>
      </c>
      <c r="G1697" s="27">
        <f t="shared" si="27"/>
        <v>0</v>
      </c>
      <c r="H1697" s="31"/>
      <c r="I1697" s="27"/>
      <c r="J1697" s="141">
        <v>0</v>
      </c>
    </row>
    <row r="1698" spans="1:10" ht="15.75" hidden="1" thickBot="1" x14ac:dyDescent="0.3">
      <c r="A1698" s="227"/>
      <c r="B1698" s="230"/>
      <c r="C1698" s="32"/>
      <c r="D1698" s="32"/>
      <c r="E1698" s="33"/>
      <c r="F1698" s="27" t="s">
        <v>523</v>
      </c>
      <c r="G1698" s="27" t="str">
        <f t="shared" si="27"/>
        <v/>
      </c>
      <c r="H1698" s="31"/>
      <c r="I1698" s="27"/>
      <c r="J1698" s="141">
        <v>0</v>
      </c>
    </row>
    <row r="1699" spans="1:10" ht="15.75" hidden="1" thickBot="1" x14ac:dyDescent="0.3">
      <c r="A1699" s="225" t="s">
        <v>537</v>
      </c>
      <c r="B1699" s="228" t="str">
        <f>INDEX(Orçamentária!A:B,MATCH(Composições!A1699,Orçamentária!A:A,0),2)</f>
        <v>Bloco autônomo de emergência</v>
      </c>
      <c r="C1699" s="37"/>
      <c r="D1699" s="22" t="str">
        <f>TRIM(INDEX(Orçamentária!C:C,MATCH(Composições!A1699,Orçamentária!A:A,0),1))</f>
        <v>un</v>
      </c>
      <c r="E1699" s="23"/>
      <c r="F1699" s="38" t="s">
        <v>523</v>
      </c>
      <c r="G1699" s="24" t="str">
        <f t="shared" si="27"/>
        <v/>
      </c>
      <c r="H1699" s="25"/>
      <c r="I1699" s="26"/>
      <c r="J1699" s="141">
        <v>0</v>
      </c>
    </row>
    <row r="1700" spans="1:10" ht="15.75" hidden="1" thickBot="1" x14ac:dyDescent="0.3">
      <c r="A1700" s="226"/>
      <c r="B1700" s="244"/>
      <c r="C1700" s="28"/>
      <c r="D1700" s="28"/>
      <c r="E1700" s="29"/>
      <c r="F1700" s="39" t="s">
        <v>523</v>
      </c>
      <c r="G1700" s="27" t="str">
        <f t="shared" si="27"/>
        <v/>
      </c>
      <c r="H1700" s="31"/>
      <c r="I1700" s="27"/>
      <c r="J1700" s="141">
        <v>0</v>
      </c>
    </row>
    <row r="1701" spans="1:10" ht="26.25" hidden="1" thickBot="1" x14ac:dyDescent="0.3">
      <c r="A1701" s="226"/>
      <c r="B1701" s="244"/>
      <c r="C1701" s="32" t="s">
        <v>538</v>
      </c>
      <c r="D1701" s="32" t="s">
        <v>144</v>
      </c>
      <c r="E1701" s="33">
        <v>1</v>
      </c>
      <c r="F1701" s="30" t="s">
        <v>523</v>
      </c>
      <c r="G1701" s="27" t="str">
        <f t="shared" si="27"/>
        <v/>
      </c>
      <c r="H1701" s="35">
        <f>SUM(G1701:G1703)</f>
        <v>5.9655525499999991</v>
      </c>
      <c r="I1701" s="36"/>
      <c r="J1701" s="141">
        <v>0</v>
      </c>
    </row>
    <row r="1702" spans="1:10" ht="15.75" hidden="1" thickBot="1" x14ac:dyDescent="0.3">
      <c r="A1702" s="226"/>
      <c r="B1702" s="244"/>
      <c r="C1702" s="32" t="s">
        <v>74</v>
      </c>
      <c r="D1702" s="43" t="s">
        <v>12</v>
      </c>
      <c r="E1702" s="33">
        <v>7.4800000000000005E-2</v>
      </c>
      <c r="F1702" s="27">
        <v>19.4085</v>
      </c>
      <c r="G1702" s="27">
        <f t="shared" si="27"/>
        <v>1.4517558000000002</v>
      </c>
      <c r="H1702" s="31"/>
      <c r="I1702" s="27"/>
      <c r="J1702" s="141">
        <v>0</v>
      </c>
    </row>
    <row r="1703" spans="1:10" ht="15.75" hidden="1" thickBot="1" x14ac:dyDescent="0.3">
      <c r="A1703" s="226"/>
      <c r="B1703" s="244"/>
      <c r="C1703" s="32" t="s">
        <v>30</v>
      </c>
      <c r="D1703" s="32" t="s">
        <v>12</v>
      </c>
      <c r="E1703" s="33">
        <v>0.17949999999999999</v>
      </c>
      <c r="F1703" s="27">
        <v>25.146499999999996</v>
      </c>
      <c r="G1703" s="27">
        <f t="shared" si="27"/>
        <v>4.5137967499999991</v>
      </c>
      <c r="H1703" s="31"/>
      <c r="I1703" s="27"/>
      <c r="J1703" s="141">
        <v>0</v>
      </c>
    </row>
    <row r="1704" spans="1:10" ht="15.75" hidden="1" thickBot="1" x14ac:dyDescent="0.3">
      <c r="A1704" s="227"/>
      <c r="B1704" s="230"/>
      <c r="C1704" s="32"/>
      <c r="D1704" s="32"/>
      <c r="E1704" s="33"/>
      <c r="F1704" s="27" t="s">
        <v>523</v>
      </c>
      <c r="G1704" s="27" t="str">
        <f t="shared" si="27"/>
        <v/>
      </c>
      <c r="H1704" s="31"/>
      <c r="I1704" s="27"/>
      <c r="J1704" s="141">
        <v>0</v>
      </c>
    </row>
    <row r="1705" spans="1:10" ht="15.75" hidden="1" thickBot="1" x14ac:dyDescent="0.3">
      <c r="A1705" s="225" t="s">
        <v>539</v>
      </c>
      <c r="B1705" s="228" t="str">
        <f>INDEX(Orçamentária!A:B,MATCH(Composições!A1705,Orçamentária!A:A,0),2)</f>
        <v>Instalação de luminária reaproveitada</v>
      </c>
      <c r="C1705" s="37"/>
      <c r="D1705" s="22" t="str">
        <f>TRIM(INDEX(Orçamentária!C:C,MATCH(Composições!A1705,Orçamentária!A:A,0),1))</f>
        <v>un</v>
      </c>
      <c r="E1705" s="23"/>
      <c r="F1705" s="38" t="s">
        <v>523</v>
      </c>
      <c r="G1705" s="24" t="str">
        <f t="shared" si="27"/>
        <v/>
      </c>
      <c r="H1705" s="25"/>
      <c r="I1705" s="26"/>
      <c r="J1705" s="141">
        <v>0</v>
      </c>
    </row>
    <row r="1706" spans="1:10" ht="15.75" hidden="1" thickBot="1" x14ac:dyDescent="0.3">
      <c r="A1706" s="226"/>
      <c r="B1706" s="244"/>
      <c r="C1706" s="28"/>
      <c r="D1706" s="28"/>
      <c r="E1706" s="29"/>
      <c r="F1706" s="39" t="s">
        <v>523</v>
      </c>
      <c r="G1706" s="27" t="str">
        <f t="shared" si="27"/>
        <v/>
      </c>
      <c r="H1706" s="31"/>
      <c r="I1706" s="27"/>
      <c r="J1706" s="141">
        <v>0</v>
      </c>
    </row>
    <row r="1707" spans="1:10" ht="15.75" hidden="1" thickBot="1" x14ac:dyDescent="0.3">
      <c r="A1707" s="226"/>
      <c r="B1707" s="244"/>
      <c r="C1707" s="32" t="s">
        <v>74</v>
      </c>
      <c r="D1707" s="43" t="s">
        <v>12</v>
      </c>
      <c r="E1707" s="33">
        <v>0.14799999999999999</v>
      </c>
      <c r="F1707" s="27">
        <v>19.4085</v>
      </c>
      <c r="G1707" s="27">
        <f t="shared" si="27"/>
        <v>2.872458</v>
      </c>
      <c r="H1707" s="35">
        <f>SUM(G1707:G1711)</f>
        <v>36.601980149999996</v>
      </c>
      <c r="I1707" s="36"/>
      <c r="J1707" s="141">
        <v>0</v>
      </c>
    </row>
    <row r="1708" spans="1:10" ht="15.75" hidden="1" thickBot="1" x14ac:dyDescent="0.3">
      <c r="A1708" s="226"/>
      <c r="B1708" s="244"/>
      <c r="C1708" s="32" t="s">
        <v>30</v>
      </c>
      <c r="D1708" s="32" t="s">
        <v>12</v>
      </c>
      <c r="E1708" s="33">
        <v>0.35510000000000003</v>
      </c>
      <c r="F1708" s="27">
        <v>25.146499999999996</v>
      </c>
      <c r="G1708" s="27">
        <f t="shared" si="27"/>
        <v>8.9295221499999986</v>
      </c>
      <c r="H1708" s="41"/>
      <c r="I1708" s="42"/>
      <c r="J1708" s="141">
        <v>0</v>
      </c>
    </row>
    <row r="1709" spans="1:10" ht="26.25" hidden="1" thickBot="1" x14ac:dyDescent="0.3">
      <c r="A1709" s="226"/>
      <c r="B1709" s="244"/>
      <c r="C1709" s="32" t="s">
        <v>540</v>
      </c>
      <c r="D1709" s="32" t="s">
        <v>93</v>
      </c>
      <c r="E1709" s="33">
        <v>1.5</v>
      </c>
      <c r="F1709" s="30">
        <v>8.1999999999999993</v>
      </c>
      <c r="G1709" s="27">
        <f t="shared" si="27"/>
        <v>12.299999999999999</v>
      </c>
      <c r="H1709" s="31"/>
      <c r="I1709" s="27"/>
      <c r="J1709" s="141">
        <v>0</v>
      </c>
    </row>
    <row r="1710" spans="1:10" ht="15.75" hidden="1" thickBot="1" x14ac:dyDescent="0.3">
      <c r="A1710" s="226"/>
      <c r="B1710" s="244"/>
      <c r="C1710" s="32" t="s">
        <v>541</v>
      </c>
      <c r="D1710" s="32" t="s">
        <v>144</v>
      </c>
      <c r="E1710" s="33">
        <v>1</v>
      </c>
      <c r="F1710" s="30">
        <v>6.31</v>
      </c>
      <c r="G1710" s="27">
        <f t="shared" si="27"/>
        <v>6.31</v>
      </c>
      <c r="H1710" s="31"/>
      <c r="I1710" s="27"/>
      <c r="J1710" s="141">
        <v>0</v>
      </c>
    </row>
    <row r="1711" spans="1:10" ht="15.75" hidden="1" thickBot="1" x14ac:dyDescent="0.3">
      <c r="A1711" s="226"/>
      <c r="B1711" s="244"/>
      <c r="C1711" s="32" t="s">
        <v>542</v>
      </c>
      <c r="D1711" s="32" t="s">
        <v>144</v>
      </c>
      <c r="E1711" s="33">
        <v>1</v>
      </c>
      <c r="F1711" s="30">
        <v>6.19</v>
      </c>
      <c r="G1711" s="27">
        <f t="shared" si="27"/>
        <v>6.19</v>
      </c>
      <c r="H1711" s="31"/>
      <c r="I1711" s="27"/>
      <c r="J1711" s="141">
        <v>0</v>
      </c>
    </row>
    <row r="1712" spans="1:10" ht="15.75" hidden="1" thickBot="1" x14ac:dyDescent="0.3">
      <c r="A1712" s="227"/>
      <c r="B1712" s="230"/>
      <c r="C1712" s="32"/>
      <c r="D1712" s="32"/>
      <c r="E1712" s="33"/>
      <c r="F1712" s="27" t="s">
        <v>523</v>
      </c>
      <c r="G1712" s="27" t="str">
        <f t="shared" si="27"/>
        <v/>
      </c>
      <c r="H1712" s="31"/>
      <c r="I1712" s="27"/>
      <c r="J1712" s="141">
        <v>0</v>
      </c>
    </row>
    <row r="1713" spans="1:10" ht="15.75" thickBot="1" x14ac:dyDescent="0.3">
      <c r="A1713" s="225" t="s">
        <v>543</v>
      </c>
      <c r="B1713" s="228" t="str">
        <f>INDEX(Orçamentária!A:B,MATCH(Composições!A1713,Orçamentária!A:A,0),2)</f>
        <v>Luminária 2x14 W de embutir</v>
      </c>
      <c r="C1713" s="37"/>
      <c r="D1713" s="22" t="str">
        <f>TRIM(INDEX(Orçamentária!C:C,MATCH(Composições!A1713,Orçamentária!A:A,0),1))</f>
        <v>un</v>
      </c>
      <c r="E1713" s="23"/>
      <c r="F1713" s="38" t="s">
        <v>523</v>
      </c>
      <c r="G1713" s="24" t="str">
        <f t="shared" si="27"/>
        <v/>
      </c>
      <c r="H1713" s="25"/>
      <c r="I1713" s="26"/>
      <c r="J1713" s="141">
        <v>25</v>
      </c>
    </row>
    <row r="1714" spans="1:10" x14ac:dyDescent="0.25">
      <c r="A1714" s="226"/>
      <c r="B1714" s="244"/>
      <c r="C1714" s="28"/>
      <c r="D1714" s="28"/>
      <c r="E1714" s="29"/>
      <c r="F1714" s="39" t="s">
        <v>523</v>
      </c>
      <c r="G1714" s="27" t="str">
        <f t="shared" si="27"/>
        <v/>
      </c>
      <c r="H1714" s="31"/>
      <c r="I1714" s="27"/>
      <c r="J1714" s="141">
        <v>25</v>
      </c>
    </row>
    <row r="1715" spans="1:10" ht="25.5" x14ac:dyDescent="0.25">
      <c r="A1715" s="226"/>
      <c r="B1715" s="244"/>
      <c r="C1715" s="32" t="s">
        <v>544</v>
      </c>
      <c r="D1715" s="32" t="s">
        <v>144</v>
      </c>
      <c r="E1715" s="33">
        <v>1</v>
      </c>
      <c r="F1715" s="30">
        <v>93.92</v>
      </c>
      <c r="G1715" s="30">
        <f t="shared" si="27"/>
        <v>93.92</v>
      </c>
      <c r="H1715" s="35">
        <f>SUM(G1715:G1722)</f>
        <v>243.40198015000001</v>
      </c>
      <c r="I1715" s="36"/>
      <c r="J1715" s="141">
        <v>25</v>
      </c>
    </row>
    <row r="1716" spans="1:10" ht="25.5" x14ac:dyDescent="0.25">
      <c r="A1716" s="226"/>
      <c r="B1716" s="244"/>
      <c r="C1716" s="32" t="s">
        <v>6412</v>
      </c>
      <c r="D1716" s="32" t="s">
        <v>144</v>
      </c>
      <c r="E1716" s="33">
        <v>1</v>
      </c>
      <c r="F1716" s="30">
        <v>68.5</v>
      </c>
      <c r="G1716" s="30">
        <f t="shared" si="27"/>
        <v>68.5</v>
      </c>
      <c r="H1716" s="41"/>
      <c r="I1716" s="42"/>
      <c r="J1716" s="141">
        <v>25</v>
      </c>
    </row>
    <row r="1717" spans="1:10" ht="25.5" x14ac:dyDescent="0.25">
      <c r="A1717" s="226"/>
      <c r="B1717" s="244"/>
      <c r="C1717" s="32" t="s">
        <v>545</v>
      </c>
      <c r="D1717" s="32" t="s">
        <v>144</v>
      </c>
      <c r="E1717" s="33">
        <v>2</v>
      </c>
      <c r="F1717" s="30">
        <v>22.19</v>
      </c>
      <c r="G1717" s="30">
        <f t="shared" si="27"/>
        <v>44.38</v>
      </c>
      <c r="H1717" s="41"/>
      <c r="I1717" s="42"/>
      <c r="J1717" s="141">
        <v>25</v>
      </c>
    </row>
    <row r="1718" spans="1:10" ht="25.5" x14ac:dyDescent="0.25">
      <c r="A1718" s="226"/>
      <c r="B1718" s="244"/>
      <c r="C1718" s="32" t="s">
        <v>540</v>
      </c>
      <c r="D1718" s="32" t="s">
        <v>93</v>
      </c>
      <c r="E1718" s="33">
        <v>1.5</v>
      </c>
      <c r="F1718" s="30">
        <v>8.1999999999999993</v>
      </c>
      <c r="G1718" s="27">
        <f t="shared" si="27"/>
        <v>12.299999999999999</v>
      </c>
      <c r="H1718" s="31"/>
      <c r="I1718" s="27"/>
      <c r="J1718" s="141">
        <v>25</v>
      </c>
    </row>
    <row r="1719" spans="1:10" x14ac:dyDescent="0.25">
      <c r="A1719" s="226"/>
      <c r="B1719" s="244"/>
      <c r="C1719" s="32" t="s">
        <v>541</v>
      </c>
      <c r="D1719" s="32" t="s">
        <v>144</v>
      </c>
      <c r="E1719" s="33">
        <v>1</v>
      </c>
      <c r="F1719" s="30">
        <v>6.31</v>
      </c>
      <c r="G1719" s="27">
        <f t="shared" si="27"/>
        <v>6.31</v>
      </c>
      <c r="H1719" s="31"/>
      <c r="I1719" s="27"/>
      <c r="J1719" s="141">
        <v>25</v>
      </c>
    </row>
    <row r="1720" spans="1:10" x14ac:dyDescent="0.25">
      <c r="A1720" s="226"/>
      <c r="B1720" s="244"/>
      <c r="C1720" s="32" t="s">
        <v>542</v>
      </c>
      <c r="D1720" s="32" t="s">
        <v>144</v>
      </c>
      <c r="E1720" s="33">
        <v>1</v>
      </c>
      <c r="F1720" s="30">
        <v>6.19</v>
      </c>
      <c r="G1720" s="27">
        <f t="shared" si="27"/>
        <v>6.19</v>
      </c>
      <c r="H1720" s="31"/>
      <c r="I1720" s="27"/>
      <c r="J1720" s="141">
        <v>25</v>
      </c>
    </row>
    <row r="1721" spans="1:10" x14ac:dyDescent="0.25">
      <c r="A1721" s="226"/>
      <c r="B1721" s="244"/>
      <c r="C1721" s="32" t="s">
        <v>74</v>
      </c>
      <c r="D1721" s="32" t="s">
        <v>12</v>
      </c>
      <c r="E1721" s="33">
        <v>0.14799999999999999</v>
      </c>
      <c r="F1721" s="27">
        <v>19.4085</v>
      </c>
      <c r="G1721" s="30">
        <f t="shared" si="27"/>
        <v>2.872458</v>
      </c>
      <c r="H1721" s="31"/>
      <c r="I1721" s="27"/>
      <c r="J1721" s="141">
        <v>25</v>
      </c>
    </row>
    <row r="1722" spans="1:10" x14ac:dyDescent="0.25">
      <c r="A1722" s="226"/>
      <c r="B1722" s="244"/>
      <c r="C1722" s="32" t="s">
        <v>30</v>
      </c>
      <c r="D1722" s="32" t="s">
        <v>12</v>
      </c>
      <c r="E1722" s="33">
        <v>0.35510000000000003</v>
      </c>
      <c r="F1722" s="27">
        <v>25.146499999999996</v>
      </c>
      <c r="G1722" s="27">
        <f t="shared" si="27"/>
        <v>8.9295221499999986</v>
      </c>
      <c r="H1722" s="31"/>
      <c r="I1722" s="27"/>
      <c r="J1722" s="141">
        <v>25</v>
      </c>
    </row>
    <row r="1723" spans="1:10" ht="15.75" thickBot="1" x14ac:dyDescent="0.3">
      <c r="A1723" s="227"/>
      <c r="B1723" s="230"/>
      <c r="C1723" s="32"/>
      <c r="D1723" s="32"/>
      <c r="E1723" s="33"/>
      <c r="F1723" s="27" t="s">
        <v>523</v>
      </c>
      <c r="G1723" s="27" t="str">
        <f t="shared" si="27"/>
        <v/>
      </c>
      <c r="H1723" s="31"/>
      <c r="I1723" s="27"/>
      <c r="J1723" s="141">
        <v>25</v>
      </c>
    </row>
    <row r="1724" spans="1:10" ht="15.75" hidden="1" thickBot="1" x14ac:dyDescent="0.3">
      <c r="A1724" s="225" t="s">
        <v>546</v>
      </c>
      <c r="B1724" s="228" t="str">
        <f>INDEX(Orçamentária!A:B,MATCH(Composições!A1724,Orçamentária!A:A,0),2)</f>
        <v>Luminária 2x14 W de sobrepor</v>
      </c>
      <c r="C1724" s="37"/>
      <c r="D1724" s="22" t="str">
        <f>TRIM(INDEX(Orçamentária!C:C,MATCH(Composições!A1724,Orçamentária!A:A,0),1))</f>
        <v>un</v>
      </c>
      <c r="E1724" s="23"/>
      <c r="F1724" s="38" t="s">
        <v>523</v>
      </c>
      <c r="G1724" s="24" t="str">
        <f t="shared" si="27"/>
        <v/>
      </c>
      <c r="H1724" s="25"/>
      <c r="I1724" s="26"/>
      <c r="J1724" s="141">
        <v>0</v>
      </c>
    </row>
    <row r="1725" spans="1:10" ht="15.75" hidden="1" thickBot="1" x14ac:dyDescent="0.3">
      <c r="A1725" s="226"/>
      <c r="B1725" s="244"/>
      <c r="C1725" s="28"/>
      <c r="D1725" s="28"/>
      <c r="E1725" s="29"/>
      <c r="F1725" s="39" t="s">
        <v>523</v>
      </c>
      <c r="G1725" s="27" t="str">
        <f t="shared" si="27"/>
        <v/>
      </c>
      <c r="H1725" s="31"/>
      <c r="I1725" s="27"/>
      <c r="J1725" s="141">
        <v>0</v>
      </c>
    </row>
    <row r="1726" spans="1:10" ht="26.25" hidden="1" thickBot="1" x14ac:dyDescent="0.3">
      <c r="A1726" s="226"/>
      <c r="B1726" s="244"/>
      <c r="C1726" s="32" t="s">
        <v>547</v>
      </c>
      <c r="D1726" s="32" t="s">
        <v>144</v>
      </c>
      <c r="E1726" s="33">
        <v>1</v>
      </c>
      <c r="F1726" s="30" t="s">
        <v>523</v>
      </c>
      <c r="G1726" s="30" t="str">
        <f t="shared" si="27"/>
        <v/>
      </c>
      <c r="H1726" s="35">
        <f>SUM(G1726:G1733)</f>
        <v>151.45255754999999</v>
      </c>
      <c r="I1726" s="36"/>
      <c r="J1726" s="141">
        <v>0</v>
      </c>
    </row>
    <row r="1727" spans="1:10" ht="26.25" hidden="1" thickBot="1" x14ac:dyDescent="0.3">
      <c r="A1727" s="226"/>
      <c r="B1727" s="244"/>
      <c r="C1727" s="32" t="s">
        <v>6412</v>
      </c>
      <c r="D1727" s="32" t="s">
        <v>144</v>
      </c>
      <c r="E1727" s="33">
        <v>1</v>
      </c>
      <c r="F1727" s="30">
        <v>68.5</v>
      </c>
      <c r="G1727" s="30">
        <f t="shared" si="27"/>
        <v>68.5</v>
      </c>
      <c r="H1727" s="41"/>
      <c r="I1727" s="42"/>
      <c r="J1727" s="141">
        <v>0</v>
      </c>
    </row>
    <row r="1728" spans="1:10" ht="26.25" hidden="1" thickBot="1" x14ac:dyDescent="0.3">
      <c r="A1728" s="226"/>
      <c r="B1728" s="244"/>
      <c r="C1728" s="32" t="s">
        <v>545</v>
      </c>
      <c r="D1728" s="32" t="s">
        <v>144</v>
      </c>
      <c r="E1728" s="33">
        <v>2</v>
      </c>
      <c r="F1728" s="30">
        <v>22.19</v>
      </c>
      <c r="G1728" s="30">
        <f t="shared" si="27"/>
        <v>44.38</v>
      </c>
      <c r="H1728" s="41"/>
      <c r="I1728" s="42"/>
      <c r="J1728" s="141">
        <v>0</v>
      </c>
    </row>
    <row r="1729" spans="1:10" ht="26.25" hidden="1" thickBot="1" x14ac:dyDescent="0.3">
      <c r="A1729" s="226"/>
      <c r="B1729" s="244"/>
      <c r="C1729" s="32" t="s">
        <v>540</v>
      </c>
      <c r="D1729" s="32" t="s">
        <v>93</v>
      </c>
      <c r="E1729" s="33">
        <v>1.5</v>
      </c>
      <c r="F1729" s="30">
        <v>8.1999999999999993</v>
      </c>
      <c r="G1729" s="27">
        <f t="shared" si="27"/>
        <v>12.299999999999999</v>
      </c>
      <c r="H1729" s="31"/>
      <c r="I1729" s="27"/>
      <c r="J1729" s="141">
        <v>0</v>
      </c>
    </row>
    <row r="1730" spans="1:10" ht="15.75" hidden="1" thickBot="1" x14ac:dyDescent="0.3">
      <c r="A1730" s="226"/>
      <c r="B1730" s="244"/>
      <c r="C1730" s="32" t="s">
        <v>541</v>
      </c>
      <c r="D1730" s="32" t="s">
        <v>144</v>
      </c>
      <c r="E1730" s="33">
        <v>1</v>
      </c>
      <c r="F1730" s="30">
        <v>6.31</v>
      </c>
      <c r="G1730" s="27">
        <f t="shared" si="27"/>
        <v>6.31</v>
      </c>
      <c r="H1730" s="31"/>
      <c r="I1730" s="27"/>
      <c r="J1730" s="141">
        <v>0</v>
      </c>
    </row>
    <row r="1731" spans="1:10" ht="15.75" hidden="1" thickBot="1" x14ac:dyDescent="0.3">
      <c r="A1731" s="226"/>
      <c r="B1731" s="244"/>
      <c r="C1731" s="32" t="s">
        <v>542</v>
      </c>
      <c r="D1731" s="32" t="s">
        <v>144</v>
      </c>
      <c r="E1731" s="33">
        <v>1</v>
      </c>
      <c r="F1731" s="30">
        <v>6.19</v>
      </c>
      <c r="G1731" s="27">
        <f t="shared" si="27"/>
        <v>6.19</v>
      </c>
      <c r="H1731" s="31"/>
      <c r="I1731" s="27"/>
      <c r="J1731" s="141">
        <v>0</v>
      </c>
    </row>
    <row r="1732" spans="1:10" ht="15.75" hidden="1" thickBot="1" x14ac:dyDescent="0.3">
      <c r="A1732" s="226"/>
      <c r="B1732" s="244"/>
      <c r="C1732" s="32" t="s">
        <v>74</v>
      </c>
      <c r="D1732" s="43" t="s">
        <v>12</v>
      </c>
      <c r="E1732" s="33">
        <v>0.17269999999999999</v>
      </c>
      <c r="F1732" s="27">
        <v>19.4085</v>
      </c>
      <c r="G1732" s="27">
        <f t="shared" si="27"/>
        <v>3.3518479499999998</v>
      </c>
      <c r="H1732" s="31"/>
      <c r="I1732" s="27"/>
      <c r="J1732" s="141">
        <v>0</v>
      </c>
    </row>
    <row r="1733" spans="1:10" ht="15.75" hidden="1" thickBot="1" x14ac:dyDescent="0.3">
      <c r="A1733" s="226"/>
      <c r="B1733" s="244"/>
      <c r="C1733" s="32" t="s">
        <v>30</v>
      </c>
      <c r="D1733" s="32" t="s">
        <v>12</v>
      </c>
      <c r="E1733" s="33">
        <v>0.41439999999999999</v>
      </c>
      <c r="F1733" s="27">
        <v>25.146499999999996</v>
      </c>
      <c r="G1733" s="27">
        <f t="shared" si="27"/>
        <v>10.420709599999999</v>
      </c>
      <c r="H1733" s="31"/>
      <c r="I1733" s="27"/>
      <c r="J1733" s="141">
        <v>0</v>
      </c>
    </row>
    <row r="1734" spans="1:10" ht="15.75" hidden="1" thickBot="1" x14ac:dyDescent="0.3">
      <c r="A1734" s="227"/>
      <c r="B1734" s="230"/>
      <c r="C1734" s="32"/>
      <c r="D1734" s="32"/>
      <c r="E1734" s="33"/>
      <c r="F1734" s="27" t="s">
        <v>523</v>
      </c>
      <c r="G1734" s="27" t="str">
        <f t="shared" si="27"/>
        <v/>
      </c>
      <c r="H1734" s="31"/>
      <c r="I1734" s="27"/>
      <c r="J1734" s="141">
        <v>0</v>
      </c>
    </row>
    <row r="1735" spans="1:10" ht="15.75" hidden="1" thickBot="1" x14ac:dyDescent="0.3">
      <c r="A1735" s="225" t="s">
        <v>548</v>
      </c>
      <c r="B1735" s="228" t="str">
        <f>INDEX(Orçamentária!A:B,MATCH(Composições!A1735,Orçamentária!A:A,0),2)</f>
        <v>Luminária 2x28 W de embutir</v>
      </c>
      <c r="C1735" s="37"/>
      <c r="D1735" s="22" t="str">
        <f>TRIM(INDEX(Orçamentária!C:C,MATCH(Composições!A1735,Orçamentária!A:A,0),1))</f>
        <v>un</v>
      </c>
      <c r="E1735" s="23"/>
      <c r="F1735" s="38" t="s">
        <v>523</v>
      </c>
      <c r="G1735" s="24" t="str">
        <f t="shared" si="27"/>
        <v/>
      </c>
      <c r="H1735" s="25"/>
      <c r="I1735" s="26"/>
      <c r="J1735" s="141">
        <v>0</v>
      </c>
    </row>
    <row r="1736" spans="1:10" ht="15.75" hidden="1" thickBot="1" x14ac:dyDescent="0.3">
      <c r="A1736" s="226"/>
      <c r="B1736" s="244"/>
      <c r="C1736" s="28"/>
      <c r="D1736" s="28"/>
      <c r="E1736" s="29"/>
      <c r="F1736" s="39" t="s">
        <v>523</v>
      </c>
      <c r="G1736" s="27" t="str">
        <f t="shared" si="27"/>
        <v/>
      </c>
      <c r="H1736" s="31"/>
      <c r="I1736" s="27"/>
      <c r="J1736" s="141">
        <v>0</v>
      </c>
    </row>
    <row r="1737" spans="1:10" ht="26.25" hidden="1" thickBot="1" x14ac:dyDescent="0.3">
      <c r="A1737" s="226"/>
      <c r="B1737" s="244"/>
      <c r="C1737" s="32" t="s">
        <v>549</v>
      </c>
      <c r="D1737" s="32" t="s">
        <v>144</v>
      </c>
      <c r="E1737" s="33">
        <v>1</v>
      </c>
      <c r="F1737" s="30" t="s">
        <v>523</v>
      </c>
      <c r="G1737" s="27" t="str">
        <f t="shared" si="27"/>
        <v/>
      </c>
      <c r="H1737" s="35">
        <f>SUM(G1737:G1744)</f>
        <v>124.01198014999999</v>
      </c>
      <c r="I1737" s="36"/>
      <c r="J1737" s="141">
        <v>0</v>
      </c>
    </row>
    <row r="1738" spans="1:10" ht="26.25" hidden="1" thickBot="1" x14ac:dyDescent="0.3">
      <c r="A1738" s="226"/>
      <c r="B1738" s="244"/>
      <c r="C1738" s="32" t="s">
        <v>6411</v>
      </c>
      <c r="D1738" s="32" t="s">
        <v>144</v>
      </c>
      <c r="E1738" s="33">
        <v>1</v>
      </c>
      <c r="F1738" s="30">
        <v>50.75</v>
      </c>
      <c r="G1738" s="27">
        <f t="shared" si="27"/>
        <v>50.75</v>
      </c>
      <c r="H1738" s="41"/>
      <c r="I1738" s="42"/>
      <c r="J1738" s="141">
        <v>0</v>
      </c>
    </row>
    <row r="1739" spans="1:10" ht="26.25" hidden="1" thickBot="1" x14ac:dyDescent="0.3">
      <c r="A1739" s="226"/>
      <c r="B1739" s="244"/>
      <c r="C1739" s="32" t="s">
        <v>550</v>
      </c>
      <c r="D1739" s="32" t="s">
        <v>144</v>
      </c>
      <c r="E1739" s="33">
        <v>2</v>
      </c>
      <c r="F1739" s="30">
        <v>18.329999999999998</v>
      </c>
      <c r="G1739" s="27">
        <f t="shared" si="27"/>
        <v>36.659999999999997</v>
      </c>
      <c r="H1739" s="41"/>
      <c r="I1739" s="42"/>
      <c r="J1739" s="141">
        <v>0</v>
      </c>
    </row>
    <row r="1740" spans="1:10" ht="26.25" hidden="1" thickBot="1" x14ac:dyDescent="0.3">
      <c r="A1740" s="226"/>
      <c r="B1740" s="244"/>
      <c r="C1740" s="32" t="s">
        <v>540</v>
      </c>
      <c r="D1740" s="32" t="s">
        <v>93</v>
      </c>
      <c r="E1740" s="33">
        <v>1.5</v>
      </c>
      <c r="F1740" s="30">
        <v>8.1999999999999993</v>
      </c>
      <c r="G1740" s="27">
        <f t="shared" si="27"/>
        <v>12.299999999999999</v>
      </c>
      <c r="H1740" s="31"/>
      <c r="I1740" s="27"/>
      <c r="J1740" s="141">
        <v>0</v>
      </c>
    </row>
    <row r="1741" spans="1:10" ht="15.75" hidden="1" thickBot="1" x14ac:dyDescent="0.3">
      <c r="A1741" s="226"/>
      <c r="B1741" s="244"/>
      <c r="C1741" s="32" t="s">
        <v>541</v>
      </c>
      <c r="D1741" s="32" t="s">
        <v>144</v>
      </c>
      <c r="E1741" s="33">
        <v>1</v>
      </c>
      <c r="F1741" s="30">
        <v>6.31</v>
      </c>
      <c r="G1741" s="27">
        <f t="shared" si="27"/>
        <v>6.31</v>
      </c>
      <c r="H1741" s="31"/>
      <c r="I1741" s="27"/>
      <c r="J1741" s="141">
        <v>0</v>
      </c>
    </row>
    <row r="1742" spans="1:10" ht="15.75" hidden="1" thickBot="1" x14ac:dyDescent="0.3">
      <c r="A1742" s="226"/>
      <c r="B1742" s="244"/>
      <c r="C1742" s="32" t="s">
        <v>542</v>
      </c>
      <c r="D1742" s="32" t="s">
        <v>144</v>
      </c>
      <c r="E1742" s="33">
        <v>1</v>
      </c>
      <c r="F1742" s="30">
        <v>6.19</v>
      </c>
      <c r="G1742" s="27">
        <f t="shared" si="27"/>
        <v>6.19</v>
      </c>
      <c r="H1742" s="31"/>
      <c r="I1742" s="27"/>
      <c r="J1742" s="141">
        <v>0</v>
      </c>
    </row>
    <row r="1743" spans="1:10" ht="15.75" hidden="1" thickBot="1" x14ac:dyDescent="0.3">
      <c r="A1743" s="226"/>
      <c r="B1743" s="244"/>
      <c r="C1743" s="32" t="s">
        <v>74</v>
      </c>
      <c r="D1743" s="32" t="s">
        <v>12</v>
      </c>
      <c r="E1743" s="33">
        <v>0.14799999999999999</v>
      </c>
      <c r="F1743" s="27">
        <v>19.4085</v>
      </c>
      <c r="G1743" s="30">
        <f t="shared" si="27"/>
        <v>2.872458</v>
      </c>
      <c r="H1743" s="31"/>
      <c r="I1743" s="27"/>
      <c r="J1743" s="141">
        <v>0</v>
      </c>
    </row>
    <row r="1744" spans="1:10" ht="15.75" hidden="1" thickBot="1" x14ac:dyDescent="0.3">
      <c r="A1744" s="226"/>
      <c r="B1744" s="244"/>
      <c r="C1744" s="32" t="s">
        <v>30</v>
      </c>
      <c r="D1744" s="32" t="s">
        <v>12</v>
      </c>
      <c r="E1744" s="33">
        <v>0.35510000000000003</v>
      </c>
      <c r="F1744" s="27">
        <v>25.146499999999996</v>
      </c>
      <c r="G1744" s="27">
        <f t="shared" si="27"/>
        <v>8.9295221499999986</v>
      </c>
      <c r="H1744" s="31"/>
      <c r="I1744" s="27"/>
      <c r="J1744" s="141">
        <v>0</v>
      </c>
    </row>
    <row r="1745" spans="1:10" ht="15.75" hidden="1" thickBot="1" x14ac:dyDescent="0.3">
      <c r="A1745" s="227"/>
      <c r="B1745" s="230"/>
      <c r="C1745" s="32"/>
      <c r="D1745" s="32"/>
      <c r="E1745" s="33"/>
      <c r="F1745" s="27" t="s">
        <v>523</v>
      </c>
      <c r="G1745" s="27" t="str">
        <f t="shared" si="27"/>
        <v/>
      </c>
      <c r="H1745" s="31"/>
      <c r="I1745" s="27"/>
      <c r="J1745" s="141">
        <v>0</v>
      </c>
    </row>
    <row r="1746" spans="1:10" ht="15.75" hidden="1" thickBot="1" x14ac:dyDescent="0.3">
      <c r="A1746" s="225" t="s">
        <v>551</v>
      </c>
      <c r="B1746" s="228" t="str">
        <f>INDEX(Orçamentária!A:B,MATCH(Composições!A1746,Orçamentária!A:A,0),2)</f>
        <v>Luminária 2x28 W de sobrepor</v>
      </c>
      <c r="C1746" s="37"/>
      <c r="D1746" s="22" t="str">
        <f>TRIM(INDEX(Orçamentária!C:C,MATCH(Composições!A1746,Orçamentária!A:A,0),1))</f>
        <v>un</v>
      </c>
      <c r="E1746" s="23"/>
      <c r="F1746" s="38" t="s">
        <v>523</v>
      </c>
      <c r="G1746" s="24" t="str">
        <f t="shared" ref="G1746:G1809" si="28">IF(ISNUMBER(F1746),E1746*F1746,"")</f>
        <v/>
      </c>
      <c r="H1746" s="25"/>
      <c r="I1746" s="26"/>
      <c r="J1746" s="141">
        <v>0</v>
      </c>
    </row>
    <row r="1747" spans="1:10" ht="15.75" hidden="1" thickBot="1" x14ac:dyDescent="0.3">
      <c r="A1747" s="226"/>
      <c r="B1747" s="244"/>
      <c r="C1747" s="28"/>
      <c r="D1747" s="28"/>
      <c r="E1747" s="29"/>
      <c r="F1747" s="39" t="s">
        <v>523</v>
      </c>
      <c r="G1747" s="27" t="str">
        <f t="shared" si="28"/>
        <v/>
      </c>
      <c r="H1747" s="31"/>
      <c r="I1747" s="27"/>
      <c r="J1747" s="141">
        <v>0</v>
      </c>
    </row>
    <row r="1748" spans="1:10" ht="26.25" hidden="1" thickBot="1" x14ac:dyDescent="0.3">
      <c r="A1748" s="226"/>
      <c r="B1748" s="244"/>
      <c r="C1748" s="32" t="s">
        <v>552</v>
      </c>
      <c r="D1748" s="32" t="s">
        <v>144</v>
      </c>
      <c r="E1748" s="33">
        <v>1</v>
      </c>
      <c r="F1748" s="30" t="s">
        <v>523</v>
      </c>
      <c r="G1748" s="27" t="str">
        <f t="shared" si="28"/>
        <v/>
      </c>
      <c r="H1748" s="35">
        <f>SUM(G1748:G1755)</f>
        <v>125.98255754999998</v>
      </c>
      <c r="I1748" s="36"/>
      <c r="J1748" s="141">
        <v>0</v>
      </c>
    </row>
    <row r="1749" spans="1:10" ht="26.25" hidden="1" thickBot="1" x14ac:dyDescent="0.3">
      <c r="A1749" s="226"/>
      <c r="B1749" s="244"/>
      <c r="C1749" s="32" t="s">
        <v>6411</v>
      </c>
      <c r="D1749" s="32" t="s">
        <v>144</v>
      </c>
      <c r="E1749" s="33">
        <v>1</v>
      </c>
      <c r="F1749" s="30">
        <v>50.75</v>
      </c>
      <c r="G1749" s="27">
        <f t="shared" si="28"/>
        <v>50.75</v>
      </c>
      <c r="H1749" s="41"/>
      <c r="I1749" s="42"/>
      <c r="J1749" s="141">
        <v>0</v>
      </c>
    </row>
    <row r="1750" spans="1:10" ht="26.25" hidden="1" thickBot="1" x14ac:dyDescent="0.3">
      <c r="A1750" s="226"/>
      <c r="B1750" s="244"/>
      <c r="C1750" s="32" t="s">
        <v>550</v>
      </c>
      <c r="D1750" s="32" t="s">
        <v>144</v>
      </c>
      <c r="E1750" s="33">
        <v>2</v>
      </c>
      <c r="F1750" s="30">
        <v>18.329999999999998</v>
      </c>
      <c r="G1750" s="27">
        <f t="shared" si="28"/>
        <v>36.659999999999997</v>
      </c>
      <c r="H1750" s="41"/>
      <c r="I1750" s="42"/>
      <c r="J1750" s="141">
        <v>0</v>
      </c>
    </row>
    <row r="1751" spans="1:10" ht="26.25" hidden="1" thickBot="1" x14ac:dyDescent="0.3">
      <c r="A1751" s="226"/>
      <c r="B1751" s="244"/>
      <c r="C1751" s="32" t="s">
        <v>540</v>
      </c>
      <c r="D1751" s="32" t="s">
        <v>93</v>
      </c>
      <c r="E1751" s="33">
        <v>1.5</v>
      </c>
      <c r="F1751" s="30">
        <v>8.1999999999999993</v>
      </c>
      <c r="G1751" s="27">
        <f t="shared" si="28"/>
        <v>12.299999999999999</v>
      </c>
      <c r="H1751" s="31"/>
      <c r="I1751" s="27"/>
      <c r="J1751" s="141">
        <v>0</v>
      </c>
    </row>
    <row r="1752" spans="1:10" ht="15.75" hidden="1" thickBot="1" x14ac:dyDescent="0.3">
      <c r="A1752" s="226"/>
      <c r="B1752" s="244"/>
      <c r="C1752" s="32" t="s">
        <v>541</v>
      </c>
      <c r="D1752" s="32" t="s">
        <v>144</v>
      </c>
      <c r="E1752" s="33">
        <v>1</v>
      </c>
      <c r="F1752" s="30">
        <v>6.31</v>
      </c>
      <c r="G1752" s="27">
        <f t="shared" si="28"/>
        <v>6.31</v>
      </c>
      <c r="H1752" s="31"/>
      <c r="I1752" s="27"/>
      <c r="J1752" s="141">
        <v>0</v>
      </c>
    </row>
    <row r="1753" spans="1:10" ht="15.75" hidden="1" thickBot="1" x14ac:dyDescent="0.3">
      <c r="A1753" s="226"/>
      <c r="B1753" s="244"/>
      <c r="C1753" s="32" t="s">
        <v>542</v>
      </c>
      <c r="D1753" s="32" t="s">
        <v>144</v>
      </c>
      <c r="E1753" s="33">
        <v>1</v>
      </c>
      <c r="F1753" s="30">
        <v>6.19</v>
      </c>
      <c r="G1753" s="27">
        <f t="shared" si="28"/>
        <v>6.19</v>
      </c>
      <c r="H1753" s="31"/>
      <c r="I1753" s="27"/>
      <c r="J1753" s="141">
        <v>0</v>
      </c>
    </row>
    <row r="1754" spans="1:10" ht="15.75" hidden="1" thickBot="1" x14ac:dyDescent="0.3">
      <c r="A1754" s="226"/>
      <c r="B1754" s="244"/>
      <c r="C1754" s="32" t="s">
        <v>74</v>
      </c>
      <c r="D1754" s="32" t="s">
        <v>12</v>
      </c>
      <c r="E1754" s="33">
        <v>0.17269999999999999</v>
      </c>
      <c r="F1754" s="27">
        <v>19.4085</v>
      </c>
      <c r="G1754" s="27">
        <f t="shared" si="28"/>
        <v>3.3518479499999998</v>
      </c>
      <c r="H1754" s="31"/>
      <c r="I1754" s="27"/>
      <c r="J1754" s="141">
        <v>0</v>
      </c>
    </row>
    <row r="1755" spans="1:10" ht="15.75" hidden="1" thickBot="1" x14ac:dyDescent="0.3">
      <c r="A1755" s="226"/>
      <c r="B1755" s="244"/>
      <c r="C1755" s="32" t="s">
        <v>30</v>
      </c>
      <c r="D1755" s="32" t="s">
        <v>12</v>
      </c>
      <c r="E1755" s="33">
        <v>0.41439999999999999</v>
      </c>
      <c r="F1755" s="27">
        <v>25.146499999999996</v>
      </c>
      <c r="G1755" s="27">
        <f t="shared" si="28"/>
        <v>10.420709599999999</v>
      </c>
      <c r="H1755" s="31"/>
      <c r="I1755" s="27"/>
      <c r="J1755" s="141">
        <v>0</v>
      </c>
    </row>
    <row r="1756" spans="1:10" ht="15.75" hidden="1" thickBot="1" x14ac:dyDescent="0.3">
      <c r="A1756" s="227"/>
      <c r="B1756" s="230"/>
      <c r="C1756" s="32"/>
      <c r="D1756" s="32"/>
      <c r="E1756" s="33"/>
      <c r="F1756" s="27" t="s">
        <v>523</v>
      </c>
      <c r="G1756" s="27" t="str">
        <f t="shared" si="28"/>
        <v/>
      </c>
      <c r="H1756" s="31"/>
      <c r="I1756" s="27"/>
      <c r="J1756" s="141">
        <v>0</v>
      </c>
    </row>
    <row r="1757" spans="1:10" ht="15.75" thickBot="1" x14ac:dyDescent="0.3">
      <c r="A1757" s="225" t="s">
        <v>553</v>
      </c>
      <c r="B1757" s="228" t="str">
        <f>INDEX(Orçamentária!A:B,MATCH(Composições!A1757,Orçamentária!A:A,0),2)</f>
        <v>Condutor 10 mm²</v>
      </c>
      <c r="C1757" s="37"/>
      <c r="D1757" s="22" t="str">
        <f>TRIM(INDEX(Orçamentária!C:C,MATCH(Composições!A1757,Orçamentária!A:A,0),1))</f>
        <v>m</v>
      </c>
      <c r="E1757" s="23"/>
      <c r="F1757" s="38" t="s">
        <v>523</v>
      </c>
      <c r="G1757" s="24" t="str">
        <f t="shared" si="28"/>
        <v/>
      </c>
      <c r="H1757" s="25"/>
      <c r="I1757" s="26"/>
      <c r="J1757" s="141">
        <v>8998.5</v>
      </c>
    </row>
    <row r="1758" spans="1:10" x14ac:dyDescent="0.25">
      <c r="A1758" s="226"/>
      <c r="B1758" s="244"/>
      <c r="C1758" s="28"/>
      <c r="D1758" s="28"/>
      <c r="E1758" s="29"/>
      <c r="F1758" s="39" t="s">
        <v>523</v>
      </c>
      <c r="G1758" s="27" t="str">
        <f t="shared" si="28"/>
        <v/>
      </c>
      <c r="H1758" s="31"/>
      <c r="I1758" s="27"/>
      <c r="J1758" s="141">
        <v>8998.5</v>
      </c>
    </row>
    <row r="1759" spans="1:10" x14ac:dyDescent="0.25">
      <c r="A1759" s="226"/>
      <c r="B1759" s="244"/>
      <c r="C1759" s="32" t="s">
        <v>74</v>
      </c>
      <c r="D1759" s="32" t="s">
        <v>12</v>
      </c>
      <c r="E1759" s="33">
        <v>8.9999999999999993E-3</v>
      </c>
      <c r="F1759" s="27">
        <v>19.4085</v>
      </c>
      <c r="G1759" s="30">
        <f t="shared" si="28"/>
        <v>0.17467649999999998</v>
      </c>
      <c r="H1759" s="35">
        <f>SUM(G1759:G1762)</f>
        <v>17.221314999999997</v>
      </c>
      <c r="I1759" s="36"/>
      <c r="J1759" s="141">
        <v>8998.5</v>
      </c>
    </row>
    <row r="1760" spans="1:10" x14ac:dyDescent="0.25">
      <c r="A1760" s="226"/>
      <c r="B1760" s="244"/>
      <c r="C1760" s="32" t="s">
        <v>30</v>
      </c>
      <c r="D1760" s="32" t="s">
        <v>12</v>
      </c>
      <c r="E1760" s="33">
        <v>8.9999999999999993E-3</v>
      </c>
      <c r="F1760" s="27">
        <v>25.146499999999996</v>
      </c>
      <c r="G1760" s="30">
        <f t="shared" si="28"/>
        <v>0.22631849999999995</v>
      </c>
      <c r="H1760" s="31"/>
      <c r="I1760" s="27"/>
      <c r="J1760" s="141">
        <v>8998.5</v>
      </c>
    </row>
    <row r="1761" spans="1:10" x14ac:dyDescent="0.25">
      <c r="A1761" s="226"/>
      <c r="B1761" s="244"/>
      <c r="C1761" s="32" t="s">
        <v>554</v>
      </c>
      <c r="D1761" s="32" t="s">
        <v>93</v>
      </c>
      <c r="E1761" s="33">
        <v>1.0269999999999999</v>
      </c>
      <c r="F1761" s="30">
        <v>16.34</v>
      </c>
      <c r="G1761" s="30">
        <f t="shared" si="28"/>
        <v>16.781179999999999</v>
      </c>
      <c r="H1761" s="31"/>
      <c r="I1761" s="27"/>
      <c r="J1761" s="141">
        <v>8998.5</v>
      </c>
    </row>
    <row r="1762" spans="1:10" x14ac:dyDescent="0.25">
      <c r="A1762" s="226"/>
      <c r="B1762" s="244"/>
      <c r="C1762" s="32" t="s">
        <v>555</v>
      </c>
      <c r="D1762" s="32" t="s">
        <v>20</v>
      </c>
      <c r="E1762" s="33">
        <v>0.01</v>
      </c>
      <c r="F1762" s="30">
        <v>3.9139999999999997</v>
      </c>
      <c r="G1762" s="30">
        <f t="shared" si="28"/>
        <v>3.9140000000000001E-2</v>
      </c>
      <c r="H1762" s="31"/>
      <c r="I1762" s="27"/>
      <c r="J1762" s="141">
        <v>8998.5</v>
      </c>
    </row>
    <row r="1763" spans="1:10" ht="15.75" thickBot="1" x14ac:dyDescent="0.3">
      <c r="A1763" s="227"/>
      <c r="B1763" s="230"/>
      <c r="C1763" s="32"/>
      <c r="D1763" s="32"/>
      <c r="E1763" s="33"/>
      <c r="F1763" s="27" t="s">
        <v>523</v>
      </c>
      <c r="G1763" s="27" t="str">
        <f t="shared" si="28"/>
        <v/>
      </c>
      <c r="H1763" s="31"/>
      <c r="I1763" s="27"/>
      <c r="J1763" s="141">
        <v>8998.5</v>
      </c>
    </row>
    <row r="1764" spans="1:10" ht="15.75" thickBot="1" x14ac:dyDescent="0.3">
      <c r="A1764" s="225" t="s">
        <v>556</v>
      </c>
      <c r="B1764" s="228" t="str">
        <f>INDEX(Orçamentária!A:B,MATCH(Composições!A1764,Orçamentária!A:A,0),2)</f>
        <v>Condutor 16 mm²</v>
      </c>
      <c r="C1764" s="37"/>
      <c r="D1764" s="22" t="str">
        <f>TRIM(INDEX(Orçamentária!C:C,MATCH(Composições!A1764,Orçamentária!A:A,0),1))</f>
        <v>m</v>
      </c>
      <c r="E1764" s="23"/>
      <c r="F1764" s="38" t="s">
        <v>523</v>
      </c>
      <c r="G1764" s="24" t="str">
        <f t="shared" si="28"/>
        <v/>
      </c>
      <c r="H1764" s="25"/>
      <c r="I1764" s="26"/>
      <c r="J1764" s="141">
        <v>70.400000000000006</v>
      </c>
    </row>
    <row r="1765" spans="1:10" x14ac:dyDescent="0.25">
      <c r="A1765" s="226"/>
      <c r="B1765" s="244"/>
      <c r="C1765" s="28"/>
      <c r="D1765" s="28"/>
      <c r="E1765" s="29"/>
      <c r="F1765" s="39" t="s">
        <v>523</v>
      </c>
      <c r="G1765" s="27" t="str">
        <f t="shared" si="28"/>
        <v/>
      </c>
      <c r="H1765" s="31"/>
      <c r="I1765" s="27"/>
      <c r="J1765" s="141">
        <v>70.400000000000006</v>
      </c>
    </row>
    <row r="1766" spans="1:10" x14ac:dyDescent="0.25">
      <c r="A1766" s="226"/>
      <c r="B1766" s="244"/>
      <c r="C1766" s="32" t="s">
        <v>74</v>
      </c>
      <c r="D1766" s="32" t="s">
        <v>12</v>
      </c>
      <c r="E1766" s="33">
        <v>1.2999999999999999E-2</v>
      </c>
      <c r="F1766" s="27">
        <v>19.4085</v>
      </c>
      <c r="G1766" s="30">
        <f t="shared" si="28"/>
        <v>0.25231049999999999</v>
      </c>
      <c r="H1766" s="35">
        <f>SUM(G1766:G1769)</f>
        <v>25.575481999999997</v>
      </c>
      <c r="I1766" s="36"/>
      <c r="J1766" s="141">
        <v>70.400000000000006</v>
      </c>
    </row>
    <row r="1767" spans="1:10" x14ac:dyDescent="0.25">
      <c r="A1767" s="226"/>
      <c r="B1767" s="244"/>
      <c r="C1767" s="32" t="s">
        <v>30</v>
      </c>
      <c r="D1767" s="32" t="s">
        <v>12</v>
      </c>
      <c r="E1767" s="33">
        <v>1.2999999999999999E-2</v>
      </c>
      <c r="F1767" s="27">
        <v>25.146499999999996</v>
      </c>
      <c r="G1767" s="30">
        <f t="shared" si="28"/>
        <v>0.32690449999999993</v>
      </c>
      <c r="H1767" s="31"/>
      <c r="I1767" s="27"/>
      <c r="J1767" s="141">
        <v>70.400000000000006</v>
      </c>
    </row>
    <row r="1768" spans="1:10" x14ac:dyDescent="0.25">
      <c r="A1768" s="226"/>
      <c r="B1768" s="244"/>
      <c r="C1768" s="32" t="s">
        <v>557</v>
      </c>
      <c r="D1768" s="32" t="s">
        <v>93</v>
      </c>
      <c r="E1768" s="33">
        <v>1.0269999999999999</v>
      </c>
      <c r="F1768" s="30">
        <v>24.300999999999998</v>
      </c>
      <c r="G1768" s="30">
        <f t="shared" si="28"/>
        <v>24.957126999999996</v>
      </c>
      <c r="H1768" s="31"/>
      <c r="I1768" s="27"/>
      <c r="J1768" s="141">
        <v>70.400000000000006</v>
      </c>
    </row>
    <row r="1769" spans="1:10" x14ac:dyDescent="0.25">
      <c r="A1769" s="226"/>
      <c r="B1769" s="244"/>
      <c r="C1769" s="32" t="s">
        <v>555</v>
      </c>
      <c r="D1769" s="32" t="s">
        <v>20</v>
      </c>
      <c r="E1769" s="33">
        <v>0.01</v>
      </c>
      <c r="F1769" s="30">
        <v>3.9139999999999997</v>
      </c>
      <c r="G1769" s="30">
        <f t="shared" si="28"/>
        <v>3.9140000000000001E-2</v>
      </c>
      <c r="H1769" s="31"/>
      <c r="I1769" s="27"/>
      <c r="J1769" s="141">
        <v>70.400000000000006</v>
      </c>
    </row>
    <row r="1770" spans="1:10" ht="15.75" thickBot="1" x14ac:dyDescent="0.3">
      <c r="A1770" s="227"/>
      <c r="B1770" s="230"/>
      <c r="C1770" s="32"/>
      <c r="D1770" s="32"/>
      <c r="E1770" s="33"/>
      <c r="F1770" s="27" t="s">
        <v>523</v>
      </c>
      <c r="G1770" s="27" t="str">
        <f t="shared" si="28"/>
        <v/>
      </c>
      <c r="H1770" s="31"/>
      <c r="I1770" s="27"/>
      <c r="J1770" s="141">
        <v>70.400000000000006</v>
      </c>
    </row>
    <row r="1771" spans="1:10" ht="15.75" thickBot="1" x14ac:dyDescent="0.3">
      <c r="A1771" s="225" t="s">
        <v>558</v>
      </c>
      <c r="B1771" s="228" t="str">
        <f>INDEX(Orçamentária!A:B,MATCH(Composições!A1771,Orçamentária!A:A,0),2)</f>
        <v>Condutor 2,5 mm²</v>
      </c>
      <c r="C1771" s="37"/>
      <c r="D1771" s="22" t="str">
        <f>TRIM(INDEX(Orçamentária!C:C,MATCH(Composições!A1771,Orçamentária!A:A,0),1))</f>
        <v>m</v>
      </c>
      <c r="E1771" s="23"/>
      <c r="F1771" s="38" t="s">
        <v>523</v>
      </c>
      <c r="G1771" s="24" t="str">
        <f t="shared" si="28"/>
        <v/>
      </c>
      <c r="H1771" s="25"/>
      <c r="I1771" s="26"/>
      <c r="J1771" s="141">
        <v>4354</v>
      </c>
    </row>
    <row r="1772" spans="1:10" x14ac:dyDescent="0.25">
      <c r="A1772" s="226"/>
      <c r="B1772" s="244"/>
      <c r="C1772" s="28"/>
      <c r="D1772" s="28"/>
      <c r="E1772" s="29"/>
      <c r="F1772" s="39" t="s">
        <v>523</v>
      </c>
      <c r="G1772" s="27" t="str">
        <f t="shared" si="28"/>
        <v/>
      </c>
      <c r="H1772" s="31"/>
      <c r="I1772" s="27"/>
      <c r="J1772" s="141">
        <v>4354</v>
      </c>
    </row>
    <row r="1773" spans="1:10" x14ac:dyDescent="0.25">
      <c r="A1773" s="226"/>
      <c r="B1773" s="244"/>
      <c r="C1773" s="32" t="s">
        <v>74</v>
      </c>
      <c r="D1773" s="32" t="s">
        <v>12</v>
      </c>
      <c r="E1773" s="33">
        <v>0.03</v>
      </c>
      <c r="F1773" s="27">
        <v>19.4085</v>
      </c>
      <c r="G1773" s="30">
        <f t="shared" si="28"/>
        <v>0.58225499999999997</v>
      </c>
      <c r="H1773" s="35">
        <f>SUM(G1773:G1776)</f>
        <v>4.7871759999999988</v>
      </c>
      <c r="I1773" s="36"/>
      <c r="J1773" s="141">
        <v>4354</v>
      </c>
    </row>
    <row r="1774" spans="1:10" x14ac:dyDescent="0.25">
      <c r="A1774" s="226"/>
      <c r="B1774" s="244"/>
      <c r="C1774" s="32" t="s">
        <v>30</v>
      </c>
      <c r="D1774" s="32" t="s">
        <v>12</v>
      </c>
      <c r="E1774" s="33">
        <v>0.03</v>
      </c>
      <c r="F1774" s="27">
        <v>25.146499999999996</v>
      </c>
      <c r="G1774" s="30">
        <f t="shared" si="28"/>
        <v>0.75439499999999982</v>
      </c>
      <c r="H1774" s="31"/>
      <c r="I1774" s="27"/>
      <c r="J1774" s="141">
        <v>4354</v>
      </c>
    </row>
    <row r="1775" spans="1:10" ht="25.5" x14ac:dyDescent="0.25">
      <c r="A1775" s="226"/>
      <c r="B1775" s="244"/>
      <c r="C1775" s="32" t="s">
        <v>559</v>
      </c>
      <c r="D1775" s="32" t="s">
        <v>93</v>
      </c>
      <c r="E1775" s="33">
        <v>1.19</v>
      </c>
      <c r="F1775" s="30">
        <v>2.87</v>
      </c>
      <c r="G1775" s="30">
        <f t="shared" si="28"/>
        <v>3.4152999999999998</v>
      </c>
      <c r="H1775" s="31"/>
      <c r="I1775" s="27"/>
      <c r="J1775" s="141">
        <v>4354</v>
      </c>
    </row>
    <row r="1776" spans="1:10" x14ac:dyDescent="0.25">
      <c r="A1776" s="226"/>
      <c r="B1776" s="244"/>
      <c r="C1776" s="32" t="s">
        <v>555</v>
      </c>
      <c r="D1776" s="32" t="s">
        <v>20</v>
      </c>
      <c r="E1776" s="33">
        <v>8.9999999999999993E-3</v>
      </c>
      <c r="F1776" s="30">
        <v>3.9139999999999997</v>
      </c>
      <c r="G1776" s="30">
        <f t="shared" si="28"/>
        <v>3.5225999999999993E-2</v>
      </c>
      <c r="H1776" s="31"/>
      <c r="I1776" s="27"/>
      <c r="J1776" s="141">
        <v>4354</v>
      </c>
    </row>
    <row r="1777" spans="1:10" ht="15.75" thickBot="1" x14ac:dyDescent="0.3">
      <c r="A1777" s="227"/>
      <c r="B1777" s="230"/>
      <c r="C1777" s="32"/>
      <c r="D1777" s="32"/>
      <c r="E1777" s="33"/>
      <c r="F1777" s="27" t="s">
        <v>523</v>
      </c>
      <c r="G1777" s="27" t="str">
        <f t="shared" si="28"/>
        <v/>
      </c>
      <c r="H1777" s="31"/>
      <c r="I1777" s="27"/>
      <c r="J1777" s="141">
        <v>4354</v>
      </c>
    </row>
    <row r="1778" spans="1:10" ht="15.75" hidden="1" thickBot="1" x14ac:dyDescent="0.3">
      <c r="A1778" s="225" t="s">
        <v>560</v>
      </c>
      <c r="B1778" s="228" t="str">
        <f>INDEX(Orçamentária!A:B,MATCH(Composições!A1778,Orçamentária!A:A,0),2)</f>
        <v>Condutor 3x2,5 mm²</v>
      </c>
      <c r="C1778" s="37"/>
      <c r="D1778" s="22" t="str">
        <f>TRIM(INDEX(Orçamentária!C:C,MATCH(Composições!A1778,Orçamentária!A:A,0),1))</f>
        <v>m</v>
      </c>
      <c r="E1778" s="23"/>
      <c r="F1778" s="38" t="s">
        <v>523</v>
      </c>
      <c r="G1778" s="24" t="str">
        <f t="shared" si="28"/>
        <v/>
      </c>
      <c r="H1778" s="25"/>
      <c r="I1778" s="26"/>
      <c r="J1778" s="141">
        <v>0</v>
      </c>
    </row>
    <row r="1779" spans="1:10" ht="15.75" hidden="1" thickBot="1" x14ac:dyDescent="0.3">
      <c r="A1779" s="226"/>
      <c r="B1779" s="244"/>
      <c r="C1779" s="28"/>
      <c r="D1779" s="28"/>
      <c r="E1779" s="29"/>
      <c r="F1779" s="39" t="s">
        <v>523</v>
      </c>
      <c r="G1779" s="27" t="str">
        <f t="shared" si="28"/>
        <v/>
      </c>
      <c r="H1779" s="31"/>
      <c r="I1779" s="27"/>
      <c r="J1779" s="141">
        <v>0</v>
      </c>
    </row>
    <row r="1780" spans="1:10" ht="15.75" hidden="1" thickBot="1" x14ac:dyDescent="0.3">
      <c r="A1780" s="226"/>
      <c r="B1780" s="244"/>
      <c r="C1780" s="32" t="s">
        <v>74</v>
      </c>
      <c r="D1780" s="32" t="s">
        <v>12</v>
      </c>
      <c r="E1780" s="33">
        <v>5.1999999999999998E-2</v>
      </c>
      <c r="F1780" s="27">
        <v>19.4085</v>
      </c>
      <c r="G1780" s="30">
        <f t="shared" si="28"/>
        <v>1.009242</v>
      </c>
      <c r="H1780" s="35">
        <f>SUM(G1780:G1783)</f>
        <v>2.3520859999999999</v>
      </c>
      <c r="I1780" s="36"/>
      <c r="J1780" s="141">
        <v>0</v>
      </c>
    </row>
    <row r="1781" spans="1:10" ht="15.75" hidden="1" thickBot="1" x14ac:dyDescent="0.3">
      <c r="A1781" s="226"/>
      <c r="B1781" s="244"/>
      <c r="C1781" s="32" t="s">
        <v>30</v>
      </c>
      <c r="D1781" s="32" t="s">
        <v>12</v>
      </c>
      <c r="E1781" s="33">
        <v>5.1999999999999998E-2</v>
      </c>
      <c r="F1781" s="27">
        <v>25.146499999999996</v>
      </c>
      <c r="G1781" s="30">
        <f t="shared" si="28"/>
        <v>1.3076179999999997</v>
      </c>
      <c r="H1781" s="31"/>
      <c r="I1781" s="27"/>
      <c r="J1781" s="141">
        <v>0</v>
      </c>
    </row>
    <row r="1782" spans="1:10" ht="26.25" hidden="1" thickBot="1" x14ac:dyDescent="0.3">
      <c r="A1782" s="226"/>
      <c r="B1782" s="244"/>
      <c r="C1782" s="32" t="s">
        <v>561</v>
      </c>
      <c r="D1782" s="32" t="s">
        <v>93</v>
      </c>
      <c r="E1782" s="33">
        <v>1.19</v>
      </c>
      <c r="F1782" s="30" t="s">
        <v>523</v>
      </c>
      <c r="G1782" s="30" t="str">
        <f t="shared" si="28"/>
        <v/>
      </c>
      <c r="H1782" s="31"/>
      <c r="I1782" s="27"/>
      <c r="J1782" s="141">
        <v>0</v>
      </c>
    </row>
    <row r="1783" spans="1:10" ht="15.75" hidden="1" thickBot="1" x14ac:dyDescent="0.3">
      <c r="A1783" s="226"/>
      <c r="B1783" s="244"/>
      <c r="C1783" s="32" t="s">
        <v>555</v>
      </c>
      <c r="D1783" s="32" t="s">
        <v>20</v>
      </c>
      <c r="E1783" s="33">
        <v>8.9999999999999993E-3</v>
      </c>
      <c r="F1783" s="30">
        <v>3.9139999999999997</v>
      </c>
      <c r="G1783" s="30">
        <f t="shared" si="28"/>
        <v>3.5225999999999993E-2</v>
      </c>
      <c r="H1783" s="31"/>
      <c r="I1783" s="27"/>
      <c r="J1783" s="141">
        <v>0</v>
      </c>
    </row>
    <row r="1784" spans="1:10" ht="15.75" hidden="1" thickBot="1" x14ac:dyDescent="0.3">
      <c r="A1784" s="227"/>
      <c r="B1784" s="230"/>
      <c r="C1784" s="32"/>
      <c r="D1784" s="32"/>
      <c r="E1784" s="33"/>
      <c r="F1784" s="27" t="s">
        <v>523</v>
      </c>
      <c r="G1784" s="27" t="str">
        <f t="shared" si="28"/>
        <v/>
      </c>
      <c r="H1784" s="31"/>
      <c r="I1784" s="27"/>
      <c r="J1784" s="141">
        <v>0</v>
      </c>
    </row>
    <row r="1785" spans="1:10" ht="15.75" hidden="1" thickBot="1" x14ac:dyDescent="0.3">
      <c r="A1785" s="225" t="s">
        <v>562</v>
      </c>
      <c r="B1785" s="228" t="str">
        <f>INDEX(Orçamentária!A:B,MATCH(Composições!A1785,Orçamentária!A:A,0),2)</f>
        <v>Condutor 4 mm²</v>
      </c>
      <c r="C1785" s="37"/>
      <c r="D1785" s="22" t="str">
        <f>TRIM(INDEX(Orçamentária!C:C,MATCH(Composições!A1785,Orçamentária!A:A,0),1))</f>
        <v>m</v>
      </c>
      <c r="E1785" s="23"/>
      <c r="F1785" s="38" t="s">
        <v>523</v>
      </c>
      <c r="G1785" s="24" t="str">
        <f t="shared" si="28"/>
        <v/>
      </c>
      <c r="H1785" s="25"/>
      <c r="I1785" s="26"/>
      <c r="J1785" s="141">
        <v>0</v>
      </c>
    </row>
    <row r="1786" spans="1:10" ht="15.75" hidden="1" thickBot="1" x14ac:dyDescent="0.3">
      <c r="A1786" s="226"/>
      <c r="B1786" s="244"/>
      <c r="C1786" s="28"/>
      <c r="D1786" s="28"/>
      <c r="E1786" s="29"/>
      <c r="F1786" s="39" t="s">
        <v>523</v>
      </c>
      <c r="G1786" s="27" t="str">
        <f t="shared" si="28"/>
        <v/>
      </c>
      <c r="H1786" s="31"/>
      <c r="I1786" s="27"/>
      <c r="J1786" s="141">
        <v>0</v>
      </c>
    </row>
    <row r="1787" spans="1:10" ht="15.75" hidden="1" thickBot="1" x14ac:dyDescent="0.3">
      <c r="A1787" s="226"/>
      <c r="B1787" s="244"/>
      <c r="C1787" s="32" t="s">
        <v>74</v>
      </c>
      <c r="D1787" s="32" t="s">
        <v>12</v>
      </c>
      <c r="E1787" s="33">
        <v>0.04</v>
      </c>
      <c r="F1787" s="27">
        <v>19.4085</v>
      </c>
      <c r="G1787" s="30">
        <f t="shared" si="28"/>
        <v>0.77634000000000003</v>
      </c>
      <c r="H1787" s="35">
        <f>SUM(G1787:G1790)</f>
        <v>1.8174259999999998</v>
      </c>
      <c r="I1787" s="36"/>
      <c r="J1787" s="141">
        <v>0</v>
      </c>
    </row>
    <row r="1788" spans="1:10" ht="15.75" hidden="1" thickBot="1" x14ac:dyDescent="0.3">
      <c r="A1788" s="226"/>
      <c r="B1788" s="244"/>
      <c r="C1788" s="32" t="s">
        <v>30</v>
      </c>
      <c r="D1788" s="32" t="s">
        <v>12</v>
      </c>
      <c r="E1788" s="33">
        <v>0.04</v>
      </c>
      <c r="F1788" s="27">
        <v>25.146499999999996</v>
      </c>
      <c r="G1788" s="30">
        <f t="shared" si="28"/>
        <v>1.0058599999999998</v>
      </c>
      <c r="H1788" s="31"/>
      <c r="I1788" s="27"/>
      <c r="J1788" s="141">
        <v>0</v>
      </c>
    </row>
    <row r="1789" spans="1:10" ht="26.25" hidden="1" thickBot="1" x14ac:dyDescent="0.3">
      <c r="A1789" s="226"/>
      <c r="B1789" s="244"/>
      <c r="C1789" s="32" t="s">
        <v>563</v>
      </c>
      <c r="D1789" s="32" t="s">
        <v>93</v>
      </c>
      <c r="E1789" s="33">
        <v>1.19</v>
      </c>
      <c r="F1789" s="30" t="s">
        <v>523</v>
      </c>
      <c r="G1789" s="30" t="str">
        <f t="shared" si="28"/>
        <v/>
      </c>
      <c r="H1789" s="31"/>
      <c r="I1789" s="27"/>
      <c r="J1789" s="141">
        <v>0</v>
      </c>
    </row>
    <row r="1790" spans="1:10" ht="15.75" hidden="1" thickBot="1" x14ac:dyDescent="0.3">
      <c r="A1790" s="226"/>
      <c r="B1790" s="244"/>
      <c r="C1790" s="32" t="s">
        <v>555</v>
      </c>
      <c r="D1790" s="32" t="s">
        <v>20</v>
      </c>
      <c r="E1790" s="33">
        <v>8.9999999999999993E-3</v>
      </c>
      <c r="F1790" s="30">
        <v>3.9139999999999997</v>
      </c>
      <c r="G1790" s="30">
        <f t="shared" si="28"/>
        <v>3.5225999999999993E-2</v>
      </c>
      <c r="H1790" s="31"/>
      <c r="I1790" s="27"/>
      <c r="J1790" s="141">
        <v>0</v>
      </c>
    </row>
    <row r="1791" spans="1:10" ht="15.75" hidden="1" thickBot="1" x14ac:dyDescent="0.3">
      <c r="A1791" s="227"/>
      <c r="B1791" s="230"/>
      <c r="C1791" s="32"/>
      <c r="D1791" s="32"/>
      <c r="E1791" s="33"/>
      <c r="F1791" s="27" t="s">
        <v>523</v>
      </c>
      <c r="G1791" s="27" t="str">
        <f t="shared" si="28"/>
        <v/>
      </c>
      <c r="H1791" s="31"/>
      <c r="I1791" s="27"/>
      <c r="J1791" s="141">
        <v>0</v>
      </c>
    </row>
    <row r="1792" spans="1:10" ht="15.75" thickBot="1" x14ac:dyDescent="0.3">
      <c r="A1792" s="225" t="s">
        <v>564</v>
      </c>
      <c r="B1792" s="228" t="str">
        <f>INDEX(Orçamentária!A:B,MATCH(Composições!A1792,Orçamentária!A:A,0),2)</f>
        <v>Condutor 4x2,5 mm²</v>
      </c>
      <c r="C1792" s="37"/>
      <c r="D1792" s="22" t="str">
        <f>TRIM(INDEX(Orçamentária!C:C,MATCH(Composições!A1792,Orçamentária!A:A,0),1))</f>
        <v>m</v>
      </c>
      <c r="E1792" s="23"/>
      <c r="F1792" s="38" t="s">
        <v>523</v>
      </c>
      <c r="G1792" s="24" t="str">
        <f t="shared" si="28"/>
        <v/>
      </c>
      <c r="H1792" s="25"/>
      <c r="I1792" s="26"/>
      <c r="J1792" s="141">
        <v>200</v>
      </c>
    </row>
    <row r="1793" spans="1:10" x14ac:dyDescent="0.25">
      <c r="A1793" s="226"/>
      <c r="B1793" s="244"/>
      <c r="C1793" s="28"/>
      <c r="D1793" s="28"/>
      <c r="E1793" s="29"/>
      <c r="F1793" s="39" t="s">
        <v>523</v>
      </c>
      <c r="G1793" s="27" t="str">
        <f t="shared" si="28"/>
        <v/>
      </c>
      <c r="H1793" s="31"/>
      <c r="I1793" s="27"/>
      <c r="J1793" s="141">
        <v>200</v>
      </c>
    </row>
    <row r="1794" spans="1:10" x14ac:dyDescent="0.25">
      <c r="A1794" s="226"/>
      <c r="B1794" s="244"/>
      <c r="C1794" s="32" t="s">
        <v>74</v>
      </c>
      <c r="D1794" s="32" t="s">
        <v>12</v>
      </c>
      <c r="E1794" s="33">
        <v>8.9999999999999993E-3</v>
      </c>
      <c r="F1794" s="27">
        <v>19.4085</v>
      </c>
      <c r="G1794" s="30">
        <f t="shared" si="28"/>
        <v>0.17467649999999998</v>
      </c>
      <c r="H1794" s="35">
        <f>SUM(G1794:G1797)</f>
        <v>13.267364999999998</v>
      </c>
      <c r="I1794" s="36"/>
      <c r="J1794" s="141">
        <v>200</v>
      </c>
    </row>
    <row r="1795" spans="1:10" x14ac:dyDescent="0.25">
      <c r="A1795" s="226"/>
      <c r="B1795" s="244"/>
      <c r="C1795" s="32" t="s">
        <v>30</v>
      </c>
      <c r="D1795" s="32" t="s">
        <v>12</v>
      </c>
      <c r="E1795" s="33">
        <v>8.9999999999999993E-3</v>
      </c>
      <c r="F1795" s="27">
        <v>25.146499999999996</v>
      </c>
      <c r="G1795" s="30">
        <f t="shared" si="28"/>
        <v>0.22631849999999995</v>
      </c>
      <c r="H1795" s="31"/>
      <c r="I1795" s="27"/>
      <c r="J1795" s="141">
        <v>200</v>
      </c>
    </row>
    <row r="1796" spans="1:10" ht="25.5" x14ac:dyDescent="0.25">
      <c r="A1796" s="226"/>
      <c r="B1796" s="244"/>
      <c r="C1796" s="32" t="s">
        <v>565</v>
      </c>
      <c r="D1796" s="32" t="s">
        <v>93</v>
      </c>
      <c r="E1796" s="33">
        <v>1.0269999999999999</v>
      </c>
      <c r="F1796" s="30">
        <v>12.49</v>
      </c>
      <c r="G1796" s="30">
        <f t="shared" si="28"/>
        <v>12.827229999999998</v>
      </c>
      <c r="H1796" s="31"/>
      <c r="I1796" s="27"/>
      <c r="J1796" s="141">
        <v>200</v>
      </c>
    </row>
    <row r="1797" spans="1:10" x14ac:dyDescent="0.25">
      <c r="A1797" s="226"/>
      <c r="B1797" s="244"/>
      <c r="C1797" s="32" t="s">
        <v>555</v>
      </c>
      <c r="D1797" s="32" t="s">
        <v>20</v>
      </c>
      <c r="E1797" s="33">
        <v>0.01</v>
      </c>
      <c r="F1797" s="30">
        <v>3.9139999999999997</v>
      </c>
      <c r="G1797" s="30">
        <f t="shared" si="28"/>
        <v>3.9140000000000001E-2</v>
      </c>
      <c r="H1797" s="31"/>
      <c r="I1797" s="27"/>
      <c r="J1797" s="141">
        <v>200</v>
      </c>
    </row>
    <row r="1798" spans="1:10" ht="15.75" thickBot="1" x14ac:dyDescent="0.3">
      <c r="A1798" s="227"/>
      <c r="B1798" s="230"/>
      <c r="C1798" s="32"/>
      <c r="D1798" s="32"/>
      <c r="E1798" s="33"/>
      <c r="F1798" s="27" t="s">
        <v>523</v>
      </c>
      <c r="G1798" s="27" t="str">
        <f t="shared" si="28"/>
        <v/>
      </c>
      <c r="H1798" s="31"/>
      <c r="I1798" s="27"/>
      <c r="J1798" s="141">
        <v>200</v>
      </c>
    </row>
    <row r="1799" spans="1:10" ht="15.75" thickBot="1" x14ac:dyDescent="0.3">
      <c r="A1799" s="225" t="s">
        <v>566</v>
      </c>
      <c r="B1799" s="228" t="str">
        <f>INDEX(Orçamentária!A:B,MATCH(Composições!A1799,Orçamentária!A:A,0),2)</f>
        <v>Condutor 6 mm²</v>
      </c>
      <c r="C1799" s="37"/>
      <c r="D1799" s="22" t="str">
        <f>TRIM(INDEX(Orçamentária!C:C,MATCH(Composições!A1799,Orçamentária!A:A,0),1))</f>
        <v>m</v>
      </c>
      <c r="E1799" s="23"/>
      <c r="F1799" s="38" t="s">
        <v>523</v>
      </c>
      <c r="G1799" s="24" t="str">
        <f t="shared" si="28"/>
        <v/>
      </c>
      <c r="H1799" s="25"/>
      <c r="I1799" s="26"/>
      <c r="J1799" s="141">
        <v>324</v>
      </c>
    </row>
    <row r="1800" spans="1:10" x14ac:dyDescent="0.25">
      <c r="A1800" s="226"/>
      <c r="B1800" s="244"/>
      <c r="C1800" s="28"/>
      <c r="D1800" s="28"/>
      <c r="E1800" s="29"/>
      <c r="F1800" s="39" t="s">
        <v>523</v>
      </c>
      <c r="G1800" s="27" t="str">
        <f t="shared" si="28"/>
        <v/>
      </c>
      <c r="H1800" s="31"/>
      <c r="I1800" s="27"/>
      <c r="J1800" s="141">
        <v>324</v>
      </c>
    </row>
    <row r="1801" spans="1:10" x14ac:dyDescent="0.25">
      <c r="A1801" s="226"/>
      <c r="B1801" s="244"/>
      <c r="C1801" s="32" t="s">
        <v>74</v>
      </c>
      <c r="D1801" s="32" t="s">
        <v>12</v>
      </c>
      <c r="E1801" s="33">
        <v>5.1999999999999998E-2</v>
      </c>
      <c r="F1801" s="27">
        <v>19.4085</v>
      </c>
      <c r="G1801" s="27">
        <f t="shared" si="28"/>
        <v>1.009242</v>
      </c>
      <c r="H1801" s="35">
        <f>SUM(G1801:G1804)</f>
        <v>9.9680859999999996</v>
      </c>
      <c r="I1801" s="36"/>
      <c r="J1801" s="141">
        <v>324</v>
      </c>
    </row>
    <row r="1802" spans="1:10" x14ac:dyDescent="0.25">
      <c r="A1802" s="226"/>
      <c r="B1802" s="244"/>
      <c r="C1802" s="32" t="s">
        <v>30</v>
      </c>
      <c r="D1802" s="32" t="s">
        <v>12</v>
      </c>
      <c r="E1802" s="33">
        <v>5.1999999999999998E-2</v>
      </c>
      <c r="F1802" s="27">
        <v>25.146499999999996</v>
      </c>
      <c r="G1802" s="27">
        <f t="shared" si="28"/>
        <v>1.3076179999999997</v>
      </c>
      <c r="H1802" s="31"/>
      <c r="I1802" s="27"/>
      <c r="J1802" s="141">
        <v>324</v>
      </c>
    </row>
    <row r="1803" spans="1:10" ht="25.5" x14ac:dyDescent="0.25">
      <c r="A1803" s="226"/>
      <c r="B1803" s="244"/>
      <c r="C1803" s="32" t="s">
        <v>567</v>
      </c>
      <c r="D1803" s="32" t="s">
        <v>93</v>
      </c>
      <c r="E1803" s="33">
        <v>1.19</v>
      </c>
      <c r="F1803" s="30">
        <v>6.4</v>
      </c>
      <c r="G1803" s="27">
        <f t="shared" si="28"/>
        <v>7.6159999999999997</v>
      </c>
      <c r="H1803" s="31"/>
      <c r="I1803" s="27"/>
      <c r="J1803" s="141">
        <v>324</v>
      </c>
    </row>
    <row r="1804" spans="1:10" x14ac:dyDescent="0.25">
      <c r="A1804" s="226"/>
      <c r="B1804" s="244"/>
      <c r="C1804" s="32" t="s">
        <v>555</v>
      </c>
      <c r="D1804" s="32" t="s">
        <v>20</v>
      </c>
      <c r="E1804" s="33">
        <v>8.9999999999999993E-3</v>
      </c>
      <c r="F1804" s="30">
        <v>3.9139999999999997</v>
      </c>
      <c r="G1804" s="27">
        <f t="shared" si="28"/>
        <v>3.5225999999999993E-2</v>
      </c>
      <c r="H1804" s="31"/>
      <c r="I1804" s="27"/>
      <c r="J1804" s="141">
        <v>324</v>
      </c>
    </row>
    <row r="1805" spans="1:10" ht="15.75" thickBot="1" x14ac:dyDescent="0.3">
      <c r="A1805" s="227"/>
      <c r="B1805" s="230"/>
      <c r="C1805" s="32"/>
      <c r="D1805" s="32"/>
      <c r="E1805" s="33"/>
      <c r="F1805" s="27" t="s">
        <v>523</v>
      </c>
      <c r="G1805" s="27" t="str">
        <f t="shared" si="28"/>
        <v/>
      </c>
      <c r="H1805" s="31"/>
      <c r="I1805" s="27"/>
      <c r="J1805" s="141">
        <v>324</v>
      </c>
    </row>
    <row r="1806" spans="1:10" ht="15.75" hidden="1" thickBot="1" x14ac:dyDescent="0.3">
      <c r="A1806" s="225" t="s">
        <v>568</v>
      </c>
      <c r="B1806" s="228" t="str">
        <f>INDEX(Orçamentária!A:B,MATCH(Composições!A1806,Orçamentária!A:A,0),2)</f>
        <v>Quadro elétrico TTA</v>
      </c>
      <c r="C1806" s="37"/>
      <c r="D1806" s="22" t="str">
        <f>TRIM(INDEX(Orçamentária!C:C,MATCH(Composições!A1806,Orçamentária!A:A,0),1))</f>
        <v>un</v>
      </c>
      <c r="E1806" s="23"/>
      <c r="F1806" s="38" t="s">
        <v>523</v>
      </c>
      <c r="G1806" s="24" t="str">
        <f t="shared" si="28"/>
        <v/>
      </c>
      <c r="H1806" s="25"/>
      <c r="I1806" s="26"/>
      <c r="J1806" s="141">
        <v>0</v>
      </c>
    </row>
    <row r="1807" spans="1:10" ht="15.75" hidden="1" thickBot="1" x14ac:dyDescent="0.3">
      <c r="A1807" s="226"/>
      <c r="B1807" s="244"/>
      <c r="C1807" s="28"/>
      <c r="D1807" s="28"/>
      <c r="E1807" s="29"/>
      <c r="F1807" s="39" t="s">
        <v>523</v>
      </c>
      <c r="G1807" s="27" t="str">
        <f t="shared" si="28"/>
        <v/>
      </c>
      <c r="H1807" s="31"/>
      <c r="I1807" s="27"/>
      <c r="J1807" s="141">
        <v>0</v>
      </c>
    </row>
    <row r="1808" spans="1:10" ht="51.75" hidden="1" thickBot="1" x14ac:dyDescent="0.3">
      <c r="A1808" s="226"/>
      <c r="B1808" s="244"/>
      <c r="C1808" s="32" t="s">
        <v>569</v>
      </c>
      <c r="D1808" s="43" t="s">
        <v>20</v>
      </c>
      <c r="E1808" s="33">
        <v>1</v>
      </c>
      <c r="F1808" s="30" t="s">
        <v>523</v>
      </c>
      <c r="G1808" s="27" t="str">
        <f t="shared" si="28"/>
        <v/>
      </c>
      <c r="H1808" s="35">
        <f>SUM(G1808:G1811)</f>
        <v>42.706477200991998</v>
      </c>
      <c r="I1808" s="36"/>
      <c r="J1808" s="141">
        <v>0</v>
      </c>
    </row>
    <row r="1809" spans="1:10" ht="39" hidden="1" thickBot="1" x14ac:dyDescent="0.3">
      <c r="A1809" s="226"/>
      <c r="B1809" s="244"/>
      <c r="C1809" s="32" t="s">
        <v>3235</v>
      </c>
      <c r="D1809" s="43" t="s">
        <v>120</v>
      </c>
      <c r="E1809" s="33">
        <v>1.9199999999999998E-2</v>
      </c>
      <c r="F1809" s="27">
        <v>753.7486302599998</v>
      </c>
      <c r="G1809" s="27">
        <f t="shared" si="28"/>
        <v>14.471973700991995</v>
      </c>
      <c r="H1809" s="31"/>
      <c r="I1809" s="27"/>
      <c r="J1809" s="141">
        <v>0</v>
      </c>
    </row>
    <row r="1810" spans="1:10" ht="15.75" hidden="1" thickBot="1" x14ac:dyDescent="0.3">
      <c r="A1810" s="226"/>
      <c r="B1810" s="244"/>
      <c r="C1810" s="32" t="s">
        <v>74</v>
      </c>
      <c r="D1810" s="43" t="s">
        <v>12</v>
      </c>
      <c r="E1810" s="33">
        <v>0.63370000000000004</v>
      </c>
      <c r="F1810" s="27">
        <v>19.4085</v>
      </c>
      <c r="G1810" s="27">
        <f t="shared" ref="G1810:G1873" si="29">IF(ISNUMBER(F1810),E1810*F1810,"")</f>
        <v>12.299166450000001</v>
      </c>
      <c r="H1810" s="31"/>
      <c r="I1810" s="27"/>
      <c r="J1810" s="141">
        <v>0</v>
      </c>
    </row>
    <row r="1811" spans="1:10" ht="15.75" hidden="1" thickBot="1" x14ac:dyDescent="0.3">
      <c r="A1811" s="226"/>
      <c r="B1811" s="244"/>
      <c r="C1811" s="32" t="s">
        <v>30</v>
      </c>
      <c r="D1811" s="43" t="s">
        <v>12</v>
      </c>
      <c r="E1811" s="33">
        <v>0.63370000000000004</v>
      </c>
      <c r="F1811" s="27">
        <v>25.146499999999996</v>
      </c>
      <c r="G1811" s="30">
        <f t="shared" si="29"/>
        <v>15.935337049999999</v>
      </c>
      <c r="H1811" s="31"/>
      <c r="I1811" s="27"/>
      <c r="J1811" s="141">
        <v>0</v>
      </c>
    </row>
    <row r="1812" spans="1:10" ht="15.75" hidden="1" thickBot="1" x14ac:dyDescent="0.3">
      <c r="A1812" s="226"/>
      <c r="B1812" s="230"/>
      <c r="C1812" s="32"/>
      <c r="D1812" s="32"/>
      <c r="E1812" s="33"/>
      <c r="F1812" s="27" t="s">
        <v>523</v>
      </c>
      <c r="G1812" s="27" t="str">
        <f t="shared" si="29"/>
        <v/>
      </c>
      <c r="H1812" s="31"/>
      <c r="I1812" s="27"/>
      <c r="J1812" s="141">
        <v>0</v>
      </c>
    </row>
    <row r="1813" spans="1:10" ht="15.75" hidden="1" thickBot="1" x14ac:dyDescent="0.3">
      <c r="A1813" s="225" t="s">
        <v>570</v>
      </c>
      <c r="B1813" s="228" t="str">
        <f>INDEX(Orçamentária!A:B,MATCH(Composições!A1813,Orçamentária!A:A,0),2)</f>
        <v>Instalação de fancolete reaproveitado</v>
      </c>
      <c r="C1813" s="37"/>
      <c r="D1813" s="22" t="str">
        <f>TRIM(INDEX(Orçamentária!C:C,MATCH(Composições!A1813,Orçamentária!A:A,0),1))</f>
        <v>un</v>
      </c>
      <c r="E1813" s="23"/>
      <c r="F1813" s="38" t="s">
        <v>523</v>
      </c>
      <c r="G1813" s="24" t="str">
        <f t="shared" si="29"/>
        <v/>
      </c>
      <c r="H1813" s="25"/>
      <c r="I1813" s="26"/>
      <c r="J1813" s="141">
        <v>0</v>
      </c>
    </row>
    <row r="1814" spans="1:10" ht="15.75" hidden="1" thickBot="1" x14ac:dyDescent="0.3">
      <c r="A1814" s="226"/>
      <c r="B1814" s="244"/>
      <c r="C1814" s="28"/>
      <c r="D1814" s="28"/>
      <c r="E1814" s="29"/>
      <c r="F1814" s="39" t="s">
        <v>523</v>
      </c>
      <c r="G1814" s="27" t="str">
        <f t="shared" si="29"/>
        <v/>
      </c>
      <c r="H1814" s="31"/>
      <c r="I1814" s="27"/>
      <c r="J1814" s="141">
        <v>0</v>
      </c>
    </row>
    <row r="1815" spans="1:10" ht="15.75" hidden="1" thickBot="1" x14ac:dyDescent="0.3">
      <c r="A1815" s="226"/>
      <c r="B1815" s="244"/>
      <c r="C1815" s="32" t="s">
        <v>52</v>
      </c>
      <c r="D1815" s="43" t="s">
        <v>12</v>
      </c>
      <c r="E1815" s="33">
        <v>2</v>
      </c>
      <c r="F1815" s="27">
        <v>21.184999999999999</v>
      </c>
      <c r="G1815" s="30">
        <f t="shared" si="29"/>
        <v>42.37</v>
      </c>
      <c r="H1815" s="35">
        <f>SUM(G1815:G1816)</f>
        <v>95.209000000000003</v>
      </c>
      <c r="I1815" s="36"/>
      <c r="J1815" s="141">
        <v>0</v>
      </c>
    </row>
    <row r="1816" spans="1:10" ht="26.25" hidden="1" thickBot="1" x14ac:dyDescent="0.3">
      <c r="A1816" s="226"/>
      <c r="B1816" s="244"/>
      <c r="C1816" s="32" t="s">
        <v>571</v>
      </c>
      <c r="D1816" s="43" t="s">
        <v>12</v>
      </c>
      <c r="E1816" s="33">
        <v>2</v>
      </c>
      <c r="F1816" s="27">
        <v>26.419499999999999</v>
      </c>
      <c r="G1816" s="27">
        <f t="shared" si="29"/>
        <v>52.838999999999999</v>
      </c>
      <c r="H1816" s="31"/>
      <c r="I1816" s="27"/>
      <c r="J1816" s="141">
        <v>0</v>
      </c>
    </row>
    <row r="1817" spans="1:10" ht="15.75" hidden="1" thickBot="1" x14ac:dyDescent="0.3">
      <c r="A1817" s="227"/>
      <c r="B1817" s="230"/>
      <c r="C1817" s="32"/>
      <c r="D1817" s="32"/>
      <c r="E1817" s="33"/>
      <c r="F1817" s="27" t="s">
        <v>523</v>
      </c>
      <c r="G1817" s="27" t="str">
        <f t="shared" si="29"/>
        <v/>
      </c>
      <c r="H1817" s="31"/>
      <c r="I1817" s="27"/>
      <c r="J1817" s="141">
        <v>0</v>
      </c>
    </row>
    <row r="1818" spans="1:10" ht="15.75" hidden="1" thickBot="1" x14ac:dyDescent="0.3">
      <c r="A1818" s="225" t="s">
        <v>572</v>
      </c>
      <c r="B1818" s="228" t="str">
        <f>INDEX(Orçamentária!A:B,MATCH(Composições!A1818,Orçamentária!A:A,0),2)</f>
        <v>Instalação de split reaproveitado</v>
      </c>
      <c r="C1818" s="37"/>
      <c r="D1818" s="22" t="str">
        <f>TRIM(INDEX(Orçamentária!C:C,MATCH(Composições!A1818,Orçamentária!A:A,0),1))</f>
        <v>un</v>
      </c>
      <c r="E1818" s="23"/>
      <c r="F1818" s="38" t="s">
        <v>523</v>
      </c>
      <c r="G1818" s="24" t="str">
        <f t="shared" si="29"/>
        <v/>
      </c>
      <c r="H1818" s="25"/>
      <c r="I1818" s="26"/>
      <c r="J1818" s="141">
        <v>0</v>
      </c>
    </row>
    <row r="1819" spans="1:10" ht="15.75" hidden="1" thickBot="1" x14ac:dyDescent="0.3">
      <c r="A1819" s="226"/>
      <c r="B1819" s="244"/>
      <c r="C1819" s="28"/>
      <c r="D1819" s="28"/>
      <c r="E1819" s="29"/>
      <c r="F1819" s="39" t="s">
        <v>523</v>
      </c>
      <c r="G1819" s="27" t="str">
        <f t="shared" si="29"/>
        <v/>
      </c>
      <c r="H1819" s="31"/>
      <c r="I1819" s="27"/>
      <c r="J1819" s="141">
        <v>0</v>
      </c>
    </row>
    <row r="1820" spans="1:10" ht="15.75" hidden="1" thickBot="1" x14ac:dyDescent="0.3">
      <c r="A1820" s="226"/>
      <c r="B1820" s="244"/>
      <c r="C1820" s="32" t="s">
        <v>52</v>
      </c>
      <c r="D1820" s="43" t="s">
        <v>12</v>
      </c>
      <c r="E1820" s="33">
        <v>3</v>
      </c>
      <c r="F1820" s="27">
        <v>21.184999999999999</v>
      </c>
      <c r="G1820" s="30">
        <f t="shared" si="29"/>
        <v>63.554999999999993</v>
      </c>
      <c r="H1820" s="35">
        <f>SUM(G1820:G1821)</f>
        <v>142.81349999999998</v>
      </c>
      <c r="I1820" s="36"/>
      <c r="J1820" s="141">
        <v>0</v>
      </c>
    </row>
    <row r="1821" spans="1:10" ht="26.25" hidden="1" thickBot="1" x14ac:dyDescent="0.3">
      <c r="A1821" s="226"/>
      <c r="B1821" s="244"/>
      <c r="C1821" s="32" t="s">
        <v>571</v>
      </c>
      <c r="D1821" s="43" t="s">
        <v>12</v>
      </c>
      <c r="E1821" s="33">
        <v>3</v>
      </c>
      <c r="F1821" s="27">
        <v>26.419499999999999</v>
      </c>
      <c r="G1821" s="27">
        <f t="shared" si="29"/>
        <v>79.258499999999998</v>
      </c>
      <c r="H1821" s="31"/>
      <c r="I1821" s="27"/>
      <c r="J1821" s="141">
        <v>0</v>
      </c>
    </row>
    <row r="1822" spans="1:10" ht="15.75" hidden="1" thickBot="1" x14ac:dyDescent="0.3">
      <c r="A1822" s="227"/>
      <c r="B1822" s="230"/>
      <c r="C1822" s="32"/>
      <c r="D1822" s="32"/>
      <c r="E1822" s="33"/>
      <c r="F1822" s="27" t="s">
        <v>523</v>
      </c>
      <c r="G1822" s="27" t="str">
        <f t="shared" si="29"/>
        <v/>
      </c>
      <c r="H1822" s="31"/>
      <c r="I1822" s="27"/>
      <c r="J1822" s="141">
        <v>0</v>
      </c>
    </row>
    <row r="1823" spans="1:10" ht="15.75" hidden="1" thickBot="1" x14ac:dyDescent="0.3">
      <c r="A1823" s="225" t="s">
        <v>573</v>
      </c>
      <c r="B1823" s="228" t="str">
        <f>INDEX(Orçamentária!A:B,MATCH(Composições!A1823,Orçamentária!A:A,0),2)</f>
        <v>Exaustor axial 340 m3/h</v>
      </c>
      <c r="C1823" s="37"/>
      <c r="D1823" s="22" t="str">
        <f>TRIM(INDEX(Orçamentária!C:C,MATCH(Composições!A1823,Orçamentária!A:A,0),1))</f>
        <v>un</v>
      </c>
      <c r="E1823" s="23"/>
      <c r="F1823" s="38" t="s">
        <v>523</v>
      </c>
      <c r="G1823" s="24" t="str">
        <f t="shared" si="29"/>
        <v/>
      </c>
      <c r="H1823" s="25"/>
      <c r="I1823" s="26"/>
      <c r="J1823" s="141">
        <v>0</v>
      </c>
    </row>
    <row r="1824" spans="1:10" ht="15.75" hidden="1" thickBot="1" x14ac:dyDescent="0.3">
      <c r="A1824" s="226"/>
      <c r="B1824" s="244"/>
      <c r="C1824" s="28"/>
      <c r="D1824" s="28"/>
      <c r="E1824" s="29"/>
      <c r="F1824" s="39" t="s">
        <v>523</v>
      </c>
      <c r="G1824" s="27" t="str">
        <f t="shared" si="29"/>
        <v/>
      </c>
      <c r="H1824" s="31"/>
      <c r="I1824" s="27"/>
      <c r="J1824" s="141">
        <v>0</v>
      </c>
    </row>
    <row r="1825" spans="1:10" ht="15.75" hidden="1" thickBot="1" x14ac:dyDescent="0.3">
      <c r="A1825" s="226"/>
      <c r="B1825" s="244"/>
      <c r="C1825" s="32" t="s">
        <v>30</v>
      </c>
      <c r="D1825" s="32" t="s">
        <v>12</v>
      </c>
      <c r="E1825" s="33">
        <v>1</v>
      </c>
      <c r="F1825" s="27">
        <v>25.146499999999996</v>
      </c>
      <c r="G1825" s="30">
        <f t="shared" si="29"/>
        <v>25.146499999999996</v>
      </c>
      <c r="H1825" s="35">
        <f>SUM(G1825:G1827)</f>
        <v>44.554999999999993</v>
      </c>
      <c r="I1825" s="36"/>
      <c r="J1825" s="141">
        <v>0</v>
      </c>
    </row>
    <row r="1826" spans="1:10" ht="15.75" hidden="1" thickBot="1" x14ac:dyDescent="0.3">
      <c r="A1826" s="226"/>
      <c r="B1826" s="244"/>
      <c r="C1826" s="32" t="s">
        <v>74</v>
      </c>
      <c r="D1826" s="43" t="s">
        <v>12</v>
      </c>
      <c r="E1826" s="33">
        <v>1</v>
      </c>
      <c r="F1826" s="27">
        <v>19.4085</v>
      </c>
      <c r="G1826" s="30">
        <f t="shared" si="29"/>
        <v>19.4085</v>
      </c>
      <c r="H1826" s="31"/>
      <c r="I1826" s="27"/>
      <c r="J1826" s="141">
        <v>0</v>
      </c>
    </row>
    <row r="1827" spans="1:10" ht="26.25" hidden="1" thickBot="1" x14ac:dyDescent="0.3">
      <c r="A1827" s="226"/>
      <c r="B1827" s="244"/>
      <c r="C1827" s="32" t="s">
        <v>574</v>
      </c>
      <c r="D1827" s="32" t="s">
        <v>144</v>
      </c>
      <c r="E1827" s="33">
        <v>1</v>
      </c>
      <c r="F1827" s="30" t="s">
        <v>523</v>
      </c>
      <c r="G1827" s="30" t="str">
        <f t="shared" si="29"/>
        <v/>
      </c>
      <c r="H1827" s="31"/>
      <c r="I1827" s="27"/>
      <c r="J1827" s="141">
        <v>0</v>
      </c>
    </row>
    <row r="1828" spans="1:10" ht="15.75" hidden="1" thickBot="1" x14ac:dyDescent="0.3">
      <c r="A1828" s="227"/>
      <c r="B1828" s="230"/>
      <c r="C1828" s="32"/>
      <c r="D1828" s="32"/>
      <c r="E1828" s="33"/>
      <c r="F1828" s="27" t="s">
        <v>523</v>
      </c>
      <c r="G1828" s="27" t="str">
        <f t="shared" si="29"/>
        <v/>
      </c>
      <c r="H1828" s="31"/>
      <c r="I1828" s="27"/>
      <c r="J1828" s="141">
        <v>0</v>
      </c>
    </row>
    <row r="1829" spans="1:10" ht="15.75" hidden="1" thickBot="1" x14ac:dyDescent="0.3">
      <c r="A1829" s="225" t="s">
        <v>575</v>
      </c>
      <c r="B1829" s="228" t="str">
        <f>INDEX(Orçamentária!A:B,MATCH(Composições!A1829,Orçamentária!A:A,0),2)</f>
        <v>Exaustor axial 865 m3/h</v>
      </c>
      <c r="C1829" s="37"/>
      <c r="D1829" s="22" t="str">
        <f>TRIM(INDEX(Orçamentária!C:C,MATCH(Composições!A1829,Orçamentária!A:A,0),1))</f>
        <v>un</v>
      </c>
      <c r="E1829" s="23"/>
      <c r="F1829" s="38" t="s">
        <v>523</v>
      </c>
      <c r="G1829" s="24" t="str">
        <f t="shared" si="29"/>
        <v/>
      </c>
      <c r="H1829" s="25"/>
      <c r="I1829" s="26"/>
      <c r="J1829" s="141">
        <v>0</v>
      </c>
    </row>
    <row r="1830" spans="1:10" ht="15.75" hidden="1" thickBot="1" x14ac:dyDescent="0.3">
      <c r="A1830" s="226"/>
      <c r="B1830" s="244"/>
      <c r="C1830" s="28"/>
      <c r="D1830" s="28"/>
      <c r="E1830" s="29"/>
      <c r="F1830" s="39" t="s">
        <v>523</v>
      </c>
      <c r="G1830" s="27" t="str">
        <f t="shared" si="29"/>
        <v/>
      </c>
      <c r="H1830" s="31"/>
      <c r="I1830" s="27"/>
      <c r="J1830" s="141">
        <v>0</v>
      </c>
    </row>
    <row r="1831" spans="1:10" ht="15.75" hidden="1" thickBot="1" x14ac:dyDescent="0.3">
      <c r="A1831" s="226"/>
      <c r="B1831" s="244"/>
      <c r="C1831" s="32" t="s">
        <v>30</v>
      </c>
      <c r="D1831" s="32" t="s">
        <v>12</v>
      </c>
      <c r="E1831" s="33">
        <v>1</v>
      </c>
      <c r="F1831" s="27">
        <v>25.146499999999996</v>
      </c>
      <c r="G1831" s="30">
        <f t="shared" si="29"/>
        <v>25.146499999999996</v>
      </c>
      <c r="H1831" s="35">
        <f>SUM(G1831:G1833)</f>
        <v>44.554999999999993</v>
      </c>
      <c r="I1831" s="36"/>
      <c r="J1831" s="141">
        <v>0</v>
      </c>
    </row>
    <row r="1832" spans="1:10" ht="15.75" hidden="1" thickBot="1" x14ac:dyDescent="0.3">
      <c r="A1832" s="226"/>
      <c r="B1832" s="244"/>
      <c r="C1832" s="32" t="s">
        <v>74</v>
      </c>
      <c r="D1832" s="43" t="s">
        <v>12</v>
      </c>
      <c r="E1832" s="33">
        <v>1</v>
      </c>
      <c r="F1832" s="27">
        <v>19.4085</v>
      </c>
      <c r="G1832" s="30">
        <f t="shared" si="29"/>
        <v>19.4085</v>
      </c>
      <c r="H1832" s="31"/>
      <c r="I1832" s="27"/>
      <c r="J1832" s="141">
        <v>0</v>
      </c>
    </row>
    <row r="1833" spans="1:10" ht="26.25" hidden="1" thickBot="1" x14ac:dyDescent="0.3">
      <c r="A1833" s="226"/>
      <c r="B1833" s="244"/>
      <c r="C1833" s="32" t="s">
        <v>576</v>
      </c>
      <c r="D1833" s="32" t="s">
        <v>144</v>
      </c>
      <c r="E1833" s="33">
        <v>1</v>
      </c>
      <c r="F1833" s="30" t="s">
        <v>523</v>
      </c>
      <c r="G1833" s="30" t="str">
        <f t="shared" si="29"/>
        <v/>
      </c>
      <c r="H1833" s="31"/>
      <c r="I1833" s="27"/>
      <c r="J1833" s="141">
        <v>0</v>
      </c>
    </row>
    <row r="1834" spans="1:10" ht="15.75" hidden="1" thickBot="1" x14ac:dyDescent="0.3">
      <c r="A1834" s="227"/>
      <c r="B1834" s="230"/>
      <c r="C1834" s="32"/>
      <c r="D1834" s="32"/>
      <c r="E1834" s="33"/>
      <c r="F1834" s="27" t="s">
        <v>523</v>
      </c>
      <c r="G1834" s="27" t="str">
        <f t="shared" si="29"/>
        <v/>
      </c>
      <c r="H1834" s="31"/>
      <c r="I1834" s="27"/>
      <c r="J1834" s="141">
        <v>0</v>
      </c>
    </row>
    <row r="1835" spans="1:10" ht="15.75" thickBot="1" x14ac:dyDescent="0.3">
      <c r="A1835" s="225" t="s">
        <v>577</v>
      </c>
      <c r="B1835" s="228" t="str">
        <f>INDEX(Orçamentária!A:B,MATCH(Composições!A1835,Orçamentária!A:A,0),2)</f>
        <v>Duto chapa galvanizada # 22</v>
      </c>
      <c r="C1835" s="37"/>
      <c r="D1835" s="22" t="str">
        <f>TRIM(INDEX(Orçamentária!C:C,MATCH(Composições!A1835,Orçamentária!A:A,0),1))</f>
        <v>m2</v>
      </c>
      <c r="E1835" s="23"/>
      <c r="F1835" s="38" t="s">
        <v>523</v>
      </c>
      <c r="G1835" s="24" t="str">
        <f t="shared" si="29"/>
        <v/>
      </c>
      <c r="H1835" s="25"/>
      <c r="I1835" s="26"/>
      <c r="J1835" s="141">
        <v>5</v>
      </c>
    </row>
    <row r="1836" spans="1:10" x14ac:dyDescent="0.25">
      <c r="A1836" s="226"/>
      <c r="B1836" s="244"/>
      <c r="C1836" s="28"/>
      <c r="D1836" s="28"/>
      <c r="E1836" s="29"/>
      <c r="F1836" s="39" t="s">
        <v>523</v>
      </c>
      <c r="G1836" s="27" t="str">
        <f t="shared" si="29"/>
        <v/>
      </c>
      <c r="H1836" s="31"/>
      <c r="I1836" s="27"/>
      <c r="J1836" s="141">
        <v>5</v>
      </c>
    </row>
    <row r="1837" spans="1:10" x14ac:dyDescent="0.25">
      <c r="A1837" s="226"/>
      <c r="B1837" s="244"/>
      <c r="C1837" s="32" t="s">
        <v>578</v>
      </c>
      <c r="D1837" s="43" t="s">
        <v>42</v>
      </c>
      <c r="E1837" s="33">
        <v>6.6559999999999997</v>
      </c>
      <c r="F1837" s="30">
        <v>15.142999999999999</v>
      </c>
      <c r="G1837" s="30">
        <f t="shared" si="29"/>
        <v>100.79180799999999</v>
      </c>
      <c r="H1837" s="35">
        <f>SUM(G1837:G1840)</f>
        <v>283.24690799999996</v>
      </c>
      <c r="I1837" s="36"/>
      <c r="J1837" s="141">
        <v>5</v>
      </c>
    </row>
    <row r="1838" spans="1:10" x14ac:dyDescent="0.25">
      <c r="A1838" s="226"/>
      <c r="B1838" s="244"/>
      <c r="C1838" s="32" t="s">
        <v>579</v>
      </c>
      <c r="D1838" s="43" t="s">
        <v>580</v>
      </c>
      <c r="E1838" s="33">
        <v>1</v>
      </c>
      <c r="F1838" s="27">
        <v>10.269500000000001</v>
      </c>
      <c r="G1838" s="30">
        <f t="shared" si="29"/>
        <v>10.269500000000001</v>
      </c>
      <c r="H1838" s="41"/>
      <c r="I1838" s="42"/>
      <c r="J1838" s="141">
        <v>5</v>
      </c>
    </row>
    <row r="1839" spans="1:10" x14ac:dyDescent="0.25">
      <c r="A1839" s="226"/>
      <c r="B1839" s="244"/>
      <c r="C1839" s="32" t="s">
        <v>23</v>
      </c>
      <c r="D1839" s="43" t="s">
        <v>12</v>
      </c>
      <c r="E1839" s="33">
        <v>3.84</v>
      </c>
      <c r="F1839" s="27">
        <v>18.420500000000001</v>
      </c>
      <c r="G1839" s="30">
        <f t="shared" si="29"/>
        <v>70.734719999999996</v>
      </c>
      <c r="H1839" s="31"/>
      <c r="I1839" s="27"/>
      <c r="J1839" s="141">
        <v>5</v>
      </c>
    </row>
    <row r="1840" spans="1:10" ht="25.5" x14ac:dyDescent="0.25">
      <c r="A1840" s="226"/>
      <c r="B1840" s="244"/>
      <c r="C1840" s="32" t="s">
        <v>571</v>
      </c>
      <c r="D1840" s="43" t="s">
        <v>12</v>
      </c>
      <c r="E1840" s="33">
        <v>3.84</v>
      </c>
      <c r="F1840" s="27">
        <v>26.419499999999999</v>
      </c>
      <c r="G1840" s="30">
        <f t="shared" si="29"/>
        <v>101.45088</v>
      </c>
      <c r="H1840" s="31"/>
      <c r="I1840" s="27"/>
      <c r="J1840" s="141">
        <v>5</v>
      </c>
    </row>
    <row r="1841" spans="1:10" ht="15.75" thickBot="1" x14ac:dyDescent="0.3">
      <c r="A1841" s="227"/>
      <c r="B1841" s="230"/>
      <c r="C1841" s="32"/>
      <c r="D1841" s="32"/>
      <c r="E1841" s="33"/>
      <c r="F1841" s="27" t="s">
        <v>523</v>
      </c>
      <c r="G1841" s="27" t="str">
        <f t="shared" si="29"/>
        <v/>
      </c>
      <c r="H1841" s="31"/>
      <c r="I1841" s="27"/>
      <c r="J1841" s="141">
        <v>5</v>
      </c>
    </row>
    <row r="1842" spans="1:10" ht="15.75" hidden="1" thickBot="1" x14ac:dyDescent="0.3">
      <c r="A1842" s="225" t="s">
        <v>581</v>
      </c>
      <c r="B1842" s="228" t="str">
        <f>INDEX(Orçamentária!A:B,MATCH(Composições!A1842,Orçamentária!A:A,0),2)</f>
        <v>Duto flexível 6”</v>
      </c>
      <c r="C1842" s="37"/>
      <c r="D1842" s="22" t="str">
        <f>TRIM(INDEX(Orçamentária!C:C,MATCH(Composições!A1842,Orçamentária!A:A,0),1))</f>
        <v>m</v>
      </c>
      <c r="E1842" s="23"/>
      <c r="F1842" s="38" t="s">
        <v>523</v>
      </c>
      <c r="G1842" s="24" t="str">
        <f t="shared" si="29"/>
        <v/>
      </c>
      <c r="H1842" s="25"/>
      <c r="I1842" s="26"/>
      <c r="J1842" s="141">
        <v>0</v>
      </c>
    </row>
    <row r="1843" spans="1:10" ht="15.75" hidden="1" thickBot="1" x14ac:dyDescent="0.3">
      <c r="A1843" s="226"/>
      <c r="B1843" s="244"/>
      <c r="C1843" s="28"/>
      <c r="D1843" s="28"/>
      <c r="E1843" s="29"/>
      <c r="F1843" s="39" t="s">
        <v>523</v>
      </c>
      <c r="G1843" s="27" t="str">
        <f t="shared" si="29"/>
        <v/>
      </c>
      <c r="H1843" s="31"/>
      <c r="I1843" s="27"/>
      <c r="J1843" s="141">
        <v>0</v>
      </c>
    </row>
    <row r="1844" spans="1:10" ht="15.75" hidden="1" thickBot="1" x14ac:dyDescent="0.3">
      <c r="A1844" s="226"/>
      <c r="B1844" s="244"/>
      <c r="C1844" s="32" t="s">
        <v>23</v>
      </c>
      <c r="D1844" s="43" t="s">
        <v>12</v>
      </c>
      <c r="E1844" s="33">
        <v>0.4</v>
      </c>
      <c r="F1844" s="27">
        <v>18.420500000000001</v>
      </c>
      <c r="G1844" s="27">
        <f t="shared" si="29"/>
        <v>7.3682000000000007</v>
      </c>
      <c r="H1844" s="35">
        <f>SUM(G1844:G1846)</f>
        <v>17.936</v>
      </c>
      <c r="I1844" s="36"/>
      <c r="J1844" s="141">
        <v>0</v>
      </c>
    </row>
    <row r="1845" spans="1:10" ht="26.25" hidden="1" thickBot="1" x14ac:dyDescent="0.3">
      <c r="A1845" s="226"/>
      <c r="B1845" s="244"/>
      <c r="C1845" s="32" t="s">
        <v>571</v>
      </c>
      <c r="D1845" s="43" t="s">
        <v>12</v>
      </c>
      <c r="E1845" s="33">
        <v>0.4</v>
      </c>
      <c r="F1845" s="27">
        <v>26.419499999999999</v>
      </c>
      <c r="G1845" s="27">
        <f t="shared" si="29"/>
        <v>10.5678</v>
      </c>
      <c r="H1845" s="31"/>
      <c r="I1845" s="27"/>
      <c r="J1845" s="141">
        <v>0</v>
      </c>
    </row>
    <row r="1846" spans="1:10" ht="26.25" hidden="1" thickBot="1" x14ac:dyDescent="0.3">
      <c r="A1846" s="226"/>
      <c r="B1846" s="244"/>
      <c r="C1846" s="32" t="s">
        <v>582</v>
      </c>
      <c r="D1846" s="32" t="s">
        <v>93</v>
      </c>
      <c r="E1846" s="33">
        <v>1.05</v>
      </c>
      <c r="F1846" s="30" t="s">
        <v>523</v>
      </c>
      <c r="G1846" s="27" t="str">
        <f t="shared" si="29"/>
        <v/>
      </c>
      <c r="H1846" s="31"/>
      <c r="I1846" s="27"/>
      <c r="J1846" s="141">
        <v>0</v>
      </c>
    </row>
    <row r="1847" spans="1:10" ht="15.75" hidden="1" thickBot="1" x14ac:dyDescent="0.3">
      <c r="A1847" s="227"/>
      <c r="B1847" s="230"/>
      <c r="C1847" s="32"/>
      <c r="D1847" s="32"/>
      <c r="E1847" s="33"/>
      <c r="F1847" s="27" t="s">
        <v>523</v>
      </c>
      <c r="G1847" s="27" t="str">
        <f t="shared" si="29"/>
        <v/>
      </c>
      <c r="H1847" s="31"/>
      <c r="I1847" s="27"/>
      <c r="J1847" s="141">
        <v>0</v>
      </c>
    </row>
    <row r="1848" spans="1:10" ht="15.75" hidden="1" thickBot="1" x14ac:dyDescent="0.3">
      <c r="A1848" s="225" t="s">
        <v>583</v>
      </c>
      <c r="B1848" s="228" t="str">
        <f>INDEX(Orçamentária!A:B,MATCH(Composições!A1848,Orçamentária!A:A,0),2)</f>
        <v>Duto flexível 8”</v>
      </c>
      <c r="C1848" s="37"/>
      <c r="D1848" s="22" t="str">
        <f>TRIM(INDEX(Orçamentária!C:C,MATCH(Composições!A1848,Orçamentária!A:A,0),1))</f>
        <v>m</v>
      </c>
      <c r="E1848" s="23"/>
      <c r="F1848" s="38" t="s">
        <v>523</v>
      </c>
      <c r="G1848" s="24" t="str">
        <f t="shared" si="29"/>
        <v/>
      </c>
      <c r="H1848" s="25"/>
      <c r="I1848" s="26"/>
      <c r="J1848" s="141">
        <v>0</v>
      </c>
    </row>
    <row r="1849" spans="1:10" ht="15.75" hidden="1" thickBot="1" x14ac:dyDescent="0.3">
      <c r="A1849" s="226"/>
      <c r="B1849" s="244"/>
      <c r="C1849" s="28"/>
      <c r="D1849" s="28"/>
      <c r="E1849" s="29"/>
      <c r="F1849" s="39" t="s">
        <v>523</v>
      </c>
      <c r="G1849" s="27" t="str">
        <f t="shared" si="29"/>
        <v/>
      </c>
      <c r="H1849" s="31"/>
      <c r="I1849" s="27"/>
      <c r="J1849" s="141">
        <v>0</v>
      </c>
    </row>
    <row r="1850" spans="1:10" ht="15.75" hidden="1" thickBot="1" x14ac:dyDescent="0.3">
      <c r="A1850" s="226"/>
      <c r="B1850" s="244"/>
      <c r="C1850" s="32" t="s">
        <v>23</v>
      </c>
      <c r="D1850" s="43" t="s">
        <v>12</v>
      </c>
      <c r="E1850" s="33">
        <v>0.4</v>
      </c>
      <c r="F1850" s="27">
        <v>18.420500000000001</v>
      </c>
      <c r="G1850" s="27">
        <f t="shared" si="29"/>
        <v>7.3682000000000007</v>
      </c>
      <c r="H1850" s="35">
        <f>SUM(G1850:G1852)</f>
        <v>17.936</v>
      </c>
      <c r="I1850" s="36"/>
      <c r="J1850" s="141">
        <v>0</v>
      </c>
    </row>
    <row r="1851" spans="1:10" ht="26.25" hidden="1" thickBot="1" x14ac:dyDescent="0.3">
      <c r="A1851" s="226"/>
      <c r="B1851" s="244"/>
      <c r="C1851" s="32" t="s">
        <v>571</v>
      </c>
      <c r="D1851" s="43" t="s">
        <v>12</v>
      </c>
      <c r="E1851" s="33">
        <v>0.4</v>
      </c>
      <c r="F1851" s="27">
        <v>26.419499999999999</v>
      </c>
      <c r="G1851" s="27">
        <f t="shared" si="29"/>
        <v>10.5678</v>
      </c>
      <c r="H1851" s="31"/>
      <c r="I1851" s="27"/>
      <c r="J1851" s="141">
        <v>0</v>
      </c>
    </row>
    <row r="1852" spans="1:10" ht="26.25" hidden="1" thickBot="1" x14ac:dyDescent="0.3">
      <c r="A1852" s="226"/>
      <c r="B1852" s="244"/>
      <c r="C1852" s="32" t="s">
        <v>584</v>
      </c>
      <c r="D1852" s="32" t="s">
        <v>93</v>
      </c>
      <c r="E1852" s="33">
        <v>1.05</v>
      </c>
      <c r="F1852" s="30" t="s">
        <v>523</v>
      </c>
      <c r="G1852" s="27" t="str">
        <f t="shared" si="29"/>
        <v/>
      </c>
      <c r="H1852" s="31"/>
      <c r="I1852" s="27"/>
      <c r="J1852" s="141">
        <v>0</v>
      </c>
    </row>
    <row r="1853" spans="1:10" ht="15.75" hidden="1" thickBot="1" x14ac:dyDescent="0.3">
      <c r="A1853" s="227"/>
      <c r="B1853" s="230"/>
      <c r="C1853" s="32"/>
      <c r="D1853" s="32"/>
      <c r="E1853" s="33"/>
      <c r="F1853" s="27" t="s">
        <v>523</v>
      </c>
      <c r="G1853" s="27" t="str">
        <f t="shared" si="29"/>
        <v/>
      </c>
      <c r="H1853" s="31"/>
      <c r="I1853" s="27"/>
      <c r="J1853" s="141">
        <v>0</v>
      </c>
    </row>
    <row r="1854" spans="1:10" ht="15.75" hidden="1" thickBot="1" x14ac:dyDescent="0.3">
      <c r="A1854" s="225" t="s">
        <v>585</v>
      </c>
      <c r="B1854" s="228" t="str">
        <f>INDEX(Orçamentária!A:B,MATCH(Composições!A1854,Orçamentária!A:A,0),2)</f>
        <v>Difusor de ar quadrado 360x360 mm</v>
      </c>
      <c r="C1854" s="37"/>
      <c r="D1854" s="22" t="str">
        <f>TRIM(INDEX(Orçamentária!C:C,MATCH(Composições!A1854,Orçamentária!A:A,0),1))</f>
        <v>un</v>
      </c>
      <c r="E1854" s="23"/>
      <c r="F1854" s="38" t="s">
        <v>523</v>
      </c>
      <c r="G1854" s="24" t="str">
        <f t="shared" si="29"/>
        <v/>
      </c>
      <c r="H1854" s="25"/>
      <c r="I1854" s="26"/>
      <c r="J1854" s="141">
        <v>0</v>
      </c>
    </row>
    <row r="1855" spans="1:10" ht="15.75" hidden="1" thickBot="1" x14ac:dyDescent="0.3">
      <c r="A1855" s="226"/>
      <c r="B1855" s="244"/>
      <c r="C1855" s="28"/>
      <c r="D1855" s="28"/>
      <c r="E1855" s="29"/>
      <c r="F1855" s="39" t="s">
        <v>523</v>
      </c>
      <c r="G1855" s="27" t="str">
        <f t="shared" si="29"/>
        <v/>
      </c>
      <c r="H1855" s="31"/>
      <c r="I1855" s="27"/>
      <c r="J1855" s="141">
        <v>0</v>
      </c>
    </row>
    <row r="1856" spans="1:10" ht="15.75" hidden="1" thickBot="1" x14ac:dyDescent="0.3">
      <c r="A1856" s="226"/>
      <c r="B1856" s="244"/>
      <c r="C1856" s="32" t="s">
        <v>52</v>
      </c>
      <c r="D1856" s="43" t="s">
        <v>12</v>
      </c>
      <c r="E1856" s="33">
        <v>2.5</v>
      </c>
      <c r="F1856" s="27">
        <v>21.184999999999999</v>
      </c>
      <c r="G1856" s="30">
        <f t="shared" si="29"/>
        <v>52.962499999999999</v>
      </c>
      <c r="H1856" s="35">
        <f>SUM(G1856:G1858)</f>
        <v>119.01124999999999</v>
      </c>
      <c r="I1856" s="36"/>
      <c r="J1856" s="141">
        <v>0</v>
      </c>
    </row>
    <row r="1857" spans="1:10" ht="26.25" hidden="1" thickBot="1" x14ac:dyDescent="0.3">
      <c r="A1857" s="226"/>
      <c r="B1857" s="244"/>
      <c r="C1857" s="32" t="s">
        <v>571</v>
      </c>
      <c r="D1857" s="43" t="s">
        <v>12</v>
      </c>
      <c r="E1857" s="33">
        <v>2.5</v>
      </c>
      <c r="F1857" s="27">
        <v>26.419499999999999</v>
      </c>
      <c r="G1857" s="30">
        <f t="shared" si="29"/>
        <v>66.048749999999998</v>
      </c>
      <c r="H1857" s="31"/>
      <c r="I1857" s="27"/>
      <c r="J1857" s="141">
        <v>0</v>
      </c>
    </row>
    <row r="1858" spans="1:10" ht="26.25" hidden="1" thickBot="1" x14ac:dyDescent="0.3">
      <c r="A1858" s="226"/>
      <c r="B1858" s="244"/>
      <c r="C1858" s="32" t="s">
        <v>586</v>
      </c>
      <c r="D1858" s="32" t="s">
        <v>144</v>
      </c>
      <c r="E1858" s="33">
        <v>1</v>
      </c>
      <c r="F1858" s="30" t="s">
        <v>523</v>
      </c>
      <c r="G1858" s="30" t="str">
        <f t="shared" si="29"/>
        <v/>
      </c>
      <c r="H1858" s="31"/>
      <c r="I1858" s="27"/>
      <c r="J1858" s="141">
        <v>0</v>
      </c>
    </row>
    <row r="1859" spans="1:10" ht="15.75" hidden="1" thickBot="1" x14ac:dyDescent="0.3">
      <c r="A1859" s="227"/>
      <c r="B1859" s="230"/>
      <c r="C1859" s="32"/>
      <c r="D1859" s="32"/>
      <c r="E1859" s="33"/>
      <c r="F1859" s="27" t="s">
        <v>523</v>
      </c>
      <c r="G1859" s="27" t="str">
        <f t="shared" si="29"/>
        <v/>
      </c>
      <c r="H1859" s="31"/>
      <c r="I1859" s="27"/>
      <c r="J1859" s="141">
        <v>0</v>
      </c>
    </row>
    <row r="1860" spans="1:10" ht="15.75" hidden="1" thickBot="1" x14ac:dyDescent="0.3">
      <c r="A1860" s="225" t="s">
        <v>587</v>
      </c>
      <c r="B1860" s="228" t="str">
        <f>INDEX(Orçamentária!A:B,MATCH(Composições!A1860,Orçamentária!A:A,0),2)</f>
        <v>Difusor de ar quadrado com caixa plenum AK6 360x360 mm</v>
      </c>
      <c r="C1860" s="37"/>
      <c r="D1860" s="22" t="str">
        <f>TRIM(INDEX(Orçamentária!C:C,MATCH(Composições!A1860,Orçamentária!A:A,0),1))</f>
        <v>un</v>
      </c>
      <c r="E1860" s="23"/>
      <c r="F1860" s="38" t="s">
        <v>523</v>
      </c>
      <c r="G1860" s="24" t="str">
        <f t="shared" si="29"/>
        <v/>
      </c>
      <c r="H1860" s="25"/>
      <c r="I1860" s="26"/>
      <c r="J1860" s="141">
        <v>0</v>
      </c>
    </row>
    <row r="1861" spans="1:10" ht="15.75" hidden="1" thickBot="1" x14ac:dyDescent="0.3">
      <c r="A1861" s="226"/>
      <c r="B1861" s="244"/>
      <c r="C1861" s="28"/>
      <c r="D1861" s="28"/>
      <c r="E1861" s="29"/>
      <c r="F1861" s="39" t="s">
        <v>523</v>
      </c>
      <c r="G1861" s="27" t="str">
        <f t="shared" si="29"/>
        <v/>
      </c>
      <c r="H1861" s="31"/>
      <c r="I1861" s="27"/>
      <c r="J1861" s="141">
        <v>0</v>
      </c>
    </row>
    <row r="1862" spans="1:10" ht="15.75" hidden="1" thickBot="1" x14ac:dyDescent="0.3">
      <c r="A1862" s="226"/>
      <c r="B1862" s="244"/>
      <c r="C1862" s="32" t="s">
        <v>52</v>
      </c>
      <c r="D1862" s="43" t="s">
        <v>12</v>
      </c>
      <c r="E1862" s="33">
        <v>2.5</v>
      </c>
      <c r="F1862" s="27">
        <v>21.184999999999999</v>
      </c>
      <c r="G1862" s="30">
        <f t="shared" si="29"/>
        <v>52.962499999999999</v>
      </c>
      <c r="H1862" s="35">
        <f>SUM(G1862:G1864)</f>
        <v>119.01124999999999</v>
      </c>
      <c r="I1862" s="36"/>
      <c r="J1862" s="141">
        <v>0</v>
      </c>
    </row>
    <row r="1863" spans="1:10" ht="26.25" hidden="1" thickBot="1" x14ac:dyDescent="0.3">
      <c r="A1863" s="226"/>
      <c r="B1863" s="244"/>
      <c r="C1863" s="32" t="s">
        <v>571</v>
      </c>
      <c r="D1863" s="43" t="s">
        <v>12</v>
      </c>
      <c r="E1863" s="33">
        <v>2.5</v>
      </c>
      <c r="F1863" s="27">
        <v>26.419499999999999</v>
      </c>
      <c r="G1863" s="30">
        <f t="shared" si="29"/>
        <v>66.048749999999998</v>
      </c>
      <c r="H1863" s="31"/>
      <c r="I1863" s="27"/>
      <c r="J1863" s="141">
        <v>0</v>
      </c>
    </row>
    <row r="1864" spans="1:10" ht="26.25" hidden="1" thickBot="1" x14ac:dyDescent="0.3">
      <c r="A1864" s="226"/>
      <c r="B1864" s="244"/>
      <c r="C1864" s="32" t="s">
        <v>588</v>
      </c>
      <c r="D1864" s="32" t="s">
        <v>144</v>
      </c>
      <c r="E1864" s="33">
        <v>1</v>
      </c>
      <c r="F1864" s="30" t="s">
        <v>523</v>
      </c>
      <c r="G1864" s="30" t="str">
        <f t="shared" si="29"/>
        <v/>
      </c>
      <c r="H1864" s="31"/>
      <c r="I1864" s="27"/>
      <c r="J1864" s="141">
        <v>0</v>
      </c>
    </row>
    <row r="1865" spans="1:10" ht="15.75" hidden="1" thickBot="1" x14ac:dyDescent="0.3">
      <c r="A1865" s="227"/>
      <c r="B1865" s="230"/>
      <c r="C1865" s="32"/>
      <c r="D1865" s="32"/>
      <c r="E1865" s="33"/>
      <c r="F1865" s="27" t="s">
        <v>523</v>
      </c>
      <c r="G1865" s="27" t="str">
        <f t="shared" si="29"/>
        <v/>
      </c>
      <c r="H1865" s="31"/>
      <c r="I1865" s="27"/>
      <c r="J1865" s="141">
        <v>0</v>
      </c>
    </row>
    <row r="1866" spans="1:10" ht="15.75" thickBot="1" x14ac:dyDescent="0.3">
      <c r="A1866" s="225" t="s">
        <v>589</v>
      </c>
      <c r="B1866" s="228" t="str">
        <f>INDEX(Orçamentária!A:B,MATCH(Composições!A1866,Orçamentária!A:A,0),2)</f>
        <v>Difusor de ar quadrado para insuflamento em duas direções perpendiculares 376x376 mm</v>
      </c>
      <c r="C1866" s="37"/>
      <c r="D1866" s="22" t="str">
        <f>TRIM(INDEX(Orçamentária!C:C,MATCH(Composições!A1866,Orçamentária!A:A,0),1))</f>
        <v>un</v>
      </c>
      <c r="E1866" s="23"/>
      <c r="F1866" s="38" t="s">
        <v>523</v>
      </c>
      <c r="G1866" s="24" t="str">
        <f t="shared" si="29"/>
        <v/>
      </c>
      <c r="H1866" s="25"/>
      <c r="I1866" s="26"/>
      <c r="J1866" s="141">
        <v>2</v>
      </c>
    </row>
    <row r="1867" spans="1:10" x14ac:dyDescent="0.25">
      <c r="A1867" s="226"/>
      <c r="B1867" s="244"/>
      <c r="C1867" s="28"/>
      <c r="D1867" s="28"/>
      <c r="E1867" s="29"/>
      <c r="F1867" s="39" t="s">
        <v>523</v>
      </c>
      <c r="G1867" s="27" t="str">
        <f t="shared" si="29"/>
        <v/>
      </c>
      <c r="H1867" s="31"/>
      <c r="I1867" s="27"/>
      <c r="J1867" s="141">
        <v>2</v>
      </c>
    </row>
    <row r="1868" spans="1:10" x14ac:dyDescent="0.25">
      <c r="A1868" s="226"/>
      <c r="B1868" s="244"/>
      <c r="C1868" s="32" t="s">
        <v>52</v>
      </c>
      <c r="D1868" s="43" t="s">
        <v>12</v>
      </c>
      <c r="E1868" s="33">
        <v>2.5</v>
      </c>
      <c r="F1868" s="27">
        <v>21.184999999999999</v>
      </c>
      <c r="G1868" s="30">
        <f t="shared" si="29"/>
        <v>52.962499999999999</v>
      </c>
      <c r="H1868" s="35">
        <f>SUM(G1868:G1870)</f>
        <v>336.81124999999997</v>
      </c>
      <c r="I1868" s="36"/>
      <c r="J1868" s="141">
        <v>2</v>
      </c>
    </row>
    <row r="1869" spans="1:10" ht="25.5" x14ac:dyDescent="0.25">
      <c r="A1869" s="226"/>
      <c r="B1869" s="244"/>
      <c r="C1869" s="32" t="s">
        <v>571</v>
      </c>
      <c r="D1869" s="43" t="s">
        <v>12</v>
      </c>
      <c r="E1869" s="33">
        <v>2.5</v>
      </c>
      <c r="F1869" s="27">
        <v>26.419499999999999</v>
      </c>
      <c r="G1869" s="30">
        <f t="shared" si="29"/>
        <v>66.048749999999998</v>
      </c>
      <c r="H1869" s="31"/>
      <c r="I1869" s="27"/>
      <c r="J1869" s="141">
        <v>2</v>
      </c>
    </row>
    <row r="1870" spans="1:10" ht="25.5" x14ac:dyDescent="0.25">
      <c r="A1870" s="226"/>
      <c r="B1870" s="244"/>
      <c r="C1870" s="32" t="s">
        <v>590</v>
      </c>
      <c r="D1870" s="32" t="s">
        <v>144</v>
      </c>
      <c r="E1870" s="33">
        <v>1</v>
      </c>
      <c r="F1870" s="30">
        <v>217.8</v>
      </c>
      <c r="G1870" s="30">
        <f t="shared" si="29"/>
        <v>217.8</v>
      </c>
      <c r="H1870" s="31"/>
      <c r="I1870" s="27"/>
      <c r="J1870" s="141">
        <v>2</v>
      </c>
    </row>
    <row r="1871" spans="1:10" ht="15.75" thickBot="1" x14ac:dyDescent="0.3">
      <c r="A1871" s="227"/>
      <c r="B1871" s="230"/>
      <c r="C1871" s="32"/>
      <c r="D1871" s="32"/>
      <c r="E1871" s="33"/>
      <c r="F1871" s="27" t="s">
        <v>523</v>
      </c>
      <c r="G1871" s="27" t="str">
        <f t="shared" si="29"/>
        <v/>
      </c>
      <c r="H1871" s="31"/>
      <c r="I1871" s="27"/>
      <c r="J1871" s="141">
        <v>2</v>
      </c>
    </row>
    <row r="1872" spans="1:10" ht="15.75" hidden="1" thickBot="1" x14ac:dyDescent="0.3">
      <c r="A1872" s="225" t="s">
        <v>591</v>
      </c>
      <c r="B1872" s="228" t="str">
        <f>INDEX(Orçamentária!A:B,MATCH(Composições!A1872,Orçamentária!A:A,0),2)</f>
        <v>Difusor de ar retangular para insuflamento em duas direções 371x208 mm</v>
      </c>
      <c r="C1872" s="37"/>
      <c r="D1872" s="22" t="str">
        <f>TRIM(INDEX(Orçamentária!C:C,MATCH(Composições!A1872,Orçamentária!A:A,0),1))</f>
        <v>un</v>
      </c>
      <c r="E1872" s="23"/>
      <c r="F1872" s="38" t="s">
        <v>523</v>
      </c>
      <c r="G1872" s="24" t="str">
        <f t="shared" si="29"/>
        <v/>
      </c>
      <c r="H1872" s="25"/>
      <c r="I1872" s="26"/>
      <c r="J1872" s="141">
        <v>0</v>
      </c>
    </row>
    <row r="1873" spans="1:10" ht="15.75" hidden="1" thickBot="1" x14ac:dyDescent="0.3">
      <c r="A1873" s="226"/>
      <c r="B1873" s="244"/>
      <c r="C1873" s="28"/>
      <c r="D1873" s="28"/>
      <c r="E1873" s="29"/>
      <c r="F1873" s="39" t="s">
        <v>523</v>
      </c>
      <c r="G1873" s="27" t="str">
        <f t="shared" si="29"/>
        <v/>
      </c>
      <c r="H1873" s="31"/>
      <c r="I1873" s="27"/>
      <c r="J1873" s="141">
        <v>0</v>
      </c>
    </row>
    <row r="1874" spans="1:10" ht="15.75" hidden="1" thickBot="1" x14ac:dyDescent="0.3">
      <c r="A1874" s="226"/>
      <c r="B1874" s="244"/>
      <c r="C1874" s="32" t="s">
        <v>52</v>
      </c>
      <c r="D1874" s="43" t="s">
        <v>12</v>
      </c>
      <c r="E1874" s="33">
        <v>2.5</v>
      </c>
      <c r="F1874" s="27">
        <v>21.184999999999999</v>
      </c>
      <c r="G1874" s="30">
        <f t="shared" ref="G1874:G1937" si="30">IF(ISNUMBER(F1874),E1874*F1874,"")</f>
        <v>52.962499999999999</v>
      </c>
      <c r="H1874" s="35">
        <f>SUM(G1874:G1876)</f>
        <v>119.01124999999999</v>
      </c>
      <c r="I1874" s="36"/>
      <c r="J1874" s="141">
        <v>0</v>
      </c>
    </row>
    <row r="1875" spans="1:10" ht="26.25" hidden="1" thickBot="1" x14ac:dyDescent="0.3">
      <c r="A1875" s="226"/>
      <c r="B1875" s="244"/>
      <c r="C1875" s="32" t="s">
        <v>571</v>
      </c>
      <c r="D1875" s="43" t="s">
        <v>12</v>
      </c>
      <c r="E1875" s="33">
        <v>2.5</v>
      </c>
      <c r="F1875" s="27">
        <v>26.419499999999999</v>
      </c>
      <c r="G1875" s="30">
        <f t="shared" si="30"/>
        <v>66.048749999999998</v>
      </c>
      <c r="H1875" s="31"/>
      <c r="I1875" s="27"/>
      <c r="J1875" s="141">
        <v>0</v>
      </c>
    </row>
    <row r="1876" spans="1:10" ht="39" hidden="1" thickBot="1" x14ac:dyDescent="0.3">
      <c r="A1876" s="226"/>
      <c r="B1876" s="244"/>
      <c r="C1876" s="32" t="s">
        <v>592</v>
      </c>
      <c r="D1876" s="32" t="s">
        <v>144</v>
      </c>
      <c r="E1876" s="33">
        <v>1</v>
      </c>
      <c r="F1876" s="30" t="s">
        <v>523</v>
      </c>
      <c r="G1876" s="30" t="str">
        <f t="shared" si="30"/>
        <v/>
      </c>
      <c r="H1876" s="31"/>
      <c r="I1876" s="27"/>
      <c r="J1876" s="141">
        <v>0</v>
      </c>
    </row>
    <row r="1877" spans="1:10" ht="15.75" hidden="1" thickBot="1" x14ac:dyDescent="0.3">
      <c r="A1877" s="227"/>
      <c r="B1877" s="230"/>
      <c r="C1877" s="32"/>
      <c r="D1877" s="32"/>
      <c r="E1877" s="33"/>
      <c r="F1877" s="27" t="s">
        <v>523</v>
      </c>
      <c r="G1877" s="27" t="str">
        <f t="shared" si="30"/>
        <v/>
      </c>
      <c r="H1877" s="31"/>
      <c r="I1877" s="27"/>
      <c r="J1877" s="141">
        <v>0</v>
      </c>
    </row>
    <row r="1878" spans="1:10" ht="15.75" hidden="1" thickBot="1" x14ac:dyDescent="0.3">
      <c r="A1878" s="225" t="s">
        <v>593</v>
      </c>
      <c r="B1878" s="228" t="str">
        <f>INDEX(Orçamentária!A:B,MATCH(Composições!A1878,Orçamentária!A:A,0),2)</f>
        <v>Difusor de ar retangular para insuflamento em três direções 264x432 mm</v>
      </c>
      <c r="C1878" s="37"/>
      <c r="D1878" s="22" t="str">
        <f>TRIM(INDEX(Orçamentária!C:C,MATCH(Composições!A1878,Orçamentária!A:A,0),1))</f>
        <v>un</v>
      </c>
      <c r="E1878" s="23"/>
      <c r="F1878" s="38" t="s">
        <v>523</v>
      </c>
      <c r="G1878" s="24" t="str">
        <f t="shared" si="30"/>
        <v/>
      </c>
      <c r="H1878" s="25"/>
      <c r="I1878" s="26"/>
      <c r="J1878" s="141">
        <v>0</v>
      </c>
    </row>
    <row r="1879" spans="1:10" ht="15.75" hidden="1" thickBot="1" x14ac:dyDescent="0.3">
      <c r="A1879" s="226"/>
      <c r="B1879" s="244"/>
      <c r="C1879" s="28"/>
      <c r="D1879" s="28"/>
      <c r="E1879" s="29"/>
      <c r="F1879" s="39" t="s">
        <v>523</v>
      </c>
      <c r="G1879" s="27" t="str">
        <f t="shared" si="30"/>
        <v/>
      </c>
      <c r="H1879" s="31"/>
      <c r="I1879" s="27"/>
      <c r="J1879" s="141">
        <v>0</v>
      </c>
    </row>
    <row r="1880" spans="1:10" ht="15.75" hidden="1" thickBot="1" x14ac:dyDescent="0.3">
      <c r="A1880" s="226"/>
      <c r="B1880" s="244"/>
      <c r="C1880" s="32" t="s">
        <v>52</v>
      </c>
      <c r="D1880" s="43" t="s">
        <v>12</v>
      </c>
      <c r="E1880" s="33">
        <v>2.5</v>
      </c>
      <c r="F1880" s="27">
        <v>21.184999999999999</v>
      </c>
      <c r="G1880" s="30">
        <f t="shared" si="30"/>
        <v>52.962499999999999</v>
      </c>
      <c r="H1880" s="35">
        <f>SUM(G1880:G1882)</f>
        <v>119.01124999999999</v>
      </c>
      <c r="I1880" s="36"/>
      <c r="J1880" s="141">
        <v>0</v>
      </c>
    </row>
    <row r="1881" spans="1:10" ht="26.25" hidden="1" thickBot="1" x14ac:dyDescent="0.3">
      <c r="A1881" s="226"/>
      <c r="B1881" s="244"/>
      <c r="C1881" s="32" t="s">
        <v>571</v>
      </c>
      <c r="D1881" s="43" t="s">
        <v>12</v>
      </c>
      <c r="E1881" s="33">
        <v>2.5</v>
      </c>
      <c r="F1881" s="27">
        <v>26.419499999999999</v>
      </c>
      <c r="G1881" s="30">
        <f t="shared" si="30"/>
        <v>66.048749999999998</v>
      </c>
      <c r="H1881" s="31"/>
      <c r="I1881" s="27"/>
      <c r="J1881" s="141">
        <v>0</v>
      </c>
    </row>
    <row r="1882" spans="1:10" ht="51.75" hidden="1" thickBot="1" x14ac:dyDescent="0.3">
      <c r="A1882" s="226"/>
      <c r="B1882" s="244"/>
      <c r="C1882" s="32" t="s">
        <v>594</v>
      </c>
      <c r="D1882" s="32" t="s">
        <v>144</v>
      </c>
      <c r="E1882" s="33">
        <v>1</v>
      </c>
      <c r="F1882" s="30" t="s">
        <v>523</v>
      </c>
      <c r="G1882" s="30" t="str">
        <f t="shared" si="30"/>
        <v/>
      </c>
      <c r="H1882" s="31"/>
      <c r="I1882" s="27"/>
      <c r="J1882" s="141">
        <v>0</v>
      </c>
    </row>
    <row r="1883" spans="1:10" ht="15.75" hidden="1" thickBot="1" x14ac:dyDescent="0.3">
      <c r="A1883" s="227"/>
      <c r="B1883" s="230"/>
      <c r="C1883" s="32"/>
      <c r="D1883" s="32"/>
      <c r="E1883" s="33"/>
      <c r="F1883" s="27" t="s">
        <v>523</v>
      </c>
      <c r="G1883" s="27" t="str">
        <f t="shared" si="30"/>
        <v/>
      </c>
      <c r="H1883" s="31"/>
      <c r="I1883" s="27"/>
      <c r="J1883" s="141">
        <v>0</v>
      </c>
    </row>
    <row r="1884" spans="1:10" ht="15.75" hidden="1" thickBot="1" x14ac:dyDescent="0.3">
      <c r="A1884" s="225" t="s">
        <v>595</v>
      </c>
      <c r="B1884" s="228" t="str">
        <f>INDEX(Orçamentária!A:B,MATCH(Composições!A1884,Orçamentária!A:A,0),2)</f>
        <v>Difusor de ar retangular para insuflamento em três direções 320x562 mm</v>
      </c>
      <c r="C1884" s="37"/>
      <c r="D1884" s="22" t="str">
        <f>TRIM(INDEX(Orçamentária!C:C,MATCH(Composições!A1884,Orçamentária!A:A,0),1))</f>
        <v>un</v>
      </c>
      <c r="E1884" s="23"/>
      <c r="F1884" s="38" t="s">
        <v>523</v>
      </c>
      <c r="G1884" s="24" t="str">
        <f t="shared" si="30"/>
        <v/>
      </c>
      <c r="H1884" s="25"/>
      <c r="I1884" s="26"/>
      <c r="J1884" s="141">
        <v>0</v>
      </c>
    </row>
    <row r="1885" spans="1:10" ht="15.75" hidden="1" thickBot="1" x14ac:dyDescent="0.3">
      <c r="A1885" s="226"/>
      <c r="B1885" s="244"/>
      <c r="C1885" s="28"/>
      <c r="D1885" s="28"/>
      <c r="E1885" s="29"/>
      <c r="F1885" s="39" t="s">
        <v>523</v>
      </c>
      <c r="G1885" s="27" t="str">
        <f t="shared" si="30"/>
        <v/>
      </c>
      <c r="H1885" s="31"/>
      <c r="I1885" s="27"/>
      <c r="J1885" s="141">
        <v>0</v>
      </c>
    </row>
    <row r="1886" spans="1:10" ht="15.75" hidden="1" thickBot="1" x14ac:dyDescent="0.3">
      <c r="A1886" s="226"/>
      <c r="B1886" s="244"/>
      <c r="C1886" s="32" t="s">
        <v>52</v>
      </c>
      <c r="D1886" s="43" t="s">
        <v>12</v>
      </c>
      <c r="E1886" s="33">
        <v>2.5</v>
      </c>
      <c r="F1886" s="27">
        <v>21.184999999999999</v>
      </c>
      <c r="G1886" s="30">
        <f t="shared" si="30"/>
        <v>52.962499999999999</v>
      </c>
      <c r="H1886" s="35">
        <f>SUM(G1886:G1888)</f>
        <v>119.01124999999999</v>
      </c>
      <c r="I1886" s="36"/>
      <c r="J1886" s="141">
        <v>0</v>
      </c>
    </row>
    <row r="1887" spans="1:10" ht="26.25" hidden="1" thickBot="1" x14ac:dyDescent="0.3">
      <c r="A1887" s="226"/>
      <c r="B1887" s="244"/>
      <c r="C1887" s="32" t="s">
        <v>571</v>
      </c>
      <c r="D1887" s="43" t="s">
        <v>12</v>
      </c>
      <c r="E1887" s="33">
        <v>2.5</v>
      </c>
      <c r="F1887" s="27">
        <v>26.419499999999999</v>
      </c>
      <c r="G1887" s="30">
        <f t="shared" si="30"/>
        <v>66.048749999999998</v>
      </c>
      <c r="H1887" s="31"/>
      <c r="I1887" s="27"/>
      <c r="J1887" s="141">
        <v>0</v>
      </c>
    </row>
    <row r="1888" spans="1:10" ht="26.25" hidden="1" thickBot="1" x14ac:dyDescent="0.3">
      <c r="A1888" s="226"/>
      <c r="B1888" s="244"/>
      <c r="C1888" s="32" t="s">
        <v>596</v>
      </c>
      <c r="D1888" s="32" t="s">
        <v>144</v>
      </c>
      <c r="E1888" s="33">
        <v>1</v>
      </c>
      <c r="F1888" s="30" t="s">
        <v>523</v>
      </c>
      <c r="G1888" s="30" t="str">
        <f t="shared" si="30"/>
        <v/>
      </c>
      <c r="H1888" s="31"/>
      <c r="I1888" s="27"/>
      <c r="J1888" s="141">
        <v>0</v>
      </c>
    </row>
    <row r="1889" spans="1:10" ht="15.75" hidden="1" thickBot="1" x14ac:dyDescent="0.3">
      <c r="A1889" s="227"/>
      <c r="B1889" s="230"/>
      <c r="C1889" s="32"/>
      <c r="D1889" s="32"/>
      <c r="E1889" s="33"/>
      <c r="F1889" s="27" t="s">
        <v>523</v>
      </c>
      <c r="G1889" s="27" t="str">
        <f t="shared" si="30"/>
        <v/>
      </c>
      <c r="H1889" s="31"/>
      <c r="I1889" s="27"/>
      <c r="J1889" s="141">
        <v>0</v>
      </c>
    </row>
    <row r="1890" spans="1:10" ht="15.75" hidden="1" thickBot="1" x14ac:dyDescent="0.3">
      <c r="A1890" s="225" t="s">
        <v>597</v>
      </c>
      <c r="B1890" s="228" t="str">
        <f>INDEX(Orçamentária!A:B,MATCH(Composições!A1890,Orçamentária!A:A,0),2)</f>
        <v>Difusor de ar retangular para insuflamento em três direções 371x208 mm</v>
      </c>
      <c r="C1890" s="37"/>
      <c r="D1890" s="22" t="str">
        <f>TRIM(INDEX(Orçamentária!C:C,MATCH(Composições!A1890,Orçamentária!A:A,0),1))</f>
        <v>un</v>
      </c>
      <c r="E1890" s="23"/>
      <c r="F1890" s="38" t="s">
        <v>523</v>
      </c>
      <c r="G1890" s="24" t="str">
        <f t="shared" si="30"/>
        <v/>
      </c>
      <c r="H1890" s="25"/>
      <c r="I1890" s="26"/>
      <c r="J1890" s="141">
        <v>0</v>
      </c>
    </row>
    <row r="1891" spans="1:10" ht="15.75" hidden="1" thickBot="1" x14ac:dyDescent="0.3">
      <c r="A1891" s="226"/>
      <c r="B1891" s="244"/>
      <c r="C1891" s="28"/>
      <c r="D1891" s="28"/>
      <c r="E1891" s="29"/>
      <c r="F1891" s="39" t="s">
        <v>523</v>
      </c>
      <c r="G1891" s="27" t="str">
        <f t="shared" si="30"/>
        <v/>
      </c>
      <c r="H1891" s="31"/>
      <c r="I1891" s="27"/>
      <c r="J1891" s="141">
        <v>0</v>
      </c>
    </row>
    <row r="1892" spans="1:10" ht="15.75" hidden="1" thickBot="1" x14ac:dyDescent="0.3">
      <c r="A1892" s="226"/>
      <c r="B1892" s="244"/>
      <c r="C1892" s="32" t="s">
        <v>52</v>
      </c>
      <c r="D1892" s="43" t="s">
        <v>12</v>
      </c>
      <c r="E1892" s="33">
        <v>2.5</v>
      </c>
      <c r="F1892" s="27">
        <v>21.184999999999999</v>
      </c>
      <c r="G1892" s="30">
        <f t="shared" si="30"/>
        <v>52.962499999999999</v>
      </c>
      <c r="H1892" s="35">
        <f>SUM(G1892:G1894)</f>
        <v>119.01124999999999</v>
      </c>
      <c r="I1892" s="36"/>
      <c r="J1892" s="141">
        <v>0</v>
      </c>
    </row>
    <row r="1893" spans="1:10" ht="26.25" hidden="1" thickBot="1" x14ac:dyDescent="0.3">
      <c r="A1893" s="226"/>
      <c r="B1893" s="244"/>
      <c r="C1893" s="32" t="s">
        <v>571</v>
      </c>
      <c r="D1893" s="43" t="s">
        <v>12</v>
      </c>
      <c r="E1893" s="33">
        <v>2.5</v>
      </c>
      <c r="F1893" s="27">
        <v>26.419499999999999</v>
      </c>
      <c r="G1893" s="30">
        <f t="shared" si="30"/>
        <v>66.048749999999998</v>
      </c>
      <c r="H1893" s="31"/>
      <c r="I1893" s="27"/>
      <c r="J1893" s="141">
        <v>0</v>
      </c>
    </row>
    <row r="1894" spans="1:10" ht="39" hidden="1" thickBot="1" x14ac:dyDescent="0.3">
      <c r="A1894" s="226"/>
      <c r="B1894" s="244"/>
      <c r="C1894" s="32" t="s">
        <v>598</v>
      </c>
      <c r="D1894" s="32" t="s">
        <v>144</v>
      </c>
      <c r="E1894" s="33">
        <v>1</v>
      </c>
      <c r="F1894" s="30" t="s">
        <v>523</v>
      </c>
      <c r="G1894" s="30" t="str">
        <f t="shared" si="30"/>
        <v/>
      </c>
      <c r="H1894" s="31"/>
      <c r="I1894" s="27"/>
      <c r="J1894" s="141">
        <v>0</v>
      </c>
    </row>
    <row r="1895" spans="1:10" ht="15.75" hidden="1" thickBot="1" x14ac:dyDescent="0.3">
      <c r="A1895" s="227"/>
      <c r="B1895" s="230"/>
      <c r="C1895" s="32"/>
      <c r="D1895" s="32"/>
      <c r="E1895" s="33"/>
      <c r="F1895" s="27" t="s">
        <v>523</v>
      </c>
      <c r="G1895" s="27" t="str">
        <f t="shared" si="30"/>
        <v/>
      </c>
      <c r="H1895" s="31"/>
      <c r="I1895" s="27"/>
      <c r="J1895" s="141">
        <v>0</v>
      </c>
    </row>
    <row r="1896" spans="1:10" ht="15.75" hidden="1" thickBot="1" x14ac:dyDescent="0.3">
      <c r="A1896" s="225" t="s">
        <v>599</v>
      </c>
      <c r="B1896" s="228" t="str">
        <f>INDEX(Orçamentária!A:B,MATCH(Composições!A1896,Orçamentária!A:A,0),2)</f>
        <v>Difusor de ar retangular para insuflamento em uma direção 371x208 mm</v>
      </c>
      <c r="C1896" s="37"/>
      <c r="D1896" s="22" t="str">
        <f>TRIM(INDEX(Orçamentária!C:C,MATCH(Composições!A1896,Orçamentária!A:A,0),1))</f>
        <v>un</v>
      </c>
      <c r="E1896" s="23"/>
      <c r="F1896" s="38" t="s">
        <v>523</v>
      </c>
      <c r="G1896" s="24" t="str">
        <f t="shared" si="30"/>
        <v/>
      </c>
      <c r="H1896" s="25"/>
      <c r="I1896" s="26"/>
      <c r="J1896" s="141">
        <v>0</v>
      </c>
    </row>
    <row r="1897" spans="1:10" ht="15.75" hidden="1" thickBot="1" x14ac:dyDescent="0.3">
      <c r="A1897" s="226"/>
      <c r="B1897" s="244"/>
      <c r="C1897" s="28"/>
      <c r="D1897" s="28"/>
      <c r="E1897" s="29"/>
      <c r="F1897" s="39" t="s">
        <v>523</v>
      </c>
      <c r="G1897" s="27" t="str">
        <f t="shared" si="30"/>
        <v/>
      </c>
      <c r="H1897" s="31"/>
      <c r="I1897" s="27"/>
      <c r="J1897" s="141">
        <v>0</v>
      </c>
    </row>
    <row r="1898" spans="1:10" ht="15.75" hidden="1" thickBot="1" x14ac:dyDescent="0.3">
      <c r="A1898" s="226"/>
      <c r="B1898" s="244"/>
      <c r="C1898" s="32" t="s">
        <v>52</v>
      </c>
      <c r="D1898" s="43" t="s">
        <v>12</v>
      </c>
      <c r="E1898" s="33">
        <v>2.5</v>
      </c>
      <c r="F1898" s="27">
        <v>21.184999999999999</v>
      </c>
      <c r="G1898" s="27">
        <f t="shared" si="30"/>
        <v>52.962499999999999</v>
      </c>
      <c r="H1898" s="35">
        <f>SUM(G1898:G1900)</f>
        <v>119.01124999999999</v>
      </c>
      <c r="I1898" s="36"/>
      <c r="J1898" s="141">
        <v>0</v>
      </c>
    </row>
    <row r="1899" spans="1:10" ht="26.25" hidden="1" thickBot="1" x14ac:dyDescent="0.3">
      <c r="A1899" s="226"/>
      <c r="B1899" s="244"/>
      <c r="C1899" s="32" t="s">
        <v>571</v>
      </c>
      <c r="D1899" s="43" t="s">
        <v>12</v>
      </c>
      <c r="E1899" s="33">
        <v>2.5</v>
      </c>
      <c r="F1899" s="27">
        <v>26.419499999999999</v>
      </c>
      <c r="G1899" s="27">
        <f t="shared" si="30"/>
        <v>66.048749999999998</v>
      </c>
      <c r="H1899" s="31"/>
      <c r="I1899" s="27"/>
      <c r="J1899" s="141">
        <v>0</v>
      </c>
    </row>
    <row r="1900" spans="1:10" ht="39" hidden="1" thickBot="1" x14ac:dyDescent="0.3">
      <c r="A1900" s="226"/>
      <c r="B1900" s="244"/>
      <c r="C1900" s="32" t="s">
        <v>600</v>
      </c>
      <c r="D1900" s="32" t="s">
        <v>144</v>
      </c>
      <c r="E1900" s="33">
        <v>1</v>
      </c>
      <c r="F1900" s="30" t="s">
        <v>523</v>
      </c>
      <c r="G1900" s="27" t="str">
        <f t="shared" si="30"/>
        <v/>
      </c>
      <c r="H1900" s="31"/>
      <c r="I1900" s="27"/>
      <c r="J1900" s="141">
        <v>0</v>
      </c>
    </row>
    <row r="1901" spans="1:10" ht="15.75" hidden="1" thickBot="1" x14ac:dyDescent="0.3">
      <c r="A1901" s="227"/>
      <c r="B1901" s="230"/>
      <c r="C1901" s="32"/>
      <c r="D1901" s="32"/>
      <c r="E1901" s="33"/>
      <c r="F1901" s="27" t="s">
        <v>523</v>
      </c>
      <c r="G1901" s="27" t="str">
        <f t="shared" si="30"/>
        <v/>
      </c>
      <c r="H1901" s="31"/>
      <c r="I1901" s="27"/>
      <c r="J1901" s="141">
        <v>0</v>
      </c>
    </row>
    <row r="1902" spans="1:10" ht="15.75" thickBot="1" x14ac:dyDescent="0.3">
      <c r="A1902" s="225" t="s">
        <v>601</v>
      </c>
      <c r="B1902" s="228" t="str">
        <f>INDEX(Orçamentária!A:B,MATCH(Composições!A1902,Orçamentária!A:A,0),2)</f>
        <v>Grelha para retorno retangular 425x225 mm</v>
      </c>
      <c r="C1902" s="37"/>
      <c r="D1902" s="22" t="str">
        <f>TRIM(INDEX(Orçamentária!C:C,MATCH(Composições!A1902,Orçamentária!A:A,0),1))</f>
        <v>un</v>
      </c>
      <c r="E1902" s="23"/>
      <c r="F1902" s="38" t="s">
        <v>523</v>
      </c>
      <c r="G1902" s="24" t="str">
        <f t="shared" si="30"/>
        <v/>
      </c>
      <c r="H1902" s="25"/>
      <c r="I1902" s="26"/>
      <c r="J1902" s="141">
        <v>1</v>
      </c>
    </row>
    <row r="1903" spans="1:10" x14ac:dyDescent="0.25">
      <c r="A1903" s="226"/>
      <c r="B1903" s="244"/>
      <c r="C1903" s="28"/>
      <c r="D1903" s="28"/>
      <c r="E1903" s="29"/>
      <c r="F1903" s="39" t="s">
        <v>523</v>
      </c>
      <c r="G1903" s="27" t="str">
        <f t="shared" si="30"/>
        <v/>
      </c>
      <c r="H1903" s="31"/>
      <c r="I1903" s="27"/>
      <c r="J1903" s="141">
        <v>1</v>
      </c>
    </row>
    <row r="1904" spans="1:10" x14ac:dyDescent="0.25">
      <c r="A1904" s="226"/>
      <c r="B1904" s="244"/>
      <c r="C1904" s="32" t="s">
        <v>52</v>
      </c>
      <c r="D1904" s="43" t="s">
        <v>12</v>
      </c>
      <c r="E1904" s="33">
        <v>3.5</v>
      </c>
      <c r="F1904" s="27">
        <v>21.184999999999999</v>
      </c>
      <c r="G1904" s="30">
        <f t="shared" si="30"/>
        <v>74.147499999999994</v>
      </c>
      <c r="H1904" s="35">
        <f>SUM(G1904:G1906)</f>
        <v>212.07324999999997</v>
      </c>
      <c r="I1904" s="36"/>
      <c r="J1904" s="141">
        <v>1</v>
      </c>
    </row>
    <row r="1905" spans="1:10" ht="25.5" x14ac:dyDescent="0.25">
      <c r="A1905" s="226"/>
      <c r="B1905" s="244"/>
      <c r="C1905" s="32" t="s">
        <v>571</v>
      </c>
      <c r="D1905" s="43" t="s">
        <v>12</v>
      </c>
      <c r="E1905" s="33">
        <v>3.5</v>
      </c>
      <c r="F1905" s="27">
        <v>26.419499999999999</v>
      </c>
      <c r="G1905" s="30">
        <f t="shared" si="30"/>
        <v>92.468249999999998</v>
      </c>
      <c r="H1905" s="31"/>
      <c r="I1905" s="27"/>
      <c r="J1905" s="141">
        <v>1</v>
      </c>
    </row>
    <row r="1906" spans="1:10" x14ac:dyDescent="0.25">
      <c r="A1906" s="226"/>
      <c r="B1906" s="244"/>
      <c r="C1906" s="32" t="s">
        <v>602</v>
      </c>
      <c r="D1906" s="32" t="s">
        <v>144</v>
      </c>
      <c r="E1906" s="33">
        <v>1</v>
      </c>
      <c r="F1906" s="30">
        <v>45.457499999999996</v>
      </c>
      <c r="G1906" s="30">
        <f t="shared" si="30"/>
        <v>45.457499999999996</v>
      </c>
      <c r="H1906" s="31"/>
      <c r="I1906" s="27"/>
      <c r="J1906" s="141">
        <v>1</v>
      </c>
    </row>
    <row r="1907" spans="1:10" ht="15.75" thickBot="1" x14ac:dyDescent="0.3">
      <c r="A1907" s="227"/>
      <c r="B1907" s="230"/>
      <c r="C1907" s="32"/>
      <c r="D1907" s="32"/>
      <c r="E1907" s="33"/>
      <c r="F1907" s="27" t="s">
        <v>523</v>
      </c>
      <c r="G1907" s="27" t="str">
        <f t="shared" si="30"/>
        <v/>
      </c>
      <c r="H1907" s="31"/>
      <c r="I1907" s="27"/>
      <c r="J1907" s="141">
        <v>1</v>
      </c>
    </row>
    <row r="1908" spans="1:10" ht="15.75" thickBot="1" x14ac:dyDescent="0.3">
      <c r="A1908" s="225" t="s">
        <v>603</v>
      </c>
      <c r="B1908" s="228" t="str">
        <f>INDEX(Orçamentária!A:B,MATCH(Composições!A1908,Orçamentária!A:A,0),2)</f>
        <v>Grelha para retorno retangular 525x325 mm</v>
      </c>
      <c r="C1908" s="37"/>
      <c r="D1908" s="22" t="str">
        <f>TRIM(INDEX(Orçamentária!C:C,MATCH(Composições!A1908,Orçamentária!A:A,0),1))</f>
        <v>un</v>
      </c>
      <c r="E1908" s="23"/>
      <c r="F1908" s="38" t="s">
        <v>523</v>
      </c>
      <c r="G1908" s="24" t="str">
        <f t="shared" si="30"/>
        <v/>
      </c>
      <c r="H1908" s="25"/>
      <c r="I1908" s="26"/>
      <c r="J1908" s="141">
        <v>2</v>
      </c>
    </row>
    <row r="1909" spans="1:10" x14ac:dyDescent="0.25">
      <c r="A1909" s="226"/>
      <c r="B1909" s="244"/>
      <c r="C1909" s="28"/>
      <c r="D1909" s="28"/>
      <c r="E1909" s="29"/>
      <c r="F1909" s="39" t="s">
        <v>523</v>
      </c>
      <c r="G1909" s="27" t="str">
        <f t="shared" si="30"/>
        <v/>
      </c>
      <c r="H1909" s="31"/>
      <c r="I1909" s="27"/>
      <c r="J1909" s="141">
        <v>2</v>
      </c>
    </row>
    <row r="1910" spans="1:10" x14ac:dyDescent="0.25">
      <c r="A1910" s="226"/>
      <c r="B1910" s="244"/>
      <c r="C1910" s="32" t="s">
        <v>52</v>
      </c>
      <c r="D1910" s="43" t="s">
        <v>12</v>
      </c>
      <c r="E1910" s="33">
        <v>3.5</v>
      </c>
      <c r="F1910" s="27">
        <v>21.184999999999999</v>
      </c>
      <c r="G1910" s="27">
        <f t="shared" si="30"/>
        <v>74.147499999999994</v>
      </c>
      <c r="H1910" s="35">
        <f>SUM(G1910:G1912)</f>
        <v>233.76175000000001</v>
      </c>
      <c r="I1910" s="36"/>
      <c r="J1910" s="141">
        <v>2</v>
      </c>
    </row>
    <row r="1911" spans="1:10" ht="25.5" x14ac:dyDescent="0.25">
      <c r="A1911" s="226"/>
      <c r="B1911" s="244"/>
      <c r="C1911" s="32" t="s">
        <v>571</v>
      </c>
      <c r="D1911" s="43" t="s">
        <v>12</v>
      </c>
      <c r="E1911" s="33">
        <v>3.5</v>
      </c>
      <c r="F1911" s="27">
        <v>26.419499999999999</v>
      </c>
      <c r="G1911" s="27">
        <f t="shared" si="30"/>
        <v>92.468249999999998</v>
      </c>
      <c r="H1911" s="31"/>
      <c r="I1911" s="27"/>
      <c r="J1911" s="141">
        <v>2</v>
      </c>
    </row>
    <row r="1912" spans="1:10" x14ac:dyDescent="0.25">
      <c r="A1912" s="226"/>
      <c r="B1912" s="244"/>
      <c r="C1912" s="32" t="s">
        <v>604</v>
      </c>
      <c r="D1912" s="32" t="s">
        <v>144</v>
      </c>
      <c r="E1912" s="33">
        <v>1</v>
      </c>
      <c r="F1912" s="27">
        <v>67.146000000000001</v>
      </c>
      <c r="G1912" s="27">
        <f t="shared" si="30"/>
        <v>67.146000000000001</v>
      </c>
      <c r="H1912" s="31"/>
      <c r="I1912" s="27"/>
      <c r="J1912" s="141">
        <v>2</v>
      </c>
    </row>
    <row r="1913" spans="1:10" ht="15.75" thickBot="1" x14ac:dyDescent="0.3">
      <c r="A1913" s="227"/>
      <c r="B1913" s="230"/>
      <c r="C1913" s="32"/>
      <c r="D1913" s="32"/>
      <c r="E1913" s="33"/>
      <c r="F1913" s="27" t="s">
        <v>523</v>
      </c>
      <c r="G1913" s="27" t="str">
        <f t="shared" si="30"/>
        <v/>
      </c>
      <c r="H1913" s="31"/>
      <c r="I1913" s="27"/>
      <c r="J1913" s="141">
        <v>2</v>
      </c>
    </row>
    <row r="1914" spans="1:10" ht="15.75" thickBot="1" x14ac:dyDescent="0.3">
      <c r="A1914" s="225" t="s">
        <v>605</v>
      </c>
      <c r="B1914" s="228" t="str">
        <f>INDEX(Orçamentária!A:B,MATCH(Composições!A1914,Orçamentária!A:A,0),2)</f>
        <v>Instalação de difusores, grelhas e acessórios de climatização reaproveitados</v>
      </c>
      <c r="C1914" s="37"/>
      <c r="D1914" s="22" t="str">
        <f>TRIM(INDEX(Orçamentária!C:C,MATCH(Composições!A1914,Orçamentária!A:A,0),1))</f>
        <v>un</v>
      </c>
      <c r="E1914" s="23"/>
      <c r="F1914" s="38" t="s">
        <v>523</v>
      </c>
      <c r="G1914" s="24" t="str">
        <f t="shared" si="30"/>
        <v/>
      </c>
      <c r="H1914" s="25"/>
      <c r="I1914" s="26"/>
      <c r="J1914" s="141">
        <v>31</v>
      </c>
    </row>
    <row r="1915" spans="1:10" x14ac:dyDescent="0.25">
      <c r="A1915" s="226"/>
      <c r="B1915" s="244"/>
      <c r="C1915" s="28"/>
      <c r="D1915" s="28"/>
      <c r="E1915" s="29"/>
      <c r="F1915" s="39" t="s">
        <v>523</v>
      </c>
      <c r="G1915" s="27" t="str">
        <f t="shared" si="30"/>
        <v/>
      </c>
      <c r="H1915" s="31"/>
      <c r="I1915" s="27"/>
      <c r="J1915" s="141">
        <v>31</v>
      </c>
    </row>
    <row r="1916" spans="1:10" x14ac:dyDescent="0.25">
      <c r="A1916" s="226"/>
      <c r="B1916" s="244"/>
      <c r="C1916" s="32" t="s">
        <v>52</v>
      </c>
      <c r="D1916" s="43" t="s">
        <v>12</v>
      </c>
      <c r="E1916" s="33">
        <v>2.5</v>
      </c>
      <c r="F1916" s="27">
        <v>21.184999999999999</v>
      </c>
      <c r="G1916" s="27">
        <f t="shared" si="30"/>
        <v>52.962499999999999</v>
      </c>
      <c r="H1916" s="35">
        <f>SUM(G1916:G1917)</f>
        <v>119.01124999999999</v>
      </c>
      <c r="I1916" s="36"/>
      <c r="J1916" s="141">
        <v>31</v>
      </c>
    </row>
    <row r="1917" spans="1:10" ht="25.5" x14ac:dyDescent="0.25">
      <c r="A1917" s="226"/>
      <c r="B1917" s="244"/>
      <c r="C1917" s="32" t="s">
        <v>571</v>
      </c>
      <c r="D1917" s="43" t="s">
        <v>12</v>
      </c>
      <c r="E1917" s="33">
        <v>2.5</v>
      </c>
      <c r="F1917" s="27">
        <v>26.419499999999999</v>
      </c>
      <c r="G1917" s="27">
        <f t="shared" si="30"/>
        <v>66.048749999999998</v>
      </c>
      <c r="H1917" s="31"/>
      <c r="I1917" s="27"/>
      <c r="J1917" s="141">
        <v>31</v>
      </c>
    </row>
    <row r="1918" spans="1:10" ht="15.75" thickBot="1" x14ac:dyDescent="0.3">
      <c r="A1918" s="227"/>
      <c r="B1918" s="230"/>
      <c r="C1918" s="32"/>
      <c r="D1918" s="32"/>
      <c r="E1918" s="33"/>
      <c r="F1918" s="27" t="s">
        <v>523</v>
      </c>
      <c r="G1918" s="27" t="str">
        <f t="shared" si="30"/>
        <v/>
      </c>
      <c r="H1918" s="31"/>
      <c r="I1918" s="27"/>
      <c r="J1918" s="141">
        <v>31</v>
      </c>
    </row>
    <row r="1919" spans="1:10" ht="15.75" hidden="1" thickBot="1" x14ac:dyDescent="0.3">
      <c r="A1919" s="225" t="s">
        <v>606</v>
      </c>
      <c r="B1919" s="228" t="str">
        <f>INDEX(Orçamentária!A:B,MATCH(Composições!A1919,Orçamentária!A:A,0),2)</f>
        <v>Instalação de exaustor reaproveitado</v>
      </c>
      <c r="C1919" s="37"/>
      <c r="D1919" s="22" t="str">
        <f>TRIM(INDEX(Orçamentária!C:C,MATCH(Composições!A1919,Orçamentária!A:A,0),1))</f>
        <v>un</v>
      </c>
      <c r="E1919" s="23"/>
      <c r="F1919" s="38" t="s">
        <v>523</v>
      </c>
      <c r="G1919" s="24" t="str">
        <f t="shared" si="30"/>
        <v/>
      </c>
      <c r="H1919" s="25"/>
      <c r="I1919" s="26"/>
      <c r="J1919" s="141">
        <v>0</v>
      </c>
    </row>
    <row r="1920" spans="1:10" ht="15.75" hidden="1" thickBot="1" x14ac:dyDescent="0.3">
      <c r="A1920" s="226"/>
      <c r="B1920" s="244"/>
      <c r="C1920" s="28"/>
      <c r="D1920" s="28"/>
      <c r="E1920" s="29"/>
      <c r="F1920" s="39" t="s">
        <v>523</v>
      </c>
      <c r="G1920" s="27" t="str">
        <f t="shared" si="30"/>
        <v/>
      </c>
      <c r="H1920" s="31"/>
      <c r="I1920" s="27"/>
      <c r="J1920" s="141">
        <v>0</v>
      </c>
    </row>
    <row r="1921" spans="1:10" ht="15.75" hidden="1" thickBot="1" x14ac:dyDescent="0.3">
      <c r="A1921" s="226"/>
      <c r="B1921" s="244"/>
      <c r="C1921" s="32" t="s">
        <v>30</v>
      </c>
      <c r="D1921" s="32" t="s">
        <v>12</v>
      </c>
      <c r="E1921" s="33">
        <v>1</v>
      </c>
      <c r="F1921" s="27">
        <v>25.146499999999996</v>
      </c>
      <c r="G1921" s="30">
        <f t="shared" si="30"/>
        <v>25.146499999999996</v>
      </c>
      <c r="H1921" s="35">
        <f>SUM(G1921:G1922)</f>
        <v>44.554999999999993</v>
      </c>
      <c r="I1921" s="36"/>
      <c r="J1921" s="141">
        <v>0</v>
      </c>
    </row>
    <row r="1922" spans="1:10" ht="15.75" hidden="1" thickBot="1" x14ac:dyDescent="0.3">
      <c r="A1922" s="226"/>
      <c r="B1922" s="244"/>
      <c r="C1922" s="32" t="s">
        <v>74</v>
      </c>
      <c r="D1922" s="43" t="s">
        <v>12</v>
      </c>
      <c r="E1922" s="33">
        <v>1</v>
      </c>
      <c r="F1922" s="27">
        <v>19.4085</v>
      </c>
      <c r="G1922" s="30">
        <f t="shared" si="30"/>
        <v>19.4085</v>
      </c>
      <c r="H1922" s="31"/>
      <c r="I1922" s="27"/>
      <c r="J1922" s="141">
        <v>0</v>
      </c>
    </row>
    <row r="1923" spans="1:10" ht="15.75" hidden="1" thickBot="1" x14ac:dyDescent="0.3">
      <c r="A1923" s="227"/>
      <c r="B1923" s="230"/>
      <c r="C1923" s="32"/>
      <c r="D1923" s="32"/>
      <c r="E1923" s="33"/>
      <c r="F1923" s="27" t="s">
        <v>523</v>
      </c>
      <c r="G1923" s="27" t="str">
        <f t="shared" si="30"/>
        <v/>
      </c>
      <c r="H1923" s="31"/>
      <c r="I1923" s="27"/>
      <c r="J1923" s="141">
        <v>0</v>
      </c>
    </row>
    <row r="1924" spans="1:10" ht="15.75" thickBot="1" x14ac:dyDescent="0.3">
      <c r="A1924" s="225" t="s">
        <v>607</v>
      </c>
      <c r="B1924" s="228" t="str">
        <f>INDEX(Orçamentária!A:B,MATCH(Composições!A1924,Orçamentária!A:A,0),2)</f>
        <v>Preparação para instalação de difusores/grelhas de ar em portas</v>
      </c>
      <c r="C1924" s="37"/>
      <c r="D1924" s="22" t="str">
        <f>TRIM(INDEX(Orçamentária!C:C,MATCH(Composições!A1924,Orçamentária!A:A,0),1))</f>
        <v>un</v>
      </c>
      <c r="E1924" s="23"/>
      <c r="F1924" s="38" t="s">
        <v>523</v>
      </c>
      <c r="G1924" s="24" t="str">
        <f t="shared" si="30"/>
        <v/>
      </c>
      <c r="H1924" s="25"/>
      <c r="I1924" s="26"/>
      <c r="J1924" s="141">
        <v>1</v>
      </c>
    </row>
    <row r="1925" spans="1:10" x14ac:dyDescent="0.25">
      <c r="A1925" s="226"/>
      <c r="B1925" s="244"/>
      <c r="C1925" s="28"/>
      <c r="D1925" s="28"/>
      <c r="E1925" s="29"/>
      <c r="F1925" s="39" t="s">
        <v>523</v>
      </c>
      <c r="G1925" s="27" t="str">
        <f t="shared" si="30"/>
        <v/>
      </c>
      <c r="H1925" s="31"/>
      <c r="I1925" s="27"/>
      <c r="J1925" s="141">
        <v>1</v>
      </c>
    </row>
    <row r="1926" spans="1:10" x14ac:dyDescent="0.25">
      <c r="A1926" s="226"/>
      <c r="B1926" s="244"/>
      <c r="C1926" s="32" t="s">
        <v>608</v>
      </c>
      <c r="D1926" s="32" t="s">
        <v>12</v>
      </c>
      <c r="E1926" s="33">
        <v>0.75</v>
      </c>
      <c r="F1926" s="27">
        <v>23.331999999999997</v>
      </c>
      <c r="G1926" s="30">
        <f t="shared" si="30"/>
        <v>17.498999999999999</v>
      </c>
      <c r="H1926" s="35">
        <f>SUM(G1926:G1927)</f>
        <v>32.119500000000002</v>
      </c>
      <c r="I1926" s="36"/>
      <c r="J1926" s="141">
        <v>1</v>
      </c>
    </row>
    <row r="1927" spans="1:10" x14ac:dyDescent="0.25">
      <c r="A1927" s="226"/>
      <c r="B1927" s="244"/>
      <c r="C1927" s="32" t="s">
        <v>128</v>
      </c>
      <c r="D1927" s="43" t="s">
        <v>12</v>
      </c>
      <c r="E1927" s="33">
        <v>0.75</v>
      </c>
      <c r="F1927" s="27">
        <v>19.494</v>
      </c>
      <c r="G1927" s="30">
        <f t="shared" si="30"/>
        <v>14.6205</v>
      </c>
      <c r="H1927" s="31"/>
      <c r="I1927" s="27"/>
      <c r="J1927" s="141">
        <v>1</v>
      </c>
    </row>
    <row r="1928" spans="1:10" ht="15.75" thickBot="1" x14ac:dyDescent="0.3">
      <c r="A1928" s="227"/>
      <c r="B1928" s="230"/>
      <c r="C1928" s="32"/>
      <c r="D1928" s="32"/>
      <c r="E1928" s="33"/>
      <c r="F1928" s="27" t="s">
        <v>523</v>
      </c>
      <c r="G1928" s="27" t="str">
        <f t="shared" si="30"/>
        <v/>
      </c>
      <c r="H1928" s="31"/>
      <c r="I1928" s="27"/>
      <c r="J1928" s="141">
        <v>1</v>
      </c>
    </row>
    <row r="1929" spans="1:10" ht="15.75" thickBot="1" x14ac:dyDescent="0.3">
      <c r="A1929" s="225" t="s">
        <v>609</v>
      </c>
      <c r="B1929" s="228" t="str">
        <f>INDEX(Orçamentária!A:B,MATCH(Composições!A1929,Orçamentária!A:A,0),2)</f>
        <v>Bomba para condensado de ar-condicionado para instalação oculta</v>
      </c>
      <c r="C1929" s="37"/>
      <c r="D1929" s="22" t="str">
        <f>TRIM(INDEX(Orçamentária!C:C,MATCH(Composições!A1929,Orçamentária!A:A,0),1))</f>
        <v>un</v>
      </c>
      <c r="E1929" s="23"/>
      <c r="F1929" s="38" t="s">
        <v>523</v>
      </c>
      <c r="G1929" s="24" t="str">
        <f t="shared" si="30"/>
        <v/>
      </c>
      <c r="H1929" s="25"/>
      <c r="I1929" s="26"/>
      <c r="J1929" s="141">
        <v>1</v>
      </c>
    </row>
    <row r="1930" spans="1:10" x14ac:dyDescent="0.25">
      <c r="A1930" s="226"/>
      <c r="B1930" s="244"/>
      <c r="C1930" s="28"/>
      <c r="D1930" s="28"/>
      <c r="E1930" s="29"/>
      <c r="F1930" s="39" t="s">
        <v>523</v>
      </c>
      <c r="G1930" s="27" t="str">
        <f t="shared" si="30"/>
        <v/>
      </c>
      <c r="H1930" s="31"/>
      <c r="I1930" s="27"/>
      <c r="J1930" s="141">
        <v>1</v>
      </c>
    </row>
    <row r="1931" spans="1:10" ht="25.5" x14ac:dyDescent="0.25">
      <c r="A1931" s="226"/>
      <c r="B1931" s="244"/>
      <c r="C1931" s="32" t="s">
        <v>107</v>
      </c>
      <c r="D1931" s="32" t="s">
        <v>12</v>
      </c>
      <c r="E1931" s="33">
        <v>0.5</v>
      </c>
      <c r="F1931" s="27">
        <v>19.094999999999999</v>
      </c>
      <c r="G1931" s="30">
        <f t="shared" si="30"/>
        <v>9.5474999999999994</v>
      </c>
      <c r="H1931" s="35">
        <f>SUM(G1931:G1933)</f>
        <v>574.58799999999997</v>
      </c>
      <c r="I1931" s="36"/>
      <c r="J1931" s="141">
        <v>1</v>
      </c>
    </row>
    <row r="1932" spans="1:10" x14ac:dyDescent="0.25">
      <c r="A1932" s="226"/>
      <c r="B1932" s="244"/>
      <c r="C1932" s="32" t="s">
        <v>39</v>
      </c>
      <c r="D1932" s="32" t="s">
        <v>12</v>
      </c>
      <c r="E1932" s="33">
        <v>0.5</v>
      </c>
      <c r="F1932" s="27">
        <v>24.300999999999998</v>
      </c>
      <c r="G1932" s="30">
        <f t="shared" si="30"/>
        <v>12.150499999999999</v>
      </c>
      <c r="H1932" s="31"/>
      <c r="I1932" s="27"/>
      <c r="J1932" s="141">
        <v>1</v>
      </c>
    </row>
    <row r="1933" spans="1:10" ht="25.5" x14ac:dyDescent="0.25">
      <c r="A1933" s="226"/>
      <c r="B1933" s="244"/>
      <c r="C1933" s="32" t="s">
        <v>610</v>
      </c>
      <c r="D1933" s="32" t="s">
        <v>20</v>
      </c>
      <c r="E1933" s="33">
        <v>1</v>
      </c>
      <c r="F1933" s="30">
        <v>552.89</v>
      </c>
      <c r="G1933" s="27">
        <f t="shared" si="30"/>
        <v>552.89</v>
      </c>
      <c r="H1933" s="31"/>
      <c r="I1933" s="27"/>
      <c r="J1933" s="141">
        <v>1</v>
      </c>
    </row>
    <row r="1934" spans="1:10" ht="15.75" thickBot="1" x14ac:dyDescent="0.3">
      <c r="A1934" s="227"/>
      <c r="B1934" s="230"/>
      <c r="C1934" s="32"/>
      <c r="D1934" s="32"/>
      <c r="E1934" s="33"/>
      <c r="F1934" s="27" t="s">
        <v>523</v>
      </c>
      <c r="G1934" s="27" t="str">
        <f t="shared" si="30"/>
        <v/>
      </c>
      <c r="H1934" s="31"/>
      <c r="I1934" s="27"/>
      <c r="J1934" s="141">
        <v>1</v>
      </c>
    </row>
    <row r="1935" spans="1:10" ht="15.75" hidden="1" thickBot="1" x14ac:dyDescent="0.3">
      <c r="A1935" s="225" t="s">
        <v>611</v>
      </c>
      <c r="B1935" s="228" t="str">
        <f>INDEX(Orçamentária!A:B,MATCH(Composições!A1935,Orçamentária!A:A,0),2)</f>
        <v>Fita aluminizada para refrigeração 48 mm</v>
      </c>
      <c r="C1935" s="37"/>
      <c r="D1935" s="22" t="str">
        <f>TRIM(INDEX(Orçamentária!C:C,MATCH(Composições!A1935,Orçamentária!A:A,0),1))</f>
        <v>m</v>
      </c>
      <c r="E1935" s="23"/>
      <c r="F1935" s="38" t="s">
        <v>523</v>
      </c>
      <c r="G1935" s="24" t="str">
        <f t="shared" si="30"/>
        <v/>
      </c>
      <c r="H1935" s="25"/>
      <c r="I1935" s="26"/>
      <c r="J1935" s="141">
        <v>0</v>
      </c>
    </row>
    <row r="1936" spans="1:10" ht="15.75" hidden="1" thickBot="1" x14ac:dyDescent="0.3">
      <c r="A1936" s="226"/>
      <c r="B1936" s="244"/>
      <c r="C1936" s="28"/>
      <c r="D1936" s="28"/>
      <c r="E1936" s="29"/>
      <c r="F1936" s="39" t="s">
        <v>523</v>
      </c>
      <c r="G1936" s="27" t="str">
        <f t="shared" si="30"/>
        <v/>
      </c>
      <c r="H1936" s="31"/>
      <c r="I1936" s="27"/>
      <c r="J1936" s="141">
        <v>0</v>
      </c>
    </row>
    <row r="1937" spans="1:10" ht="15.75" hidden="1" thickBot="1" x14ac:dyDescent="0.3">
      <c r="A1937" s="226"/>
      <c r="B1937" s="244"/>
      <c r="C1937" s="32" t="s">
        <v>52</v>
      </c>
      <c r="D1937" s="43" t="s">
        <v>12</v>
      </c>
      <c r="E1937" s="33">
        <v>0.05</v>
      </c>
      <c r="F1937" s="27">
        <v>21.184999999999999</v>
      </c>
      <c r="G1937" s="27">
        <f t="shared" si="30"/>
        <v>1.05925</v>
      </c>
      <c r="H1937" s="35">
        <f>SUM(G1937:G1938)</f>
        <v>1.05925</v>
      </c>
      <c r="I1937" s="36"/>
      <c r="J1937" s="141">
        <v>0</v>
      </c>
    </row>
    <row r="1938" spans="1:10" ht="15.75" hidden="1" thickBot="1" x14ac:dyDescent="0.3">
      <c r="A1938" s="226"/>
      <c r="B1938" s="244"/>
      <c r="C1938" s="32" t="s">
        <v>612</v>
      </c>
      <c r="D1938" s="43" t="s">
        <v>93</v>
      </c>
      <c r="E1938" s="33">
        <v>1</v>
      </c>
      <c r="F1938" s="27" t="s">
        <v>523</v>
      </c>
      <c r="G1938" s="27" t="str">
        <f t="shared" ref="G1938:G2001" si="31">IF(ISNUMBER(F1938),E1938*F1938,"")</f>
        <v/>
      </c>
      <c r="H1938" s="31"/>
      <c r="I1938" s="27"/>
      <c r="J1938" s="141">
        <v>0</v>
      </c>
    </row>
    <row r="1939" spans="1:10" ht="15.75" hidden="1" thickBot="1" x14ac:dyDescent="0.3">
      <c r="A1939" s="227"/>
      <c r="B1939" s="230"/>
      <c r="C1939" s="32"/>
      <c r="D1939" s="32"/>
      <c r="E1939" s="33"/>
      <c r="F1939" s="27" t="s">
        <v>523</v>
      </c>
      <c r="G1939" s="27" t="str">
        <f t="shared" si="31"/>
        <v/>
      </c>
      <c r="H1939" s="31"/>
      <c r="I1939" s="27"/>
      <c r="J1939" s="141">
        <v>0</v>
      </c>
    </row>
    <row r="1940" spans="1:10" ht="15.75" thickBot="1" x14ac:dyDescent="0.3">
      <c r="A1940" s="225" t="s">
        <v>613</v>
      </c>
      <c r="B1940" s="228" t="str">
        <f>INDEX(Orçamentária!A:B,MATCH(Composições!A1940,Orçamentária!A:A,0),2)</f>
        <v>Fita PVC 100 mm para acabamento em refrigeração</v>
      </c>
      <c r="C1940" s="37"/>
      <c r="D1940" s="22" t="str">
        <f>TRIM(INDEX(Orçamentária!C:C,MATCH(Composições!A1940,Orçamentária!A:A,0),1))</f>
        <v>m</v>
      </c>
      <c r="E1940" s="23"/>
      <c r="F1940" s="38" t="s">
        <v>523</v>
      </c>
      <c r="G1940" s="24" t="str">
        <f t="shared" si="31"/>
        <v/>
      </c>
      <c r="H1940" s="25"/>
      <c r="I1940" s="26"/>
      <c r="J1940" s="141">
        <v>800</v>
      </c>
    </row>
    <row r="1941" spans="1:10" x14ac:dyDescent="0.25">
      <c r="A1941" s="226"/>
      <c r="B1941" s="244"/>
      <c r="C1941" s="28"/>
      <c r="D1941" s="28"/>
      <c r="E1941" s="29"/>
      <c r="F1941" s="39" t="s">
        <v>523</v>
      </c>
      <c r="G1941" s="27" t="str">
        <f t="shared" si="31"/>
        <v/>
      </c>
      <c r="H1941" s="31"/>
      <c r="I1941" s="27"/>
      <c r="J1941" s="141">
        <v>800</v>
      </c>
    </row>
    <row r="1942" spans="1:10" x14ac:dyDescent="0.25">
      <c r="A1942" s="226"/>
      <c r="B1942" s="244"/>
      <c r="C1942" s="32" t="s">
        <v>52</v>
      </c>
      <c r="D1942" s="43" t="s">
        <v>12</v>
      </c>
      <c r="E1942" s="33">
        <v>0.05</v>
      </c>
      <c r="F1942" s="27">
        <v>21.184999999999999</v>
      </c>
      <c r="G1942" s="27">
        <f t="shared" si="31"/>
        <v>1.05925</v>
      </c>
      <c r="H1942" s="35">
        <f>SUM(G1942:G1943)</f>
        <v>1.6692499999999999</v>
      </c>
      <c r="I1942" s="36"/>
      <c r="J1942" s="141">
        <v>800</v>
      </c>
    </row>
    <row r="1943" spans="1:10" x14ac:dyDescent="0.25">
      <c r="A1943" s="226"/>
      <c r="B1943" s="244"/>
      <c r="C1943" s="32" t="s">
        <v>614</v>
      </c>
      <c r="D1943" s="43" t="s">
        <v>93</v>
      </c>
      <c r="E1943" s="33">
        <v>1</v>
      </c>
      <c r="F1943" s="27">
        <v>0.61</v>
      </c>
      <c r="G1943" s="27">
        <f t="shared" si="31"/>
        <v>0.61</v>
      </c>
      <c r="H1943" s="31"/>
      <c r="I1943" s="27"/>
      <c r="J1943" s="141">
        <v>800</v>
      </c>
    </row>
    <row r="1944" spans="1:10" ht="15.75" thickBot="1" x14ac:dyDescent="0.3">
      <c r="A1944" s="227"/>
      <c r="B1944" s="230"/>
      <c r="C1944" s="32"/>
      <c r="D1944" s="32"/>
      <c r="E1944" s="33"/>
      <c r="F1944" s="27" t="s">
        <v>523</v>
      </c>
      <c r="G1944" s="27" t="str">
        <f t="shared" si="31"/>
        <v/>
      </c>
      <c r="H1944" s="31"/>
      <c r="I1944" s="27"/>
      <c r="J1944" s="141">
        <v>800</v>
      </c>
    </row>
    <row r="1945" spans="1:10" ht="15.75" thickBot="1" x14ac:dyDescent="0.3">
      <c r="A1945" s="225" t="s">
        <v>615</v>
      </c>
      <c r="B1945" s="228" t="str">
        <f>INDEX(Orçamentária!A:B,MATCH(Composições!A1945,Orçamentária!A:A,0),2)</f>
        <v>Mangueira emborrachada 3/4" para água gelada</v>
      </c>
      <c r="C1945" s="37"/>
      <c r="D1945" s="22" t="str">
        <f>TRIM(INDEX(Orçamentária!C:C,MATCH(Composições!A1945,Orçamentária!A:A,0),1))</f>
        <v>m</v>
      </c>
      <c r="E1945" s="23"/>
      <c r="F1945" s="38" t="s">
        <v>523</v>
      </c>
      <c r="G1945" s="24" t="str">
        <f t="shared" si="31"/>
        <v/>
      </c>
      <c r="H1945" s="25"/>
      <c r="I1945" s="26"/>
      <c r="J1945" s="141">
        <v>125</v>
      </c>
    </row>
    <row r="1946" spans="1:10" x14ac:dyDescent="0.25">
      <c r="A1946" s="226"/>
      <c r="B1946" s="244"/>
      <c r="C1946" s="28"/>
      <c r="D1946" s="28"/>
      <c r="E1946" s="29"/>
      <c r="F1946" s="39" t="s">
        <v>523</v>
      </c>
      <c r="G1946" s="27" t="str">
        <f t="shared" si="31"/>
        <v/>
      </c>
      <c r="H1946" s="31"/>
      <c r="I1946" s="27"/>
      <c r="J1946" s="141">
        <v>125</v>
      </c>
    </row>
    <row r="1947" spans="1:10" x14ac:dyDescent="0.25">
      <c r="A1947" s="226"/>
      <c r="B1947" s="244"/>
      <c r="C1947" s="32" t="s">
        <v>52</v>
      </c>
      <c r="D1947" s="43" t="s">
        <v>12</v>
      </c>
      <c r="E1947" s="33">
        <v>0.05</v>
      </c>
      <c r="F1947" s="27">
        <v>21.184999999999999</v>
      </c>
      <c r="G1947" s="27">
        <f t="shared" si="31"/>
        <v>1.05925</v>
      </c>
      <c r="H1947" s="35">
        <f>SUM(G1947:G1950)</f>
        <v>149.68925000000002</v>
      </c>
      <c r="I1947" s="36"/>
      <c r="J1947" s="141">
        <v>125</v>
      </c>
    </row>
    <row r="1948" spans="1:10" x14ac:dyDescent="0.25">
      <c r="A1948" s="226"/>
      <c r="B1948" s="244"/>
      <c r="C1948" s="32" t="s">
        <v>6721</v>
      </c>
      <c r="D1948" s="32" t="s">
        <v>20</v>
      </c>
      <c r="E1948" s="33">
        <v>1</v>
      </c>
      <c r="F1948" s="27">
        <v>44.29</v>
      </c>
      <c r="G1948" s="27">
        <f t="shared" si="31"/>
        <v>44.29</v>
      </c>
      <c r="H1948" s="31"/>
      <c r="I1948" s="27"/>
      <c r="J1948" s="141">
        <v>125</v>
      </c>
    </row>
    <row r="1949" spans="1:10" x14ac:dyDescent="0.25">
      <c r="A1949" s="226"/>
      <c r="B1949" s="244"/>
      <c r="C1949" s="32" t="s">
        <v>6722</v>
      </c>
      <c r="D1949" s="32" t="s">
        <v>20</v>
      </c>
      <c r="E1949" s="33">
        <v>1</v>
      </c>
      <c r="F1949" s="27">
        <v>68.930000000000007</v>
      </c>
      <c r="G1949" s="27">
        <f t="shared" si="31"/>
        <v>68.930000000000007</v>
      </c>
      <c r="H1949" s="31"/>
      <c r="I1949" s="27"/>
      <c r="J1949" s="141">
        <v>125</v>
      </c>
    </row>
    <row r="1950" spans="1:10" x14ac:dyDescent="0.25">
      <c r="A1950" s="226"/>
      <c r="B1950" s="244"/>
      <c r="C1950" s="32" t="s">
        <v>616</v>
      </c>
      <c r="D1950" s="43" t="s">
        <v>93</v>
      </c>
      <c r="E1950" s="33">
        <v>1</v>
      </c>
      <c r="F1950" s="27">
        <v>35.409999999999997</v>
      </c>
      <c r="G1950" s="27">
        <f t="shared" si="31"/>
        <v>35.409999999999997</v>
      </c>
      <c r="H1950" s="31"/>
      <c r="I1950" s="27"/>
      <c r="J1950" s="141">
        <v>125</v>
      </c>
    </row>
    <row r="1951" spans="1:10" ht="15.75" thickBot="1" x14ac:dyDescent="0.3">
      <c r="A1951" s="227"/>
      <c r="B1951" s="230"/>
      <c r="C1951" s="32"/>
      <c r="D1951" s="32"/>
      <c r="E1951" s="33"/>
      <c r="F1951" s="27" t="s">
        <v>523</v>
      </c>
      <c r="G1951" s="27" t="str">
        <f t="shared" si="31"/>
        <v/>
      </c>
      <c r="H1951" s="31"/>
      <c r="I1951" s="27"/>
      <c r="J1951" s="141">
        <v>125</v>
      </c>
    </row>
    <row r="1952" spans="1:10" ht="15.75" thickBot="1" x14ac:dyDescent="0.3">
      <c r="A1952" s="225" t="s">
        <v>617</v>
      </c>
      <c r="B1952" s="228" t="str">
        <f>INDEX(Orçamentária!A:B,MATCH(Composições!A1952,Orçamentária!A:A,0),2)</f>
        <v>Suporte para unidade condensadora de aparelho split</v>
      </c>
      <c r="C1952" s="37"/>
      <c r="D1952" s="22" t="str">
        <f>TRIM(INDEX(Orçamentária!C:C,MATCH(Composições!A1952,Orçamentária!A:A,0),1))</f>
        <v>un</v>
      </c>
      <c r="E1952" s="23"/>
      <c r="F1952" s="38" t="s">
        <v>523</v>
      </c>
      <c r="G1952" s="24" t="str">
        <f t="shared" si="31"/>
        <v/>
      </c>
      <c r="H1952" s="25"/>
      <c r="I1952" s="26"/>
      <c r="J1952" s="141">
        <v>20</v>
      </c>
    </row>
    <row r="1953" spans="1:10" x14ac:dyDescent="0.25">
      <c r="A1953" s="226"/>
      <c r="B1953" s="244"/>
      <c r="C1953" s="28"/>
      <c r="D1953" s="28"/>
      <c r="E1953" s="29"/>
      <c r="F1953" s="39" t="s">
        <v>523</v>
      </c>
      <c r="G1953" s="27" t="str">
        <f t="shared" si="31"/>
        <v/>
      </c>
      <c r="H1953" s="31"/>
      <c r="I1953" s="27"/>
      <c r="J1953" s="141">
        <v>20</v>
      </c>
    </row>
    <row r="1954" spans="1:10" ht="25.5" x14ac:dyDescent="0.25">
      <c r="A1954" s="226"/>
      <c r="B1954" s="244"/>
      <c r="C1954" s="32" t="s">
        <v>107</v>
      </c>
      <c r="D1954" s="43" t="s">
        <v>12</v>
      </c>
      <c r="E1954" s="33">
        <v>0.5</v>
      </c>
      <c r="F1954" s="27">
        <v>19.094999999999999</v>
      </c>
      <c r="G1954" s="30">
        <f t="shared" si="31"/>
        <v>9.5474999999999994</v>
      </c>
      <c r="H1954" s="35">
        <f>SUM(G1954:G1956)</f>
        <v>69.587999999999994</v>
      </c>
      <c r="I1954" s="36"/>
      <c r="J1954" s="141">
        <v>20</v>
      </c>
    </row>
    <row r="1955" spans="1:10" x14ac:dyDescent="0.25">
      <c r="A1955" s="226"/>
      <c r="B1955" s="244"/>
      <c r="C1955" s="32" t="s">
        <v>39</v>
      </c>
      <c r="D1955" s="43" t="s">
        <v>12</v>
      </c>
      <c r="E1955" s="33">
        <v>0.5</v>
      </c>
      <c r="F1955" s="27">
        <v>24.300999999999998</v>
      </c>
      <c r="G1955" s="30">
        <f t="shared" si="31"/>
        <v>12.150499999999999</v>
      </c>
      <c r="H1955" s="31"/>
      <c r="I1955" s="27"/>
      <c r="J1955" s="141">
        <v>20</v>
      </c>
    </row>
    <row r="1956" spans="1:10" x14ac:dyDescent="0.25">
      <c r="A1956" s="226"/>
      <c r="B1956" s="244"/>
      <c r="C1956" s="32" t="s">
        <v>620</v>
      </c>
      <c r="D1956" s="32" t="s">
        <v>144</v>
      </c>
      <c r="E1956" s="33">
        <v>1</v>
      </c>
      <c r="F1956" s="30">
        <v>47.89</v>
      </c>
      <c r="G1956" s="30">
        <f t="shared" si="31"/>
        <v>47.89</v>
      </c>
      <c r="H1956" s="31"/>
      <c r="I1956" s="27"/>
      <c r="J1956" s="141">
        <v>20</v>
      </c>
    </row>
    <row r="1957" spans="1:10" ht="15.75" thickBot="1" x14ac:dyDescent="0.3">
      <c r="A1957" s="227"/>
      <c r="B1957" s="230"/>
      <c r="C1957" s="32"/>
      <c r="D1957" s="32"/>
      <c r="E1957" s="33"/>
      <c r="F1957" s="27" t="s">
        <v>523</v>
      </c>
      <c r="G1957" s="27" t="str">
        <f t="shared" si="31"/>
        <v/>
      </c>
      <c r="H1957" s="31"/>
      <c r="I1957" s="27"/>
      <c r="J1957" s="141">
        <v>20</v>
      </c>
    </row>
    <row r="1958" spans="1:10" ht="15.75" thickBot="1" x14ac:dyDescent="0.3">
      <c r="A1958" s="225" t="s">
        <v>621</v>
      </c>
      <c r="B1958" s="228" t="str">
        <f>INDEX(Orçamentária!A:B,MATCH(Composições!A1958,Orçamentária!A:A,0),2)</f>
        <v>Suporte para unidade evaporadora de aparelho split ou fancolete</v>
      </c>
      <c r="C1958" s="37"/>
      <c r="D1958" s="22" t="str">
        <f>TRIM(INDEX(Orçamentária!C:C,MATCH(Composições!A1958,Orçamentária!A:A,0),1))</f>
        <v>un</v>
      </c>
      <c r="E1958" s="23"/>
      <c r="F1958" s="38" t="s">
        <v>523</v>
      </c>
      <c r="G1958" s="24" t="str">
        <f t="shared" si="31"/>
        <v/>
      </c>
      <c r="H1958" s="25"/>
      <c r="I1958" s="26"/>
      <c r="J1958" s="141">
        <v>20</v>
      </c>
    </row>
    <row r="1959" spans="1:10" x14ac:dyDescent="0.25">
      <c r="A1959" s="226"/>
      <c r="B1959" s="244"/>
      <c r="C1959" s="28"/>
      <c r="D1959" s="28"/>
      <c r="E1959" s="29"/>
      <c r="F1959" s="39" t="s">
        <v>523</v>
      </c>
      <c r="G1959" s="27" t="str">
        <f t="shared" si="31"/>
        <v/>
      </c>
      <c r="H1959" s="31"/>
      <c r="I1959" s="27"/>
      <c r="J1959" s="141">
        <v>20</v>
      </c>
    </row>
    <row r="1960" spans="1:10" ht="25.5" x14ac:dyDescent="0.25">
      <c r="A1960" s="226"/>
      <c r="B1960" s="244"/>
      <c r="C1960" s="32" t="s">
        <v>107</v>
      </c>
      <c r="D1960" s="43" t="s">
        <v>12</v>
      </c>
      <c r="E1960" s="33">
        <v>0.5</v>
      </c>
      <c r="F1960" s="27">
        <v>19.094999999999999</v>
      </c>
      <c r="G1960" s="30">
        <f t="shared" si="31"/>
        <v>9.5474999999999994</v>
      </c>
      <c r="H1960" s="35">
        <f>SUM(G1960:G1962)</f>
        <v>103.28800000000001</v>
      </c>
      <c r="I1960" s="36"/>
      <c r="J1960" s="141">
        <v>20</v>
      </c>
    </row>
    <row r="1961" spans="1:10" x14ac:dyDescent="0.25">
      <c r="A1961" s="226"/>
      <c r="B1961" s="244"/>
      <c r="C1961" s="32" t="s">
        <v>39</v>
      </c>
      <c r="D1961" s="43" t="s">
        <v>12</v>
      </c>
      <c r="E1961" s="33">
        <v>0.5</v>
      </c>
      <c r="F1961" s="27">
        <v>24.300999999999998</v>
      </c>
      <c r="G1961" s="30">
        <f t="shared" si="31"/>
        <v>12.150499999999999</v>
      </c>
      <c r="H1961" s="31"/>
      <c r="I1961" s="27"/>
      <c r="J1961" s="141">
        <v>20</v>
      </c>
    </row>
    <row r="1962" spans="1:10" x14ac:dyDescent="0.25">
      <c r="A1962" s="226"/>
      <c r="B1962" s="244"/>
      <c r="C1962" s="32" t="s">
        <v>622</v>
      </c>
      <c r="D1962" s="32" t="s">
        <v>144</v>
      </c>
      <c r="E1962" s="33">
        <v>1</v>
      </c>
      <c r="F1962" s="30">
        <v>81.59</v>
      </c>
      <c r="G1962" s="30">
        <f t="shared" si="31"/>
        <v>81.59</v>
      </c>
      <c r="H1962" s="31"/>
      <c r="I1962" s="27"/>
      <c r="J1962" s="141">
        <v>20</v>
      </c>
    </row>
    <row r="1963" spans="1:10" ht="15.75" thickBot="1" x14ac:dyDescent="0.3">
      <c r="A1963" s="227"/>
      <c r="B1963" s="230"/>
      <c r="C1963" s="32"/>
      <c r="D1963" s="32"/>
      <c r="E1963" s="33"/>
      <c r="F1963" s="27" t="s">
        <v>523</v>
      </c>
      <c r="G1963" s="27" t="str">
        <f t="shared" si="31"/>
        <v/>
      </c>
      <c r="H1963" s="31"/>
      <c r="I1963" s="27"/>
      <c r="J1963" s="141">
        <v>20</v>
      </c>
    </row>
    <row r="1964" spans="1:10" ht="15.75" hidden="1" thickBot="1" x14ac:dyDescent="0.3">
      <c r="A1964" s="225" t="s">
        <v>623</v>
      </c>
      <c r="B1964" s="228" t="str">
        <f>INDEX(Orçamentária!A:B,MATCH(Composições!A1964,Orçamentária!A:A,0),2)</f>
        <v>Filtro em Y 1"</v>
      </c>
      <c r="C1964" s="37"/>
      <c r="D1964" s="22" t="str">
        <f>TRIM(INDEX(Orçamentária!C:C,MATCH(Composições!A1964,Orçamentária!A:A,0),1))</f>
        <v>un</v>
      </c>
      <c r="E1964" s="23"/>
      <c r="F1964" s="38" t="s">
        <v>523</v>
      </c>
      <c r="G1964" s="24" t="str">
        <f t="shared" si="31"/>
        <v/>
      </c>
      <c r="H1964" s="25"/>
      <c r="I1964" s="26"/>
      <c r="J1964" s="141">
        <v>0</v>
      </c>
    </row>
    <row r="1965" spans="1:10" ht="15.75" hidden="1" thickBot="1" x14ac:dyDescent="0.3">
      <c r="A1965" s="226"/>
      <c r="B1965" s="244"/>
      <c r="C1965" s="28"/>
      <c r="D1965" s="28"/>
      <c r="E1965" s="29"/>
      <c r="F1965" s="39" t="s">
        <v>523</v>
      </c>
      <c r="G1965" s="27" t="str">
        <f t="shared" si="31"/>
        <v/>
      </c>
      <c r="H1965" s="31"/>
      <c r="I1965" s="27"/>
      <c r="J1965" s="141">
        <v>0</v>
      </c>
    </row>
    <row r="1966" spans="1:10" ht="26.25" hidden="1" thickBot="1" x14ac:dyDescent="0.3">
      <c r="A1966" s="226"/>
      <c r="B1966" s="244"/>
      <c r="C1966" s="32" t="s">
        <v>107</v>
      </c>
      <c r="D1966" s="43" t="s">
        <v>12</v>
      </c>
      <c r="E1966" s="33">
        <v>0.14849999999999999</v>
      </c>
      <c r="F1966" s="27">
        <v>19.094999999999999</v>
      </c>
      <c r="G1966" s="27">
        <f t="shared" si="31"/>
        <v>2.8356074999999996</v>
      </c>
      <c r="H1966" s="35">
        <f>SUM(G1966:G1969)</f>
        <v>6.6569843999999989</v>
      </c>
      <c r="I1966" s="36"/>
      <c r="J1966" s="141">
        <v>0</v>
      </c>
    </row>
    <row r="1967" spans="1:10" ht="15.75" hidden="1" thickBot="1" x14ac:dyDescent="0.3">
      <c r="A1967" s="226"/>
      <c r="B1967" s="244"/>
      <c r="C1967" s="32" t="s">
        <v>39</v>
      </c>
      <c r="D1967" s="43" t="s">
        <v>12</v>
      </c>
      <c r="E1967" s="33">
        <v>0.14849999999999999</v>
      </c>
      <c r="F1967" s="27">
        <v>24.300999999999998</v>
      </c>
      <c r="G1967" s="27">
        <f t="shared" si="31"/>
        <v>3.6086984999999996</v>
      </c>
      <c r="H1967" s="31"/>
      <c r="I1967" s="27"/>
      <c r="J1967" s="141">
        <v>0</v>
      </c>
    </row>
    <row r="1968" spans="1:10" ht="39" hidden="1" thickBot="1" x14ac:dyDescent="0.3">
      <c r="A1968" s="226"/>
      <c r="B1968" s="244"/>
      <c r="C1968" s="32" t="s">
        <v>624</v>
      </c>
      <c r="D1968" s="32" t="s">
        <v>144</v>
      </c>
      <c r="E1968" s="33">
        <v>1</v>
      </c>
      <c r="F1968" s="30" t="s">
        <v>523</v>
      </c>
      <c r="G1968" s="27" t="str">
        <f t="shared" si="31"/>
        <v/>
      </c>
      <c r="H1968" s="31"/>
      <c r="I1968" s="27"/>
      <c r="J1968" s="141">
        <v>0</v>
      </c>
    </row>
    <row r="1969" spans="1:10" ht="15.75" hidden="1" thickBot="1" x14ac:dyDescent="0.3">
      <c r="A1969" s="226"/>
      <c r="B1969" s="244"/>
      <c r="C1969" s="32" t="s">
        <v>380</v>
      </c>
      <c r="D1969" s="43" t="s">
        <v>280</v>
      </c>
      <c r="E1969" s="33">
        <v>1.32E-2</v>
      </c>
      <c r="F1969" s="30">
        <v>16.111999999999998</v>
      </c>
      <c r="G1969" s="27">
        <f t="shared" si="31"/>
        <v>0.21267839999999999</v>
      </c>
      <c r="H1969" s="31"/>
      <c r="I1969" s="27"/>
      <c r="J1969" s="141">
        <v>0</v>
      </c>
    </row>
    <row r="1970" spans="1:10" ht="15.75" hidden="1" thickBot="1" x14ac:dyDescent="0.3">
      <c r="A1970" s="227"/>
      <c r="B1970" s="230"/>
      <c r="C1970" s="32"/>
      <c r="D1970" s="32"/>
      <c r="E1970" s="33"/>
      <c r="F1970" s="27" t="s">
        <v>523</v>
      </c>
      <c r="G1970" s="27" t="str">
        <f t="shared" si="31"/>
        <v/>
      </c>
      <c r="H1970" s="31"/>
      <c r="I1970" s="27"/>
      <c r="J1970" s="141">
        <v>0</v>
      </c>
    </row>
    <row r="1971" spans="1:10" ht="15.75" thickBot="1" x14ac:dyDescent="0.3">
      <c r="A1971" s="225" t="s">
        <v>625</v>
      </c>
      <c r="B1971" s="228" t="str">
        <f>INDEX(Orçamentária!A:B,MATCH(Composições!A1971,Orçamentária!A:A,0),2)</f>
        <v>Filtro em Y 3/4"</v>
      </c>
      <c r="C1971" s="37"/>
      <c r="D1971" s="22" t="str">
        <f>TRIM(INDEX(Orçamentária!C:C,MATCH(Composições!A1971,Orçamentária!A:A,0),1))</f>
        <v>un</v>
      </c>
      <c r="E1971" s="23"/>
      <c r="F1971" s="38" t="s">
        <v>523</v>
      </c>
      <c r="G1971" s="24" t="str">
        <f t="shared" si="31"/>
        <v/>
      </c>
      <c r="H1971" s="25"/>
      <c r="I1971" s="26"/>
      <c r="J1971" s="141">
        <v>54</v>
      </c>
    </row>
    <row r="1972" spans="1:10" x14ac:dyDescent="0.25">
      <c r="A1972" s="226"/>
      <c r="B1972" s="244"/>
      <c r="C1972" s="28"/>
      <c r="D1972" s="28"/>
      <c r="E1972" s="29"/>
      <c r="F1972" s="39" t="s">
        <v>523</v>
      </c>
      <c r="G1972" s="27" t="str">
        <f t="shared" si="31"/>
        <v/>
      </c>
      <c r="H1972" s="31"/>
      <c r="I1972" s="27"/>
      <c r="J1972" s="141">
        <v>54</v>
      </c>
    </row>
    <row r="1973" spans="1:10" ht="25.5" x14ac:dyDescent="0.25">
      <c r="A1973" s="226"/>
      <c r="B1973" s="244"/>
      <c r="C1973" s="32" t="s">
        <v>107</v>
      </c>
      <c r="D1973" s="43" t="s">
        <v>12</v>
      </c>
      <c r="E1973" s="33">
        <v>0.11020000000000001</v>
      </c>
      <c r="F1973" s="27">
        <v>19.094999999999999</v>
      </c>
      <c r="G1973" s="27">
        <f t="shared" si="31"/>
        <v>2.1042689999999999</v>
      </c>
      <c r="H1973" s="35">
        <f>SUM(G1973:G1976)</f>
        <v>86.853026400000005</v>
      </c>
      <c r="I1973" s="36"/>
      <c r="J1973" s="141">
        <v>54</v>
      </c>
    </row>
    <row r="1974" spans="1:10" x14ac:dyDescent="0.25">
      <c r="A1974" s="226"/>
      <c r="B1974" s="244"/>
      <c r="C1974" s="32" t="s">
        <v>39</v>
      </c>
      <c r="D1974" s="43" t="s">
        <v>12</v>
      </c>
      <c r="E1974" s="33">
        <v>0.11020000000000001</v>
      </c>
      <c r="F1974" s="27">
        <v>24.300999999999998</v>
      </c>
      <c r="G1974" s="27">
        <f t="shared" si="31"/>
        <v>2.6779701999999999</v>
      </c>
      <c r="H1974" s="31"/>
      <c r="I1974" s="27"/>
      <c r="J1974" s="141">
        <v>54</v>
      </c>
    </row>
    <row r="1975" spans="1:10" ht="38.25" x14ac:dyDescent="0.25">
      <c r="A1975" s="226"/>
      <c r="B1975" s="244"/>
      <c r="C1975" s="32" t="s">
        <v>626</v>
      </c>
      <c r="D1975" s="32" t="s">
        <v>144</v>
      </c>
      <c r="E1975" s="33">
        <v>1</v>
      </c>
      <c r="F1975" s="30">
        <v>81.900000000000006</v>
      </c>
      <c r="G1975" s="27">
        <f t="shared" si="31"/>
        <v>81.900000000000006</v>
      </c>
      <c r="H1975" s="31"/>
      <c r="I1975" s="27"/>
      <c r="J1975" s="141">
        <v>54</v>
      </c>
    </row>
    <row r="1976" spans="1:10" x14ac:dyDescent="0.25">
      <c r="A1976" s="226"/>
      <c r="B1976" s="244"/>
      <c r="C1976" s="32" t="s">
        <v>380</v>
      </c>
      <c r="D1976" s="43" t="s">
        <v>280</v>
      </c>
      <c r="E1976" s="33">
        <v>1.06E-2</v>
      </c>
      <c r="F1976" s="30">
        <v>16.111999999999998</v>
      </c>
      <c r="G1976" s="27">
        <f t="shared" si="31"/>
        <v>0.17078719999999997</v>
      </c>
      <c r="H1976" s="31"/>
      <c r="I1976" s="27"/>
      <c r="J1976" s="141">
        <v>54</v>
      </c>
    </row>
    <row r="1977" spans="1:10" ht="15.75" thickBot="1" x14ac:dyDescent="0.3">
      <c r="A1977" s="227"/>
      <c r="B1977" s="230"/>
      <c r="C1977" s="32"/>
      <c r="D1977" s="32"/>
      <c r="E1977" s="33"/>
      <c r="F1977" s="27" t="s">
        <v>523</v>
      </c>
      <c r="G1977" s="27" t="str">
        <f t="shared" si="31"/>
        <v/>
      </c>
      <c r="H1977" s="31"/>
      <c r="I1977" s="27"/>
      <c r="J1977" s="141">
        <v>54</v>
      </c>
    </row>
    <row r="1978" spans="1:10" ht="15.75" hidden="1" thickBot="1" x14ac:dyDescent="0.3">
      <c r="A1978" s="225" t="s">
        <v>627</v>
      </c>
      <c r="B1978" s="228" t="str">
        <f>INDEX(Orçamentária!A:B,MATCH(Composições!A1978,Orçamentária!A:A,0),2)</f>
        <v>Válvula de balanceamento e controle independente da pressão (PIBCV) 2 vias 1"</v>
      </c>
      <c r="C1978" s="37"/>
      <c r="D1978" s="22" t="str">
        <f>TRIM(INDEX(Orçamentária!C:C,MATCH(Composições!A1978,Orçamentária!A:A,0),1))</f>
        <v>un</v>
      </c>
      <c r="E1978" s="23"/>
      <c r="F1978" s="38" t="s">
        <v>523</v>
      </c>
      <c r="G1978" s="24" t="str">
        <f t="shared" si="31"/>
        <v/>
      </c>
      <c r="H1978" s="25"/>
      <c r="I1978" s="26"/>
      <c r="J1978" s="141">
        <v>0</v>
      </c>
    </row>
    <row r="1979" spans="1:10" ht="15.75" hidden="1" thickBot="1" x14ac:dyDescent="0.3">
      <c r="A1979" s="226"/>
      <c r="B1979" s="244"/>
      <c r="C1979" s="28"/>
      <c r="D1979" s="28"/>
      <c r="E1979" s="29"/>
      <c r="F1979" s="39" t="s">
        <v>523</v>
      </c>
      <c r="G1979" s="27" t="str">
        <f t="shared" si="31"/>
        <v/>
      </c>
      <c r="H1979" s="31"/>
      <c r="I1979" s="27"/>
      <c r="J1979" s="141">
        <v>0</v>
      </c>
    </row>
    <row r="1980" spans="1:10" ht="26.25" hidden="1" thickBot="1" x14ac:dyDescent="0.3">
      <c r="A1980" s="226"/>
      <c r="B1980" s="244"/>
      <c r="C1980" s="32" t="s">
        <v>107</v>
      </c>
      <c r="D1980" s="43" t="s">
        <v>12</v>
      </c>
      <c r="E1980" s="33">
        <v>0.14849999999999999</v>
      </c>
      <c r="F1980" s="27">
        <v>19.094999999999999</v>
      </c>
      <c r="G1980" s="27">
        <f t="shared" si="31"/>
        <v>2.8356074999999996</v>
      </c>
      <c r="H1980" s="35">
        <f>SUM(G1980:G1984)</f>
        <v>183.97698439999999</v>
      </c>
      <c r="I1980" s="36"/>
      <c r="J1980" s="141">
        <v>0</v>
      </c>
    </row>
    <row r="1981" spans="1:10" ht="15.75" hidden="1" thickBot="1" x14ac:dyDescent="0.3">
      <c r="A1981" s="226"/>
      <c r="B1981" s="244"/>
      <c r="C1981" s="32" t="s">
        <v>39</v>
      </c>
      <c r="D1981" s="43" t="s">
        <v>12</v>
      </c>
      <c r="E1981" s="33">
        <v>0.14849999999999999</v>
      </c>
      <c r="F1981" s="27">
        <v>24.300999999999998</v>
      </c>
      <c r="G1981" s="27">
        <f t="shared" si="31"/>
        <v>3.6086984999999996</v>
      </c>
      <c r="H1981" s="31"/>
      <c r="I1981" s="27"/>
      <c r="J1981" s="141">
        <v>0</v>
      </c>
    </row>
    <row r="1982" spans="1:10" ht="15.75" hidden="1" thickBot="1" x14ac:dyDescent="0.3">
      <c r="A1982" s="226"/>
      <c r="B1982" s="244"/>
      <c r="C1982" s="32" t="s">
        <v>380</v>
      </c>
      <c r="D1982" s="43" t="s">
        <v>280</v>
      </c>
      <c r="E1982" s="33">
        <v>1.32E-2</v>
      </c>
      <c r="F1982" s="30">
        <v>16.111999999999998</v>
      </c>
      <c r="G1982" s="27">
        <f t="shared" si="31"/>
        <v>0.21267839999999999</v>
      </c>
      <c r="H1982" s="31"/>
      <c r="I1982" s="27"/>
      <c r="J1982" s="141">
        <v>0</v>
      </c>
    </row>
    <row r="1983" spans="1:10" ht="39" hidden="1" thickBot="1" x14ac:dyDescent="0.3">
      <c r="A1983" s="226"/>
      <c r="B1983" s="244"/>
      <c r="C1983" s="32" t="s">
        <v>628</v>
      </c>
      <c r="D1983" s="32" t="s">
        <v>144</v>
      </c>
      <c r="E1983" s="33">
        <v>1</v>
      </c>
      <c r="F1983" s="30">
        <v>177.32</v>
      </c>
      <c r="G1983" s="27">
        <f t="shared" si="31"/>
        <v>177.32</v>
      </c>
      <c r="H1983" s="31"/>
      <c r="I1983" s="27"/>
      <c r="J1983" s="141">
        <v>0</v>
      </c>
    </row>
    <row r="1984" spans="1:10" ht="39" hidden="1" thickBot="1" x14ac:dyDescent="0.3">
      <c r="A1984" s="226"/>
      <c r="B1984" s="244"/>
      <c r="C1984" s="32" t="s">
        <v>629</v>
      </c>
      <c r="D1984" s="32" t="s">
        <v>144</v>
      </c>
      <c r="E1984" s="33">
        <v>1</v>
      </c>
      <c r="F1984" s="30" t="s">
        <v>523</v>
      </c>
      <c r="G1984" s="27" t="str">
        <f t="shared" si="31"/>
        <v/>
      </c>
      <c r="H1984" s="31"/>
      <c r="I1984" s="27"/>
      <c r="J1984" s="141">
        <v>0</v>
      </c>
    </row>
    <row r="1985" spans="1:10" ht="15.75" hidden="1" thickBot="1" x14ac:dyDescent="0.3">
      <c r="A1985" s="227"/>
      <c r="B1985" s="230"/>
      <c r="C1985" s="32"/>
      <c r="D1985" s="32"/>
      <c r="E1985" s="33"/>
      <c r="F1985" s="27" t="s">
        <v>523</v>
      </c>
      <c r="G1985" s="27" t="str">
        <f t="shared" si="31"/>
        <v/>
      </c>
      <c r="H1985" s="31"/>
      <c r="I1985" s="27"/>
      <c r="J1985" s="141">
        <v>0</v>
      </c>
    </row>
    <row r="1986" spans="1:10" ht="15.75" thickBot="1" x14ac:dyDescent="0.3">
      <c r="A1986" s="225" t="s">
        <v>630</v>
      </c>
      <c r="B1986" s="228" t="str">
        <f>INDEX(Orçamentária!A:B,MATCH(Composições!A1986,Orçamentária!A:A,0),2)</f>
        <v>Válvula de balanceamento e controle independente da pressão (PIBCV) 2 vias 3/4"</v>
      </c>
      <c r="C1986" s="37"/>
      <c r="D1986" s="22" t="str">
        <f>TRIM(INDEX(Orçamentária!C:C,MATCH(Composições!A1986,Orçamentária!A:A,0),1))</f>
        <v>un</v>
      </c>
      <c r="E1986" s="23"/>
      <c r="F1986" s="38" t="s">
        <v>523</v>
      </c>
      <c r="G1986" s="24" t="str">
        <f t="shared" si="31"/>
        <v/>
      </c>
      <c r="H1986" s="25"/>
      <c r="I1986" s="26"/>
      <c r="J1986" s="141">
        <v>54</v>
      </c>
    </row>
    <row r="1987" spans="1:10" x14ac:dyDescent="0.25">
      <c r="A1987" s="226"/>
      <c r="B1987" s="244"/>
      <c r="C1987" s="28"/>
      <c r="D1987" s="28"/>
      <c r="E1987" s="29"/>
      <c r="F1987" s="39" t="s">
        <v>523</v>
      </c>
      <c r="G1987" s="27" t="str">
        <f t="shared" si="31"/>
        <v/>
      </c>
      <c r="H1987" s="31"/>
      <c r="I1987" s="27"/>
      <c r="J1987" s="141">
        <v>54</v>
      </c>
    </row>
    <row r="1988" spans="1:10" ht="25.5" x14ac:dyDescent="0.25">
      <c r="A1988" s="226"/>
      <c r="B1988" s="244"/>
      <c r="C1988" s="32" t="s">
        <v>107</v>
      </c>
      <c r="D1988" s="43" t="s">
        <v>12</v>
      </c>
      <c r="E1988" s="33">
        <v>0.11020000000000001</v>
      </c>
      <c r="F1988" s="27">
        <v>19.094999999999999</v>
      </c>
      <c r="G1988" s="27">
        <f t="shared" si="31"/>
        <v>2.1042689999999999</v>
      </c>
      <c r="H1988" s="35">
        <f>SUM(G1988:G1992)</f>
        <v>790.27302639999994</v>
      </c>
      <c r="I1988" s="36"/>
      <c r="J1988" s="141">
        <v>54</v>
      </c>
    </row>
    <row r="1989" spans="1:10" x14ac:dyDescent="0.25">
      <c r="A1989" s="226"/>
      <c r="B1989" s="244"/>
      <c r="C1989" s="32" t="s">
        <v>39</v>
      </c>
      <c r="D1989" s="43" t="s">
        <v>12</v>
      </c>
      <c r="E1989" s="33">
        <v>0.11020000000000001</v>
      </c>
      <c r="F1989" s="27">
        <v>24.300999999999998</v>
      </c>
      <c r="G1989" s="27">
        <f t="shared" si="31"/>
        <v>2.6779701999999999</v>
      </c>
      <c r="H1989" s="31"/>
      <c r="I1989" s="27"/>
      <c r="J1989" s="141">
        <v>54</v>
      </c>
    </row>
    <row r="1990" spans="1:10" x14ac:dyDescent="0.25">
      <c r="A1990" s="226"/>
      <c r="B1990" s="244"/>
      <c r="C1990" s="32" t="s">
        <v>380</v>
      </c>
      <c r="D1990" s="43" t="s">
        <v>280</v>
      </c>
      <c r="E1990" s="33">
        <v>1.06E-2</v>
      </c>
      <c r="F1990" s="30">
        <v>16.111999999999998</v>
      </c>
      <c r="G1990" s="27">
        <f t="shared" si="31"/>
        <v>0.17078719999999997</v>
      </c>
      <c r="H1990" s="31"/>
      <c r="I1990" s="27"/>
      <c r="J1990" s="141">
        <v>54</v>
      </c>
    </row>
    <row r="1991" spans="1:10" ht="38.25" x14ac:dyDescent="0.25">
      <c r="A1991" s="226"/>
      <c r="B1991" s="244"/>
      <c r="C1991" s="32" t="s">
        <v>628</v>
      </c>
      <c r="D1991" s="32" t="s">
        <v>144</v>
      </c>
      <c r="E1991" s="33">
        <v>1</v>
      </c>
      <c r="F1991" s="30">
        <v>177.32</v>
      </c>
      <c r="G1991" s="27">
        <f t="shared" si="31"/>
        <v>177.32</v>
      </c>
      <c r="H1991" s="31"/>
      <c r="I1991" s="27"/>
      <c r="J1991" s="141">
        <v>54</v>
      </c>
    </row>
    <row r="1992" spans="1:10" ht="38.25" x14ac:dyDescent="0.25">
      <c r="A1992" s="226"/>
      <c r="B1992" s="244"/>
      <c r="C1992" s="32" t="s">
        <v>631</v>
      </c>
      <c r="D1992" s="32" t="s">
        <v>144</v>
      </c>
      <c r="E1992" s="33">
        <v>1</v>
      </c>
      <c r="F1992" s="30">
        <v>608</v>
      </c>
      <c r="G1992" s="27">
        <f t="shared" si="31"/>
        <v>608</v>
      </c>
      <c r="H1992" s="31"/>
      <c r="I1992" s="27"/>
      <c r="J1992" s="141">
        <v>54</v>
      </c>
    </row>
    <row r="1993" spans="1:10" ht="15.75" thickBot="1" x14ac:dyDescent="0.3">
      <c r="A1993" s="227"/>
      <c r="B1993" s="230"/>
      <c r="C1993" s="32"/>
      <c r="D1993" s="32"/>
      <c r="E1993" s="33"/>
      <c r="F1993" s="27" t="s">
        <v>523</v>
      </c>
      <c r="G1993" s="27" t="str">
        <f t="shared" si="31"/>
        <v/>
      </c>
      <c r="H1993" s="31"/>
      <c r="I1993" s="27"/>
      <c r="J1993" s="141">
        <v>54</v>
      </c>
    </row>
    <row r="1994" spans="1:10" ht="15.75" hidden="1" thickBot="1" x14ac:dyDescent="0.3">
      <c r="A1994" s="225" t="s">
        <v>632</v>
      </c>
      <c r="B1994" s="228" t="str">
        <f>INDEX(Orçamentária!A:B,MATCH(Composições!A1994,Orçamentária!A:A,0),2)</f>
        <v>Válvula de esfera em bronze 1 1/2"</v>
      </c>
      <c r="C1994" s="37"/>
      <c r="D1994" s="22" t="str">
        <f>TRIM(INDEX(Orçamentária!C:C,MATCH(Composições!A1994,Orçamentária!A:A,0),1))</f>
        <v>un</v>
      </c>
      <c r="E1994" s="23"/>
      <c r="F1994" s="38" t="s">
        <v>523</v>
      </c>
      <c r="G1994" s="24" t="str">
        <f t="shared" si="31"/>
        <v/>
      </c>
      <c r="H1994" s="25"/>
      <c r="I1994" s="26"/>
      <c r="J1994" s="141">
        <v>0</v>
      </c>
    </row>
    <row r="1995" spans="1:10" ht="15.75" hidden="1" thickBot="1" x14ac:dyDescent="0.3">
      <c r="A1995" s="226"/>
      <c r="B1995" s="244"/>
      <c r="C1995" s="28"/>
      <c r="D1995" s="28"/>
      <c r="E1995" s="29"/>
      <c r="F1995" s="39" t="s">
        <v>523</v>
      </c>
      <c r="G1995" s="27" t="str">
        <f t="shared" si="31"/>
        <v/>
      </c>
      <c r="H1995" s="31"/>
      <c r="I1995" s="27"/>
      <c r="J1995" s="141">
        <v>0</v>
      </c>
    </row>
    <row r="1996" spans="1:10" ht="15.75" hidden="1" thickBot="1" x14ac:dyDescent="0.3">
      <c r="A1996" s="226"/>
      <c r="B1996" s="244"/>
      <c r="C1996" s="32" t="s">
        <v>380</v>
      </c>
      <c r="D1996" s="43" t="s">
        <v>280</v>
      </c>
      <c r="E1996" s="33">
        <v>1.9E-2</v>
      </c>
      <c r="F1996" s="30">
        <v>16.111999999999998</v>
      </c>
      <c r="G1996" s="27">
        <f t="shared" si="31"/>
        <v>0.30612799999999996</v>
      </c>
      <c r="H1996" s="35">
        <f>SUM(G1996:G1999)</f>
        <v>142.5282948</v>
      </c>
      <c r="I1996" s="36"/>
      <c r="J1996" s="141">
        <v>0</v>
      </c>
    </row>
    <row r="1997" spans="1:10" ht="26.25" hidden="1" thickBot="1" x14ac:dyDescent="0.3">
      <c r="A1997" s="226"/>
      <c r="B1997" s="244"/>
      <c r="C1997" s="32" t="s">
        <v>633</v>
      </c>
      <c r="D1997" s="43" t="s">
        <v>20</v>
      </c>
      <c r="E1997" s="33">
        <v>1</v>
      </c>
      <c r="F1997" s="30">
        <v>130.79599999999999</v>
      </c>
      <c r="G1997" s="27">
        <f t="shared" si="31"/>
        <v>130.79599999999999</v>
      </c>
      <c r="H1997" s="31"/>
      <c r="I1997" s="27"/>
      <c r="J1997" s="141">
        <v>0</v>
      </c>
    </row>
    <row r="1998" spans="1:10" ht="26.25" hidden="1" thickBot="1" x14ac:dyDescent="0.3">
      <c r="A1998" s="226"/>
      <c r="B1998" s="244"/>
      <c r="C1998" s="32" t="s">
        <v>107</v>
      </c>
      <c r="D1998" s="43" t="s">
        <v>12</v>
      </c>
      <c r="E1998" s="33">
        <v>0.26329999999999998</v>
      </c>
      <c r="F1998" s="27">
        <v>19.094999999999999</v>
      </c>
      <c r="G1998" s="30">
        <f t="shared" si="31"/>
        <v>5.0277134999999991</v>
      </c>
      <c r="H1998" s="31"/>
      <c r="I1998" s="27"/>
      <c r="J1998" s="141">
        <v>0</v>
      </c>
    </row>
    <row r="1999" spans="1:10" ht="15.75" hidden="1" thickBot="1" x14ac:dyDescent="0.3">
      <c r="A1999" s="226"/>
      <c r="B1999" s="244"/>
      <c r="C1999" s="32" t="s">
        <v>39</v>
      </c>
      <c r="D1999" s="43" t="s">
        <v>12</v>
      </c>
      <c r="E1999" s="33">
        <v>0.26329999999999998</v>
      </c>
      <c r="F1999" s="27">
        <v>24.300999999999998</v>
      </c>
      <c r="G1999" s="30">
        <f t="shared" si="31"/>
        <v>6.398453299999999</v>
      </c>
      <c r="H1999" s="31"/>
      <c r="I1999" s="27"/>
      <c r="J1999" s="141">
        <v>0</v>
      </c>
    </row>
    <row r="2000" spans="1:10" ht="15.75" hidden="1" thickBot="1" x14ac:dyDescent="0.3">
      <c r="A2000" s="227"/>
      <c r="B2000" s="230"/>
      <c r="C2000" s="32"/>
      <c r="D2000" s="32"/>
      <c r="E2000" s="33"/>
      <c r="F2000" s="27" t="s">
        <v>523</v>
      </c>
      <c r="G2000" s="27" t="str">
        <f t="shared" si="31"/>
        <v/>
      </c>
      <c r="H2000" s="31"/>
      <c r="I2000" s="27"/>
      <c r="J2000" s="141">
        <v>0</v>
      </c>
    </row>
    <row r="2001" spans="1:10" ht="15.75" hidden="1" thickBot="1" x14ac:dyDescent="0.3">
      <c r="A2001" s="225" t="s">
        <v>634</v>
      </c>
      <c r="B2001" s="228" t="str">
        <f>INDEX(Orçamentária!A:B,MATCH(Composições!A2001,Orçamentária!A:A,0),2)</f>
        <v>Válvula de esfera em bronze 1 1/4"</v>
      </c>
      <c r="C2001" s="37"/>
      <c r="D2001" s="22" t="str">
        <f>TRIM(INDEX(Orçamentária!C:C,MATCH(Composições!A2001,Orçamentária!A:A,0),1))</f>
        <v>un</v>
      </c>
      <c r="E2001" s="23"/>
      <c r="F2001" s="38" t="s">
        <v>523</v>
      </c>
      <c r="G2001" s="24" t="str">
        <f t="shared" si="31"/>
        <v/>
      </c>
      <c r="H2001" s="25"/>
      <c r="I2001" s="26"/>
      <c r="J2001" s="141">
        <v>0</v>
      </c>
    </row>
    <row r="2002" spans="1:10" ht="15.75" hidden="1" thickBot="1" x14ac:dyDescent="0.3">
      <c r="A2002" s="226"/>
      <c r="B2002" s="244"/>
      <c r="C2002" s="28"/>
      <c r="D2002" s="28"/>
      <c r="E2002" s="29"/>
      <c r="F2002" s="39" t="s">
        <v>523</v>
      </c>
      <c r="G2002" s="27" t="str">
        <f t="shared" ref="G2002:G2065" si="32">IF(ISNUMBER(F2002),E2002*F2002,"")</f>
        <v/>
      </c>
      <c r="H2002" s="31"/>
      <c r="I2002" s="27"/>
      <c r="J2002" s="141">
        <v>0</v>
      </c>
    </row>
    <row r="2003" spans="1:10" ht="15.75" hidden="1" thickBot="1" x14ac:dyDescent="0.3">
      <c r="A2003" s="226"/>
      <c r="B2003" s="244"/>
      <c r="C2003" s="32" t="s">
        <v>380</v>
      </c>
      <c r="D2003" s="43" t="s">
        <v>280</v>
      </c>
      <c r="E2003" s="33">
        <v>1.6799999999999999E-2</v>
      </c>
      <c r="F2003" s="30">
        <v>16.111999999999998</v>
      </c>
      <c r="G2003" s="27">
        <f t="shared" si="32"/>
        <v>0.27068159999999997</v>
      </c>
      <c r="H2003" s="35">
        <f>SUM(G2003:G2006)</f>
        <v>117.58801320000001</v>
      </c>
      <c r="I2003" s="36"/>
      <c r="J2003" s="141">
        <v>0</v>
      </c>
    </row>
    <row r="2004" spans="1:10" ht="26.25" hidden="1" thickBot="1" x14ac:dyDescent="0.3">
      <c r="A2004" s="226"/>
      <c r="B2004" s="244"/>
      <c r="C2004" s="32" t="s">
        <v>635</v>
      </c>
      <c r="D2004" s="43" t="s">
        <v>20</v>
      </c>
      <c r="E2004" s="33">
        <v>1</v>
      </c>
      <c r="F2004" s="30">
        <v>108.547</v>
      </c>
      <c r="G2004" s="27">
        <f t="shared" si="32"/>
        <v>108.547</v>
      </c>
      <c r="H2004" s="31"/>
      <c r="I2004" s="27"/>
      <c r="J2004" s="141">
        <v>0</v>
      </c>
    </row>
    <row r="2005" spans="1:10" ht="26.25" hidden="1" thickBot="1" x14ac:dyDescent="0.3">
      <c r="A2005" s="226"/>
      <c r="B2005" s="244"/>
      <c r="C2005" s="32" t="s">
        <v>107</v>
      </c>
      <c r="D2005" s="43" t="s">
        <v>12</v>
      </c>
      <c r="E2005" s="33">
        <v>0.2021</v>
      </c>
      <c r="F2005" s="27">
        <v>19.094999999999999</v>
      </c>
      <c r="G2005" s="30">
        <f t="shared" si="32"/>
        <v>3.8590994999999997</v>
      </c>
      <c r="H2005" s="31"/>
      <c r="I2005" s="27"/>
      <c r="J2005" s="141">
        <v>0</v>
      </c>
    </row>
    <row r="2006" spans="1:10" ht="15.75" hidden="1" thickBot="1" x14ac:dyDescent="0.3">
      <c r="A2006" s="226"/>
      <c r="B2006" s="244"/>
      <c r="C2006" s="32" t="s">
        <v>39</v>
      </c>
      <c r="D2006" s="43" t="s">
        <v>12</v>
      </c>
      <c r="E2006" s="33">
        <v>0.2021</v>
      </c>
      <c r="F2006" s="27">
        <v>24.300999999999998</v>
      </c>
      <c r="G2006" s="30">
        <f t="shared" si="32"/>
        <v>4.9112320999999994</v>
      </c>
      <c r="H2006" s="31"/>
      <c r="I2006" s="27"/>
      <c r="J2006" s="141">
        <v>0</v>
      </c>
    </row>
    <row r="2007" spans="1:10" ht="15.75" hidden="1" thickBot="1" x14ac:dyDescent="0.3">
      <c r="A2007" s="227"/>
      <c r="B2007" s="230"/>
      <c r="C2007" s="32"/>
      <c r="D2007" s="32"/>
      <c r="E2007" s="33"/>
      <c r="F2007" s="27" t="s">
        <v>523</v>
      </c>
      <c r="G2007" s="27" t="str">
        <f t="shared" si="32"/>
        <v/>
      </c>
      <c r="H2007" s="31"/>
      <c r="I2007" s="27"/>
      <c r="J2007" s="141">
        <v>0</v>
      </c>
    </row>
    <row r="2008" spans="1:10" ht="15.75" hidden="1" thickBot="1" x14ac:dyDescent="0.3">
      <c r="A2008" s="225" t="s">
        <v>636</v>
      </c>
      <c r="B2008" s="228" t="str">
        <f>INDEX(Orçamentária!A:B,MATCH(Composições!A2008,Orçamentária!A:A,0),2)</f>
        <v>Válvula de esfera em bronze 1"</v>
      </c>
      <c r="C2008" s="37"/>
      <c r="D2008" s="22" t="str">
        <f>TRIM(INDEX(Orçamentária!C:C,MATCH(Composições!A2008,Orçamentária!A:A,0),1))</f>
        <v>un</v>
      </c>
      <c r="E2008" s="23"/>
      <c r="F2008" s="38" t="s">
        <v>523</v>
      </c>
      <c r="G2008" s="24" t="str">
        <f t="shared" si="32"/>
        <v/>
      </c>
      <c r="H2008" s="25"/>
      <c r="I2008" s="26"/>
      <c r="J2008" s="141">
        <v>0</v>
      </c>
    </row>
    <row r="2009" spans="1:10" ht="15.75" hidden="1" thickBot="1" x14ac:dyDescent="0.3">
      <c r="A2009" s="226"/>
      <c r="B2009" s="244"/>
      <c r="C2009" s="28"/>
      <c r="D2009" s="28"/>
      <c r="E2009" s="29"/>
      <c r="F2009" s="39" t="s">
        <v>523</v>
      </c>
      <c r="G2009" s="27" t="str">
        <f t="shared" si="32"/>
        <v/>
      </c>
      <c r="H2009" s="31"/>
      <c r="I2009" s="27"/>
      <c r="J2009" s="141">
        <v>0</v>
      </c>
    </row>
    <row r="2010" spans="1:10" ht="15.75" hidden="1" thickBot="1" x14ac:dyDescent="0.3">
      <c r="A2010" s="226"/>
      <c r="B2010" s="244"/>
      <c r="C2010" s="32" t="s">
        <v>380</v>
      </c>
      <c r="D2010" s="43" t="s">
        <v>280</v>
      </c>
      <c r="E2010" s="33">
        <v>1.32E-2</v>
      </c>
      <c r="F2010" s="30">
        <v>16.111999999999998</v>
      </c>
      <c r="G2010" s="27">
        <f t="shared" si="32"/>
        <v>0.21267839999999999</v>
      </c>
      <c r="H2010" s="35">
        <f>SUM(G2010:G2013)</f>
        <v>79.483984399999997</v>
      </c>
      <c r="I2010" s="36"/>
      <c r="J2010" s="141">
        <v>0</v>
      </c>
    </row>
    <row r="2011" spans="1:10" ht="15.75" hidden="1" thickBot="1" x14ac:dyDescent="0.3">
      <c r="A2011" s="226"/>
      <c r="B2011" s="244"/>
      <c r="C2011" s="32" t="s">
        <v>637</v>
      </c>
      <c r="D2011" s="43" t="s">
        <v>20</v>
      </c>
      <c r="E2011" s="33">
        <v>1</v>
      </c>
      <c r="F2011" s="30">
        <v>72.826999999999998</v>
      </c>
      <c r="G2011" s="27">
        <f t="shared" si="32"/>
        <v>72.826999999999998</v>
      </c>
      <c r="H2011" s="31"/>
      <c r="I2011" s="27"/>
      <c r="J2011" s="141">
        <v>0</v>
      </c>
    </row>
    <row r="2012" spans="1:10" ht="26.25" hidden="1" thickBot="1" x14ac:dyDescent="0.3">
      <c r="A2012" s="226"/>
      <c r="B2012" s="244"/>
      <c r="C2012" s="32" t="s">
        <v>107</v>
      </c>
      <c r="D2012" s="32" t="s">
        <v>12</v>
      </c>
      <c r="E2012" s="33">
        <v>0.14849999999999999</v>
      </c>
      <c r="F2012" s="27">
        <v>19.094999999999999</v>
      </c>
      <c r="G2012" s="30">
        <f t="shared" si="32"/>
        <v>2.8356074999999996</v>
      </c>
      <c r="H2012" s="31"/>
      <c r="I2012" s="27"/>
      <c r="J2012" s="141">
        <v>0</v>
      </c>
    </row>
    <row r="2013" spans="1:10" ht="15.75" hidden="1" thickBot="1" x14ac:dyDescent="0.3">
      <c r="A2013" s="226"/>
      <c r="B2013" s="244"/>
      <c r="C2013" s="32" t="s">
        <v>39</v>
      </c>
      <c r="D2013" s="43" t="s">
        <v>12</v>
      </c>
      <c r="E2013" s="33">
        <v>0.14849999999999999</v>
      </c>
      <c r="F2013" s="27">
        <v>24.300999999999998</v>
      </c>
      <c r="G2013" s="30">
        <f t="shared" si="32"/>
        <v>3.6086984999999996</v>
      </c>
      <c r="H2013" s="31"/>
      <c r="I2013" s="27"/>
      <c r="J2013" s="141">
        <v>0</v>
      </c>
    </row>
    <row r="2014" spans="1:10" ht="15.75" hidden="1" thickBot="1" x14ac:dyDescent="0.3">
      <c r="A2014" s="227"/>
      <c r="B2014" s="230"/>
      <c r="C2014" s="32"/>
      <c r="D2014" s="32"/>
      <c r="E2014" s="33"/>
      <c r="F2014" s="27" t="s">
        <v>523</v>
      </c>
      <c r="G2014" s="27" t="str">
        <f t="shared" si="32"/>
        <v/>
      </c>
      <c r="H2014" s="31"/>
      <c r="I2014" s="27"/>
      <c r="J2014" s="141">
        <v>0</v>
      </c>
    </row>
    <row r="2015" spans="1:10" ht="15.75" thickBot="1" x14ac:dyDescent="0.3">
      <c r="A2015" s="225" t="s">
        <v>638</v>
      </c>
      <c r="B2015" s="228" t="str">
        <f>INDEX(Orçamentária!A:B,MATCH(Composições!A2015,Orçamentária!A:A,0),2)</f>
        <v>Válvula de esfera em bronze 3/4"</v>
      </c>
      <c r="C2015" s="37"/>
      <c r="D2015" s="22" t="str">
        <f>TRIM(INDEX(Orçamentária!C:C,MATCH(Composições!A2015,Orçamentária!A:A,0),1))</f>
        <v>un</v>
      </c>
      <c r="E2015" s="23"/>
      <c r="F2015" s="38" t="s">
        <v>523</v>
      </c>
      <c r="G2015" s="24" t="str">
        <f t="shared" si="32"/>
        <v/>
      </c>
      <c r="H2015" s="25"/>
      <c r="I2015" s="26"/>
      <c r="J2015" s="141">
        <v>108</v>
      </c>
    </row>
    <row r="2016" spans="1:10" x14ac:dyDescent="0.25">
      <c r="A2016" s="226"/>
      <c r="B2016" s="244"/>
      <c r="C2016" s="28"/>
      <c r="D2016" s="28"/>
      <c r="E2016" s="29"/>
      <c r="F2016" s="39" t="s">
        <v>523</v>
      </c>
      <c r="G2016" s="27" t="str">
        <f t="shared" si="32"/>
        <v/>
      </c>
      <c r="H2016" s="31"/>
      <c r="I2016" s="27"/>
      <c r="J2016" s="141">
        <v>108</v>
      </c>
    </row>
    <row r="2017" spans="1:10" x14ac:dyDescent="0.25">
      <c r="A2017" s="226"/>
      <c r="B2017" s="244"/>
      <c r="C2017" s="32" t="s">
        <v>380</v>
      </c>
      <c r="D2017" s="43" t="s">
        <v>280</v>
      </c>
      <c r="E2017" s="33">
        <v>1.06E-2</v>
      </c>
      <c r="F2017" s="30">
        <v>16.111999999999998</v>
      </c>
      <c r="G2017" s="27">
        <f t="shared" si="32"/>
        <v>0.17078719999999997</v>
      </c>
      <c r="H2017" s="35">
        <f>SUM(G2017:G2020)</f>
        <v>58.894026399999994</v>
      </c>
      <c r="I2017" s="36"/>
      <c r="J2017" s="141">
        <v>108</v>
      </c>
    </row>
    <row r="2018" spans="1:10" x14ac:dyDescent="0.25">
      <c r="A2018" s="226"/>
      <c r="B2018" s="244"/>
      <c r="C2018" s="32" t="s">
        <v>639</v>
      </c>
      <c r="D2018" s="43" t="s">
        <v>20</v>
      </c>
      <c r="E2018" s="33">
        <v>1</v>
      </c>
      <c r="F2018" s="30">
        <v>53.940999999999995</v>
      </c>
      <c r="G2018" s="27">
        <f t="shared" si="32"/>
        <v>53.940999999999995</v>
      </c>
      <c r="H2018" s="31"/>
      <c r="I2018" s="27"/>
      <c r="J2018" s="141">
        <v>108</v>
      </c>
    </row>
    <row r="2019" spans="1:10" ht="25.5" x14ac:dyDescent="0.25">
      <c r="A2019" s="226"/>
      <c r="B2019" s="244"/>
      <c r="C2019" s="32" t="s">
        <v>107</v>
      </c>
      <c r="D2019" s="32" t="s">
        <v>12</v>
      </c>
      <c r="E2019" s="33">
        <v>0.11020000000000001</v>
      </c>
      <c r="F2019" s="27">
        <v>19.094999999999999</v>
      </c>
      <c r="G2019" s="30">
        <f t="shared" si="32"/>
        <v>2.1042689999999999</v>
      </c>
      <c r="H2019" s="31"/>
      <c r="I2019" s="27"/>
      <c r="J2019" s="141">
        <v>108</v>
      </c>
    </row>
    <row r="2020" spans="1:10" x14ac:dyDescent="0.25">
      <c r="A2020" s="226"/>
      <c r="B2020" s="244"/>
      <c r="C2020" s="32" t="s">
        <v>39</v>
      </c>
      <c r="D2020" s="43" t="s">
        <v>12</v>
      </c>
      <c r="E2020" s="33">
        <v>0.11020000000000001</v>
      </c>
      <c r="F2020" s="27">
        <v>24.300999999999998</v>
      </c>
      <c r="G2020" s="30">
        <f t="shared" si="32"/>
        <v>2.6779701999999999</v>
      </c>
      <c r="H2020" s="31"/>
      <c r="I2020" s="27"/>
      <c r="J2020" s="141">
        <v>108</v>
      </c>
    </row>
    <row r="2021" spans="1:10" ht="15.75" thickBot="1" x14ac:dyDescent="0.3">
      <c r="A2021" s="227"/>
      <c r="B2021" s="230"/>
      <c r="C2021" s="32"/>
      <c r="D2021" s="32"/>
      <c r="E2021" s="33"/>
      <c r="F2021" s="27" t="s">
        <v>523</v>
      </c>
      <c r="G2021" s="27" t="str">
        <f t="shared" si="32"/>
        <v/>
      </c>
      <c r="H2021" s="31"/>
      <c r="I2021" s="27"/>
      <c r="J2021" s="141">
        <v>108</v>
      </c>
    </row>
    <row r="2022" spans="1:10" ht="15.75" hidden="1" thickBot="1" x14ac:dyDescent="0.3">
      <c r="A2022" s="225" t="s">
        <v>640</v>
      </c>
      <c r="B2022" s="228" t="str">
        <f>INDEX(Orçamentária!A:B,MATCH(Composições!A2022,Orçamentária!A:A,0),2)</f>
        <v>Isolamento elastomérico em formato de prancha autoadesiva</v>
      </c>
      <c r="C2022" s="37"/>
      <c r="D2022" s="22" t="str">
        <f>TRIM(INDEX(Orçamentária!C:C,MATCH(Composições!A2022,Orçamentária!A:A,0),1))</f>
        <v>m2</v>
      </c>
      <c r="E2022" s="23"/>
      <c r="F2022" s="38" t="s">
        <v>523</v>
      </c>
      <c r="G2022" s="24" t="str">
        <f t="shared" si="32"/>
        <v/>
      </c>
      <c r="H2022" s="25"/>
      <c r="I2022" s="26"/>
      <c r="J2022" s="141">
        <v>0</v>
      </c>
    </row>
    <row r="2023" spans="1:10" ht="15.75" hidden="1" thickBot="1" x14ac:dyDescent="0.3">
      <c r="A2023" s="226"/>
      <c r="B2023" s="244"/>
      <c r="C2023" s="28"/>
      <c r="D2023" s="28"/>
      <c r="E2023" s="29"/>
      <c r="F2023" s="39" t="s">
        <v>523</v>
      </c>
      <c r="G2023" s="27" t="str">
        <f t="shared" si="32"/>
        <v/>
      </c>
      <c r="H2023" s="31"/>
      <c r="I2023" s="27"/>
      <c r="J2023" s="141">
        <v>0</v>
      </c>
    </row>
    <row r="2024" spans="1:10" ht="26.25" hidden="1" thickBot="1" x14ac:dyDescent="0.3">
      <c r="A2024" s="226"/>
      <c r="B2024" s="244"/>
      <c r="C2024" s="32" t="s">
        <v>107</v>
      </c>
      <c r="D2024" s="43" t="s">
        <v>12</v>
      </c>
      <c r="E2024" s="33">
        <v>0.1</v>
      </c>
      <c r="F2024" s="27">
        <v>19.094999999999999</v>
      </c>
      <c r="G2024" s="30">
        <f t="shared" si="32"/>
        <v>1.9095</v>
      </c>
      <c r="H2024" s="35">
        <f>SUM(G2024:G2026)</f>
        <v>4.3395999999999999</v>
      </c>
      <c r="I2024" s="36"/>
      <c r="J2024" s="141">
        <v>0</v>
      </c>
    </row>
    <row r="2025" spans="1:10" ht="15.75" hidden="1" thickBot="1" x14ac:dyDescent="0.3">
      <c r="A2025" s="226"/>
      <c r="B2025" s="244"/>
      <c r="C2025" s="32" t="s">
        <v>39</v>
      </c>
      <c r="D2025" s="43" t="s">
        <v>12</v>
      </c>
      <c r="E2025" s="33">
        <v>0.1</v>
      </c>
      <c r="F2025" s="27">
        <v>24.300999999999998</v>
      </c>
      <c r="G2025" s="30">
        <f t="shared" si="32"/>
        <v>2.4300999999999999</v>
      </c>
      <c r="H2025" s="31"/>
      <c r="I2025" s="27"/>
      <c r="J2025" s="141">
        <v>0</v>
      </c>
    </row>
    <row r="2026" spans="1:10" ht="26.25" hidden="1" thickBot="1" x14ac:dyDescent="0.3">
      <c r="A2026" s="226"/>
      <c r="B2026" s="244"/>
      <c r="C2026" s="32" t="s">
        <v>641</v>
      </c>
      <c r="D2026" s="43" t="s">
        <v>95</v>
      </c>
      <c r="E2026" s="33">
        <v>1.05</v>
      </c>
      <c r="F2026" s="30" t="s">
        <v>523</v>
      </c>
      <c r="G2026" s="30" t="str">
        <f t="shared" si="32"/>
        <v/>
      </c>
      <c r="H2026" s="31"/>
      <c r="I2026" s="27"/>
      <c r="J2026" s="141">
        <v>0</v>
      </c>
    </row>
    <row r="2027" spans="1:10" ht="15.75" hidden="1" thickBot="1" x14ac:dyDescent="0.3">
      <c r="A2027" s="227"/>
      <c r="B2027" s="230"/>
      <c r="C2027" s="32"/>
      <c r="D2027" s="32"/>
      <c r="E2027" s="33"/>
      <c r="F2027" s="27" t="s">
        <v>523</v>
      </c>
      <c r="G2027" s="27" t="str">
        <f t="shared" si="32"/>
        <v/>
      </c>
      <c r="H2027" s="31"/>
      <c r="I2027" s="27"/>
      <c r="J2027" s="141">
        <v>0</v>
      </c>
    </row>
    <row r="2028" spans="1:10" ht="15.75" thickBot="1" x14ac:dyDescent="0.3">
      <c r="A2028" s="225" t="s">
        <v>642</v>
      </c>
      <c r="B2028" s="228" t="str">
        <f>INDEX(Orçamentária!A:B,MATCH(Composições!A2028,Orçamentária!A:A,0),2)</f>
        <v>Isolamento elastomérico para tubulações de cobre de 1 1/8" / tubulações de ferro de 3/4"</v>
      </c>
      <c r="C2028" s="37"/>
      <c r="D2028" s="22" t="str">
        <f>TRIM(INDEX(Orçamentária!C:C,MATCH(Composições!A2028,Orçamentária!A:A,0),1))</f>
        <v>m</v>
      </c>
      <c r="E2028" s="23"/>
      <c r="F2028" s="38" t="s">
        <v>523</v>
      </c>
      <c r="G2028" s="24" t="str">
        <f t="shared" si="32"/>
        <v/>
      </c>
      <c r="H2028" s="25"/>
      <c r="I2028" s="26"/>
      <c r="J2028" s="141">
        <v>125</v>
      </c>
    </row>
    <row r="2029" spans="1:10" x14ac:dyDescent="0.25">
      <c r="A2029" s="226"/>
      <c r="B2029" s="244"/>
      <c r="C2029" s="28"/>
      <c r="D2029" s="28"/>
      <c r="E2029" s="29"/>
      <c r="F2029" s="39" t="s">
        <v>523</v>
      </c>
      <c r="G2029" s="27" t="str">
        <f t="shared" si="32"/>
        <v/>
      </c>
      <c r="H2029" s="31"/>
      <c r="I2029" s="27"/>
      <c r="J2029" s="141">
        <v>125</v>
      </c>
    </row>
    <row r="2030" spans="1:10" ht="51" x14ac:dyDescent="0.25">
      <c r="A2030" s="226"/>
      <c r="B2030" s="244"/>
      <c r="C2030" s="32" t="s">
        <v>643</v>
      </c>
      <c r="D2030" s="43" t="s">
        <v>93</v>
      </c>
      <c r="E2030" s="33">
        <v>1.0210999999999999</v>
      </c>
      <c r="F2030" s="30">
        <v>26.34</v>
      </c>
      <c r="G2030" s="30">
        <f t="shared" si="32"/>
        <v>26.895773999999996</v>
      </c>
      <c r="H2030" s="35">
        <f>SUM(G2030:G2032)</f>
        <v>27.728977199999996</v>
      </c>
      <c r="I2030" s="36"/>
      <c r="J2030" s="141">
        <v>125</v>
      </c>
    </row>
    <row r="2031" spans="1:10" ht="25.5" x14ac:dyDescent="0.25">
      <c r="A2031" s="226"/>
      <c r="B2031" s="244"/>
      <c r="C2031" s="32" t="s">
        <v>107</v>
      </c>
      <c r="D2031" s="43" t="s">
        <v>12</v>
      </c>
      <c r="E2031" s="33">
        <f>0.064*0.3</f>
        <v>1.9199999999999998E-2</v>
      </c>
      <c r="F2031" s="27">
        <v>19.094999999999999</v>
      </c>
      <c r="G2031" s="30">
        <f t="shared" si="32"/>
        <v>0.36662399999999995</v>
      </c>
      <c r="H2031" s="31"/>
      <c r="I2031" s="27"/>
      <c r="J2031" s="141">
        <v>125</v>
      </c>
    </row>
    <row r="2032" spans="1:10" x14ac:dyDescent="0.25">
      <c r="A2032" s="226"/>
      <c r="B2032" s="244"/>
      <c r="C2032" s="32" t="s">
        <v>39</v>
      </c>
      <c r="D2032" s="43" t="s">
        <v>12</v>
      </c>
      <c r="E2032" s="33">
        <f>0.064*0.3</f>
        <v>1.9199999999999998E-2</v>
      </c>
      <c r="F2032" s="27">
        <v>24.300999999999998</v>
      </c>
      <c r="G2032" s="30">
        <f t="shared" si="32"/>
        <v>0.46657919999999992</v>
      </c>
      <c r="H2032" s="31"/>
      <c r="I2032" s="27"/>
      <c r="J2032" s="141">
        <v>125</v>
      </c>
    </row>
    <row r="2033" spans="1:10" x14ac:dyDescent="0.25">
      <c r="A2033" s="226"/>
      <c r="B2033" s="244"/>
      <c r="C2033" s="32"/>
      <c r="D2033" s="43"/>
      <c r="E2033" s="33"/>
      <c r="F2033" s="30" t="s">
        <v>523</v>
      </c>
      <c r="G2033" s="30" t="str">
        <f t="shared" si="32"/>
        <v/>
      </c>
      <c r="H2033" s="31"/>
      <c r="I2033" s="27"/>
      <c r="J2033" s="141">
        <v>125</v>
      </c>
    </row>
    <row r="2034" spans="1:10" ht="38.25" x14ac:dyDescent="0.25">
      <c r="A2034" s="226"/>
      <c r="B2034" s="244"/>
      <c r="C2034" s="48" t="s">
        <v>644</v>
      </c>
      <c r="D2034" s="43"/>
      <c r="E2034" s="33"/>
      <c r="F2034" s="30" t="s">
        <v>523</v>
      </c>
      <c r="G2034" s="30" t="str">
        <f t="shared" si="32"/>
        <v/>
      </c>
      <c r="H2034" s="31"/>
      <c r="I2034" s="27"/>
      <c r="J2034" s="141">
        <v>125</v>
      </c>
    </row>
    <row r="2035" spans="1:10" ht="15.75" thickBot="1" x14ac:dyDescent="0.3">
      <c r="A2035" s="227"/>
      <c r="B2035" s="230"/>
      <c r="C2035" s="32"/>
      <c r="D2035" s="32"/>
      <c r="E2035" s="33"/>
      <c r="F2035" s="27" t="s">
        <v>523</v>
      </c>
      <c r="G2035" s="27" t="str">
        <f t="shared" si="32"/>
        <v/>
      </c>
      <c r="H2035" s="31"/>
      <c r="I2035" s="27"/>
      <c r="J2035" s="141">
        <v>125</v>
      </c>
    </row>
    <row r="2036" spans="1:10" ht="15.75" thickBot="1" x14ac:dyDescent="0.3">
      <c r="A2036" s="225" t="s">
        <v>645</v>
      </c>
      <c r="B2036" s="228" t="str">
        <f>INDEX(Orçamentária!A:B,MATCH(Composições!A2036,Orçamentária!A:A,0),2)</f>
        <v>Isolamento elastomérico para tubulações de cobre de 1/2"</v>
      </c>
      <c r="C2036" s="37"/>
      <c r="D2036" s="22" t="str">
        <f>TRIM(INDEX(Orçamentária!C:C,MATCH(Composições!A2036,Orçamentária!A:A,0),1))</f>
        <v>m</v>
      </c>
      <c r="E2036" s="23"/>
      <c r="F2036" s="38" t="s">
        <v>523</v>
      </c>
      <c r="G2036" s="24" t="str">
        <f t="shared" si="32"/>
        <v/>
      </c>
      <c r="H2036" s="25"/>
      <c r="I2036" s="26"/>
      <c r="J2036" s="141">
        <v>115</v>
      </c>
    </row>
    <row r="2037" spans="1:10" x14ac:dyDescent="0.25">
      <c r="A2037" s="226"/>
      <c r="B2037" s="244"/>
      <c r="C2037" s="28"/>
      <c r="D2037" s="28"/>
      <c r="E2037" s="29"/>
      <c r="F2037" s="39" t="s">
        <v>523</v>
      </c>
      <c r="G2037" s="27" t="str">
        <f t="shared" si="32"/>
        <v/>
      </c>
      <c r="H2037" s="31"/>
      <c r="I2037" s="27"/>
      <c r="J2037" s="141">
        <v>115</v>
      </c>
    </row>
    <row r="2038" spans="1:10" ht="38.25" x14ac:dyDescent="0.25">
      <c r="A2038" s="226"/>
      <c r="B2038" s="244"/>
      <c r="C2038" s="32" t="s">
        <v>646</v>
      </c>
      <c r="D2038" s="43" t="s">
        <v>93</v>
      </c>
      <c r="E2038" s="33">
        <v>1.0210999999999999</v>
      </c>
      <c r="F2038" s="30">
        <v>13.73</v>
      </c>
      <c r="G2038" s="30">
        <f t="shared" si="32"/>
        <v>14.019703</v>
      </c>
      <c r="H2038" s="35">
        <f>SUM(G2038:G2040)</f>
        <v>14.8138498</v>
      </c>
      <c r="I2038" s="36"/>
      <c r="J2038" s="141">
        <v>115</v>
      </c>
    </row>
    <row r="2039" spans="1:10" ht="25.5" x14ac:dyDescent="0.25">
      <c r="A2039" s="226"/>
      <c r="B2039" s="244"/>
      <c r="C2039" s="32" t="s">
        <v>107</v>
      </c>
      <c r="D2039" s="43" t="s">
        <v>12</v>
      </c>
      <c r="E2039" s="33">
        <f>0.061*0.3</f>
        <v>1.83E-2</v>
      </c>
      <c r="F2039" s="27">
        <v>19.094999999999999</v>
      </c>
      <c r="G2039" s="30">
        <f t="shared" si="32"/>
        <v>0.34943849999999999</v>
      </c>
      <c r="H2039" s="31"/>
      <c r="I2039" s="27"/>
      <c r="J2039" s="141">
        <v>115</v>
      </c>
    </row>
    <row r="2040" spans="1:10" x14ac:dyDescent="0.25">
      <c r="A2040" s="226"/>
      <c r="B2040" s="244"/>
      <c r="C2040" s="32" t="s">
        <v>39</v>
      </c>
      <c r="D2040" s="43" t="s">
        <v>12</v>
      </c>
      <c r="E2040" s="33">
        <f>0.061*0.3</f>
        <v>1.83E-2</v>
      </c>
      <c r="F2040" s="27">
        <v>24.300999999999998</v>
      </c>
      <c r="G2040" s="30">
        <f t="shared" si="32"/>
        <v>0.4447083</v>
      </c>
      <c r="H2040" s="31"/>
      <c r="I2040" s="27"/>
      <c r="J2040" s="141">
        <v>115</v>
      </c>
    </row>
    <row r="2041" spans="1:10" x14ac:dyDescent="0.25">
      <c r="A2041" s="226"/>
      <c r="B2041" s="244"/>
      <c r="C2041" s="32"/>
      <c r="D2041" s="43"/>
      <c r="E2041" s="33"/>
      <c r="F2041" s="30" t="s">
        <v>523</v>
      </c>
      <c r="G2041" s="30" t="str">
        <f t="shared" si="32"/>
        <v/>
      </c>
      <c r="H2041" s="31"/>
      <c r="I2041" s="27"/>
      <c r="J2041" s="141">
        <v>115</v>
      </c>
    </row>
    <row r="2042" spans="1:10" ht="38.25" x14ac:dyDescent="0.25">
      <c r="A2042" s="226"/>
      <c r="B2042" s="244"/>
      <c r="C2042" s="48" t="s">
        <v>644</v>
      </c>
      <c r="D2042" s="43"/>
      <c r="E2042" s="33"/>
      <c r="F2042" s="30" t="s">
        <v>523</v>
      </c>
      <c r="G2042" s="30" t="str">
        <f t="shared" si="32"/>
        <v/>
      </c>
      <c r="H2042" s="31"/>
      <c r="I2042" s="27"/>
      <c r="J2042" s="141">
        <v>115</v>
      </c>
    </row>
    <row r="2043" spans="1:10" ht="15.75" thickBot="1" x14ac:dyDescent="0.3">
      <c r="A2043" s="227"/>
      <c r="B2043" s="230"/>
      <c r="C2043" s="32"/>
      <c r="D2043" s="32"/>
      <c r="E2043" s="33"/>
      <c r="F2043" s="27" t="s">
        <v>523</v>
      </c>
      <c r="G2043" s="27" t="str">
        <f t="shared" si="32"/>
        <v/>
      </c>
      <c r="H2043" s="31"/>
      <c r="I2043" s="27"/>
      <c r="J2043" s="141">
        <v>115</v>
      </c>
    </row>
    <row r="2044" spans="1:10" ht="15.75" thickBot="1" x14ac:dyDescent="0.3">
      <c r="A2044" s="225" t="s">
        <v>647</v>
      </c>
      <c r="B2044" s="228" t="str">
        <f>INDEX(Orçamentária!A:B,MATCH(Composições!A2044,Orçamentária!A:A,0),2)</f>
        <v>Isolamento elastomérico para tubulações de cobre de 1/4"</v>
      </c>
      <c r="C2044" s="37"/>
      <c r="D2044" s="22" t="str">
        <f>TRIM(INDEX(Orçamentária!C:C,MATCH(Composições!A2044,Orçamentária!A:A,0),1))</f>
        <v>m</v>
      </c>
      <c r="E2044" s="23"/>
      <c r="F2044" s="38" t="s">
        <v>523</v>
      </c>
      <c r="G2044" s="24" t="str">
        <f t="shared" si="32"/>
        <v/>
      </c>
      <c r="H2044" s="25"/>
      <c r="I2044" s="26"/>
      <c r="J2044" s="141">
        <v>115</v>
      </c>
    </row>
    <row r="2045" spans="1:10" x14ac:dyDescent="0.25">
      <c r="A2045" s="226"/>
      <c r="B2045" s="244"/>
      <c r="C2045" s="28"/>
      <c r="D2045" s="28"/>
      <c r="E2045" s="29"/>
      <c r="F2045" s="39" t="s">
        <v>523</v>
      </c>
      <c r="G2045" s="27" t="str">
        <f t="shared" si="32"/>
        <v/>
      </c>
      <c r="H2045" s="31"/>
      <c r="I2045" s="27"/>
      <c r="J2045" s="141">
        <v>115</v>
      </c>
    </row>
    <row r="2046" spans="1:10" ht="38.25" x14ac:dyDescent="0.25">
      <c r="A2046" s="226"/>
      <c r="B2046" s="244"/>
      <c r="C2046" s="32" t="s">
        <v>648</v>
      </c>
      <c r="D2046" s="43" t="s">
        <v>93</v>
      </c>
      <c r="E2046" s="33">
        <v>1.0210999999999999</v>
      </c>
      <c r="F2046" s="30">
        <v>11.33</v>
      </c>
      <c r="G2046" s="30">
        <f t="shared" si="32"/>
        <v>11.569062999999998</v>
      </c>
      <c r="H2046" s="35">
        <f>SUM(G2046:G2048)</f>
        <v>12.246040599999997</v>
      </c>
      <c r="I2046" s="36"/>
      <c r="J2046" s="141">
        <v>115</v>
      </c>
    </row>
    <row r="2047" spans="1:10" ht="25.5" x14ac:dyDescent="0.25">
      <c r="A2047" s="226"/>
      <c r="B2047" s="244"/>
      <c r="C2047" s="32" t="s">
        <v>107</v>
      </c>
      <c r="D2047" s="43" t="s">
        <v>12</v>
      </c>
      <c r="E2047" s="33">
        <f>0.052*0.3</f>
        <v>1.5599999999999999E-2</v>
      </c>
      <c r="F2047" s="27">
        <v>19.094999999999999</v>
      </c>
      <c r="G2047" s="30">
        <f t="shared" si="32"/>
        <v>0.29788199999999998</v>
      </c>
      <c r="H2047" s="31"/>
      <c r="I2047" s="27"/>
      <c r="J2047" s="141">
        <v>115</v>
      </c>
    </row>
    <row r="2048" spans="1:10" x14ac:dyDescent="0.25">
      <c r="A2048" s="226"/>
      <c r="B2048" s="244"/>
      <c r="C2048" s="32" t="s">
        <v>39</v>
      </c>
      <c r="D2048" s="43" t="s">
        <v>12</v>
      </c>
      <c r="E2048" s="33">
        <f>0.052*0.3</f>
        <v>1.5599999999999999E-2</v>
      </c>
      <c r="F2048" s="27">
        <v>24.300999999999998</v>
      </c>
      <c r="G2048" s="30">
        <f t="shared" si="32"/>
        <v>0.37909559999999998</v>
      </c>
      <c r="H2048" s="31"/>
      <c r="I2048" s="27"/>
      <c r="J2048" s="141">
        <v>115</v>
      </c>
    </row>
    <row r="2049" spans="1:10" x14ac:dyDescent="0.25">
      <c r="A2049" s="226"/>
      <c r="B2049" s="244"/>
      <c r="C2049" s="32"/>
      <c r="D2049" s="43"/>
      <c r="E2049" s="33"/>
      <c r="F2049" s="30" t="s">
        <v>523</v>
      </c>
      <c r="G2049" s="30" t="str">
        <f t="shared" si="32"/>
        <v/>
      </c>
      <c r="H2049" s="31"/>
      <c r="I2049" s="27"/>
      <c r="J2049" s="141">
        <v>115</v>
      </c>
    </row>
    <row r="2050" spans="1:10" ht="38.25" x14ac:dyDescent="0.25">
      <c r="A2050" s="226"/>
      <c r="B2050" s="244"/>
      <c r="C2050" s="48" t="s">
        <v>644</v>
      </c>
      <c r="D2050" s="43"/>
      <c r="E2050" s="33"/>
      <c r="F2050" s="30" t="s">
        <v>523</v>
      </c>
      <c r="G2050" s="30" t="str">
        <f t="shared" si="32"/>
        <v/>
      </c>
      <c r="H2050" s="31"/>
      <c r="I2050" s="27"/>
      <c r="J2050" s="141">
        <v>115</v>
      </c>
    </row>
    <row r="2051" spans="1:10" ht="15.75" thickBot="1" x14ac:dyDescent="0.3">
      <c r="A2051" s="227"/>
      <c r="B2051" s="230"/>
      <c r="C2051" s="32"/>
      <c r="D2051" s="32"/>
      <c r="E2051" s="33"/>
      <c r="F2051" s="27" t="s">
        <v>523</v>
      </c>
      <c r="G2051" s="27" t="str">
        <f t="shared" si="32"/>
        <v/>
      </c>
      <c r="H2051" s="31"/>
      <c r="I2051" s="27"/>
      <c r="J2051" s="141">
        <v>115</v>
      </c>
    </row>
    <row r="2052" spans="1:10" ht="15.75" hidden="1" thickBot="1" x14ac:dyDescent="0.3">
      <c r="A2052" s="225" t="s">
        <v>649</v>
      </c>
      <c r="B2052" s="228" t="str">
        <f>INDEX(Orçamentária!A:B,MATCH(Composições!A2052,Orçamentária!A:A,0),2)</f>
        <v>Isolamento elastomérico para tubulações de cobre de 3/4"</v>
      </c>
      <c r="C2052" s="37"/>
      <c r="D2052" s="22" t="str">
        <f>TRIM(INDEX(Orçamentária!C:C,MATCH(Composições!A2052,Orçamentária!A:A,0),1))</f>
        <v>m</v>
      </c>
      <c r="E2052" s="23"/>
      <c r="F2052" s="38" t="s">
        <v>523</v>
      </c>
      <c r="G2052" s="24" t="str">
        <f t="shared" si="32"/>
        <v/>
      </c>
      <c r="H2052" s="25"/>
      <c r="I2052" s="26"/>
      <c r="J2052" s="141">
        <v>0</v>
      </c>
    </row>
    <row r="2053" spans="1:10" ht="15.75" hidden="1" thickBot="1" x14ac:dyDescent="0.3">
      <c r="A2053" s="226"/>
      <c r="B2053" s="244"/>
      <c r="C2053" s="28"/>
      <c r="D2053" s="28"/>
      <c r="E2053" s="29"/>
      <c r="F2053" s="39" t="s">
        <v>523</v>
      </c>
      <c r="G2053" s="27" t="str">
        <f t="shared" si="32"/>
        <v/>
      </c>
      <c r="H2053" s="31"/>
      <c r="I2053" s="27"/>
      <c r="J2053" s="141">
        <v>0</v>
      </c>
    </row>
    <row r="2054" spans="1:10" ht="39" hidden="1" thickBot="1" x14ac:dyDescent="0.3">
      <c r="A2054" s="226"/>
      <c r="B2054" s="244"/>
      <c r="C2054" s="32" t="s">
        <v>650</v>
      </c>
      <c r="D2054" s="43" t="s">
        <v>93</v>
      </c>
      <c r="E2054" s="33">
        <v>1.0210999999999999</v>
      </c>
      <c r="F2054" s="30" t="s">
        <v>523</v>
      </c>
      <c r="G2054" s="30" t="str">
        <f t="shared" si="32"/>
        <v/>
      </c>
      <c r="H2054" s="35">
        <f>SUM(G2054:G2056)</f>
        <v>0.83320319999999981</v>
      </c>
      <c r="I2054" s="36"/>
      <c r="J2054" s="141">
        <v>0</v>
      </c>
    </row>
    <row r="2055" spans="1:10" ht="26.25" hidden="1" thickBot="1" x14ac:dyDescent="0.3">
      <c r="A2055" s="226"/>
      <c r="B2055" s="244"/>
      <c r="C2055" s="32" t="s">
        <v>107</v>
      </c>
      <c r="D2055" s="43" t="s">
        <v>12</v>
      </c>
      <c r="E2055" s="33">
        <f>0.064*0.3</f>
        <v>1.9199999999999998E-2</v>
      </c>
      <c r="F2055" s="27">
        <v>19.094999999999999</v>
      </c>
      <c r="G2055" s="30">
        <f t="shared" si="32"/>
        <v>0.36662399999999995</v>
      </c>
      <c r="H2055" s="31"/>
      <c r="I2055" s="27"/>
      <c r="J2055" s="141">
        <v>0</v>
      </c>
    </row>
    <row r="2056" spans="1:10" ht="15.75" hidden="1" thickBot="1" x14ac:dyDescent="0.3">
      <c r="A2056" s="226"/>
      <c r="B2056" s="244"/>
      <c r="C2056" s="32" t="s">
        <v>39</v>
      </c>
      <c r="D2056" s="43" t="s">
        <v>12</v>
      </c>
      <c r="E2056" s="33">
        <f>0.064*0.3</f>
        <v>1.9199999999999998E-2</v>
      </c>
      <c r="F2056" s="27">
        <v>24.300999999999998</v>
      </c>
      <c r="G2056" s="30">
        <f t="shared" si="32"/>
        <v>0.46657919999999992</v>
      </c>
      <c r="H2056" s="31"/>
      <c r="I2056" s="27"/>
      <c r="J2056" s="141">
        <v>0</v>
      </c>
    </row>
    <row r="2057" spans="1:10" ht="15.75" hidden="1" thickBot="1" x14ac:dyDescent="0.3">
      <c r="A2057" s="226"/>
      <c r="B2057" s="244"/>
      <c r="C2057" s="32"/>
      <c r="D2057" s="43"/>
      <c r="E2057" s="33"/>
      <c r="F2057" s="30" t="s">
        <v>523</v>
      </c>
      <c r="G2057" s="30" t="str">
        <f t="shared" si="32"/>
        <v/>
      </c>
      <c r="H2057" s="31"/>
      <c r="I2057" s="27"/>
      <c r="J2057" s="141">
        <v>0</v>
      </c>
    </row>
    <row r="2058" spans="1:10" ht="39" hidden="1" thickBot="1" x14ac:dyDescent="0.3">
      <c r="A2058" s="226"/>
      <c r="B2058" s="244"/>
      <c r="C2058" s="48" t="s">
        <v>644</v>
      </c>
      <c r="D2058" s="43"/>
      <c r="E2058" s="33"/>
      <c r="F2058" s="30" t="s">
        <v>523</v>
      </c>
      <c r="G2058" s="30" t="str">
        <f t="shared" si="32"/>
        <v/>
      </c>
      <c r="H2058" s="31"/>
      <c r="I2058" s="27"/>
      <c r="J2058" s="141">
        <v>0</v>
      </c>
    </row>
    <row r="2059" spans="1:10" ht="15.75" hidden="1" thickBot="1" x14ac:dyDescent="0.3">
      <c r="A2059" s="227"/>
      <c r="B2059" s="230"/>
      <c r="C2059" s="32"/>
      <c r="D2059" s="32"/>
      <c r="E2059" s="33"/>
      <c r="F2059" s="27" t="s">
        <v>523</v>
      </c>
      <c r="G2059" s="27" t="str">
        <f t="shared" si="32"/>
        <v/>
      </c>
      <c r="H2059" s="31"/>
      <c r="I2059" s="27"/>
      <c r="J2059" s="141">
        <v>0</v>
      </c>
    </row>
    <row r="2060" spans="1:10" ht="15.75" thickBot="1" x14ac:dyDescent="0.3">
      <c r="A2060" s="225" t="s">
        <v>651</v>
      </c>
      <c r="B2060" s="228" t="str">
        <f>INDEX(Orçamentária!A:B,MATCH(Composições!A2060,Orçamentária!A:A,0),2)</f>
        <v>Isolamento elastomérico para tubulações de cobre de 3/8"</v>
      </c>
      <c r="C2060" s="37"/>
      <c r="D2060" s="22" t="str">
        <f>TRIM(INDEX(Orçamentária!C:C,MATCH(Composições!A2060,Orçamentária!A:A,0),1))</f>
        <v>m</v>
      </c>
      <c r="E2060" s="23"/>
      <c r="F2060" s="38" t="s">
        <v>523</v>
      </c>
      <c r="G2060" s="24" t="str">
        <f t="shared" si="32"/>
        <v/>
      </c>
      <c r="H2060" s="25"/>
      <c r="I2060" s="26"/>
      <c r="J2060" s="141">
        <v>90</v>
      </c>
    </row>
    <row r="2061" spans="1:10" x14ac:dyDescent="0.25">
      <c r="A2061" s="226"/>
      <c r="B2061" s="244"/>
      <c r="C2061" s="28"/>
      <c r="D2061" s="28"/>
      <c r="E2061" s="29"/>
      <c r="F2061" s="39" t="s">
        <v>523</v>
      </c>
      <c r="G2061" s="27" t="str">
        <f t="shared" si="32"/>
        <v/>
      </c>
      <c r="H2061" s="31"/>
      <c r="I2061" s="27"/>
      <c r="J2061" s="141">
        <v>90</v>
      </c>
    </row>
    <row r="2062" spans="1:10" ht="38.25" x14ac:dyDescent="0.25">
      <c r="A2062" s="226"/>
      <c r="B2062" s="244"/>
      <c r="C2062" s="32" t="s">
        <v>652</v>
      </c>
      <c r="D2062" s="43" t="s">
        <v>93</v>
      </c>
      <c r="E2062" s="33">
        <v>1.0210999999999999</v>
      </c>
      <c r="F2062" s="30">
        <v>12.21</v>
      </c>
      <c r="G2062" s="30">
        <f t="shared" si="32"/>
        <v>12.467630999999999</v>
      </c>
      <c r="H2062" s="35">
        <f>SUM(G2062:G2064)</f>
        <v>13.209702599999998</v>
      </c>
      <c r="I2062" s="36"/>
      <c r="J2062" s="141">
        <v>90</v>
      </c>
    </row>
    <row r="2063" spans="1:10" ht="25.5" x14ac:dyDescent="0.25">
      <c r="A2063" s="226"/>
      <c r="B2063" s="244"/>
      <c r="C2063" s="32" t="s">
        <v>107</v>
      </c>
      <c r="D2063" s="43" t="s">
        <v>12</v>
      </c>
      <c r="E2063" s="33">
        <f>0.057*0.3</f>
        <v>1.7100000000000001E-2</v>
      </c>
      <c r="F2063" s="27">
        <v>19.094999999999999</v>
      </c>
      <c r="G2063" s="30">
        <f t="shared" si="32"/>
        <v>0.3265245</v>
      </c>
      <c r="H2063" s="31"/>
      <c r="I2063" s="27"/>
      <c r="J2063" s="141">
        <v>90</v>
      </c>
    </row>
    <row r="2064" spans="1:10" x14ac:dyDescent="0.25">
      <c r="A2064" s="226"/>
      <c r="B2064" s="244"/>
      <c r="C2064" s="32" t="s">
        <v>39</v>
      </c>
      <c r="D2064" s="43" t="s">
        <v>12</v>
      </c>
      <c r="E2064" s="33">
        <f>0.057*0.3</f>
        <v>1.7100000000000001E-2</v>
      </c>
      <c r="F2064" s="27">
        <v>24.300999999999998</v>
      </c>
      <c r="G2064" s="30">
        <f t="shared" si="32"/>
        <v>0.4155471</v>
      </c>
      <c r="H2064" s="31"/>
      <c r="I2064" s="27"/>
      <c r="J2064" s="141">
        <v>90</v>
      </c>
    </row>
    <row r="2065" spans="1:10" x14ac:dyDescent="0.25">
      <c r="A2065" s="226"/>
      <c r="B2065" s="244"/>
      <c r="C2065" s="32"/>
      <c r="D2065" s="43"/>
      <c r="E2065" s="33"/>
      <c r="F2065" s="30" t="s">
        <v>523</v>
      </c>
      <c r="G2065" s="30" t="str">
        <f t="shared" si="32"/>
        <v/>
      </c>
      <c r="H2065" s="31"/>
      <c r="I2065" s="27"/>
      <c r="J2065" s="141">
        <v>90</v>
      </c>
    </row>
    <row r="2066" spans="1:10" ht="38.25" x14ac:dyDescent="0.25">
      <c r="A2066" s="226"/>
      <c r="B2066" s="244"/>
      <c r="C2066" s="48" t="s">
        <v>644</v>
      </c>
      <c r="D2066" s="43"/>
      <c r="E2066" s="33"/>
      <c r="F2066" s="30" t="s">
        <v>523</v>
      </c>
      <c r="G2066" s="30" t="str">
        <f t="shared" ref="G2066:G2129" si="33">IF(ISNUMBER(F2066),E2066*F2066,"")</f>
        <v/>
      </c>
      <c r="H2066" s="31"/>
      <c r="I2066" s="27"/>
      <c r="J2066" s="141">
        <v>90</v>
      </c>
    </row>
    <row r="2067" spans="1:10" ht="15.75" thickBot="1" x14ac:dyDescent="0.3">
      <c r="A2067" s="227"/>
      <c r="B2067" s="230"/>
      <c r="C2067" s="32"/>
      <c r="D2067" s="32"/>
      <c r="E2067" s="33"/>
      <c r="F2067" s="27" t="s">
        <v>523</v>
      </c>
      <c r="G2067" s="27" t="str">
        <f t="shared" si="33"/>
        <v/>
      </c>
      <c r="H2067" s="31"/>
      <c r="I2067" s="27"/>
      <c r="J2067" s="141">
        <v>90</v>
      </c>
    </row>
    <row r="2068" spans="1:10" ht="15.75" thickBot="1" x14ac:dyDescent="0.3">
      <c r="A2068" s="225" t="s">
        <v>653</v>
      </c>
      <c r="B2068" s="228" t="str">
        <f>INDEX(Orçamentária!A:B,MATCH(Composições!A2068,Orçamentária!A:A,0),2)</f>
        <v>Isolamento elastomérico para tubulações de cobre de 5/8"</v>
      </c>
      <c r="C2068" s="37"/>
      <c r="D2068" s="22" t="str">
        <f>TRIM(INDEX(Orçamentária!C:C,MATCH(Composições!A2068,Orçamentária!A:A,0),1))</f>
        <v>m</v>
      </c>
      <c r="E2068" s="23"/>
      <c r="F2068" s="38" t="s">
        <v>523</v>
      </c>
      <c r="G2068" s="24" t="str">
        <f t="shared" si="33"/>
        <v/>
      </c>
      <c r="H2068" s="25"/>
      <c r="I2068" s="26"/>
      <c r="J2068" s="141">
        <v>90</v>
      </c>
    </row>
    <row r="2069" spans="1:10" x14ac:dyDescent="0.25">
      <c r="A2069" s="226"/>
      <c r="B2069" s="244"/>
      <c r="C2069" s="28"/>
      <c r="D2069" s="28"/>
      <c r="E2069" s="29"/>
      <c r="F2069" s="39" t="s">
        <v>523</v>
      </c>
      <c r="G2069" s="27" t="str">
        <f t="shared" si="33"/>
        <v/>
      </c>
      <c r="H2069" s="31"/>
      <c r="I2069" s="27"/>
      <c r="J2069" s="141">
        <v>90</v>
      </c>
    </row>
    <row r="2070" spans="1:10" ht="38.25" x14ac:dyDescent="0.25">
      <c r="A2070" s="226"/>
      <c r="B2070" s="244"/>
      <c r="C2070" s="32" t="s">
        <v>654</v>
      </c>
      <c r="D2070" s="43" t="s">
        <v>93</v>
      </c>
      <c r="E2070" s="33">
        <v>1.0210999999999999</v>
      </c>
      <c r="F2070" s="30">
        <v>18.97</v>
      </c>
      <c r="G2070" s="30">
        <f t="shared" si="33"/>
        <v>19.370266999999998</v>
      </c>
      <c r="H2070" s="35">
        <f>SUM(G2070:G2072)</f>
        <v>20.203470199999998</v>
      </c>
      <c r="I2070" s="36"/>
      <c r="J2070" s="141">
        <v>90</v>
      </c>
    </row>
    <row r="2071" spans="1:10" ht="25.5" x14ac:dyDescent="0.25">
      <c r="A2071" s="226"/>
      <c r="B2071" s="244"/>
      <c r="C2071" s="32" t="s">
        <v>107</v>
      </c>
      <c r="D2071" s="43" t="s">
        <v>12</v>
      </c>
      <c r="E2071" s="33">
        <f>0.064*0.3</f>
        <v>1.9199999999999998E-2</v>
      </c>
      <c r="F2071" s="27">
        <v>19.094999999999999</v>
      </c>
      <c r="G2071" s="30">
        <f t="shared" si="33"/>
        <v>0.36662399999999995</v>
      </c>
      <c r="H2071" s="31"/>
      <c r="I2071" s="27"/>
      <c r="J2071" s="141">
        <v>90</v>
      </c>
    </row>
    <row r="2072" spans="1:10" x14ac:dyDescent="0.25">
      <c r="A2072" s="226"/>
      <c r="B2072" s="244"/>
      <c r="C2072" s="32" t="s">
        <v>39</v>
      </c>
      <c r="D2072" s="43" t="s">
        <v>12</v>
      </c>
      <c r="E2072" s="33">
        <f>0.064*0.3</f>
        <v>1.9199999999999998E-2</v>
      </c>
      <c r="F2072" s="27">
        <v>24.300999999999998</v>
      </c>
      <c r="G2072" s="30">
        <f t="shared" si="33"/>
        <v>0.46657919999999992</v>
      </c>
      <c r="H2072" s="31"/>
      <c r="I2072" s="27"/>
      <c r="J2072" s="141">
        <v>90</v>
      </c>
    </row>
    <row r="2073" spans="1:10" x14ac:dyDescent="0.25">
      <c r="A2073" s="226"/>
      <c r="B2073" s="244"/>
      <c r="C2073" s="32"/>
      <c r="D2073" s="43"/>
      <c r="E2073" s="33"/>
      <c r="F2073" s="30" t="s">
        <v>523</v>
      </c>
      <c r="G2073" s="30" t="str">
        <f t="shared" si="33"/>
        <v/>
      </c>
      <c r="H2073" s="31"/>
      <c r="I2073" s="27"/>
      <c r="J2073" s="141">
        <v>90</v>
      </c>
    </row>
    <row r="2074" spans="1:10" ht="38.25" x14ac:dyDescent="0.25">
      <c r="A2074" s="226"/>
      <c r="B2074" s="244"/>
      <c r="C2074" s="48" t="s">
        <v>644</v>
      </c>
      <c r="D2074" s="43"/>
      <c r="E2074" s="33"/>
      <c r="F2074" s="30" t="s">
        <v>523</v>
      </c>
      <c r="G2074" s="30" t="str">
        <f t="shared" si="33"/>
        <v/>
      </c>
      <c r="H2074" s="31"/>
      <c r="I2074" s="27"/>
      <c r="J2074" s="141">
        <v>90</v>
      </c>
    </row>
    <row r="2075" spans="1:10" ht="15.75" thickBot="1" x14ac:dyDescent="0.3">
      <c r="A2075" s="227"/>
      <c r="B2075" s="230"/>
      <c r="C2075" s="32"/>
      <c r="D2075" s="32"/>
      <c r="E2075" s="33"/>
      <c r="F2075" s="27" t="s">
        <v>523</v>
      </c>
      <c r="G2075" s="27" t="str">
        <f t="shared" si="33"/>
        <v/>
      </c>
      <c r="H2075" s="31"/>
      <c r="I2075" s="27"/>
      <c r="J2075" s="141">
        <v>90</v>
      </c>
    </row>
    <row r="2076" spans="1:10" ht="15.75" hidden="1" thickBot="1" x14ac:dyDescent="0.3">
      <c r="A2076" s="225" t="s">
        <v>655</v>
      </c>
      <c r="B2076" s="228" t="str">
        <f>INDEX(Orçamentária!A:B,MATCH(Composições!A2076,Orçamentária!A:A,0),2)</f>
        <v>Isolamento elastomérico para tubulações de cobre de 7/8" / tubulações de ferro de 1/2"</v>
      </c>
      <c r="C2076" s="37"/>
      <c r="D2076" s="22" t="str">
        <f>TRIM(INDEX(Orçamentária!C:C,MATCH(Composições!A2076,Orçamentária!A:A,0),1))</f>
        <v>m</v>
      </c>
      <c r="E2076" s="23"/>
      <c r="F2076" s="38" t="s">
        <v>523</v>
      </c>
      <c r="G2076" s="24" t="str">
        <f t="shared" si="33"/>
        <v/>
      </c>
      <c r="H2076" s="25"/>
      <c r="I2076" s="26"/>
      <c r="J2076" s="141">
        <v>0</v>
      </c>
    </row>
    <row r="2077" spans="1:10" ht="15.75" hidden="1" thickBot="1" x14ac:dyDescent="0.3">
      <c r="A2077" s="226"/>
      <c r="B2077" s="244"/>
      <c r="C2077" s="28"/>
      <c r="D2077" s="28"/>
      <c r="E2077" s="29"/>
      <c r="F2077" s="39" t="s">
        <v>523</v>
      </c>
      <c r="G2077" s="27" t="str">
        <f t="shared" si="33"/>
        <v/>
      </c>
      <c r="H2077" s="31"/>
      <c r="I2077" s="27"/>
      <c r="J2077" s="141">
        <v>0</v>
      </c>
    </row>
    <row r="2078" spans="1:10" ht="39" hidden="1" thickBot="1" x14ac:dyDescent="0.3">
      <c r="A2078" s="226"/>
      <c r="B2078" s="244"/>
      <c r="C2078" s="32" t="s">
        <v>656</v>
      </c>
      <c r="D2078" s="43" t="s">
        <v>93</v>
      </c>
      <c r="E2078" s="33">
        <v>1.0210999999999999</v>
      </c>
      <c r="F2078" s="30" t="s">
        <v>523</v>
      </c>
      <c r="G2078" s="30" t="str">
        <f t="shared" si="33"/>
        <v/>
      </c>
      <c r="H2078" s="35">
        <f>SUM(G2078:G2080)</f>
        <v>0.83320319999999981</v>
      </c>
      <c r="I2078" s="36"/>
      <c r="J2078" s="141">
        <v>0</v>
      </c>
    </row>
    <row r="2079" spans="1:10" ht="26.25" hidden="1" thickBot="1" x14ac:dyDescent="0.3">
      <c r="A2079" s="226"/>
      <c r="B2079" s="244"/>
      <c r="C2079" s="32" t="s">
        <v>107</v>
      </c>
      <c r="D2079" s="43" t="s">
        <v>12</v>
      </c>
      <c r="E2079" s="33">
        <f>0.064*0.3</f>
        <v>1.9199999999999998E-2</v>
      </c>
      <c r="F2079" s="27">
        <v>19.094999999999999</v>
      </c>
      <c r="G2079" s="30">
        <f t="shared" si="33"/>
        <v>0.36662399999999995</v>
      </c>
      <c r="H2079" s="31"/>
      <c r="I2079" s="27"/>
      <c r="J2079" s="141">
        <v>0</v>
      </c>
    </row>
    <row r="2080" spans="1:10" ht="15.75" hidden="1" thickBot="1" x14ac:dyDescent="0.3">
      <c r="A2080" s="226"/>
      <c r="B2080" s="244"/>
      <c r="C2080" s="32" t="s">
        <v>39</v>
      </c>
      <c r="D2080" s="43" t="s">
        <v>12</v>
      </c>
      <c r="E2080" s="33">
        <f>0.064*0.3</f>
        <v>1.9199999999999998E-2</v>
      </c>
      <c r="F2080" s="27">
        <v>24.300999999999998</v>
      </c>
      <c r="G2080" s="30">
        <f t="shared" si="33"/>
        <v>0.46657919999999992</v>
      </c>
      <c r="H2080" s="31"/>
      <c r="I2080" s="27"/>
      <c r="J2080" s="141">
        <v>0</v>
      </c>
    </row>
    <row r="2081" spans="1:10" ht="15.75" hidden="1" thickBot="1" x14ac:dyDescent="0.3">
      <c r="A2081" s="226"/>
      <c r="B2081" s="244"/>
      <c r="C2081" s="32"/>
      <c r="D2081" s="43"/>
      <c r="E2081" s="33"/>
      <c r="F2081" s="30" t="s">
        <v>523</v>
      </c>
      <c r="G2081" s="30" t="str">
        <f t="shared" si="33"/>
        <v/>
      </c>
      <c r="H2081" s="31"/>
      <c r="I2081" s="27"/>
      <c r="J2081" s="141">
        <v>0</v>
      </c>
    </row>
    <row r="2082" spans="1:10" ht="39" hidden="1" thickBot="1" x14ac:dyDescent="0.3">
      <c r="A2082" s="226"/>
      <c r="B2082" s="244"/>
      <c r="C2082" s="48" t="s">
        <v>644</v>
      </c>
      <c r="D2082" s="43"/>
      <c r="E2082" s="33"/>
      <c r="F2082" s="30" t="s">
        <v>523</v>
      </c>
      <c r="G2082" s="30" t="str">
        <f t="shared" si="33"/>
        <v/>
      </c>
      <c r="H2082" s="31"/>
      <c r="I2082" s="27"/>
      <c r="J2082" s="141">
        <v>0</v>
      </c>
    </row>
    <row r="2083" spans="1:10" ht="15.75" hidden="1" thickBot="1" x14ac:dyDescent="0.3">
      <c r="A2083" s="227"/>
      <c r="B2083" s="230"/>
      <c r="C2083" s="32"/>
      <c r="D2083" s="32"/>
      <c r="E2083" s="33"/>
      <c r="F2083" s="27" t="s">
        <v>523</v>
      </c>
      <c r="G2083" s="27" t="str">
        <f t="shared" si="33"/>
        <v/>
      </c>
      <c r="H2083" s="31"/>
      <c r="I2083" s="27"/>
      <c r="J2083" s="141">
        <v>0</v>
      </c>
    </row>
    <row r="2084" spans="1:10" ht="15.75" hidden="1" thickBot="1" x14ac:dyDescent="0.3">
      <c r="A2084" s="225" t="s">
        <v>657</v>
      </c>
      <c r="B2084" s="228" t="str">
        <f>INDEX(Orçamentária!A:B,MATCH(Composições!A2084,Orçamentária!A:A,0),2)</f>
        <v>Isolamento elastomérico para tubulações de cobre de 1"</v>
      </c>
      <c r="C2084" s="37"/>
      <c r="D2084" s="22" t="str">
        <f>TRIM(INDEX(Orçamentária!C:C,MATCH(Composições!A2084,Orçamentária!A:A,0),1))</f>
        <v>m</v>
      </c>
      <c r="E2084" s="23"/>
      <c r="F2084" s="38" t="s">
        <v>523</v>
      </c>
      <c r="G2084" s="24" t="str">
        <f t="shared" si="33"/>
        <v/>
      </c>
      <c r="H2084" s="25"/>
      <c r="I2084" s="26"/>
      <c r="J2084" s="141">
        <v>0</v>
      </c>
    </row>
    <row r="2085" spans="1:10" ht="15.75" hidden="1" thickBot="1" x14ac:dyDescent="0.3">
      <c r="A2085" s="226"/>
      <c r="B2085" s="244"/>
      <c r="C2085" s="28"/>
      <c r="D2085" s="28"/>
      <c r="E2085" s="29"/>
      <c r="F2085" s="39" t="s">
        <v>523</v>
      </c>
      <c r="G2085" s="27" t="str">
        <f t="shared" si="33"/>
        <v/>
      </c>
      <c r="H2085" s="31"/>
      <c r="I2085" s="27"/>
      <c r="J2085" s="141">
        <v>0</v>
      </c>
    </row>
    <row r="2086" spans="1:10" ht="39" hidden="1" thickBot="1" x14ac:dyDescent="0.3">
      <c r="A2086" s="226"/>
      <c r="B2086" s="244"/>
      <c r="C2086" s="32" t="s">
        <v>658</v>
      </c>
      <c r="D2086" s="43" t="s">
        <v>93</v>
      </c>
      <c r="E2086" s="33">
        <v>1.0210999999999999</v>
      </c>
      <c r="F2086" s="30" t="s">
        <v>523</v>
      </c>
      <c r="G2086" s="30" t="str">
        <f t="shared" si="33"/>
        <v/>
      </c>
      <c r="H2086" s="35">
        <f>SUM(G2086:G2088)</f>
        <v>0.83320319999999981</v>
      </c>
      <c r="I2086" s="36"/>
      <c r="J2086" s="141">
        <v>0</v>
      </c>
    </row>
    <row r="2087" spans="1:10" ht="26.25" hidden="1" thickBot="1" x14ac:dyDescent="0.3">
      <c r="A2087" s="226"/>
      <c r="B2087" s="244"/>
      <c r="C2087" s="32" t="s">
        <v>107</v>
      </c>
      <c r="D2087" s="43" t="s">
        <v>12</v>
      </c>
      <c r="E2087" s="33">
        <f>0.064*0.3</f>
        <v>1.9199999999999998E-2</v>
      </c>
      <c r="F2087" s="27">
        <v>19.094999999999999</v>
      </c>
      <c r="G2087" s="30">
        <f t="shared" si="33"/>
        <v>0.36662399999999995</v>
      </c>
      <c r="H2087" s="31"/>
      <c r="I2087" s="27"/>
      <c r="J2087" s="141">
        <v>0</v>
      </c>
    </row>
    <row r="2088" spans="1:10" ht="15.75" hidden="1" thickBot="1" x14ac:dyDescent="0.3">
      <c r="A2088" s="226"/>
      <c r="B2088" s="244"/>
      <c r="C2088" s="32" t="s">
        <v>39</v>
      </c>
      <c r="D2088" s="43" t="s">
        <v>12</v>
      </c>
      <c r="E2088" s="33">
        <f>0.064*0.3</f>
        <v>1.9199999999999998E-2</v>
      </c>
      <c r="F2088" s="27">
        <v>24.300999999999998</v>
      </c>
      <c r="G2088" s="30">
        <f t="shared" si="33"/>
        <v>0.46657919999999992</v>
      </c>
      <c r="H2088" s="31"/>
      <c r="I2088" s="27"/>
      <c r="J2088" s="141">
        <v>0</v>
      </c>
    </row>
    <row r="2089" spans="1:10" ht="15.75" hidden="1" thickBot="1" x14ac:dyDescent="0.3">
      <c r="A2089" s="226"/>
      <c r="B2089" s="244"/>
      <c r="C2089" s="32"/>
      <c r="D2089" s="43"/>
      <c r="E2089" s="33"/>
      <c r="F2089" s="30" t="s">
        <v>523</v>
      </c>
      <c r="G2089" s="30" t="str">
        <f t="shared" si="33"/>
        <v/>
      </c>
      <c r="H2089" s="31"/>
      <c r="I2089" s="27"/>
      <c r="J2089" s="141">
        <v>0</v>
      </c>
    </row>
    <row r="2090" spans="1:10" ht="39" hidden="1" thickBot="1" x14ac:dyDescent="0.3">
      <c r="A2090" s="226"/>
      <c r="B2090" s="244"/>
      <c r="C2090" s="48" t="s">
        <v>644</v>
      </c>
      <c r="D2090" s="43"/>
      <c r="E2090" s="33"/>
      <c r="F2090" s="30" t="s">
        <v>523</v>
      </c>
      <c r="G2090" s="30" t="str">
        <f t="shared" si="33"/>
        <v/>
      </c>
      <c r="H2090" s="31"/>
      <c r="I2090" s="27"/>
      <c r="J2090" s="141">
        <v>0</v>
      </c>
    </row>
    <row r="2091" spans="1:10" ht="15.75" hidden="1" thickBot="1" x14ac:dyDescent="0.3">
      <c r="A2091" s="227"/>
      <c r="B2091" s="230"/>
      <c r="C2091" s="32"/>
      <c r="D2091" s="32"/>
      <c r="E2091" s="33"/>
      <c r="F2091" s="27" t="s">
        <v>523</v>
      </c>
      <c r="G2091" s="27" t="str">
        <f t="shared" si="33"/>
        <v/>
      </c>
      <c r="H2091" s="31"/>
      <c r="I2091" s="27"/>
      <c r="J2091" s="141">
        <v>0</v>
      </c>
    </row>
    <row r="2092" spans="1:10" ht="15.75" hidden="1" thickBot="1" x14ac:dyDescent="0.3">
      <c r="A2092" s="225" t="s">
        <v>659</v>
      </c>
      <c r="B2092" s="228" t="str">
        <f>INDEX(Orçamentária!A:B,MATCH(Composições!A2092,Orçamentária!A:A,0),2)</f>
        <v>Isolamento elastomérico para tubulações de ferro de 1 1/2"</v>
      </c>
      <c r="C2092" s="37"/>
      <c r="D2092" s="22" t="str">
        <f>TRIM(INDEX(Orçamentária!C:C,MATCH(Composições!A2092,Orçamentária!A:A,0),1))</f>
        <v>m</v>
      </c>
      <c r="E2092" s="23"/>
      <c r="F2092" s="38" t="s">
        <v>523</v>
      </c>
      <c r="G2092" s="24" t="str">
        <f t="shared" si="33"/>
        <v/>
      </c>
      <c r="H2092" s="25"/>
      <c r="I2092" s="26"/>
      <c r="J2092" s="141">
        <v>0</v>
      </c>
    </row>
    <row r="2093" spans="1:10" ht="15.75" hidden="1" thickBot="1" x14ac:dyDescent="0.3">
      <c r="A2093" s="226"/>
      <c r="B2093" s="244"/>
      <c r="C2093" s="28"/>
      <c r="D2093" s="28"/>
      <c r="E2093" s="29"/>
      <c r="F2093" s="39" t="s">
        <v>523</v>
      </c>
      <c r="G2093" s="27" t="str">
        <f t="shared" si="33"/>
        <v/>
      </c>
      <c r="H2093" s="31"/>
      <c r="I2093" s="27"/>
      <c r="J2093" s="141">
        <v>0</v>
      </c>
    </row>
    <row r="2094" spans="1:10" ht="39" hidden="1" thickBot="1" x14ac:dyDescent="0.3">
      <c r="A2094" s="226"/>
      <c r="B2094" s="244"/>
      <c r="C2094" s="32" t="s">
        <v>660</v>
      </c>
      <c r="D2094" s="43" t="s">
        <v>93</v>
      </c>
      <c r="E2094" s="33">
        <v>1.0210999999999999</v>
      </c>
      <c r="F2094" s="30" t="s">
        <v>523</v>
      </c>
      <c r="G2094" s="30" t="str">
        <f t="shared" si="33"/>
        <v/>
      </c>
      <c r="H2094" s="35">
        <f>SUM(G2094:G2096)</f>
        <v>0.83320319999999981</v>
      </c>
      <c r="I2094" s="36"/>
      <c r="J2094" s="141">
        <v>0</v>
      </c>
    </row>
    <row r="2095" spans="1:10" ht="26.25" hidden="1" thickBot="1" x14ac:dyDescent="0.3">
      <c r="A2095" s="226"/>
      <c r="B2095" s="244"/>
      <c r="C2095" s="32" t="s">
        <v>107</v>
      </c>
      <c r="D2095" s="43" t="s">
        <v>12</v>
      </c>
      <c r="E2095" s="33">
        <f>0.064*0.3</f>
        <v>1.9199999999999998E-2</v>
      </c>
      <c r="F2095" s="27">
        <v>19.094999999999999</v>
      </c>
      <c r="G2095" s="30">
        <f t="shared" si="33"/>
        <v>0.36662399999999995</v>
      </c>
      <c r="H2095" s="31"/>
      <c r="I2095" s="27"/>
      <c r="J2095" s="141">
        <v>0</v>
      </c>
    </row>
    <row r="2096" spans="1:10" ht="15.75" hidden="1" thickBot="1" x14ac:dyDescent="0.3">
      <c r="A2096" s="226"/>
      <c r="B2096" s="244"/>
      <c r="C2096" s="32" t="s">
        <v>39</v>
      </c>
      <c r="D2096" s="43" t="s">
        <v>12</v>
      </c>
      <c r="E2096" s="33">
        <f>0.064*0.3</f>
        <v>1.9199999999999998E-2</v>
      </c>
      <c r="F2096" s="27">
        <v>24.300999999999998</v>
      </c>
      <c r="G2096" s="30">
        <f t="shared" si="33"/>
        <v>0.46657919999999992</v>
      </c>
      <c r="H2096" s="31"/>
      <c r="I2096" s="27"/>
      <c r="J2096" s="141">
        <v>0</v>
      </c>
    </row>
    <row r="2097" spans="1:10" ht="15.75" hidden="1" thickBot="1" x14ac:dyDescent="0.3">
      <c r="A2097" s="226"/>
      <c r="B2097" s="244"/>
      <c r="C2097" s="32"/>
      <c r="D2097" s="43"/>
      <c r="E2097" s="33"/>
      <c r="F2097" s="30" t="s">
        <v>523</v>
      </c>
      <c r="G2097" s="30" t="str">
        <f t="shared" si="33"/>
        <v/>
      </c>
      <c r="H2097" s="31"/>
      <c r="I2097" s="27"/>
      <c r="J2097" s="141">
        <v>0</v>
      </c>
    </row>
    <row r="2098" spans="1:10" ht="39" hidden="1" thickBot="1" x14ac:dyDescent="0.3">
      <c r="A2098" s="226"/>
      <c r="B2098" s="244"/>
      <c r="C2098" s="48" t="s">
        <v>644</v>
      </c>
      <c r="D2098" s="43"/>
      <c r="E2098" s="33"/>
      <c r="F2098" s="30" t="s">
        <v>523</v>
      </c>
      <c r="G2098" s="30" t="str">
        <f t="shared" si="33"/>
        <v/>
      </c>
      <c r="H2098" s="31"/>
      <c r="I2098" s="27"/>
      <c r="J2098" s="141">
        <v>0</v>
      </c>
    </row>
    <row r="2099" spans="1:10" ht="15.75" hidden="1" thickBot="1" x14ac:dyDescent="0.3">
      <c r="A2099" s="227"/>
      <c r="B2099" s="230"/>
      <c r="C2099" s="32"/>
      <c r="D2099" s="32"/>
      <c r="E2099" s="33"/>
      <c r="F2099" s="27" t="s">
        <v>523</v>
      </c>
      <c r="G2099" s="27" t="str">
        <f t="shared" si="33"/>
        <v/>
      </c>
      <c r="H2099" s="31"/>
      <c r="I2099" s="27"/>
      <c r="J2099" s="141">
        <v>0</v>
      </c>
    </row>
    <row r="2100" spans="1:10" ht="15.75" hidden="1" thickBot="1" x14ac:dyDescent="0.3">
      <c r="A2100" s="225" t="s">
        <v>661</v>
      </c>
      <c r="B2100" s="228" t="str">
        <f>INDEX(Orçamentária!A:B,MATCH(Composições!A2100,Orçamentária!A:A,0),2)</f>
        <v>Isolamento elastomérico para tubulações de cobre 1 5/8" / tubulações de ferro de 1 1/4"</v>
      </c>
      <c r="C2100" s="37"/>
      <c r="D2100" s="22" t="str">
        <f>TRIM(INDEX(Orçamentária!C:C,MATCH(Composições!A2100,Orçamentária!A:A,0),1))</f>
        <v>m</v>
      </c>
      <c r="E2100" s="23"/>
      <c r="F2100" s="38" t="s">
        <v>523</v>
      </c>
      <c r="G2100" s="24" t="str">
        <f t="shared" si="33"/>
        <v/>
      </c>
      <c r="H2100" s="25"/>
      <c r="I2100" s="26"/>
      <c r="J2100" s="141">
        <v>0</v>
      </c>
    </row>
    <row r="2101" spans="1:10" ht="15.75" hidden="1" thickBot="1" x14ac:dyDescent="0.3">
      <c r="A2101" s="226"/>
      <c r="B2101" s="244"/>
      <c r="C2101" s="28"/>
      <c r="D2101" s="28"/>
      <c r="E2101" s="29"/>
      <c r="F2101" s="39" t="s">
        <v>523</v>
      </c>
      <c r="G2101" s="27" t="str">
        <f t="shared" si="33"/>
        <v/>
      </c>
      <c r="H2101" s="31"/>
      <c r="I2101" s="27"/>
      <c r="J2101" s="141">
        <v>0</v>
      </c>
    </row>
    <row r="2102" spans="1:10" ht="39" hidden="1" thickBot="1" x14ac:dyDescent="0.3">
      <c r="A2102" s="226"/>
      <c r="B2102" s="244"/>
      <c r="C2102" s="32" t="s">
        <v>662</v>
      </c>
      <c r="D2102" s="43" t="s">
        <v>93</v>
      </c>
      <c r="E2102" s="33">
        <v>1.0210999999999999</v>
      </c>
      <c r="F2102" s="30" t="s">
        <v>523</v>
      </c>
      <c r="G2102" s="30" t="str">
        <f t="shared" si="33"/>
        <v/>
      </c>
      <c r="H2102" s="35">
        <f>SUM(G2102:G2104)</f>
        <v>0.83320319999999981</v>
      </c>
      <c r="I2102" s="36"/>
      <c r="J2102" s="141">
        <v>0</v>
      </c>
    </row>
    <row r="2103" spans="1:10" ht="26.25" hidden="1" thickBot="1" x14ac:dyDescent="0.3">
      <c r="A2103" s="226"/>
      <c r="B2103" s="244"/>
      <c r="C2103" s="32" t="s">
        <v>107</v>
      </c>
      <c r="D2103" s="43" t="s">
        <v>12</v>
      </c>
      <c r="E2103" s="33">
        <f>0.064*0.3</f>
        <v>1.9199999999999998E-2</v>
      </c>
      <c r="F2103" s="27">
        <v>19.094999999999999</v>
      </c>
      <c r="G2103" s="30">
        <f t="shared" si="33"/>
        <v>0.36662399999999995</v>
      </c>
      <c r="H2103" s="31"/>
      <c r="I2103" s="27"/>
      <c r="J2103" s="141">
        <v>0</v>
      </c>
    </row>
    <row r="2104" spans="1:10" ht="15.75" hidden="1" thickBot="1" x14ac:dyDescent="0.3">
      <c r="A2104" s="226"/>
      <c r="B2104" s="244"/>
      <c r="C2104" s="32" t="s">
        <v>39</v>
      </c>
      <c r="D2104" s="43" t="s">
        <v>12</v>
      </c>
      <c r="E2104" s="33">
        <f>0.064*0.3</f>
        <v>1.9199999999999998E-2</v>
      </c>
      <c r="F2104" s="27">
        <v>24.300999999999998</v>
      </c>
      <c r="G2104" s="30">
        <f t="shared" si="33"/>
        <v>0.46657919999999992</v>
      </c>
      <c r="H2104" s="31"/>
      <c r="I2104" s="27"/>
      <c r="J2104" s="141">
        <v>0</v>
      </c>
    </row>
    <row r="2105" spans="1:10" ht="15.75" hidden="1" thickBot="1" x14ac:dyDescent="0.3">
      <c r="A2105" s="226"/>
      <c r="B2105" s="244"/>
      <c r="C2105" s="32"/>
      <c r="D2105" s="43"/>
      <c r="E2105" s="33"/>
      <c r="F2105" s="30" t="s">
        <v>523</v>
      </c>
      <c r="G2105" s="30" t="str">
        <f t="shared" si="33"/>
        <v/>
      </c>
      <c r="H2105" s="31"/>
      <c r="I2105" s="27"/>
      <c r="J2105" s="141">
        <v>0</v>
      </c>
    </row>
    <row r="2106" spans="1:10" ht="39" hidden="1" thickBot="1" x14ac:dyDescent="0.3">
      <c r="A2106" s="226"/>
      <c r="B2106" s="244"/>
      <c r="C2106" s="48" t="s">
        <v>644</v>
      </c>
      <c r="D2106" s="43"/>
      <c r="E2106" s="33"/>
      <c r="F2106" s="30" t="s">
        <v>523</v>
      </c>
      <c r="G2106" s="30" t="str">
        <f t="shared" si="33"/>
        <v/>
      </c>
      <c r="H2106" s="31"/>
      <c r="I2106" s="27"/>
      <c r="J2106" s="141">
        <v>0</v>
      </c>
    </row>
    <row r="2107" spans="1:10" ht="15.75" hidden="1" thickBot="1" x14ac:dyDescent="0.3">
      <c r="A2107" s="227"/>
      <c r="B2107" s="230"/>
      <c r="C2107" s="32"/>
      <c r="D2107" s="32"/>
      <c r="E2107" s="33"/>
      <c r="F2107" s="27" t="s">
        <v>523</v>
      </c>
      <c r="G2107" s="27" t="str">
        <f t="shared" si="33"/>
        <v/>
      </c>
      <c r="H2107" s="31"/>
      <c r="I2107" s="27"/>
      <c r="J2107" s="141">
        <v>0</v>
      </c>
    </row>
    <row r="2108" spans="1:10" ht="15.75" hidden="1" thickBot="1" x14ac:dyDescent="0.3">
      <c r="A2108" s="225" t="s">
        <v>663</v>
      </c>
      <c r="B2108" s="228" t="str">
        <f>INDEX(Orçamentária!A:B,MATCH(Composições!A2108,Orçamentária!A:A,0),2)</f>
        <v>Isolamento elastomérico para tubulações de cobre 1 3/8" / tubulações de ferro de 1"</v>
      </c>
      <c r="C2108" s="37"/>
      <c r="D2108" s="22" t="str">
        <f>TRIM(INDEX(Orçamentária!C:C,MATCH(Composições!A2108,Orçamentária!A:A,0),1))</f>
        <v>m</v>
      </c>
      <c r="E2108" s="23"/>
      <c r="F2108" s="38" t="s">
        <v>523</v>
      </c>
      <c r="G2108" s="24" t="str">
        <f t="shared" si="33"/>
        <v/>
      </c>
      <c r="H2108" s="25"/>
      <c r="I2108" s="26"/>
      <c r="J2108" s="141">
        <v>0</v>
      </c>
    </row>
    <row r="2109" spans="1:10" ht="15.75" hidden="1" thickBot="1" x14ac:dyDescent="0.3">
      <c r="A2109" s="226"/>
      <c r="B2109" s="244"/>
      <c r="C2109" s="28"/>
      <c r="D2109" s="28"/>
      <c r="E2109" s="29"/>
      <c r="F2109" s="39" t="s">
        <v>523</v>
      </c>
      <c r="G2109" s="27" t="str">
        <f t="shared" si="33"/>
        <v/>
      </c>
      <c r="H2109" s="31"/>
      <c r="I2109" s="27"/>
      <c r="J2109" s="141">
        <v>0</v>
      </c>
    </row>
    <row r="2110" spans="1:10" ht="39" hidden="1" thickBot="1" x14ac:dyDescent="0.3">
      <c r="A2110" s="226"/>
      <c r="B2110" s="244"/>
      <c r="C2110" s="32" t="s">
        <v>664</v>
      </c>
      <c r="D2110" s="43" t="s">
        <v>93</v>
      </c>
      <c r="E2110" s="33">
        <v>1.0210999999999999</v>
      </c>
      <c r="F2110" s="30" t="s">
        <v>523</v>
      </c>
      <c r="G2110" s="30" t="str">
        <f t="shared" si="33"/>
        <v/>
      </c>
      <c r="H2110" s="35">
        <f>SUM(G2110:G2112)</f>
        <v>0.83320319999999981</v>
      </c>
      <c r="I2110" s="36"/>
      <c r="J2110" s="141">
        <v>0</v>
      </c>
    </row>
    <row r="2111" spans="1:10" ht="26.25" hidden="1" thickBot="1" x14ac:dyDescent="0.3">
      <c r="A2111" s="226"/>
      <c r="B2111" s="244"/>
      <c r="C2111" s="32" t="s">
        <v>107</v>
      </c>
      <c r="D2111" s="43" t="s">
        <v>12</v>
      </c>
      <c r="E2111" s="33">
        <f>0.064*0.3</f>
        <v>1.9199999999999998E-2</v>
      </c>
      <c r="F2111" s="27">
        <v>19.094999999999999</v>
      </c>
      <c r="G2111" s="30">
        <f t="shared" si="33"/>
        <v>0.36662399999999995</v>
      </c>
      <c r="H2111" s="31"/>
      <c r="I2111" s="27"/>
      <c r="J2111" s="141">
        <v>0</v>
      </c>
    </row>
    <row r="2112" spans="1:10" ht="15.75" hidden="1" thickBot="1" x14ac:dyDescent="0.3">
      <c r="A2112" s="226"/>
      <c r="B2112" s="244"/>
      <c r="C2112" s="32" t="s">
        <v>39</v>
      </c>
      <c r="D2112" s="43" t="s">
        <v>12</v>
      </c>
      <c r="E2112" s="33">
        <f>0.064*0.3</f>
        <v>1.9199999999999998E-2</v>
      </c>
      <c r="F2112" s="27">
        <v>24.300999999999998</v>
      </c>
      <c r="G2112" s="30">
        <f t="shared" si="33"/>
        <v>0.46657919999999992</v>
      </c>
      <c r="H2112" s="31"/>
      <c r="I2112" s="27"/>
      <c r="J2112" s="141">
        <v>0</v>
      </c>
    </row>
    <row r="2113" spans="1:10" ht="15.75" hidden="1" thickBot="1" x14ac:dyDescent="0.3">
      <c r="A2113" s="226"/>
      <c r="B2113" s="244"/>
      <c r="C2113" s="32"/>
      <c r="D2113" s="43"/>
      <c r="E2113" s="33"/>
      <c r="F2113" s="30" t="s">
        <v>523</v>
      </c>
      <c r="G2113" s="30" t="str">
        <f t="shared" si="33"/>
        <v/>
      </c>
      <c r="H2113" s="31"/>
      <c r="I2113" s="27"/>
      <c r="J2113" s="141">
        <v>0</v>
      </c>
    </row>
    <row r="2114" spans="1:10" ht="39" hidden="1" thickBot="1" x14ac:dyDescent="0.3">
      <c r="A2114" s="226"/>
      <c r="B2114" s="244"/>
      <c r="C2114" s="48" t="s">
        <v>644</v>
      </c>
      <c r="D2114" s="43"/>
      <c r="E2114" s="33"/>
      <c r="F2114" s="30" t="s">
        <v>523</v>
      </c>
      <c r="G2114" s="30" t="str">
        <f t="shared" si="33"/>
        <v/>
      </c>
      <c r="H2114" s="31"/>
      <c r="I2114" s="27"/>
      <c r="J2114" s="141">
        <v>0</v>
      </c>
    </row>
    <row r="2115" spans="1:10" ht="15.75" hidden="1" thickBot="1" x14ac:dyDescent="0.3">
      <c r="A2115" s="227"/>
      <c r="B2115" s="230"/>
      <c r="C2115" s="32"/>
      <c r="D2115" s="32"/>
      <c r="E2115" s="33"/>
      <c r="F2115" s="27" t="s">
        <v>523</v>
      </c>
      <c r="G2115" s="27" t="str">
        <f t="shared" si="33"/>
        <v/>
      </c>
      <c r="H2115" s="31"/>
      <c r="I2115" s="27"/>
      <c r="J2115" s="141">
        <v>0</v>
      </c>
    </row>
    <row r="2116" spans="1:10" ht="15.75" hidden="1" thickBot="1" x14ac:dyDescent="0.3">
      <c r="A2116" s="225" t="s">
        <v>665</v>
      </c>
      <c r="B2116" s="228" t="str">
        <f>INDEX(Orçamentária!A:B,MATCH(Composições!A2116,Orçamentária!A:A,0),2)</f>
        <v>Proteção mecânica em alumínio</v>
      </c>
      <c r="C2116" s="37"/>
      <c r="D2116" s="22" t="str">
        <f>TRIM(INDEX(Orçamentária!C:C,MATCH(Composições!A2116,Orçamentária!A:A,0),1))</f>
        <v>m2</v>
      </c>
      <c r="E2116" s="23"/>
      <c r="F2116" s="38" t="s">
        <v>523</v>
      </c>
      <c r="G2116" s="24" t="str">
        <f t="shared" si="33"/>
        <v/>
      </c>
      <c r="H2116" s="25"/>
      <c r="I2116" s="26"/>
      <c r="J2116" s="141">
        <v>0</v>
      </c>
    </row>
    <row r="2117" spans="1:10" ht="15.75" hidden="1" thickBot="1" x14ac:dyDescent="0.3">
      <c r="A2117" s="226"/>
      <c r="B2117" s="244"/>
      <c r="C2117" s="28"/>
      <c r="D2117" s="28"/>
      <c r="E2117" s="29"/>
      <c r="F2117" s="39" t="s">
        <v>523</v>
      </c>
      <c r="G2117" s="27" t="str">
        <f t="shared" si="33"/>
        <v/>
      </c>
      <c r="H2117" s="31"/>
      <c r="I2117" s="27"/>
      <c r="J2117" s="141">
        <v>0</v>
      </c>
    </row>
    <row r="2118" spans="1:10" ht="26.25" hidden="1" thickBot="1" x14ac:dyDescent="0.3">
      <c r="A2118" s="226"/>
      <c r="B2118" s="244"/>
      <c r="C2118" s="32" t="s">
        <v>107</v>
      </c>
      <c r="D2118" s="43" t="s">
        <v>12</v>
      </c>
      <c r="E2118" s="33">
        <v>0.2</v>
      </c>
      <c r="F2118" s="27">
        <v>19.094999999999999</v>
      </c>
      <c r="G2118" s="30">
        <f t="shared" si="33"/>
        <v>3.819</v>
      </c>
      <c r="H2118" s="35">
        <f>SUM(G2118:G2120)</f>
        <v>8.6791999999999998</v>
      </c>
      <c r="I2118" s="36"/>
      <c r="J2118" s="141">
        <v>0</v>
      </c>
    </row>
    <row r="2119" spans="1:10" ht="15.75" hidden="1" thickBot="1" x14ac:dyDescent="0.3">
      <c r="A2119" s="226"/>
      <c r="B2119" s="244"/>
      <c r="C2119" s="32" t="s">
        <v>39</v>
      </c>
      <c r="D2119" s="43" t="s">
        <v>12</v>
      </c>
      <c r="E2119" s="33">
        <v>0.2</v>
      </c>
      <c r="F2119" s="27">
        <v>24.300999999999998</v>
      </c>
      <c r="G2119" s="30">
        <f t="shared" si="33"/>
        <v>4.8601999999999999</v>
      </c>
      <c r="H2119" s="31"/>
      <c r="I2119" s="27"/>
      <c r="J2119" s="141">
        <v>0</v>
      </c>
    </row>
    <row r="2120" spans="1:10" ht="15.75" hidden="1" thickBot="1" x14ac:dyDescent="0.3">
      <c r="A2120" s="226"/>
      <c r="B2120" s="244"/>
      <c r="C2120" s="32" t="s">
        <v>666</v>
      </c>
      <c r="D2120" s="43" t="s">
        <v>95</v>
      </c>
      <c r="E2120" s="33">
        <v>1.05</v>
      </c>
      <c r="F2120" s="30" t="s">
        <v>523</v>
      </c>
      <c r="G2120" s="30" t="str">
        <f t="shared" si="33"/>
        <v/>
      </c>
      <c r="H2120" s="31"/>
      <c r="I2120" s="27"/>
      <c r="J2120" s="141">
        <v>0</v>
      </c>
    </row>
    <row r="2121" spans="1:10" ht="15.75" hidden="1" thickBot="1" x14ac:dyDescent="0.3">
      <c r="A2121" s="227"/>
      <c r="B2121" s="230"/>
      <c r="C2121" s="32"/>
      <c r="D2121" s="32"/>
      <c r="E2121" s="33"/>
      <c r="F2121" s="27" t="s">
        <v>523</v>
      </c>
      <c r="G2121" s="27" t="str">
        <f t="shared" si="33"/>
        <v/>
      </c>
      <c r="H2121" s="31"/>
      <c r="I2121" s="27"/>
      <c r="J2121" s="141">
        <v>0</v>
      </c>
    </row>
    <row r="2122" spans="1:10" ht="15.75" hidden="1" thickBot="1" x14ac:dyDescent="0.3">
      <c r="A2122" s="225" t="s">
        <v>667</v>
      </c>
      <c r="B2122" s="228" t="str">
        <f>INDEX(Orçamentária!A:B,MATCH(Composições!A2122,Orçamentária!A:A,0),2)</f>
        <v>Tubo de aço-carbono galvanizado 1 1/2"</v>
      </c>
      <c r="C2122" s="37"/>
      <c r="D2122" s="22" t="str">
        <f>TRIM(INDEX(Orçamentária!C:C,MATCH(Composições!A2122,Orçamentária!A:A,0),1))</f>
        <v>m</v>
      </c>
      <c r="E2122" s="23"/>
      <c r="F2122" s="38" t="s">
        <v>523</v>
      </c>
      <c r="G2122" s="24" t="str">
        <f t="shared" si="33"/>
        <v/>
      </c>
      <c r="H2122" s="25"/>
      <c r="I2122" s="26"/>
      <c r="J2122" s="141">
        <v>0</v>
      </c>
    </row>
    <row r="2123" spans="1:10" ht="15.75" hidden="1" thickBot="1" x14ac:dyDescent="0.3">
      <c r="A2123" s="226"/>
      <c r="B2123" s="244"/>
      <c r="C2123" s="28"/>
      <c r="D2123" s="28"/>
      <c r="E2123" s="29"/>
      <c r="F2123" s="39" t="s">
        <v>523</v>
      </c>
      <c r="G2123" s="27" t="str">
        <f t="shared" si="33"/>
        <v/>
      </c>
      <c r="H2123" s="31"/>
      <c r="I2123" s="27"/>
      <c r="J2123" s="141">
        <v>0</v>
      </c>
    </row>
    <row r="2124" spans="1:10" ht="15.75" hidden="1" thickBot="1" x14ac:dyDescent="0.3">
      <c r="A2124" s="226"/>
      <c r="B2124" s="244"/>
      <c r="C2124" s="32" t="s">
        <v>39</v>
      </c>
      <c r="D2124" s="43" t="s">
        <v>12</v>
      </c>
      <c r="E2124" s="33">
        <v>0.29199999999999998</v>
      </c>
      <c r="F2124" s="27">
        <v>24.300999999999998</v>
      </c>
      <c r="G2124" s="27">
        <f t="shared" si="33"/>
        <v>7.0958919999999992</v>
      </c>
      <c r="H2124" s="35">
        <f>SUM(G2124:G2126)</f>
        <v>94.78432149999999</v>
      </c>
      <c r="I2124" s="36"/>
      <c r="J2124" s="141">
        <v>0</v>
      </c>
    </row>
    <row r="2125" spans="1:10" ht="26.25" hidden="1" thickBot="1" x14ac:dyDescent="0.3">
      <c r="A2125" s="226"/>
      <c r="B2125" s="244"/>
      <c r="C2125" s="32" t="s">
        <v>107</v>
      </c>
      <c r="D2125" s="43" t="s">
        <v>12</v>
      </c>
      <c r="E2125" s="33">
        <v>0.29199999999999998</v>
      </c>
      <c r="F2125" s="27">
        <v>19.094999999999999</v>
      </c>
      <c r="G2125" s="27">
        <f t="shared" si="33"/>
        <v>5.5757399999999997</v>
      </c>
      <c r="H2125" s="31"/>
      <c r="I2125" s="27"/>
      <c r="J2125" s="141">
        <v>0</v>
      </c>
    </row>
    <row r="2126" spans="1:10" ht="26.25" hidden="1" thickBot="1" x14ac:dyDescent="0.3">
      <c r="A2126" s="226"/>
      <c r="B2126" s="244"/>
      <c r="C2126" s="32" t="s">
        <v>668</v>
      </c>
      <c r="D2126" s="43" t="s">
        <v>93</v>
      </c>
      <c r="E2126" s="33">
        <v>1.0389999999999999</v>
      </c>
      <c r="F2126" s="30">
        <v>79.030499999999989</v>
      </c>
      <c r="G2126" s="27">
        <f t="shared" si="33"/>
        <v>82.112689499999988</v>
      </c>
      <c r="H2126" s="31"/>
      <c r="I2126" s="27"/>
      <c r="J2126" s="141">
        <v>0</v>
      </c>
    </row>
    <row r="2127" spans="1:10" ht="15.75" hidden="1" thickBot="1" x14ac:dyDescent="0.3">
      <c r="A2127" s="227"/>
      <c r="B2127" s="230"/>
      <c r="C2127" s="32"/>
      <c r="D2127" s="32"/>
      <c r="E2127" s="33"/>
      <c r="F2127" s="27" t="s">
        <v>523</v>
      </c>
      <c r="G2127" s="27" t="str">
        <f t="shared" si="33"/>
        <v/>
      </c>
      <c r="H2127" s="31"/>
      <c r="I2127" s="27"/>
      <c r="J2127" s="141">
        <v>0</v>
      </c>
    </row>
    <row r="2128" spans="1:10" ht="15.75" hidden="1" thickBot="1" x14ac:dyDescent="0.3">
      <c r="A2128" s="225" t="s">
        <v>669</v>
      </c>
      <c r="B2128" s="228" t="str">
        <f>INDEX(Orçamentária!A:B,MATCH(Composições!A2128,Orçamentária!A:A,0),2)</f>
        <v>Tubo de aço-carbono galvanizado 1 1/4"</v>
      </c>
      <c r="C2128" s="37"/>
      <c r="D2128" s="22" t="str">
        <f>TRIM(INDEX(Orçamentária!C:C,MATCH(Composições!A2128,Orçamentária!A:A,0),1))</f>
        <v>m</v>
      </c>
      <c r="E2128" s="23"/>
      <c r="F2128" s="38" t="s">
        <v>523</v>
      </c>
      <c r="G2128" s="24" t="str">
        <f t="shared" si="33"/>
        <v/>
      </c>
      <c r="H2128" s="25"/>
      <c r="I2128" s="26"/>
      <c r="J2128" s="141">
        <v>0</v>
      </c>
    </row>
    <row r="2129" spans="1:10" ht="15.75" hidden="1" thickBot="1" x14ac:dyDescent="0.3">
      <c r="A2129" s="226"/>
      <c r="B2129" s="244"/>
      <c r="C2129" s="28"/>
      <c r="D2129" s="28"/>
      <c r="E2129" s="29"/>
      <c r="F2129" s="39" t="s">
        <v>523</v>
      </c>
      <c r="G2129" s="27" t="str">
        <f t="shared" si="33"/>
        <v/>
      </c>
      <c r="H2129" s="31"/>
      <c r="I2129" s="27"/>
      <c r="J2129" s="141">
        <v>0</v>
      </c>
    </row>
    <row r="2130" spans="1:10" ht="15.75" hidden="1" thickBot="1" x14ac:dyDescent="0.3">
      <c r="A2130" s="226"/>
      <c r="B2130" s="244"/>
      <c r="C2130" s="32" t="s">
        <v>39</v>
      </c>
      <c r="D2130" s="43" t="s">
        <v>12</v>
      </c>
      <c r="E2130" s="33">
        <v>0.27500000000000002</v>
      </c>
      <c r="F2130" s="27">
        <v>24.300999999999998</v>
      </c>
      <c r="G2130" s="27">
        <f t="shared" ref="G2130:G2193" si="34">IF(ISNUMBER(F2130),E2130*F2130,"")</f>
        <v>6.6827750000000004</v>
      </c>
      <c r="H2130" s="35">
        <f>SUM(G2130:G2132)</f>
        <v>87.27542649999998</v>
      </c>
      <c r="I2130" s="36"/>
      <c r="J2130" s="141">
        <v>0</v>
      </c>
    </row>
    <row r="2131" spans="1:10" ht="26.25" hidden="1" thickBot="1" x14ac:dyDescent="0.3">
      <c r="A2131" s="226"/>
      <c r="B2131" s="244"/>
      <c r="C2131" s="32" t="s">
        <v>107</v>
      </c>
      <c r="D2131" s="43" t="s">
        <v>12</v>
      </c>
      <c r="E2131" s="33">
        <v>0.27500000000000002</v>
      </c>
      <c r="F2131" s="27">
        <v>19.094999999999999</v>
      </c>
      <c r="G2131" s="27">
        <f t="shared" si="34"/>
        <v>5.251125</v>
      </c>
      <c r="H2131" s="31"/>
      <c r="I2131" s="27"/>
      <c r="J2131" s="141">
        <v>0</v>
      </c>
    </row>
    <row r="2132" spans="1:10" ht="26.25" hidden="1" thickBot="1" x14ac:dyDescent="0.3">
      <c r="A2132" s="226"/>
      <c r="B2132" s="244"/>
      <c r="C2132" s="32" t="s">
        <v>3524</v>
      </c>
      <c r="D2132" s="43" t="s">
        <v>93</v>
      </c>
      <c r="E2132" s="33">
        <v>1.0389999999999999</v>
      </c>
      <c r="F2132" s="27">
        <v>72.513499999999993</v>
      </c>
      <c r="G2132" s="27">
        <f t="shared" si="34"/>
        <v>75.341526499999986</v>
      </c>
      <c r="H2132" s="31"/>
      <c r="I2132" s="27"/>
      <c r="J2132" s="141">
        <v>0</v>
      </c>
    </row>
    <row r="2133" spans="1:10" ht="15.75" hidden="1" thickBot="1" x14ac:dyDescent="0.3">
      <c r="A2133" s="227"/>
      <c r="B2133" s="230"/>
      <c r="C2133" s="32"/>
      <c r="D2133" s="32"/>
      <c r="E2133" s="33"/>
      <c r="F2133" s="27" t="s">
        <v>523</v>
      </c>
      <c r="G2133" s="27" t="str">
        <f t="shared" si="34"/>
        <v/>
      </c>
      <c r="H2133" s="31"/>
      <c r="I2133" s="27"/>
      <c r="J2133" s="141">
        <v>0</v>
      </c>
    </row>
    <row r="2134" spans="1:10" ht="15.75" hidden="1" thickBot="1" x14ac:dyDescent="0.3">
      <c r="A2134" s="225" t="s">
        <v>670</v>
      </c>
      <c r="B2134" s="228" t="str">
        <f>INDEX(Orçamentária!A:B,MATCH(Composições!A2134,Orçamentária!A:A,0),2)</f>
        <v>Tubo de aço-carbono galvanizado 1"</v>
      </c>
      <c r="C2134" s="37"/>
      <c r="D2134" s="22" t="str">
        <f>TRIM(INDEX(Orçamentária!C:C,MATCH(Composições!A2134,Orçamentária!A:A,0),1))</f>
        <v>m</v>
      </c>
      <c r="E2134" s="23"/>
      <c r="F2134" s="38" t="s">
        <v>523</v>
      </c>
      <c r="G2134" s="24" t="str">
        <f t="shared" si="34"/>
        <v/>
      </c>
      <c r="H2134" s="25"/>
      <c r="I2134" s="26"/>
      <c r="J2134" s="141">
        <v>0</v>
      </c>
    </row>
    <row r="2135" spans="1:10" ht="15.75" hidden="1" thickBot="1" x14ac:dyDescent="0.3">
      <c r="A2135" s="226"/>
      <c r="B2135" s="244"/>
      <c r="C2135" s="28"/>
      <c r="D2135" s="28"/>
      <c r="E2135" s="29"/>
      <c r="F2135" s="39" t="s">
        <v>523</v>
      </c>
      <c r="G2135" s="27" t="str">
        <f t="shared" si="34"/>
        <v/>
      </c>
      <c r="H2135" s="31"/>
      <c r="I2135" s="27"/>
      <c r="J2135" s="141">
        <v>0</v>
      </c>
    </row>
    <row r="2136" spans="1:10" ht="15.75" hidden="1" thickBot="1" x14ac:dyDescent="0.3">
      <c r="A2136" s="226"/>
      <c r="B2136" s="244"/>
      <c r="C2136" s="32" t="s">
        <v>39</v>
      </c>
      <c r="D2136" s="43" t="s">
        <v>12</v>
      </c>
      <c r="E2136" s="33">
        <v>0.29699999999999999</v>
      </c>
      <c r="F2136" s="27">
        <v>24.300999999999998</v>
      </c>
      <c r="G2136" s="30">
        <f t="shared" si="34"/>
        <v>7.2173969999999992</v>
      </c>
      <c r="H2136" s="35">
        <f>SUM(G2136:G2138)</f>
        <v>69.110979999999984</v>
      </c>
      <c r="I2136" s="36"/>
      <c r="J2136" s="141">
        <v>0</v>
      </c>
    </row>
    <row r="2137" spans="1:10" ht="26.25" hidden="1" thickBot="1" x14ac:dyDescent="0.3">
      <c r="A2137" s="226"/>
      <c r="B2137" s="244"/>
      <c r="C2137" s="32" t="s">
        <v>107</v>
      </c>
      <c r="D2137" s="43" t="s">
        <v>12</v>
      </c>
      <c r="E2137" s="33">
        <v>0.29699999999999999</v>
      </c>
      <c r="F2137" s="27">
        <v>19.094999999999999</v>
      </c>
      <c r="G2137" s="30">
        <f t="shared" si="34"/>
        <v>5.6712149999999992</v>
      </c>
      <c r="H2137" s="31"/>
      <c r="I2137" s="27"/>
      <c r="J2137" s="141">
        <v>0</v>
      </c>
    </row>
    <row r="2138" spans="1:10" ht="26.25" hidden="1" thickBot="1" x14ac:dyDescent="0.3">
      <c r="A2138" s="226"/>
      <c r="B2138" s="244"/>
      <c r="C2138" s="32" t="s">
        <v>3525</v>
      </c>
      <c r="D2138" s="43" t="s">
        <v>93</v>
      </c>
      <c r="E2138" s="33">
        <v>1.0389999999999999</v>
      </c>
      <c r="F2138" s="27">
        <v>54.111999999999995</v>
      </c>
      <c r="G2138" s="30">
        <f t="shared" si="34"/>
        <v>56.222367999999989</v>
      </c>
      <c r="H2138" s="31"/>
      <c r="I2138" s="27"/>
      <c r="J2138" s="141">
        <v>0</v>
      </c>
    </row>
    <row r="2139" spans="1:10" ht="15.75" hidden="1" thickBot="1" x14ac:dyDescent="0.3">
      <c r="A2139" s="227"/>
      <c r="B2139" s="230"/>
      <c r="C2139" s="32"/>
      <c r="D2139" s="32"/>
      <c r="E2139" s="33"/>
      <c r="F2139" s="27" t="s">
        <v>523</v>
      </c>
      <c r="G2139" s="27" t="str">
        <f t="shared" si="34"/>
        <v/>
      </c>
      <c r="H2139" s="31"/>
      <c r="I2139" s="27"/>
      <c r="J2139" s="141">
        <v>0</v>
      </c>
    </row>
    <row r="2140" spans="1:10" ht="15.75" hidden="1" thickBot="1" x14ac:dyDescent="0.3">
      <c r="A2140" s="225" t="s">
        <v>671</v>
      </c>
      <c r="B2140" s="228" t="str">
        <f>INDEX(Orçamentária!A:B,MATCH(Composições!A2140,Orçamentária!A:A,0),2)</f>
        <v>Tubo de aço-carbono galvanizado 3/4"</v>
      </c>
      <c r="C2140" s="37"/>
      <c r="D2140" s="22" t="str">
        <f>TRIM(INDEX(Orçamentária!C:C,MATCH(Composições!A2140,Orçamentária!A:A,0),1))</f>
        <v>m</v>
      </c>
      <c r="E2140" s="23"/>
      <c r="F2140" s="38" t="s">
        <v>523</v>
      </c>
      <c r="G2140" s="24" t="str">
        <f t="shared" si="34"/>
        <v/>
      </c>
      <c r="H2140" s="25"/>
      <c r="I2140" s="26"/>
      <c r="J2140" s="141">
        <v>0</v>
      </c>
    </row>
    <row r="2141" spans="1:10" ht="15.75" hidden="1" thickBot="1" x14ac:dyDescent="0.3">
      <c r="A2141" s="226"/>
      <c r="B2141" s="244"/>
      <c r="C2141" s="28"/>
      <c r="D2141" s="28"/>
      <c r="E2141" s="29"/>
      <c r="F2141" s="39" t="s">
        <v>523</v>
      </c>
      <c r="G2141" s="27" t="str">
        <f t="shared" si="34"/>
        <v/>
      </c>
      <c r="H2141" s="31"/>
      <c r="I2141" s="27"/>
      <c r="J2141" s="141">
        <v>0</v>
      </c>
    </row>
    <row r="2142" spans="1:10" ht="15.75" hidden="1" thickBot="1" x14ac:dyDescent="0.3">
      <c r="A2142" s="226"/>
      <c r="B2142" s="244"/>
      <c r="C2142" s="32" t="s">
        <v>39</v>
      </c>
      <c r="D2142" s="43" t="s">
        <v>12</v>
      </c>
      <c r="E2142" s="33">
        <v>0.29699999999999999</v>
      </c>
      <c r="F2142" s="27">
        <v>24.300999999999998</v>
      </c>
      <c r="G2142" s="27">
        <f t="shared" si="34"/>
        <v>7.2173969999999992</v>
      </c>
      <c r="H2142" s="35">
        <f>SUM(G2142:G2144)</f>
        <v>62.843212499999993</v>
      </c>
      <c r="I2142" s="36"/>
      <c r="J2142" s="141">
        <v>0</v>
      </c>
    </row>
    <row r="2143" spans="1:10" ht="26.25" hidden="1" thickBot="1" x14ac:dyDescent="0.3">
      <c r="A2143" s="226"/>
      <c r="B2143" s="244"/>
      <c r="C2143" s="32" t="s">
        <v>107</v>
      </c>
      <c r="D2143" s="43" t="s">
        <v>12</v>
      </c>
      <c r="E2143" s="33">
        <v>0.29699999999999999</v>
      </c>
      <c r="F2143" s="27">
        <v>19.094999999999999</v>
      </c>
      <c r="G2143" s="27">
        <f t="shared" si="34"/>
        <v>5.6712149999999992</v>
      </c>
      <c r="H2143" s="31"/>
      <c r="I2143" s="27"/>
      <c r="J2143" s="141">
        <v>0</v>
      </c>
    </row>
    <row r="2144" spans="1:10" ht="26.25" hidden="1" thickBot="1" x14ac:dyDescent="0.3">
      <c r="A2144" s="226"/>
      <c r="B2144" s="244"/>
      <c r="C2144" s="32" t="s">
        <v>672</v>
      </c>
      <c r="D2144" s="43" t="s">
        <v>93</v>
      </c>
      <c r="E2144" s="33">
        <v>1.0389999999999999</v>
      </c>
      <c r="F2144" s="30">
        <v>48.079499999999996</v>
      </c>
      <c r="G2144" s="27">
        <f t="shared" si="34"/>
        <v>49.954600499999991</v>
      </c>
      <c r="H2144" s="31"/>
      <c r="I2144" s="27"/>
      <c r="J2144" s="141">
        <v>0</v>
      </c>
    </row>
    <row r="2145" spans="1:10" ht="15.75" hidden="1" thickBot="1" x14ac:dyDescent="0.3">
      <c r="A2145" s="227"/>
      <c r="B2145" s="230"/>
      <c r="C2145" s="32"/>
      <c r="D2145" s="32"/>
      <c r="E2145" s="33"/>
      <c r="F2145" s="27" t="s">
        <v>523</v>
      </c>
      <c r="G2145" s="27" t="str">
        <f t="shared" si="34"/>
        <v/>
      </c>
      <c r="H2145" s="31"/>
      <c r="I2145" s="27"/>
      <c r="J2145" s="141">
        <v>0</v>
      </c>
    </row>
    <row r="2146" spans="1:10" ht="15.75" thickBot="1" x14ac:dyDescent="0.3">
      <c r="A2146" s="225" t="s">
        <v>673</v>
      </c>
      <c r="B2146" s="228" t="str">
        <f>INDEX(Orçamentária!A:B,MATCH(Composições!A2146,Orçamentária!A:A,0),2)</f>
        <v>Tubo de cobre de 1/2"</v>
      </c>
      <c r="C2146" s="37"/>
      <c r="D2146" s="22" t="str">
        <f>TRIM(INDEX(Orçamentária!C:C,MATCH(Composições!A2146,Orçamentária!A:A,0),1))</f>
        <v>m</v>
      </c>
      <c r="E2146" s="23"/>
      <c r="F2146" s="38" t="s">
        <v>523</v>
      </c>
      <c r="G2146" s="24" t="str">
        <f t="shared" si="34"/>
        <v/>
      </c>
      <c r="H2146" s="25"/>
      <c r="I2146" s="26"/>
      <c r="J2146" s="141">
        <v>115</v>
      </c>
    </row>
    <row r="2147" spans="1:10" x14ac:dyDescent="0.25">
      <c r="A2147" s="226"/>
      <c r="B2147" s="244"/>
      <c r="C2147" s="28"/>
      <c r="D2147" s="28"/>
      <c r="E2147" s="29"/>
      <c r="F2147" s="39" t="s">
        <v>523</v>
      </c>
      <c r="G2147" s="27" t="str">
        <f t="shared" si="34"/>
        <v/>
      </c>
      <c r="H2147" s="31"/>
      <c r="I2147" s="27"/>
      <c r="J2147" s="141">
        <v>115</v>
      </c>
    </row>
    <row r="2148" spans="1:10" ht="25.5" x14ac:dyDescent="0.25">
      <c r="A2148" s="226"/>
      <c r="B2148" s="244"/>
      <c r="C2148" s="32" t="s">
        <v>674</v>
      </c>
      <c r="D2148" s="43" t="s">
        <v>93</v>
      </c>
      <c r="E2148" s="33">
        <v>1.0210999999999999</v>
      </c>
      <c r="F2148" s="30">
        <v>41.182499999999997</v>
      </c>
      <c r="G2148" s="30">
        <f t="shared" si="34"/>
        <v>42.051450749999994</v>
      </c>
      <c r="H2148" s="35">
        <f>SUM(G2148:G2150)</f>
        <v>43.904459949999996</v>
      </c>
      <c r="I2148" s="36"/>
      <c r="J2148" s="141">
        <v>115</v>
      </c>
    </row>
    <row r="2149" spans="1:10" ht="25.5" x14ac:dyDescent="0.25">
      <c r="A2149" s="226"/>
      <c r="B2149" s="244"/>
      <c r="C2149" s="32" t="s">
        <v>107</v>
      </c>
      <c r="D2149" s="43" t="s">
        <v>12</v>
      </c>
      <c r="E2149" s="33">
        <f>0.061*0.7</f>
        <v>4.2699999999999995E-2</v>
      </c>
      <c r="F2149" s="27">
        <v>19.094999999999999</v>
      </c>
      <c r="G2149" s="30">
        <f t="shared" si="34"/>
        <v>0.81535649999999982</v>
      </c>
      <c r="H2149" s="31"/>
      <c r="I2149" s="27"/>
      <c r="J2149" s="141">
        <v>115</v>
      </c>
    </row>
    <row r="2150" spans="1:10" x14ac:dyDescent="0.25">
      <c r="A2150" s="226"/>
      <c r="B2150" s="244"/>
      <c r="C2150" s="32" t="s">
        <v>39</v>
      </c>
      <c r="D2150" s="43" t="s">
        <v>12</v>
      </c>
      <c r="E2150" s="33">
        <f>0.061*0.7</f>
        <v>4.2699999999999995E-2</v>
      </c>
      <c r="F2150" s="27">
        <v>24.300999999999998</v>
      </c>
      <c r="G2150" s="30">
        <f t="shared" si="34"/>
        <v>1.0376526999999998</v>
      </c>
      <c r="H2150" s="31"/>
      <c r="I2150" s="27"/>
      <c r="J2150" s="141">
        <v>115</v>
      </c>
    </row>
    <row r="2151" spans="1:10" x14ac:dyDescent="0.25">
      <c r="A2151" s="226"/>
      <c r="B2151" s="244"/>
      <c r="C2151" s="32"/>
      <c r="D2151" s="43"/>
      <c r="E2151" s="33"/>
      <c r="F2151" s="27" t="s">
        <v>523</v>
      </c>
      <c r="G2151" s="30" t="str">
        <f t="shared" si="34"/>
        <v/>
      </c>
      <c r="H2151" s="31"/>
      <c r="I2151" s="27"/>
      <c r="J2151" s="141">
        <v>115</v>
      </c>
    </row>
    <row r="2152" spans="1:10" ht="38.25" x14ac:dyDescent="0.25">
      <c r="A2152" s="226"/>
      <c r="B2152" s="244"/>
      <c r="C2152" s="48" t="s">
        <v>644</v>
      </c>
      <c r="D2152" s="43"/>
      <c r="E2152" s="33"/>
      <c r="F2152" s="27" t="s">
        <v>523</v>
      </c>
      <c r="G2152" s="30" t="str">
        <f t="shared" si="34"/>
        <v/>
      </c>
      <c r="H2152" s="31"/>
      <c r="I2152" s="27"/>
      <c r="J2152" s="141">
        <v>115</v>
      </c>
    </row>
    <row r="2153" spans="1:10" ht="15.75" thickBot="1" x14ac:dyDescent="0.3">
      <c r="A2153" s="227"/>
      <c r="B2153" s="230"/>
      <c r="C2153" s="32"/>
      <c r="D2153" s="32"/>
      <c r="E2153" s="33"/>
      <c r="F2153" s="27" t="s">
        <v>523</v>
      </c>
      <c r="G2153" s="27" t="str">
        <f t="shared" si="34"/>
        <v/>
      </c>
      <c r="H2153" s="31"/>
      <c r="I2153" s="27"/>
      <c r="J2153" s="141">
        <v>115</v>
      </c>
    </row>
    <row r="2154" spans="1:10" ht="15.75" thickBot="1" x14ac:dyDescent="0.3">
      <c r="A2154" s="225" t="s">
        <v>675</v>
      </c>
      <c r="B2154" s="228" t="str">
        <f>INDEX(Orçamentária!A:B,MATCH(Composições!A2154,Orçamentária!A:A,0),2)</f>
        <v>Tubo de cobre de 1/4"</v>
      </c>
      <c r="C2154" s="37"/>
      <c r="D2154" s="22" t="str">
        <f>TRIM(INDEX(Orçamentária!C:C,MATCH(Composições!A2154,Orçamentária!A:A,0),1))</f>
        <v>m</v>
      </c>
      <c r="E2154" s="23"/>
      <c r="F2154" s="38" t="s">
        <v>523</v>
      </c>
      <c r="G2154" s="24" t="str">
        <f t="shared" si="34"/>
        <v/>
      </c>
      <c r="H2154" s="25"/>
      <c r="I2154" s="26"/>
      <c r="J2154" s="141">
        <v>115</v>
      </c>
    </row>
    <row r="2155" spans="1:10" x14ac:dyDescent="0.25">
      <c r="A2155" s="226"/>
      <c r="B2155" s="244"/>
      <c r="C2155" s="28"/>
      <c r="D2155" s="28"/>
      <c r="E2155" s="29"/>
      <c r="F2155" s="39" t="s">
        <v>523</v>
      </c>
      <c r="G2155" s="27" t="str">
        <f t="shared" si="34"/>
        <v/>
      </c>
      <c r="H2155" s="31"/>
      <c r="I2155" s="27"/>
      <c r="J2155" s="141">
        <v>115</v>
      </c>
    </row>
    <row r="2156" spans="1:10" ht="25.5" x14ac:dyDescent="0.25">
      <c r="A2156" s="226"/>
      <c r="B2156" s="244"/>
      <c r="C2156" s="32" t="s">
        <v>676</v>
      </c>
      <c r="D2156" s="43" t="s">
        <v>93</v>
      </c>
      <c r="E2156" s="33">
        <v>1.0210999999999999</v>
      </c>
      <c r="F2156" s="30">
        <v>19.731499999999997</v>
      </c>
      <c r="G2156" s="30">
        <f t="shared" si="34"/>
        <v>20.147834649999997</v>
      </c>
      <c r="H2156" s="35">
        <f>SUM(G2156:G2158)</f>
        <v>21.727449049999997</v>
      </c>
      <c r="I2156" s="36"/>
      <c r="J2156" s="141">
        <v>115</v>
      </c>
    </row>
    <row r="2157" spans="1:10" ht="25.5" x14ac:dyDescent="0.25">
      <c r="A2157" s="226"/>
      <c r="B2157" s="244"/>
      <c r="C2157" s="32" t="s">
        <v>107</v>
      </c>
      <c r="D2157" s="43" t="s">
        <v>12</v>
      </c>
      <c r="E2157" s="33">
        <f>0.052*0.7</f>
        <v>3.6399999999999995E-2</v>
      </c>
      <c r="F2157" s="27">
        <v>19.094999999999999</v>
      </c>
      <c r="G2157" s="30">
        <f t="shared" si="34"/>
        <v>0.69505799999999984</v>
      </c>
      <c r="H2157" s="31"/>
      <c r="I2157" s="27"/>
      <c r="J2157" s="141">
        <v>115</v>
      </c>
    </row>
    <row r="2158" spans="1:10" x14ac:dyDescent="0.25">
      <c r="A2158" s="226"/>
      <c r="B2158" s="244"/>
      <c r="C2158" s="32" t="s">
        <v>39</v>
      </c>
      <c r="D2158" s="43" t="s">
        <v>12</v>
      </c>
      <c r="E2158" s="33">
        <f>0.052*0.7</f>
        <v>3.6399999999999995E-2</v>
      </c>
      <c r="F2158" s="27">
        <v>24.300999999999998</v>
      </c>
      <c r="G2158" s="30">
        <f t="shared" si="34"/>
        <v>0.8845563999999998</v>
      </c>
      <c r="H2158" s="31"/>
      <c r="I2158" s="27"/>
      <c r="J2158" s="141">
        <v>115</v>
      </c>
    </row>
    <row r="2159" spans="1:10" x14ac:dyDescent="0.25">
      <c r="A2159" s="226"/>
      <c r="B2159" s="244"/>
      <c r="C2159" s="32"/>
      <c r="D2159" s="43"/>
      <c r="E2159" s="33"/>
      <c r="F2159" s="30" t="s">
        <v>523</v>
      </c>
      <c r="G2159" s="30" t="str">
        <f t="shared" si="34"/>
        <v/>
      </c>
      <c r="H2159" s="31"/>
      <c r="I2159" s="27"/>
      <c r="J2159" s="141">
        <v>115</v>
      </c>
    </row>
    <row r="2160" spans="1:10" ht="38.25" x14ac:dyDescent="0.25">
      <c r="A2160" s="226"/>
      <c r="B2160" s="244"/>
      <c r="C2160" s="48" t="s">
        <v>644</v>
      </c>
      <c r="D2160" s="43"/>
      <c r="E2160" s="33"/>
      <c r="F2160" s="30" t="s">
        <v>523</v>
      </c>
      <c r="G2160" s="30" t="str">
        <f t="shared" si="34"/>
        <v/>
      </c>
      <c r="H2160" s="31"/>
      <c r="I2160" s="27"/>
      <c r="J2160" s="141">
        <v>115</v>
      </c>
    </row>
    <row r="2161" spans="1:10" ht="15.75" thickBot="1" x14ac:dyDescent="0.3">
      <c r="A2161" s="227"/>
      <c r="B2161" s="230"/>
      <c r="C2161" s="32"/>
      <c r="D2161" s="32"/>
      <c r="E2161" s="33"/>
      <c r="F2161" s="27" t="s">
        <v>523</v>
      </c>
      <c r="G2161" s="27" t="str">
        <f t="shared" si="34"/>
        <v/>
      </c>
      <c r="H2161" s="31"/>
      <c r="I2161" s="27"/>
      <c r="J2161" s="141">
        <v>115</v>
      </c>
    </row>
    <row r="2162" spans="1:10" ht="15.75" hidden="1" thickBot="1" x14ac:dyDescent="0.3">
      <c r="A2162" s="225" t="s">
        <v>677</v>
      </c>
      <c r="B2162" s="228" t="str">
        <f>INDEX(Orçamentária!A:B,MATCH(Composições!A2162,Orçamentária!A:A,0),2)</f>
        <v>Tubo de cobre de 3/4"</v>
      </c>
      <c r="C2162" s="37"/>
      <c r="D2162" s="22" t="str">
        <f>TRIM(INDEX(Orçamentária!C:C,MATCH(Composições!A2162,Orçamentária!A:A,0),1))</f>
        <v>m</v>
      </c>
      <c r="E2162" s="23"/>
      <c r="F2162" s="38" t="s">
        <v>523</v>
      </c>
      <c r="G2162" s="24" t="str">
        <f t="shared" si="34"/>
        <v/>
      </c>
      <c r="H2162" s="25"/>
      <c r="I2162" s="26"/>
      <c r="J2162" s="141">
        <v>0</v>
      </c>
    </row>
    <row r="2163" spans="1:10" ht="15.75" hidden="1" thickBot="1" x14ac:dyDescent="0.3">
      <c r="A2163" s="226"/>
      <c r="B2163" s="244"/>
      <c r="C2163" s="28"/>
      <c r="D2163" s="28"/>
      <c r="E2163" s="29"/>
      <c r="F2163" s="39" t="s">
        <v>523</v>
      </c>
      <c r="G2163" s="27" t="str">
        <f t="shared" si="34"/>
        <v/>
      </c>
      <c r="H2163" s="31"/>
      <c r="I2163" s="27"/>
      <c r="J2163" s="141">
        <v>0</v>
      </c>
    </row>
    <row r="2164" spans="1:10" ht="26.25" hidden="1" thickBot="1" x14ac:dyDescent="0.3">
      <c r="A2164" s="226"/>
      <c r="B2164" s="244"/>
      <c r="C2164" s="32" t="s">
        <v>678</v>
      </c>
      <c r="D2164" s="43" t="s">
        <v>93</v>
      </c>
      <c r="E2164" s="33">
        <v>1.0210999999999999</v>
      </c>
      <c r="F2164" s="30">
        <v>61.949499999999993</v>
      </c>
      <c r="G2164" s="30">
        <f t="shared" si="34"/>
        <v>63.256634449999986</v>
      </c>
      <c r="H2164" s="35">
        <f>SUM(G2164:G2166)</f>
        <v>65.200775249999978</v>
      </c>
      <c r="I2164" s="36"/>
      <c r="J2164" s="141">
        <v>0</v>
      </c>
    </row>
    <row r="2165" spans="1:10" ht="26.25" hidden="1" thickBot="1" x14ac:dyDescent="0.3">
      <c r="A2165" s="226"/>
      <c r="B2165" s="244"/>
      <c r="C2165" s="32" t="s">
        <v>107</v>
      </c>
      <c r="D2165" s="43" t="s">
        <v>12</v>
      </c>
      <c r="E2165" s="33">
        <f>0.064*0.7</f>
        <v>4.48E-2</v>
      </c>
      <c r="F2165" s="27">
        <v>19.094999999999999</v>
      </c>
      <c r="G2165" s="30">
        <f t="shared" si="34"/>
        <v>0.85545599999999999</v>
      </c>
      <c r="H2165" s="31"/>
      <c r="I2165" s="27"/>
      <c r="J2165" s="141">
        <v>0</v>
      </c>
    </row>
    <row r="2166" spans="1:10" ht="15.75" hidden="1" thickBot="1" x14ac:dyDescent="0.3">
      <c r="A2166" s="226"/>
      <c r="B2166" s="244"/>
      <c r="C2166" s="32" t="s">
        <v>39</v>
      </c>
      <c r="D2166" s="43" t="s">
        <v>12</v>
      </c>
      <c r="E2166" s="33">
        <f>0.064*0.7</f>
        <v>4.48E-2</v>
      </c>
      <c r="F2166" s="27">
        <v>24.300999999999998</v>
      </c>
      <c r="G2166" s="30">
        <f t="shared" si="34"/>
        <v>1.0886848</v>
      </c>
      <c r="H2166" s="31"/>
      <c r="I2166" s="27"/>
      <c r="J2166" s="141">
        <v>0</v>
      </c>
    </row>
    <row r="2167" spans="1:10" ht="15.75" hidden="1" thickBot="1" x14ac:dyDescent="0.3">
      <c r="A2167" s="226"/>
      <c r="B2167" s="244"/>
      <c r="C2167" s="32"/>
      <c r="D2167" s="43"/>
      <c r="E2167" s="33"/>
      <c r="F2167" s="30" t="s">
        <v>523</v>
      </c>
      <c r="G2167" s="30" t="str">
        <f t="shared" si="34"/>
        <v/>
      </c>
      <c r="H2167" s="31"/>
      <c r="I2167" s="27"/>
      <c r="J2167" s="141">
        <v>0</v>
      </c>
    </row>
    <row r="2168" spans="1:10" ht="39" hidden="1" thickBot="1" x14ac:dyDescent="0.3">
      <c r="A2168" s="226"/>
      <c r="B2168" s="244"/>
      <c r="C2168" s="48" t="s">
        <v>644</v>
      </c>
      <c r="D2168" s="43"/>
      <c r="E2168" s="33"/>
      <c r="F2168" s="30" t="s">
        <v>523</v>
      </c>
      <c r="G2168" s="30" t="str">
        <f t="shared" si="34"/>
        <v/>
      </c>
      <c r="H2168" s="31"/>
      <c r="I2168" s="27"/>
      <c r="J2168" s="141">
        <v>0</v>
      </c>
    </row>
    <row r="2169" spans="1:10" ht="15.75" hidden="1" thickBot="1" x14ac:dyDescent="0.3">
      <c r="A2169" s="227"/>
      <c r="B2169" s="230"/>
      <c r="C2169" s="32"/>
      <c r="D2169" s="32"/>
      <c r="E2169" s="33"/>
      <c r="F2169" s="27" t="s">
        <v>523</v>
      </c>
      <c r="G2169" s="27" t="str">
        <f t="shared" si="34"/>
        <v/>
      </c>
      <c r="H2169" s="31"/>
      <c r="I2169" s="27"/>
      <c r="J2169" s="141">
        <v>0</v>
      </c>
    </row>
    <row r="2170" spans="1:10" ht="15.75" thickBot="1" x14ac:dyDescent="0.3">
      <c r="A2170" s="225" t="s">
        <v>679</v>
      </c>
      <c r="B2170" s="228" t="str">
        <f>INDEX(Orçamentária!A:B,MATCH(Composições!A2170,Orçamentária!A:A,0),2)</f>
        <v>Tubo de cobre de 3/8"</v>
      </c>
      <c r="C2170" s="37"/>
      <c r="D2170" s="22" t="str">
        <f>TRIM(INDEX(Orçamentária!C:C,MATCH(Composições!A2170,Orçamentária!A:A,0),1))</f>
        <v>m</v>
      </c>
      <c r="E2170" s="23"/>
      <c r="F2170" s="38" t="s">
        <v>523</v>
      </c>
      <c r="G2170" s="24" t="str">
        <f t="shared" si="34"/>
        <v/>
      </c>
      <c r="H2170" s="25"/>
      <c r="I2170" s="26"/>
      <c r="J2170" s="141">
        <v>115</v>
      </c>
    </row>
    <row r="2171" spans="1:10" x14ac:dyDescent="0.25">
      <c r="A2171" s="226"/>
      <c r="B2171" s="244"/>
      <c r="C2171" s="28"/>
      <c r="D2171" s="28"/>
      <c r="E2171" s="29"/>
      <c r="F2171" s="39" t="s">
        <v>523</v>
      </c>
      <c r="G2171" s="27" t="str">
        <f t="shared" si="34"/>
        <v/>
      </c>
      <c r="H2171" s="31"/>
      <c r="I2171" s="27"/>
      <c r="J2171" s="141">
        <v>115</v>
      </c>
    </row>
    <row r="2172" spans="1:10" ht="25.5" x14ac:dyDescent="0.25">
      <c r="A2172" s="226"/>
      <c r="B2172" s="244"/>
      <c r="C2172" s="32" t="s">
        <v>680</v>
      </c>
      <c r="D2172" s="43" t="s">
        <v>93</v>
      </c>
      <c r="E2172" s="33">
        <v>1.0210999999999999</v>
      </c>
      <c r="F2172" s="30">
        <v>30.361999999999998</v>
      </c>
      <c r="G2172" s="30">
        <f t="shared" si="34"/>
        <v>31.002638199999996</v>
      </c>
      <c r="H2172" s="35">
        <f>SUM(G2172:G2174)</f>
        <v>32.734138599999994</v>
      </c>
      <c r="I2172" s="36"/>
      <c r="J2172" s="141">
        <v>115</v>
      </c>
    </row>
    <row r="2173" spans="1:10" ht="25.5" x14ac:dyDescent="0.25">
      <c r="A2173" s="226"/>
      <c r="B2173" s="244"/>
      <c r="C2173" s="32" t="s">
        <v>107</v>
      </c>
      <c r="D2173" s="43" t="s">
        <v>12</v>
      </c>
      <c r="E2173" s="33">
        <f>0.057*0.7</f>
        <v>3.9899999999999998E-2</v>
      </c>
      <c r="F2173" s="27">
        <v>19.094999999999999</v>
      </c>
      <c r="G2173" s="30">
        <f t="shared" si="34"/>
        <v>0.76189049999999992</v>
      </c>
      <c r="H2173" s="31"/>
      <c r="I2173" s="27"/>
      <c r="J2173" s="141">
        <v>115</v>
      </c>
    </row>
    <row r="2174" spans="1:10" x14ac:dyDescent="0.25">
      <c r="A2174" s="226"/>
      <c r="B2174" s="244"/>
      <c r="C2174" s="32" t="s">
        <v>39</v>
      </c>
      <c r="D2174" s="43" t="s">
        <v>12</v>
      </c>
      <c r="E2174" s="33">
        <f>0.057*0.7</f>
        <v>3.9899999999999998E-2</v>
      </c>
      <c r="F2174" s="27">
        <v>24.300999999999998</v>
      </c>
      <c r="G2174" s="30">
        <f t="shared" si="34"/>
        <v>0.96960989999999991</v>
      </c>
      <c r="H2174" s="31"/>
      <c r="I2174" s="27"/>
      <c r="J2174" s="141">
        <v>115</v>
      </c>
    </row>
    <row r="2175" spans="1:10" x14ac:dyDescent="0.25">
      <c r="A2175" s="226"/>
      <c r="B2175" s="244"/>
      <c r="C2175" s="32"/>
      <c r="D2175" s="43"/>
      <c r="E2175" s="33"/>
      <c r="F2175" s="30" t="s">
        <v>523</v>
      </c>
      <c r="G2175" s="30" t="str">
        <f t="shared" si="34"/>
        <v/>
      </c>
      <c r="H2175" s="31"/>
      <c r="I2175" s="27"/>
      <c r="J2175" s="141">
        <v>115</v>
      </c>
    </row>
    <row r="2176" spans="1:10" ht="38.25" x14ac:dyDescent="0.25">
      <c r="A2176" s="226"/>
      <c r="B2176" s="244"/>
      <c r="C2176" s="48" t="s">
        <v>644</v>
      </c>
      <c r="D2176" s="43"/>
      <c r="E2176" s="33"/>
      <c r="F2176" s="30" t="s">
        <v>523</v>
      </c>
      <c r="G2176" s="30" t="str">
        <f t="shared" si="34"/>
        <v/>
      </c>
      <c r="H2176" s="31"/>
      <c r="I2176" s="27"/>
      <c r="J2176" s="141">
        <v>115</v>
      </c>
    </row>
    <row r="2177" spans="1:10" ht="15.75" thickBot="1" x14ac:dyDescent="0.3">
      <c r="A2177" s="227"/>
      <c r="B2177" s="230"/>
      <c r="C2177" s="32"/>
      <c r="D2177" s="32"/>
      <c r="E2177" s="33"/>
      <c r="F2177" s="27" t="s">
        <v>523</v>
      </c>
      <c r="G2177" s="27" t="str">
        <f t="shared" si="34"/>
        <v/>
      </c>
      <c r="H2177" s="31"/>
      <c r="I2177" s="27"/>
      <c r="J2177" s="141">
        <v>115</v>
      </c>
    </row>
    <row r="2178" spans="1:10" ht="15.75" thickBot="1" x14ac:dyDescent="0.3">
      <c r="A2178" s="225" t="s">
        <v>681</v>
      </c>
      <c r="B2178" s="228" t="str">
        <f>INDEX(Orçamentária!A:B,MATCH(Composições!A2178,Orçamentária!A:A,0),2)</f>
        <v>Tubo de cobre de 5/8"</v>
      </c>
      <c r="C2178" s="37"/>
      <c r="D2178" s="22" t="str">
        <f>TRIM(INDEX(Orçamentária!C:C,MATCH(Composições!A2178,Orçamentária!A:A,0),1))</f>
        <v>m</v>
      </c>
      <c r="E2178" s="23"/>
      <c r="F2178" s="38" t="s">
        <v>523</v>
      </c>
      <c r="G2178" s="24" t="str">
        <f t="shared" si="34"/>
        <v/>
      </c>
      <c r="H2178" s="25"/>
      <c r="I2178" s="26"/>
      <c r="J2178" s="141">
        <v>115</v>
      </c>
    </row>
    <row r="2179" spans="1:10" x14ac:dyDescent="0.25">
      <c r="A2179" s="226"/>
      <c r="B2179" s="244"/>
      <c r="C2179" s="28"/>
      <c r="D2179" s="28"/>
      <c r="E2179" s="29"/>
      <c r="F2179" s="39" t="s">
        <v>523</v>
      </c>
      <c r="G2179" s="27" t="str">
        <f t="shared" si="34"/>
        <v/>
      </c>
      <c r="H2179" s="31"/>
      <c r="I2179" s="27"/>
      <c r="J2179" s="141">
        <v>115</v>
      </c>
    </row>
    <row r="2180" spans="1:10" ht="25.5" x14ac:dyDescent="0.25">
      <c r="A2180" s="226"/>
      <c r="B2180" s="244"/>
      <c r="C2180" s="32" t="s">
        <v>682</v>
      </c>
      <c r="D2180" s="43" t="s">
        <v>93</v>
      </c>
      <c r="E2180" s="33">
        <v>1.0210999999999999</v>
      </c>
      <c r="F2180" s="30">
        <v>51.223999999999997</v>
      </c>
      <c r="G2180" s="30">
        <f t="shared" si="34"/>
        <v>52.304826399999989</v>
      </c>
      <c r="H2180" s="35">
        <f>SUM(G2180:G2182)</f>
        <v>54.248967199999989</v>
      </c>
      <c r="I2180" s="36"/>
      <c r="J2180" s="141">
        <v>115</v>
      </c>
    </row>
    <row r="2181" spans="1:10" ht="25.5" x14ac:dyDescent="0.25">
      <c r="A2181" s="226"/>
      <c r="B2181" s="244"/>
      <c r="C2181" s="32" t="s">
        <v>107</v>
      </c>
      <c r="D2181" s="43" t="s">
        <v>12</v>
      </c>
      <c r="E2181" s="33">
        <f>0.064*0.7</f>
        <v>4.48E-2</v>
      </c>
      <c r="F2181" s="27">
        <v>19.094999999999999</v>
      </c>
      <c r="G2181" s="30">
        <f t="shared" si="34"/>
        <v>0.85545599999999999</v>
      </c>
      <c r="H2181" s="31"/>
      <c r="I2181" s="27"/>
      <c r="J2181" s="141">
        <v>115</v>
      </c>
    </row>
    <row r="2182" spans="1:10" x14ac:dyDescent="0.25">
      <c r="A2182" s="226"/>
      <c r="B2182" s="244"/>
      <c r="C2182" s="32" t="s">
        <v>39</v>
      </c>
      <c r="D2182" s="43" t="s">
        <v>12</v>
      </c>
      <c r="E2182" s="33">
        <f>0.064*0.7</f>
        <v>4.48E-2</v>
      </c>
      <c r="F2182" s="27">
        <v>24.300999999999998</v>
      </c>
      <c r="G2182" s="30">
        <f t="shared" si="34"/>
        <v>1.0886848</v>
      </c>
      <c r="H2182" s="31"/>
      <c r="I2182" s="27"/>
      <c r="J2182" s="141">
        <v>115</v>
      </c>
    </row>
    <row r="2183" spans="1:10" x14ac:dyDescent="0.25">
      <c r="A2183" s="226"/>
      <c r="B2183" s="244"/>
      <c r="C2183" s="32"/>
      <c r="D2183" s="43"/>
      <c r="E2183" s="33"/>
      <c r="F2183" s="30" t="s">
        <v>523</v>
      </c>
      <c r="G2183" s="30" t="str">
        <f t="shared" si="34"/>
        <v/>
      </c>
      <c r="H2183" s="31"/>
      <c r="I2183" s="27"/>
      <c r="J2183" s="141">
        <v>115</v>
      </c>
    </row>
    <row r="2184" spans="1:10" ht="38.25" x14ac:dyDescent="0.25">
      <c r="A2184" s="226"/>
      <c r="B2184" s="244"/>
      <c r="C2184" s="48" t="s">
        <v>644</v>
      </c>
      <c r="D2184" s="43"/>
      <c r="E2184" s="33"/>
      <c r="F2184" s="30" t="s">
        <v>523</v>
      </c>
      <c r="G2184" s="30" t="str">
        <f t="shared" si="34"/>
        <v/>
      </c>
      <c r="H2184" s="31"/>
      <c r="I2184" s="27"/>
      <c r="J2184" s="141">
        <v>115</v>
      </c>
    </row>
    <row r="2185" spans="1:10" ht="15.75" thickBot="1" x14ac:dyDescent="0.3">
      <c r="A2185" s="227"/>
      <c r="B2185" s="230"/>
      <c r="C2185" s="32"/>
      <c r="D2185" s="32"/>
      <c r="E2185" s="33"/>
      <c r="F2185" s="27" t="s">
        <v>523</v>
      </c>
      <c r="G2185" s="27" t="str">
        <f t="shared" si="34"/>
        <v/>
      </c>
      <c r="H2185" s="31"/>
      <c r="I2185" s="27"/>
      <c r="J2185" s="141">
        <v>115</v>
      </c>
    </row>
    <row r="2186" spans="1:10" ht="15.75" hidden="1" thickBot="1" x14ac:dyDescent="0.3">
      <c r="A2186" s="225" t="s">
        <v>683</v>
      </c>
      <c r="B2186" s="228" t="str">
        <f>INDEX(Orçamentária!A:B,MATCH(Composições!A2186,Orçamentária!A:A,0),2)</f>
        <v>Tubo de cobre de 7/8"</v>
      </c>
      <c r="C2186" s="37"/>
      <c r="D2186" s="22" t="str">
        <f>TRIM(INDEX(Orçamentária!C:C,MATCH(Composições!A2186,Orçamentária!A:A,0),1))</f>
        <v>m</v>
      </c>
      <c r="E2186" s="23"/>
      <c r="F2186" s="38" t="s">
        <v>523</v>
      </c>
      <c r="G2186" s="24" t="str">
        <f t="shared" si="34"/>
        <v/>
      </c>
      <c r="H2186" s="25"/>
      <c r="I2186" s="26"/>
      <c r="J2186" s="141">
        <v>0</v>
      </c>
    </row>
    <row r="2187" spans="1:10" ht="15.75" hidden="1" thickBot="1" x14ac:dyDescent="0.3">
      <c r="A2187" s="226"/>
      <c r="B2187" s="244"/>
      <c r="C2187" s="28"/>
      <c r="D2187" s="28"/>
      <c r="E2187" s="29"/>
      <c r="F2187" s="39" t="s">
        <v>523</v>
      </c>
      <c r="G2187" s="27" t="str">
        <f t="shared" si="34"/>
        <v/>
      </c>
      <c r="H2187" s="31"/>
      <c r="I2187" s="27"/>
      <c r="J2187" s="141">
        <v>0</v>
      </c>
    </row>
    <row r="2188" spans="1:10" ht="26.25" hidden="1" thickBot="1" x14ac:dyDescent="0.3">
      <c r="A2188" s="226"/>
      <c r="B2188" s="244"/>
      <c r="C2188" s="32" t="s">
        <v>684</v>
      </c>
      <c r="D2188" s="43" t="s">
        <v>93</v>
      </c>
      <c r="E2188" s="33">
        <v>1.0210999999999999</v>
      </c>
      <c r="F2188" s="30">
        <v>0</v>
      </c>
      <c r="G2188" s="30">
        <f t="shared" si="34"/>
        <v>0</v>
      </c>
      <c r="H2188" s="35">
        <f>SUM(G2188:G2190)</f>
        <v>1.9441408</v>
      </c>
      <c r="I2188" s="36"/>
      <c r="J2188" s="141">
        <v>0</v>
      </c>
    </row>
    <row r="2189" spans="1:10" ht="26.25" hidden="1" thickBot="1" x14ac:dyDescent="0.3">
      <c r="A2189" s="226"/>
      <c r="B2189" s="244"/>
      <c r="C2189" s="32" t="s">
        <v>107</v>
      </c>
      <c r="D2189" s="43" t="s">
        <v>12</v>
      </c>
      <c r="E2189" s="33">
        <f>0.064*0.7</f>
        <v>4.48E-2</v>
      </c>
      <c r="F2189" s="27">
        <v>19.094999999999999</v>
      </c>
      <c r="G2189" s="30">
        <f t="shared" si="34"/>
        <v>0.85545599999999999</v>
      </c>
      <c r="H2189" s="31"/>
      <c r="I2189" s="27"/>
      <c r="J2189" s="141">
        <v>0</v>
      </c>
    </row>
    <row r="2190" spans="1:10" ht="15.75" hidden="1" thickBot="1" x14ac:dyDescent="0.3">
      <c r="A2190" s="226"/>
      <c r="B2190" s="244"/>
      <c r="C2190" s="32" t="s">
        <v>39</v>
      </c>
      <c r="D2190" s="43" t="s">
        <v>12</v>
      </c>
      <c r="E2190" s="33">
        <f>0.064*0.7</f>
        <v>4.48E-2</v>
      </c>
      <c r="F2190" s="27">
        <v>24.300999999999998</v>
      </c>
      <c r="G2190" s="30">
        <f t="shared" si="34"/>
        <v>1.0886848</v>
      </c>
      <c r="H2190" s="31"/>
      <c r="I2190" s="27"/>
      <c r="J2190" s="141">
        <v>0</v>
      </c>
    </row>
    <row r="2191" spans="1:10" ht="15.75" hidden="1" thickBot="1" x14ac:dyDescent="0.3">
      <c r="A2191" s="226"/>
      <c r="B2191" s="244"/>
      <c r="C2191" s="32"/>
      <c r="D2191" s="43"/>
      <c r="E2191" s="33"/>
      <c r="F2191" s="30" t="s">
        <v>523</v>
      </c>
      <c r="G2191" s="30" t="str">
        <f t="shared" si="34"/>
        <v/>
      </c>
      <c r="H2191" s="31"/>
      <c r="I2191" s="27"/>
      <c r="J2191" s="141">
        <v>0</v>
      </c>
    </row>
    <row r="2192" spans="1:10" ht="39" hidden="1" thickBot="1" x14ac:dyDescent="0.3">
      <c r="A2192" s="226"/>
      <c r="B2192" s="244"/>
      <c r="C2192" s="48" t="s">
        <v>644</v>
      </c>
      <c r="D2192" s="43"/>
      <c r="E2192" s="33"/>
      <c r="F2192" s="30" t="s">
        <v>523</v>
      </c>
      <c r="G2192" s="30" t="str">
        <f t="shared" si="34"/>
        <v/>
      </c>
      <c r="H2192" s="31"/>
      <c r="I2192" s="27"/>
      <c r="J2192" s="141">
        <v>0</v>
      </c>
    </row>
    <row r="2193" spans="1:10" ht="15.75" hidden="1" thickBot="1" x14ac:dyDescent="0.3">
      <c r="A2193" s="227"/>
      <c r="B2193" s="230"/>
      <c r="C2193" s="32"/>
      <c r="D2193" s="32"/>
      <c r="E2193" s="33"/>
      <c r="F2193" s="27" t="s">
        <v>523</v>
      </c>
      <c r="G2193" s="27" t="str">
        <f t="shared" si="34"/>
        <v/>
      </c>
      <c r="H2193" s="31"/>
      <c r="I2193" s="27"/>
      <c r="J2193" s="141">
        <v>0</v>
      </c>
    </row>
    <row r="2194" spans="1:10" ht="15.75" hidden="1" thickBot="1" x14ac:dyDescent="0.3">
      <c r="A2194" s="225" t="s">
        <v>685</v>
      </c>
      <c r="B2194" s="228" t="str">
        <f>INDEX(Orçamentária!A:B,MATCH(Composições!A2194,Orçamentária!A:A,0),2)</f>
        <v>Tubo de cobre de 1"</v>
      </c>
      <c r="C2194" s="37"/>
      <c r="D2194" s="22" t="str">
        <f>TRIM(INDEX(Orçamentária!C:C,MATCH(Composições!A2194,Orçamentária!A:A,0),1))</f>
        <v>m</v>
      </c>
      <c r="E2194" s="23"/>
      <c r="F2194" s="38" t="s">
        <v>523</v>
      </c>
      <c r="G2194" s="24" t="str">
        <f t="shared" ref="G2194:G2251" si="35">IF(ISNUMBER(F2194),E2194*F2194,"")</f>
        <v/>
      </c>
      <c r="H2194" s="25"/>
      <c r="I2194" s="26"/>
      <c r="J2194" s="141">
        <v>0</v>
      </c>
    </row>
    <row r="2195" spans="1:10" ht="15.75" hidden="1" thickBot="1" x14ac:dyDescent="0.3">
      <c r="A2195" s="226"/>
      <c r="B2195" s="244"/>
      <c r="C2195" s="28"/>
      <c r="D2195" s="28"/>
      <c r="E2195" s="29"/>
      <c r="F2195" s="39" t="s">
        <v>523</v>
      </c>
      <c r="G2195" s="27" t="str">
        <f t="shared" si="35"/>
        <v/>
      </c>
      <c r="H2195" s="31"/>
      <c r="I2195" s="27"/>
      <c r="J2195" s="141">
        <v>0</v>
      </c>
    </row>
    <row r="2196" spans="1:10" ht="26.25" hidden="1" thickBot="1" x14ac:dyDescent="0.3">
      <c r="A2196" s="226"/>
      <c r="B2196" s="244"/>
      <c r="C2196" s="32" t="s">
        <v>686</v>
      </c>
      <c r="D2196" s="43" t="s">
        <v>93</v>
      </c>
      <c r="E2196" s="33">
        <v>1.0210999999999999</v>
      </c>
      <c r="F2196" s="30">
        <v>0</v>
      </c>
      <c r="G2196" s="30">
        <f t="shared" si="35"/>
        <v>0</v>
      </c>
      <c r="H2196" s="35">
        <f>SUM(G2196:G2198)</f>
        <v>1.9441408</v>
      </c>
      <c r="I2196" s="36"/>
      <c r="J2196" s="141">
        <v>0</v>
      </c>
    </row>
    <row r="2197" spans="1:10" ht="26.25" hidden="1" thickBot="1" x14ac:dyDescent="0.3">
      <c r="A2197" s="226"/>
      <c r="B2197" s="244"/>
      <c r="C2197" s="32" t="s">
        <v>107</v>
      </c>
      <c r="D2197" s="43" t="s">
        <v>12</v>
      </c>
      <c r="E2197" s="33">
        <f>0.064*0.7</f>
        <v>4.48E-2</v>
      </c>
      <c r="F2197" s="27">
        <v>19.094999999999999</v>
      </c>
      <c r="G2197" s="30">
        <f t="shared" si="35"/>
        <v>0.85545599999999999</v>
      </c>
      <c r="H2197" s="31"/>
      <c r="I2197" s="27"/>
      <c r="J2197" s="141">
        <v>0</v>
      </c>
    </row>
    <row r="2198" spans="1:10" ht="15.75" hidden="1" thickBot="1" x14ac:dyDescent="0.3">
      <c r="A2198" s="226"/>
      <c r="B2198" s="244"/>
      <c r="C2198" s="32" t="s">
        <v>39</v>
      </c>
      <c r="D2198" s="43" t="s">
        <v>12</v>
      </c>
      <c r="E2198" s="33">
        <f>0.064*0.7</f>
        <v>4.48E-2</v>
      </c>
      <c r="F2198" s="27">
        <v>24.300999999999998</v>
      </c>
      <c r="G2198" s="30">
        <f t="shared" si="35"/>
        <v>1.0886848</v>
      </c>
      <c r="H2198" s="31"/>
      <c r="I2198" s="27"/>
      <c r="J2198" s="141">
        <v>0</v>
      </c>
    </row>
    <row r="2199" spans="1:10" ht="15.75" hidden="1" thickBot="1" x14ac:dyDescent="0.3">
      <c r="A2199" s="226"/>
      <c r="B2199" s="244"/>
      <c r="C2199" s="32"/>
      <c r="D2199" s="43"/>
      <c r="E2199" s="33"/>
      <c r="F2199" s="30" t="s">
        <v>523</v>
      </c>
      <c r="G2199" s="30" t="str">
        <f t="shared" si="35"/>
        <v/>
      </c>
      <c r="H2199" s="31"/>
      <c r="I2199" s="27"/>
      <c r="J2199" s="141">
        <v>0</v>
      </c>
    </row>
    <row r="2200" spans="1:10" ht="39" hidden="1" thickBot="1" x14ac:dyDescent="0.3">
      <c r="A2200" s="226"/>
      <c r="B2200" s="244"/>
      <c r="C2200" s="48" t="s">
        <v>644</v>
      </c>
      <c r="D2200" s="43"/>
      <c r="E2200" s="33"/>
      <c r="F2200" s="30" t="s">
        <v>523</v>
      </c>
      <c r="G2200" s="30" t="str">
        <f t="shared" si="35"/>
        <v/>
      </c>
      <c r="H2200" s="31"/>
      <c r="I2200" s="27"/>
      <c r="J2200" s="141">
        <v>0</v>
      </c>
    </row>
    <row r="2201" spans="1:10" ht="15.75" hidden="1" thickBot="1" x14ac:dyDescent="0.3">
      <c r="A2201" s="227"/>
      <c r="B2201" s="230"/>
      <c r="C2201" s="32"/>
      <c r="D2201" s="32"/>
      <c r="E2201" s="33"/>
      <c r="F2201" s="27" t="s">
        <v>523</v>
      </c>
      <c r="G2201" s="27" t="str">
        <f t="shared" si="35"/>
        <v/>
      </c>
      <c r="H2201" s="31"/>
      <c r="I2201" s="27"/>
      <c r="J2201" s="141">
        <v>0</v>
      </c>
    </row>
    <row r="2202" spans="1:10" ht="15.75" hidden="1" thickBot="1" x14ac:dyDescent="0.3">
      <c r="A2202" s="225" t="s">
        <v>687</v>
      </c>
      <c r="B2202" s="228" t="str">
        <f>INDEX(Orçamentária!A:B,MATCH(Composições!A2202,Orçamentária!A:A,0),2)</f>
        <v>Tubo de cobre de 1 1/8"</v>
      </c>
      <c r="C2202" s="37"/>
      <c r="D2202" s="22" t="str">
        <f>TRIM(INDEX(Orçamentária!C:C,MATCH(Composições!A2202,Orçamentária!A:A,0),1))</f>
        <v>m</v>
      </c>
      <c r="E2202" s="23"/>
      <c r="F2202" s="38" t="s">
        <v>523</v>
      </c>
      <c r="G2202" s="24" t="str">
        <f t="shared" si="35"/>
        <v/>
      </c>
      <c r="H2202" s="25"/>
      <c r="I2202" s="26"/>
      <c r="J2202" s="141">
        <v>0</v>
      </c>
    </row>
    <row r="2203" spans="1:10" ht="15.75" hidden="1" thickBot="1" x14ac:dyDescent="0.3">
      <c r="A2203" s="226"/>
      <c r="B2203" s="244"/>
      <c r="C2203" s="28"/>
      <c r="D2203" s="28"/>
      <c r="E2203" s="29"/>
      <c r="F2203" s="39" t="s">
        <v>523</v>
      </c>
      <c r="G2203" s="27" t="str">
        <f t="shared" si="35"/>
        <v/>
      </c>
      <c r="H2203" s="31"/>
      <c r="I2203" s="27"/>
      <c r="J2203" s="141">
        <v>0</v>
      </c>
    </row>
    <row r="2204" spans="1:10" ht="26.25" hidden="1" thickBot="1" x14ac:dyDescent="0.3">
      <c r="A2204" s="226"/>
      <c r="B2204" s="244"/>
      <c r="C2204" s="32" t="s">
        <v>688</v>
      </c>
      <c r="D2204" s="43" t="s">
        <v>93</v>
      </c>
      <c r="E2204" s="33">
        <v>1.0210999999999999</v>
      </c>
      <c r="F2204" s="30">
        <v>0</v>
      </c>
      <c r="G2204" s="30">
        <f t="shared" si="35"/>
        <v>0</v>
      </c>
      <c r="H2204" s="35">
        <f>SUM(G2204:G2206)</f>
        <v>1.9441408</v>
      </c>
      <c r="I2204" s="36"/>
      <c r="J2204" s="141">
        <v>0</v>
      </c>
    </row>
    <row r="2205" spans="1:10" ht="26.25" hidden="1" thickBot="1" x14ac:dyDescent="0.3">
      <c r="A2205" s="226"/>
      <c r="B2205" s="244"/>
      <c r="C2205" s="32" t="s">
        <v>107</v>
      </c>
      <c r="D2205" s="43" t="s">
        <v>12</v>
      </c>
      <c r="E2205" s="33">
        <f>0.064*0.7</f>
        <v>4.48E-2</v>
      </c>
      <c r="F2205" s="27">
        <v>19.094999999999999</v>
      </c>
      <c r="G2205" s="30">
        <f t="shared" si="35"/>
        <v>0.85545599999999999</v>
      </c>
      <c r="H2205" s="31"/>
      <c r="I2205" s="27"/>
      <c r="J2205" s="141">
        <v>0</v>
      </c>
    </row>
    <row r="2206" spans="1:10" ht="15.75" hidden="1" thickBot="1" x14ac:dyDescent="0.3">
      <c r="A2206" s="226"/>
      <c r="B2206" s="244"/>
      <c r="C2206" s="32" t="s">
        <v>39</v>
      </c>
      <c r="D2206" s="43" t="s">
        <v>12</v>
      </c>
      <c r="E2206" s="33">
        <f>0.064*0.7</f>
        <v>4.48E-2</v>
      </c>
      <c r="F2206" s="27">
        <v>24.300999999999998</v>
      </c>
      <c r="G2206" s="30">
        <f t="shared" si="35"/>
        <v>1.0886848</v>
      </c>
      <c r="H2206" s="31"/>
      <c r="I2206" s="27"/>
      <c r="J2206" s="141">
        <v>0</v>
      </c>
    </row>
    <row r="2207" spans="1:10" ht="15.75" hidden="1" thickBot="1" x14ac:dyDescent="0.3">
      <c r="A2207" s="226"/>
      <c r="B2207" s="244"/>
      <c r="C2207" s="32"/>
      <c r="D2207" s="43"/>
      <c r="E2207" s="33"/>
      <c r="F2207" s="30" t="s">
        <v>523</v>
      </c>
      <c r="G2207" s="30" t="str">
        <f t="shared" si="35"/>
        <v/>
      </c>
      <c r="H2207" s="31"/>
      <c r="I2207" s="27"/>
      <c r="J2207" s="141">
        <v>0</v>
      </c>
    </row>
    <row r="2208" spans="1:10" ht="39" hidden="1" thickBot="1" x14ac:dyDescent="0.3">
      <c r="A2208" s="226"/>
      <c r="B2208" s="244"/>
      <c r="C2208" s="48" t="s">
        <v>644</v>
      </c>
      <c r="D2208" s="43"/>
      <c r="E2208" s="33"/>
      <c r="F2208" s="30" t="s">
        <v>523</v>
      </c>
      <c r="G2208" s="30" t="str">
        <f t="shared" si="35"/>
        <v/>
      </c>
      <c r="H2208" s="31"/>
      <c r="I2208" s="27"/>
      <c r="J2208" s="141">
        <v>0</v>
      </c>
    </row>
    <row r="2209" spans="1:10" ht="15.75" hidden="1" thickBot="1" x14ac:dyDescent="0.3">
      <c r="A2209" s="227"/>
      <c r="B2209" s="230"/>
      <c r="C2209" s="32"/>
      <c r="D2209" s="32"/>
      <c r="E2209" s="33"/>
      <c r="F2209" s="27" t="s">
        <v>523</v>
      </c>
      <c r="G2209" s="27" t="str">
        <f t="shared" si="35"/>
        <v/>
      </c>
      <c r="H2209" s="31"/>
      <c r="I2209" s="27"/>
      <c r="J2209" s="141">
        <v>0</v>
      </c>
    </row>
    <row r="2210" spans="1:10" ht="15.75" hidden="1" thickBot="1" x14ac:dyDescent="0.3">
      <c r="A2210" s="225" t="s">
        <v>689</v>
      </c>
      <c r="B2210" s="228" t="str">
        <f>INDEX(Orçamentária!A:B,MATCH(Composições!A2210,Orçamentária!A:A,0),2)</f>
        <v>Instalação de armários reaproveitados</v>
      </c>
      <c r="C2210" s="37"/>
      <c r="D2210" s="22" t="str">
        <f>TRIM(INDEX(Orçamentária!C:C,MATCH(Composições!A2210,Orçamentária!A:A,0),1))</f>
        <v>m2</v>
      </c>
      <c r="E2210" s="23"/>
      <c r="F2210" s="38" t="s">
        <v>523</v>
      </c>
      <c r="G2210" s="24" t="str">
        <f t="shared" si="35"/>
        <v/>
      </c>
      <c r="H2210" s="25"/>
      <c r="I2210" s="26"/>
      <c r="J2210" s="141">
        <v>0</v>
      </c>
    </row>
    <row r="2211" spans="1:10" ht="15.75" hidden="1" thickBot="1" x14ac:dyDescent="0.3">
      <c r="A2211" s="226"/>
      <c r="B2211" s="244"/>
      <c r="C2211" s="28"/>
      <c r="D2211" s="28"/>
      <c r="E2211" s="29"/>
      <c r="F2211" s="39" t="s">
        <v>523</v>
      </c>
      <c r="G2211" s="27" t="str">
        <f t="shared" si="35"/>
        <v/>
      </c>
      <c r="H2211" s="31"/>
      <c r="I2211" s="27"/>
      <c r="J2211" s="141">
        <v>0</v>
      </c>
    </row>
    <row r="2212" spans="1:10" ht="15.75" hidden="1" thickBot="1" x14ac:dyDescent="0.3">
      <c r="A2212" s="226"/>
      <c r="B2212" s="244"/>
      <c r="C2212" s="32" t="s">
        <v>608</v>
      </c>
      <c r="D2212" s="32" t="s">
        <v>12</v>
      </c>
      <c r="E2212" s="33">
        <v>1.8</v>
      </c>
      <c r="F2212" s="27">
        <v>23.331999999999997</v>
      </c>
      <c r="G2212" s="27">
        <f t="shared" si="35"/>
        <v>41.997599999999998</v>
      </c>
      <c r="H2212" s="35">
        <f>SUM(G2212:G2213)</f>
        <v>103.40369999999999</v>
      </c>
      <c r="I2212" s="36"/>
      <c r="J2212" s="141">
        <v>0</v>
      </c>
    </row>
    <row r="2213" spans="1:10" ht="15.75" hidden="1" thickBot="1" x14ac:dyDescent="0.3">
      <c r="A2213" s="226"/>
      <c r="B2213" s="244"/>
      <c r="C2213" s="32" t="s">
        <v>128</v>
      </c>
      <c r="D2213" s="32" t="s">
        <v>12</v>
      </c>
      <c r="E2213" s="33">
        <v>3.15</v>
      </c>
      <c r="F2213" s="27">
        <v>19.494</v>
      </c>
      <c r="G2213" s="27">
        <f t="shared" si="35"/>
        <v>61.406099999999995</v>
      </c>
      <c r="H2213" s="31"/>
      <c r="I2213" s="27"/>
      <c r="J2213" s="141">
        <v>0</v>
      </c>
    </row>
    <row r="2214" spans="1:10" ht="15.75" hidden="1" thickBot="1" x14ac:dyDescent="0.3">
      <c r="A2214" s="227"/>
      <c r="B2214" s="230"/>
      <c r="C2214" s="32"/>
      <c r="D2214" s="32"/>
      <c r="E2214" s="33"/>
      <c r="F2214" s="27" t="s">
        <v>523</v>
      </c>
      <c r="G2214" s="27" t="str">
        <f t="shared" si="35"/>
        <v/>
      </c>
      <c r="H2214" s="31"/>
      <c r="I2214" s="27"/>
      <c r="J2214" s="141">
        <v>0</v>
      </c>
    </row>
    <row r="2215" spans="1:10" ht="15.75" hidden="1" thickBot="1" x14ac:dyDescent="0.3">
      <c r="A2215" s="225" t="s">
        <v>690</v>
      </c>
      <c r="B2215" s="228" t="str">
        <f>INDEX(Orçamentária!A:B,MATCH(Composições!A2215,Orçamentária!A:A,0),2)</f>
        <v>Mesa/tampo de MDF, fixada em parede com mão-francesa</v>
      </c>
      <c r="C2215" s="37"/>
      <c r="D2215" s="22" t="str">
        <f>TRIM(INDEX(Orçamentária!C:C,MATCH(Composições!A2215,Orçamentária!A:A,0),1))</f>
        <v>m2</v>
      </c>
      <c r="E2215" s="23"/>
      <c r="F2215" s="38" t="s">
        <v>523</v>
      </c>
      <c r="G2215" s="24" t="str">
        <f t="shared" si="35"/>
        <v/>
      </c>
      <c r="H2215" s="25"/>
      <c r="I2215" s="26"/>
      <c r="J2215" s="141">
        <v>0</v>
      </c>
    </row>
    <row r="2216" spans="1:10" ht="15.75" hidden="1" thickBot="1" x14ac:dyDescent="0.3">
      <c r="A2216" s="226"/>
      <c r="B2216" s="244"/>
      <c r="C2216" s="28"/>
      <c r="D2216" s="28"/>
      <c r="E2216" s="29"/>
      <c r="F2216" s="39" t="s">
        <v>523</v>
      </c>
      <c r="G2216" s="27" t="str">
        <f t="shared" si="35"/>
        <v/>
      </c>
      <c r="H2216" s="31"/>
      <c r="I2216" s="27"/>
      <c r="J2216" s="141">
        <v>0</v>
      </c>
    </row>
    <row r="2217" spans="1:10" ht="15.75" hidden="1" thickBot="1" x14ac:dyDescent="0.3">
      <c r="A2217" s="226"/>
      <c r="B2217" s="244"/>
      <c r="C2217" s="32" t="s">
        <v>608</v>
      </c>
      <c r="D2217" s="32" t="s">
        <v>12</v>
      </c>
      <c r="E2217" s="33">
        <v>1.8</v>
      </c>
      <c r="F2217" s="27">
        <v>23.331999999999997</v>
      </c>
      <c r="G2217" s="27">
        <f t="shared" si="35"/>
        <v>41.997599999999998</v>
      </c>
      <c r="H2217" s="35">
        <f>SUM(G2217:G2220)</f>
        <v>228.65264999999999</v>
      </c>
      <c r="I2217" s="36"/>
      <c r="J2217" s="141">
        <v>0</v>
      </c>
    </row>
    <row r="2218" spans="1:10" ht="15.75" hidden="1" thickBot="1" x14ac:dyDescent="0.3">
      <c r="A2218" s="226"/>
      <c r="B2218" s="244"/>
      <c r="C2218" s="32" t="s">
        <v>128</v>
      </c>
      <c r="D2218" s="32" t="s">
        <v>12</v>
      </c>
      <c r="E2218" s="33">
        <f>3.15/2</f>
        <v>1.575</v>
      </c>
      <c r="F2218" s="27">
        <v>19.494</v>
      </c>
      <c r="G2218" s="30">
        <f t="shared" si="35"/>
        <v>30.703049999999998</v>
      </c>
      <c r="H2218" s="40"/>
      <c r="I2218" s="36"/>
      <c r="J2218" s="141">
        <v>0</v>
      </c>
    </row>
    <row r="2219" spans="1:10" ht="26.25" hidden="1" thickBot="1" x14ac:dyDescent="0.3">
      <c r="A2219" s="226"/>
      <c r="B2219" s="244"/>
      <c r="C2219" s="32" t="s">
        <v>691</v>
      </c>
      <c r="D2219" s="32" t="s">
        <v>20</v>
      </c>
      <c r="E2219" s="33">
        <v>2</v>
      </c>
      <c r="F2219" s="30">
        <v>29.943999999999999</v>
      </c>
      <c r="G2219" s="27">
        <f t="shared" si="35"/>
        <v>59.887999999999998</v>
      </c>
      <c r="H2219" s="40"/>
      <c r="I2219" s="36"/>
      <c r="J2219" s="141">
        <v>0</v>
      </c>
    </row>
    <row r="2220" spans="1:10" ht="15.75" hidden="1" thickBot="1" x14ac:dyDescent="0.3">
      <c r="A2220" s="226"/>
      <c r="B2220" s="244"/>
      <c r="C2220" s="32" t="s">
        <v>692</v>
      </c>
      <c r="D2220" s="32" t="s">
        <v>95</v>
      </c>
      <c r="E2220" s="33">
        <v>1</v>
      </c>
      <c r="F2220" s="30">
        <v>96.063999999999993</v>
      </c>
      <c r="G2220" s="27">
        <f t="shared" si="35"/>
        <v>96.063999999999993</v>
      </c>
      <c r="H2220" s="31"/>
      <c r="I2220" s="27"/>
      <c r="J2220" s="141">
        <v>0</v>
      </c>
    </row>
    <row r="2221" spans="1:10" ht="15.75" hidden="1" thickBot="1" x14ac:dyDescent="0.3">
      <c r="A2221" s="227"/>
      <c r="B2221" s="230"/>
      <c r="C2221" s="32"/>
      <c r="D2221" s="32"/>
      <c r="E2221" s="33"/>
      <c r="F2221" s="27" t="s">
        <v>523</v>
      </c>
      <c r="G2221" s="27" t="str">
        <f t="shared" si="35"/>
        <v/>
      </c>
      <c r="H2221" s="31"/>
      <c r="I2221" s="27"/>
      <c r="J2221" s="141">
        <v>0</v>
      </c>
    </row>
    <row r="2222" spans="1:10" ht="15.75" hidden="1" thickBot="1" x14ac:dyDescent="0.3">
      <c r="A2222" s="239" t="s">
        <v>693</v>
      </c>
      <c r="B2222" s="236" t="str">
        <f>INDEX(Orçamentária!A:B,MATCH(Composições!A2222,Orçamentária!A:A,0),2)</f>
        <v>Painel de TV em compensado</v>
      </c>
      <c r="C2222" s="37"/>
      <c r="D2222" s="22" t="str">
        <f>TRIM(INDEX(Orçamentária!C:C,MATCH(Composições!A2222,Orçamentária!A:A,0),1))</f>
        <v>m2</v>
      </c>
      <c r="E2222" s="23"/>
      <c r="F2222" s="38" t="s">
        <v>523</v>
      </c>
      <c r="G2222" s="24" t="str">
        <f t="shared" si="35"/>
        <v/>
      </c>
      <c r="H2222" s="25"/>
      <c r="I2222" s="26"/>
      <c r="J2222" s="141">
        <v>0</v>
      </c>
    </row>
    <row r="2223" spans="1:10" ht="15.75" hidden="1" thickBot="1" x14ac:dyDescent="0.3">
      <c r="A2223" s="240"/>
      <c r="B2223" s="245"/>
      <c r="C2223" s="28"/>
      <c r="D2223" s="28"/>
      <c r="E2223" s="29"/>
      <c r="F2223" s="39" t="s">
        <v>523</v>
      </c>
      <c r="G2223" s="27" t="str">
        <f t="shared" si="35"/>
        <v/>
      </c>
      <c r="H2223" s="31"/>
      <c r="I2223" s="27"/>
      <c r="J2223" s="141">
        <v>0</v>
      </c>
    </row>
    <row r="2224" spans="1:10" ht="15.75" hidden="1" thickBot="1" x14ac:dyDescent="0.3">
      <c r="A2224" s="240"/>
      <c r="B2224" s="245"/>
      <c r="C2224" s="32" t="s">
        <v>608</v>
      </c>
      <c r="D2224" s="32" t="s">
        <v>12</v>
      </c>
      <c r="E2224" s="33">
        <v>2</v>
      </c>
      <c r="F2224" s="27">
        <v>23.331999999999997</v>
      </c>
      <c r="G2224" s="30">
        <f t="shared" si="35"/>
        <v>46.663999999999994</v>
      </c>
      <c r="H2224" s="35">
        <f>SUM(G2224:G2227)</f>
        <v>236.72479999999999</v>
      </c>
      <c r="I2224" s="36"/>
      <c r="J2224" s="141">
        <v>0</v>
      </c>
    </row>
    <row r="2225" spans="1:10" ht="15.75" hidden="1" thickBot="1" x14ac:dyDescent="0.3">
      <c r="A2225" s="240"/>
      <c r="B2225" s="245"/>
      <c r="C2225" s="32" t="s">
        <v>128</v>
      </c>
      <c r="D2225" s="32" t="s">
        <v>12</v>
      </c>
      <c r="E2225" s="33">
        <v>2</v>
      </c>
      <c r="F2225" s="27">
        <v>19.494</v>
      </c>
      <c r="G2225" s="30">
        <f t="shared" si="35"/>
        <v>38.988</v>
      </c>
      <c r="H2225" s="40"/>
      <c r="I2225" s="36"/>
      <c r="J2225" s="141">
        <v>0</v>
      </c>
    </row>
    <row r="2226" spans="1:10" ht="26.25" hidden="1" thickBot="1" x14ac:dyDescent="0.3">
      <c r="A2226" s="240"/>
      <c r="B2226" s="245"/>
      <c r="C2226" s="157" t="s">
        <v>6724</v>
      </c>
      <c r="D2226" s="32" t="s">
        <v>95</v>
      </c>
      <c r="E2226" s="33">
        <v>1.2</v>
      </c>
      <c r="F2226" s="30">
        <v>125.89400000000001</v>
      </c>
      <c r="G2226" s="27">
        <f t="shared" si="35"/>
        <v>151.0728</v>
      </c>
      <c r="H2226" s="31"/>
      <c r="I2226" s="27"/>
      <c r="J2226" s="141">
        <v>0</v>
      </c>
    </row>
    <row r="2227" spans="1:10" ht="15.75" hidden="1" thickBot="1" x14ac:dyDescent="0.3">
      <c r="A2227" s="240"/>
      <c r="B2227" s="245"/>
      <c r="C2227" s="157" t="s">
        <v>6723</v>
      </c>
      <c r="D2227" s="32" t="s">
        <v>95</v>
      </c>
      <c r="E2227" s="33">
        <v>1</v>
      </c>
      <c r="F2227" s="30" t="s">
        <v>523</v>
      </c>
      <c r="G2227" s="27" t="str">
        <f t="shared" si="35"/>
        <v/>
      </c>
      <c r="H2227" s="31"/>
      <c r="I2227" s="27"/>
      <c r="J2227" s="141">
        <v>0</v>
      </c>
    </row>
    <row r="2228" spans="1:10" ht="15.75" hidden="1" thickBot="1" x14ac:dyDescent="0.3">
      <c r="A2228" s="241"/>
      <c r="B2228" s="238"/>
      <c r="C2228" s="32"/>
      <c r="D2228" s="32"/>
      <c r="E2228" s="33"/>
      <c r="F2228" s="27" t="s">
        <v>523</v>
      </c>
      <c r="G2228" s="27" t="str">
        <f t="shared" si="35"/>
        <v/>
      </c>
      <c r="H2228" s="31"/>
      <c r="I2228" s="27"/>
      <c r="J2228" s="141">
        <v>0</v>
      </c>
    </row>
    <row r="2229" spans="1:10" ht="15.75" hidden="1" thickBot="1" x14ac:dyDescent="0.3">
      <c r="A2229" s="239" t="s">
        <v>694</v>
      </c>
      <c r="B2229" s="236" t="str">
        <f>INDEX(Orçamentária!A:B,MATCH(Composições!A2229,Orçamentária!A:A,0),2)</f>
        <v>Painel de TV em MDF</v>
      </c>
      <c r="C2229" s="37"/>
      <c r="D2229" s="22" t="str">
        <f>TRIM(INDEX(Orçamentária!C:C,MATCH(Composições!A2229,Orçamentária!A:A,0),1))</f>
        <v>m2</v>
      </c>
      <c r="E2229" s="23"/>
      <c r="F2229" s="38" t="s">
        <v>523</v>
      </c>
      <c r="G2229" s="24" t="str">
        <f t="shared" si="35"/>
        <v/>
      </c>
      <c r="H2229" s="25"/>
      <c r="I2229" s="26"/>
      <c r="J2229" s="141">
        <v>0</v>
      </c>
    </row>
    <row r="2230" spans="1:10" ht="15.75" hidden="1" thickBot="1" x14ac:dyDescent="0.3">
      <c r="A2230" s="240"/>
      <c r="B2230" s="245"/>
      <c r="C2230" s="28"/>
      <c r="D2230" s="28"/>
      <c r="E2230" s="29"/>
      <c r="F2230" s="39" t="s">
        <v>523</v>
      </c>
      <c r="G2230" s="27" t="str">
        <f t="shared" si="35"/>
        <v/>
      </c>
      <c r="H2230" s="31"/>
      <c r="I2230" s="27"/>
      <c r="J2230" s="141">
        <v>0</v>
      </c>
    </row>
    <row r="2231" spans="1:10" ht="15.75" hidden="1" thickBot="1" x14ac:dyDescent="0.3">
      <c r="A2231" s="240"/>
      <c r="B2231" s="245"/>
      <c r="C2231" s="32" t="s">
        <v>608</v>
      </c>
      <c r="D2231" s="32" t="s">
        <v>12</v>
      </c>
      <c r="E2231" s="33">
        <v>2</v>
      </c>
      <c r="F2231" s="27">
        <v>23.331999999999997</v>
      </c>
      <c r="G2231" s="30">
        <f t="shared" si="35"/>
        <v>46.663999999999994</v>
      </c>
      <c r="H2231" s="35">
        <f>SUM(G2231:G2233)</f>
        <v>160.98319999999998</v>
      </c>
      <c r="I2231" s="36"/>
      <c r="J2231" s="141">
        <v>0</v>
      </c>
    </row>
    <row r="2232" spans="1:10" ht="15.75" hidden="1" thickBot="1" x14ac:dyDescent="0.3">
      <c r="A2232" s="240"/>
      <c r="B2232" s="245"/>
      <c r="C2232" s="32" t="s">
        <v>128</v>
      </c>
      <c r="D2232" s="32" t="s">
        <v>12</v>
      </c>
      <c r="E2232" s="33">
        <v>2</v>
      </c>
      <c r="F2232" s="27">
        <v>19.494</v>
      </c>
      <c r="G2232" s="30">
        <f t="shared" si="35"/>
        <v>38.988</v>
      </c>
      <c r="H2232" s="31"/>
      <c r="I2232" s="27"/>
      <c r="J2232" s="141">
        <v>0</v>
      </c>
    </row>
    <row r="2233" spans="1:10" ht="15.75" hidden="1" thickBot="1" x14ac:dyDescent="0.3">
      <c r="A2233" s="240"/>
      <c r="B2233" s="245"/>
      <c r="C2233" s="157" t="s">
        <v>6698</v>
      </c>
      <c r="D2233" s="32" t="s">
        <v>95</v>
      </c>
      <c r="E2233" s="33">
        <v>1.2</v>
      </c>
      <c r="F2233" s="30">
        <v>62.775999999999996</v>
      </c>
      <c r="G2233" s="27">
        <f t="shared" si="35"/>
        <v>75.331199999999995</v>
      </c>
      <c r="H2233" s="31"/>
      <c r="I2233" s="27"/>
      <c r="J2233" s="141">
        <v>0</v>
      </c>
    </row>
    <row r="2234" spans="1:10" ht="15.75" hidden="1" thickBot="1" x14ac:dyDescent="0.3">
      <c r="A2234" s="241"/>
      <c r="B2234" s="238"/>
      <c r="C2234" s="32"/>
      <c r="D2234" s="32"/>
      <c r="E2234" s="33"/>
      <c r="F2234" s="27" t="s">
        <v>523</v>
      </c>
      <c r="G2234" s="27" t="str">
        <f t="shared" si="35"/>
        <v/>
      </c>
      <c r="H2234" s="31"/>
      <c r="I2234" s="27"/>
      <c r="J2234" s="141">
        <v>0</v>
      </c>
    </row>
    <row r="2235" spans="1:10" ht="15.75" hidden="1" thickBot="1" x14ac:dyDescent="0.3">
      <c r="A2235" s="225" t="s">
        <v>695</v>
      </c>
      <c r="B2235" s="228" t="str">
        <f>INDEX(Orçamentária!A:B,MATCH(Composições!A2235,Orçamentária!A:A,0),2)</f>
        <v>Painel para TV de 90 x 120 cm</v>
      </c>
      <c r="C2235" s="37"/>
      <c r="D2235" s="22" t="str">
        <f>TRIM(INDEX(Orçamentária!C:C,MATCH(Composições!A2235,Orçamentária!A:A,0),1))</f>
        <v>un</v>
      </c>
      <c r="E2235" s="23"/>
      <c r="F2235" s="38" t="s">
        <v>523</v>
      </c>
      <c r="G2235" s="24" t="str">
        <f t="shared" si="35"/>
        <v/>
      </c>
      <c r="H2235" s="25"/>
      <c r="I2235" s="26"/>
      <c r="J2235" s="141">
        <v>0</v>
      </c>
    </row>
    <row r="2236" spans="1:10" ht="15.75" hidden="1" thickBot="1" x14ac:dyDescent="0.3">
      <c r="A2236" s="226"/>
      <c r="B2236" s="244"/>
      <c r="C2236" s="28"/>
      <c r="D2236" s="28"/>
      <c r="E2236" s="29"/>
      <c r="F2236" s="39" t="s">
        <v>523</v>
      </c>
      <c r="G2236" s="27" t="str">
        <f t="shared" si="35"/>
        <v/>
      </c>
      <c r="H2236" s="31"/>
      <c r="I2236" s="27"/>
      <c r="J2236" s="141">
        <v>0</v>
      </c>
    </row>
    <row r="2237" spans="1:10" ht="15.75" hidden="1" thickBot="1" x14ac:dyDescent="0.3">
      <c r="A2237" s="226"/>
      <c r="B2237" s="244"/>
      <c r="C2237" s="32" t="s">
        <v>608</v>
      </c>
      <c r="D2237" s="32" t="s">
        <v>12</v>
      </c>
      <c r="E2237" s="33">
        <v>1</v>
      </c>
      <c r="F2237" s="27">
        <v>23.331999999999997</v>
      </c>
      <c r="G2237" s="30">
        <f t="shared" si="35"/>
        <v>23.331999999999997</v>
      </c>
      <c r="H2237" s="35">
        <f>SUM(G2237:G2239)</f>
        <v>42.825999999999993</v>
      </c>
      <c r="I2237" s="36"/>
      <c r="J2237" s="141">
        <v>0</v>
      </c>
    </row>
    <row r="2238" spans="1:10" ht="15.75" hidden="1" thickBot="1" x14ac:dyDescent="0.3">
      <c r="A2238" s="226"/>
      <c r="B2238" s="244"/>
      <c r="C2238" s="32" t="s">
        <v>128</v>
      </c>
      <c r="D2238" s="32" t="s">
        <v>12</v>
      </c>
      <c r="E2238" s="33">
        <v>1</v>
      </c>
      <c r="F2238" s="27">
        <v>19.494</v>
      </c>
      <c r="G2238" s="30">
        <f t="shared" si="35"/>
        <v>19.494</v>
      </c>
      <c r="H2238" s="31"/>
      <c r="I2238" s="27"/>
      <c r="J2238" s="141">
        <v>0</v>
      </c>
    </row>
    <row r="2239" spans="1:10" ht="26.25" hidden="1" thickBot="1" x14ac:dyDescent="0.3">
      <c r="A2239" s="226"/>
      <c r="B2239" s="244"/>
      <c r="C2239" s="32" t="s">
        <v>696</v>
      </c>
      <c r="D2239" s="32" t="s">
        <v>20</v>
      </c>
      <c r="E2239" s="33">
        <v>1</v>
      </c>
      <c r="F2239" s="30" t="s">
        <v>523</v>
      </c>
      <c r="G2239" s="27" t="str">
        <f t="shared" si="35"/>
        <v/>
      </c>
      <c r="H2239" s="31"/>
      <c r="I2239" s="27"/>
      <c r="J2239" s="141">
        <v>0</v>
      </c>
    </row>
    <row r="2240" spans="1:10" ht="15.75" hidden="1" thickBot="1" x14ac:dyDescent="0.3">
      <c r="A2240" s="227"/>
      <c r="B2240" s="230"/>
      <c r="C2240" s="32"/>
      <c r="D2240" s="32"/>
      <c r="E2240" s="33"/>
      <c r="F2240" s="27" t="s">
        <v>523</v>
      </c>
      <c r="G2240" s="27" t="str">
        <f t="shared" si="35"/>
        <v/>
      </c>
      <c r="H2240" s="31"/>
      <c r="I2240" s="27"/>
      <c r="J2240" s="141">
        <v>0</v>
      </c>
    </row>
    <row r="2241" spans="1:10" ht="15.75" hidden="1" thickBot="1" x14ac:dyDescent="0.3">
      <c r="A2241" s="225" t="s">
        <v>697</v>
      </c>
      <c r="B2241" s="228" t="str">
        <f>INDEX(Orçamentária!A:B,MATCH(Composições!A2241,Orçamentária!A:A,0),2)</f>
        <v>Batentes e guarnições em madeira, com verniz ou esmalte</v>
      </c>
      <c r="C2241" s="37"/>
      <c r="D2241" s="22" t="str">
        <f>TRIM(INDEX(Orçamentária!C:C,MATCH(Composições!A2241,Orçamentária!A:A,0),1))</f>
        <v>un</v>
      </c>
      <c r="E2241" s="23"/>
      <c r="F2241" s="38" t="s">
        <v>523</v>
      </c>
      <c r="G2241" s="24" t="str">
        <f t="shared" si="35"/>
        <v/>
      </c>
      <c r="H2241" s="25"/>
      <c r="I2241" s="26"/>
      <c r="J2241" s="141">
        <v>0</v>
      </c>
    </row>
    <row r="2242" spans="1:10" ht="15.75" hidden="1" thickBot="1" x14ac:dyDescent="0.3">
      <c r="A2242" s="226"/>
      <c r="B2242" s="244"/>
      <c r="C2242" s="28"/>
      <c r="D2242" s="28"/>
      <c r="E2242" s="29"/>
      <c r="F2242" s="39" t="s">
        <v>523</v>
      </c>
      <c r="G2242" s="27" t="str">
        <f t="shared" si="35"/>
        <v/>
      </c>
      <c r="H2242" s="31"/>
      <c r="I2242" s="27"/>
      <c r="J2242" s="141">
        <v>0</v>
      </c>
    </row>
    <row r="2243" spans="1:10" ht="51.75" hidden="1" thickBot="1" x14ac:dyDescent="0.3">
      <c r="A2243" s="226"/>
      <c r="B2243" s="244"/>
      <c r="C2243" s="32" t="s">
        <v>6639</v>
      </c>
      <c r="D2243" s="43" t="s">
        <v>1449</v>
      </c>
      <c r="E2243" s="33">
        <v>1</v>
      </c>
      <c r="F2243" s="30">
        <v>164.73949999999999</v>
      </c>
      <c r="G2243" s="30">
        <f t="shared" si="35"/>
        <v>164.73949999999999</v>
      </c>
      <c r="H2243" s="35">
        <f>SUM(G2243:G2251)</f>
        <v>331.77981225000008</v>
      </c>
      <c r="I2243" s="36"/>
      <c r="J2243" s="141">
        <v>0</v>
      </c>
    </row>
    <row r="2244" spans="1:10" ht="15.75" hidden="1" thickBot="1" x14ac:dyDescent="0.3">
      <c r="A2244" s="226"/>
      <c r="B2244" s="244"/>
      <c r="C2244" s="32" t="s">
        <v>1450</v>
      </c>
      <c r="D2244" s="46" t="s">
        <v>901</v>
      </c>
      <c r="E2244" s="33">
        <v>1.0999999999999999E-2</v>
      </c>
      <c r="F2244" s="30">
        <v>29.098499999999998</v>
      </c>
      <c r="G2244" s="30">
        <f t="shared" si="35"/>
        <v>0.32008349999999997</v>
      </c>
      <c r="H2244" s="31"/>
      <c r="I2244" s="27"/>
      <c r="J2244" s="141">
        <v>0</v>
      </c>
    </row>
    <row r="2245" spans="1:10" ht="15.75" hidden="1" thickBot="1" x14ac:dyDescent="0.3">
      <c r="A2245" s="226"/>
      <c r="B2245" s="244"/>
      <c r="C2245" s="32" t="s">
        <v>98</v>
      </c>
      <c r="D2245" s="43" t="s">
        <v>901</v>
      </c>
      <c r="E2245" s="33">
        <v>2.4E-2</v>
      </c>
      <c r="F2245" s="27">
        <v>22.077999999999996</v>
      </c>
      <c r="G2245" s="30">
        <f t="shared" si="35"/>
        <v>0.5298719999999999</v>
      </c>
      <c r="H2245" s="31"/>
      <c r="I2245" s="27"/>
      <c r="J2245" s="141">
        <v>0</v>
      </c>
    </row>
    <row r="2246" spans="1:10" ht="15.75" hidden="1" thickBot="1" x14ac:dyDescent="0.3">
      <c r="A2246" s="226"/>
      <c r="B2246" s="244"/>
      <c r="C2246" s="32" t="s">
        <v>704</v>
      </c>
      <c r="D2246" s="43" t="s">
        <v>705</v>
      </c>
      <c r="E2246" s="33">
        <f>2.741+0.068</f>
        <v>2.8090000000000002</v>
      </c>
      <c r="F2246" s="27">
        <v>23.616999999999997</v>
      </c>
      <c r="G2246" s="30">
        <f t="shared" si="35"/>
        <v>66.340153000000001</v>
      </c>
      <c r="H2246" s="31"/>
      <c r="I2246" s="27"/>
      <c r="J2246" s="141">
        <v>0</v>
      </c>
    </row>
    <row r="2247" spans="1:10" ht="15.75" hidden="1" thickBot="1" x14ac:dyDescent="0.3">
      <c r="A2247" s="226"/>
      <c r="B2247" s="244"/>
      <c r="C2247" s="32" t="s">
        <v>706</v>
      </c>
      <c r="D2247" s="43" t="s">
        <v>705</v>
      </c>
      <c r="E2247" s="33">
        <f>1.375+0.034</f>
        <v>1.409</v>
      </c>
      <c r="F2247" s="27">
        <v>18.420500000000001</v>
      </c>
      <c r="G2247" s="30">
        <f t="shared" si="35"/>
        <v>25.954484500000003</v>
      </c>
      <c r="H2247" s="31"/>
      <c r="I2247" s="27"/>
      <c r="J2247" s="141">
        <v>0</v>
      </c>
    </row>
    <row r="2248" spans="1:10" ht="15.75" hidden="1" thickBot="1" x14ac:dyDescent="0.3">
      <c r="A2248" s="226"/>
      <c r="B2248" s="244"/>
      <c r="C2248" s="32" t="s">
        <v>3356</v>
      </c>
      <c r="D2248" s="43" t="s">
        <v>901</v>
      </c>
      <c r="E2248" s="33">
        <v>6.0000000000000001E-3</v>
      </c>
      <c r="F2248" s="27">
        <v>24.832999999999998</v>
      </c>
      <c r="G2248" s="30">
        <f t="shared" si="35"/>
        <v>0.14899799999999999</v>
      </c>
      <c r="H2248" s="31"/>
      <c r="I2248" s="27"/>
      <c r="J2248" s="141">
        <v>0</v>
      </c>
    </row>
    <row r="2249" spans="1:10" ht="39" hidden="1" thickBot="1" x14ac:dyDescent="0.3">
      <c r="A2249" s="226"/>
      <c r="B2249" s="244"/>
      <c r="C2249" s="32" t="s">
        <v>6640</v>
      </c>
      <c r="D2249" s="43" t="s">
        <v>480</v>
      </c>
      <c r="E2249" s="33">
        <f>(2.1*2+0.8)*1.163</f>
        <v>5.8150000000000004</v>
      </c>
      <c r="F2249" s="30">
        <v>9.6709999999999994</v>
      </c>
      <c r="G2249" s="30">
        <f t="shared" si="35"/>
        <v>56.236865000000002</v>
      </c>
      <c r="H2249" s="31"/>
      <c r="I2249" s="27"/>
      <c r="J2249" s="141">
        <v>0</v>
      </c>
    </row>
    <row r="2250" spans="1:10" ht="15.75" hidden="1" thickBot="1" x14ac:dyDescent="0.3">
      <c r="A2250" s="226"/>
      <c r="B2250" s="244"/>
      <c r="C2250" s="32" t="s">
        <v>203</v>
      </c>
      <c r="D2250" s="46" t="s">
        <v>102</v>
      </c>
      <c r="E2250" s="33">
        <f>ROUND(0.108*0.15*(2*2.1+0.8),4)</f>
        <v>8.1000000000000003E-2</v>
      </c>
      <c r="F2250" s="30">
        <v>46.56</v>
      </c>
      <c r="G2250" s="27">
        <f t="shared" si="35"/>
        <v>3.7713600000000005</v>
      </c>
      <c r="H2250" s="31"/>
      <c r="I2250" s="27"/>
      <c r="J2250" s="141">
        <v>0</v>
      </c>
    </row>
    <row r="2251" spans="1:10" ht="15.75" hidden="1" thickBot="1" x14ac:dyDescent="0.3">
      <c r="A2251" s="226"/>
      <c r="B2251" s="244"/>
      <c r="C2251" s="32" t="s">
        <v>100</v>
      </c>
      <c r="D2251" s="32" t="s">
        <v>12</v>
      </c>
      <c r="E2251" s="33">
        <f>ROUND(0.7076*0.15*(2*2.1+0.8),4)</f>
        <v>0.53069999999999995</v>
      </c>
      <c r="F2251" s="27">
        <v>25.887499999999999</v>
      </c>
      <c r="G2251" s="27">
        <f t="shared" si="35"/>
        <v>13.738496249999999</v>
      </c>
      <c r="H2251" s="31"/>
      <c r="I2251" s="27"/>
      <c r="J2251" s="141">
        <v>0</v>
      </c>
    </row>
    <row r="2252" spans="1:10" ht="15.75" hidden="1" thickBot="1" x14ac:dyDescent="0.3">
      <c r="A2252" s="226"/>
      <c r="B2252" s="244"/>
      <c r="C2252" s="32"/>
      <c r="D2252" s="32"/>
      <c r="E2252" s="33"/>
      <c r="F2252" s="27" t="s">
        <v>523</v>
      </c>
      <c r="G2252" s="27"/>
      <c r="H2252" s="31"/>
      <c r="I2252" s="27"/>
      <c r="J2252" s="141">
        <v>0</v>
      </c>
    </row>
    <row r="2253" spans="1:10" ht="39" hidden="1" thickBot="1" x14ac:dyDescent="0.3">
      <c r="A2253" s="226"/>
      <c r="B2253" s="244"/>
      <c r="C2253" s="48" t="s">
        <v>3396</v>
      </c>
      <c r="D2253" s="32"/>
      <c r="E2253" s="33"/>
      <c r="F2253" s="27" t="s">
        <v>523</v>
      </c>
      <c r="G2253" s="27"/>
      <c r="H2253" s="31"/>
      <c r="I2253" s="27"/>
      <c r="J2253" s="141">
        <v>0</v>
      </c>
    </row>
    <row r="2254" spans="1:10" ht="15.75" hidden="1" thickBot="1" x14ac:dyDescent="0.3">
      <c r="A2254" s="227"/>
      <c r="B2254" s="230"/>
      <c r="C2254" s="32"/>
      <c r="D2254" s="32"/>
      <c r="E2254" s="33"/>
      <c r="F2254" s="27" t="s">
        <v>523</v>
      </c>
      <c r="G2254" s="27" t="str">
        <f t="shared" ref="G2254:G2267" si="36">IF(ISNUMBER(F2254),E2254*F2254,"")</f>
        <v/>
      </c>
      <c r="H2254" s="31"/>
      <c r="I2254" s="27"/>
      <c r="J2254" s="141">
        <v>0</v>
      </c>
    </row>
    <row r="2255" spans="1:10" ht="15.75" hidden="1" thickBot="1" x14ac:dyDescent="0.3">
      <c r="A2255" s="225" t="s">
        <v>699</v>
      </c>
      <c r="B2255" s="228" t="str">
        <f>INDEX(Orçamentária!A:B,MATCH(Composições!A2255,Orçamentária!A:A,0),2)</f>
        <v>Chapa de proteção para porta – Linha Acessibilidade</v>
      </c>
      <c r="C2255" s="134"/>
      <c r="D2255" s="22" t="str">
        <f>TRIM(INDEX(Orçamentária!C:C,MATCH(Composições!A2255,Orçamentária!A:A,0),1))</f>
        <v>m2</v>
      </c>
      <c r="E2255" s="23"/>
      <c r="F2255" s="38" t="s">
        <v>523</v>
      </c>
      <c r="G2255" s="24" t="str">
        <f t="shared" si="36"/>
        <v/>
      </c>
      <c r="H2255" s="25"/>
      <c r="I2255" s="26"/>
      <c r="J2255" s="141">
        <v>0</v>
      </c>
    </row>
    <row r="2256" spans="1:10" ht="15.75" hidden="1" thickBot="1" x14ac:dyDescent="0.3">
      <c r="A2256" s="226"/>
      <c r="B2256" s="244"/>
      <c r="C2256" s="28"/>
      <c r="D2256" s="28"/>
      <c r="E2256" s="29"/>
      <c r="F2256" s="39" t="s">
        <v>523</v>
      </c>
      <c r="G2256" s="27" t="str">
        <f t="shared" si="36"/>
        <v/>
      </c>
      <c r="H2256" s="31"/>
      <c r="I2256" s="27"/>
      <c r="J2256" s="141">
        <v>0</v>
      </c>
    </row>
    <row r="2257" spans="1:10" ht="15.75" hidden="1" thickBot="1" x14ac:dyDescent="0.3">
      <c r="A2257" s="226"/>
      <c r="B2257" s="244"/>
      <c r="C2257" s="32" t="s">
        <v>23</v>
      </c>
      <c r="D2257" s="32" t="s">
        <v>12</v>
      </c>
      <c r="E2257" s="33">
        <v>0.3</v>
      </c>
      <c r="F2257" s="27">
        <v>18.420500000000001</v>
      </c>
      <c r="G2257" s="30">
        <f t="shared" si="36"/>
        <v>5.5261500000000003</v>
      </c>
      <c r="H2257" s="35">
        <f>SUM(G2257:G2259)</f>
        <v>12.525749999999999</v>
      </c>
      <c r="I2257" s="36"/>
      <c r="J2257" s="141">
        <v>0</v>
      </c>
    </row>
    <row r="2258" spans="1:10" ht="15.75" hidden="1" thickBot="1" x14ac:dyDescent="0.3">
      <c r="A2258" s="226"/>
      <c r="B2258" s="244"/>
      <c r="C2258" s="32" t="s">
        <v>608</v>
      </c>
      <c r="D2258" s="32" t="s">
        <v>12</v>
      </c>
      <c r="E2258" s="33">
        <v>0.3</v>
      </c>
      <c r="F2258" s="27">
        <v>23.331999999999997</v>
      </c>
      <c r="G2258" s="30">
        <f t="shared" si="36"/>
        <v>6.9995999999999992</v>
      </c>
      <c r="H2258" s="41"/>
      <c r="I2258" s="42"/>
      <c r="J2258" s="141">
        <v>0</v>
      </c>
    </row>
    <row r="2259" spans="1:10" ht="26.25" hidden="1" thickBot="1" x14ac:dyDescent="0.3">
      <c r="A2259" s="226"/>
      <c r="B2259" s="244"/>
      <c r="C2259" s="32" t="s">
        <v>700</v>
      </c>
      <c r="D2259" s="43" t="s">
        <v>95</v>
      </c>
      <c r="E2259" s="33">
        <v>1</v>
      </c>
      <c r="F2259" s="30" t="s">
        <v>523</v>
      </c>
      <c r="G2259" s="30" t="str">
        <f t="shared" si="36"/>
        <v/>
      </c>
      <c r="H2259" s="31"/>
      <c r="I2259" s="27"/>
      <c r="J2259" s="141">
        <v>0</v>
      </c>
    </row>
    <row r="2260" spans="1:10" ht="15.75" hidden="1" thickBot="1" x14ac:dyDescent="0.3">
      <c r="A2260" s="227"/>
      <c r="B2260" s="230"/>
      <c r="C2260" s="32"/>
      <c r="D2260" s="32"/>
      <c r="E2260" s="33"/>
      <c r="F2260" s="27" t="s">
        <v>523</v>
      </c>
      <c r="G2260" s="27" t="str">
        <f t="shared" si="36"/>
        <v/>
      </c>
      <c r="H2260" s="31"/>
      <c r="I2260" s="27"/>
      <c r="J2260" s="141">
        <v>0</v>
      </c>
    </row>
    <row r="2261" spans="1:10" ht="15.75" hidden="1" thickBot="1" x14ac:dyDescent="0.3">
      <c r="A2261" s="239" t="s">
        <v>701</v>
      </c>
      <c r="B2261" s="236" t="str">
        <f>INDEX(Orçamentária!A:B,MATCH(Composições!A2261,Orçamentária!A:A,0),2)</f>
        <v>Folha de porta em madeira 2,10x0,60m, pintada</v>
      </c>
      <c r="C2261" s="37"/>
      <c r="D2261" s="22" t="str">
        <f>TRIM(INDEX(Orçamentária!C:C,MATCH(Composições!A2261,Orçamentária!A:A,0),1))</f>
        <v>un</v>
      </c>
      <c r="E2261" s="23"/>
      <c r="F2261" s="38" t="s">
        <v>523</v>
      </c>
      <c r="G2261" s="24" t="str">
        <f t="shared" si="36"/>
        <v/>
      </c>
      <c r="H2261" s="25"/>
      <c r="I2261" s="26"/>
      <c r="J2261" s="141">
        <v>0</v>
      </c>
    </row>
    <row r="2262" spans="1:10" ht="15.75" hidden="1" thickBot="1" x14ac:dyDescent="0.3">
      <c r="A2262" s="240"/>
      <c r="B2262" s="245"/>
      <c r="C2262" s="28"/>
      <c r="D2262" s="28"/>
      <c r="E2262" s="29"/>
      <c r="F2262" s="39" t="s">
        <v>523</v>
      </c>
      <c r="G2262" s="27" t="str">
        <f t="shared" si="36"/>
        <v/>
      </c>
      <c r="H2262" s="31"/>
      <c r="I2262" s="27"/>
      <c r="J2262" s="141">
        <v>0</v>
      </c>
    </row>
    <row r="2263" spans="1:10" ht="51.75" hidden="1" thickBot="1" x14ac:dyDescent="0.3">
      <c r="A2263" s="240"/>
      <c r="B2263" s="245"/>
      <c r="C2263" s="32" t="s">
        <v>3744</v>
      </c>
      <c r="D2263" s="43" t="s">
        <v>280</v>
      </c>
      <c r="E2263" s="33">
        <v>1</v>
      </c>
      <c r="F2263" s="30">
        <v>234.01349999999999</v>
      </c>
      <c r="G2263" s="30">
        <f t="shared" si="36"/>
        <v>234.01349999999999</v>
      </c>
      <c r="H2263" s="35">
        <f>SUM(G2263:G2267)</f>
        <v>326.51734959999999</v>
      </c>
      <c r="I2263" s="36"/>
      <c r="J2263" s="141">
        <v>0</v>
      </c>
    </row>
    <row r="2264" spans="1:10" ht="15.75" hidden="1" thickBot="1" x14ac:dyDescent="0.3">
      <c r="A2264" s="240"/>
      <c r="B2264" s="245"/>
      <c r="C2264" s="32" t="s">
        <v>704</v>
      </c>
      <c r="D2264" s="43" t="s">
        <v>705</v>
      </c>
      <c r="E2264" s="33">
        <f>ROUND(1.282*0.8,4)</f>
        <v>1.0256000000000001</v>
      </c>
      <c r="F2264" s="27">
        <v>23.616999999999997</v>
      </c>
      <c r="G2264" s="30">
        <f t="shared" si="36"/>
        <v>24.221595199999999</v>
      </c>
      <c r="H2264" s="31"/>
      <c r="I2264" s="27"/>
      <c r="J2264" s="141">
        <v>0</v>
      </c>
    </row>
    <row r="2265" spans="1:10" ht="15.75" hidden="1" thickBot="1" x14ac:dyDescent="0.3">
      <c r="A2265" s="240"/>
      <c r="B2265" s="245"/>
      <c r="C2265" s="32" t="s">
        <v>706</v>
      </c>
      <c r="D2265" s="43" t="s">
        <v>705</v>
      </c>
      <c r="E2265" s="33">
        <f>ROUND(0.641*0.8,4)</f>
        <v>0.51280000000000003</v>
      </c>
      <c r="F2265" s="27">
        <v>18.420500000000001</v>
      </c>
      <c r="G2265" s="30">
        <f t="shared" si="36"/>
        <v>9.4460324000000018</v>
      </c>
      <c r="H2265" s="31"/>
      <c r="I2265" s="27"/>
      <c r="J2265" s="141">
        <v>0</v>
      </c>
    </row>
    <row r="2266" spans="1:10" ht="15.75" hidden="1" thickBot="1" x14ac:dyDescent="0.3">
      <c r="A2266" s="240"/>
      <c r="B2266" s="245"/>
      <c r="C2266" s="32" t="s">
        <v>203</v>
      </c>
      <c r="D2266" s="46" t="s">
        <v>102</v>
      </c>
      <c r="E2266" s="33">
        <f>ROUND(0.108*(2*0.6*2.1),4)</f>
        <v>0.2722</v>
      </c>
      <c r="F2266" s="30">
        <v>46.56</v>
      </c>
      <c r="G2266" s="27">
        <f t="shared" si="36"/>
        <v>12.673632000000001</v>
      </c>
      <c r="H2266" s="31"/>
      <c r="I2266" s="27"/>
      <c r="J2266" s="141">
        <v>0</v>
      </c>
    </row>
    <row r="2267" spans="1:10" ht="15.75" hidden="1" thickBot="1" x14ac:dyDescent="0.3">
      <c r="A2267" s="240"/>
      <c r="B2267" s="245"/>
      <c r="C2267" s="32" t="s">
        <v>100</v>
      </c>
      <c r="D2267" s="32" t="s">
        <v>12</v>
      </c>
      <c r="E2267" s="33">
        <f>ROUND(0.7076*(2*0.6*2.1),4)</f>
        <v>1.7831999999999999</v>
      </c>
      <c r="F2267" s="27">
        <v>25.887499999999999</v>
      </c>
      <c r="G2267" s="27">
        <f t="shared" si="36"/>
        <v>46.162589999999994</v>
      </c>
      <c r="H2267" s="31"/>
      <c r="I2267" s="27"/>
      <c r="J2267" s="141">
        <v>0</v>
      </c>
    </row>
    <row r="2268" spans="1:10" ht="15.75" hidden="1" thickBot="1" x14ac:dyDescent="0.3">
      <c r="A2268" s="240"/>
      <c r="B2268" s="245"/>
      <c r="C2268" s="32"/>
      <c r="D2268" s="32"/>
      <c r="E2268" s="33"/>
      <c r="F2268" s="27" t="s">
        <v>523</v>
      </c>
      <c r="G2268" s="27"/>
      <c r="H2268" s="31"/>
      <c r="I2268" s="27"/>
      <c r="J2268" s="141">
        <v>0</v>
      </c>
    </row>
    <row r="2269" spans="1:10" ht="39" hidden="1" thickBot="1" x14ac:dyDescent="0.3">
      <c r="A2269" s="240"/>
      <c r="B2269" s="245"/>
      <c r="C2269" s="48" t="s">
        <v>3396</v>
      </c>
      <c r="D2269" s="32"/>
      <c r="E2269" s="33"/>
      <c r="F2269" s="27" t="s">
        <v>523</v>
      </c>
      <c r="G2269" s="27"/>
      <c r="H2269" s="31"/>
      <c r="I2269" s="27"/>
      <c r="J2269" s="141">
        <v>0</v>
      </c>
    </row>
    <row r="2270" spans="1:10" ht="15.75" hidden="1" thickBot="1" x14ac:dyDescent="0.3">
      <c r="A2270" s="240"/>
      <c r="B2270" s="245"/>
      <c r="C2270" s="32"/>
      <c r="D2270" s="43"/>
      <c r="E2270" s="33"/>
      <c r="F2270" s="30" t="s">
        <v>523</v>
      </c>
      <c r="G2270" s="30" t="str">
        <f t="shared" ref="G2270:G2277" si="37">IF(ISNUMBER(F2270),E2270*F2270,"")</f>
        <v/>
      </c>
      <c r="H2270" s="31"/>
      <c r="I2270" s="27"/>
      <c r="J2270" s="141">
        <v>0</v>
      </c>
    </row>
    <row r="2271" spans="1:10" ht="15.75" hidden="1" thickBot="1" x14ac:dyDescent="0.3">
      <c r="A2271" s="239" t="s">
        <v>707</v>
      </c>
      <c r="B2271" s="236" t="str">
        <f>INDEX(Orçamentária!A:B,MATCH(Composições!A2271,Orçamentária!A:A,0),2)</f>
        <v>Folha de porta em madeira 2,10x0,70m, pintada</v>
      </c>
      <c r="C2271" s="37"/>
      <c r="D2271" s="22" t="str">
        <f>TRIM(INDEX(Orçamentária!C:C,MATCH(Composições!A2271,Orçamentária!A:A,0),1))</f>
        <v>un</v>
      </c>
      <c r="E2271" s="23"/>
      <c r="F2271" s="38" t="s">
        <v>523</v>
      </c>
      <c r="G2271" s="24" t="str">
        <f t="shared" si="37"/>
        <v/>
      </c>
      <c r="H2271" s="25"/>
      <c r="I2271" s="26"/>
      <c r="J2271" s="141">
        <v>0</v>
      </c>
    </row>
    <row r="2272" spans="1:10" ht="15.75" hidden="1" thickBot="1" x14ac:dyDescent="0.3">
      <c r="A2272" s="240"/>
      <c r="B2272" s="245"/>
      <c r="C2272" s="28"/>
      <c r="D2272" s="28"/>
      <c r="E2272" s="29"/>
      <c r="F2272" s="39" t="s">
        <v>523</v>
      </c>
      <c r="G2272" s="27" t="str">
        <f t="shared" si="37"/>
        <v/>
      </c>
      <c r="H2272" s="31"/>
      <c r="I2272" s="27"/>
      <c r="J2272" s="141">
        <v>0</v>
      </c>
    </row>
    <row r="2273" spans="1:10" ht="51.75" hidden="1" thickBot="1" x14ac:dyDescent="0.3">
      <c r="A2273" s="240"/>
      <c r="B2273" s="245"/>
      <c r="C2273" s="32" t="s">
        <v>3739</v>
      </c>
      <c r="D2273" s="43" t="s">
        <v>280</v>
      </c>
      <c r="E2273" s="33">
        <v>1</v>
      </c>
      <c r="F2273" s="30">
        <v>236.54999999999998</v>
      </c>
      <c r="G2273" s="30">
        <f t="shared" si="37"/>
        <v>236.54999999999998</v>
      </c>
      <c r="H2273" s="35">
        <f>SUM(G2273:G2277)</f>
        <v>342.32075144999999</v>
      </c>
      <c r="I2273" s="36"/>
      <c r="J2273" s="141">
        <v>0</v>
      </c>
    </row>
    <row r="2274" spans="1:10" ht="15.75" hidden="1" thickBot="1" x14ac:dyDescent="0.3">
      <c r="A2274" s="240"/>
      <c r="B2274" s="245"/>
      <c r="C2274" s="32" t="s">
        <v>704</v>
      </c>
      <c r="D2274" s="43" t="s">
        <v>705</v>
      </c>
      <c r="E2274" s="33">
        <f>ROUND(1.414*0.8,4)</f>
        <v>1.1312</v>
      </c>
      <c r="F2274" s="27">
        <v>23.616999999999997</v>
      </c>
      <c r="G2274" s="30">
        <f t="shared" si="37"/>
        <v>26.715550399999998</v>
      </c>
      <c r="H2274" s="31"/>
      <c r="I2274" s="27"/>
      <c r="J2274" s="141">
        <v>0</v>
      </c>
    </row>
    <row r="2275" spans="1:10" ht="15.75" hidden="1" thickBot="1" x14ac:dyDescent="0.3">
      <c r="A2275" s="240"/>
      <c r="B2275" s="245"/>
      <c r="C2275" s="32" t="s">
        <v>706</v>
      </c>
      <c r="D2275" s="43" t="s">
        <v>705</v>
      </c>
      <c r="E2275" s="33">
        <f>ROUND(0.707*0.8,4)</f>
        <v>0.56559999999999999</v>
      </c>
      <c r="F2275" s="27">
        <v>18.420500000000001</v>
      </c>
      <c r="G2275" s="30">
        <f t="shared" si="37"/>
        <v>10.4186348</v>
      </c>
      <c r="H2275" s="31"/>
      <c r="I2275" s="27"/>
      <c r="J2275" s="141">
        <v>0</v>
      </c>
    </row>
    <row r="2276" spans="1:10" ht="15.75" hidden="1" thickBot="1" x14ac:dyDescent="0.3">
      <c r="A2276" s="240"/>
      <c r="B2276" s="245"/>
      <c r="C2276" s="32" t="s">
        <v>203</v>
      </c>
      <c r="D2276" s="46" t="s">
        <v>102</v>
      </c>
      <c r="E2276" s="33">
        <f>ROUND(0.108*(2*0.7*2.1),4)</f>
        <v>0.3175</v>
      </c>
      <c r="F2276" s="30">
        <v>46.56</v>
      </c>
      <c r="G2276" s="27">
        <f t="shared" si="37"/>
        <v>14.782800000000002</v>
      </c>
      <c r="H2276" s="31"/>
      <c r="I2276" s="27"/>
      <c r="J2276" s="141">
        <v>0</v>
      </c>
    </row>
    <row r="2277" spans="1:10" ht="15.75" hidden="1" thickBot="1" x14ac:dyDescent="0.3">
      <c r="A2277" s="240"/>
      <c r="B2277" s="245"/>
      <c r="C2277" s="32" t="s">
        <v>100</v>
      </c>
      <c r="D2277" s="32" t="s">
        <v>12</v>
      </c>
      <c r="E2277" s="33">
        <f>ROUND(0.7076*(2*0.7*2.1),4)</f>
        <v>2.0802999999999998</v>
      </c>
      <c r="F2277" s="27">
        <v>25.887499999999999</v>
      </c>
      <c r="G2277" s="27">
        <f t="shared" si="37"/>
        <v>53.853766249999993</v>
      </c>
      <c r="H2277" s="31"/>
      <c r="I2277" s="27"/>
      <c r="J2277" s="141">
        <v>0</v>
      </c>
    </row>
    <row r="2278" spans="1:10" ht="15.75" hidden="1" thickBot="1" x14ac:dyDescent="0.3">
      <c r="A2278" s="240"/>
      <c r="B2278" s="245"/>
      <c r="C2278" s="32"/>
      <c r="D2278" s="32"/>
      <c r="E2278" s="33"/>
      <c r="F2278" s="27" t="s">
        <v>523</v>
      </c>
      <c r="G2278" s="27"/>
      <c r="H2278" s="31"/>
      <c r="I2278" s="27"/>
      <c r="J2278" s="141">
        <v>0</v>
      </c>
    </row>
    <row r="2279" spans="1:10" ht="39" hidden="1" thickBot="1" x14ac:dyDescent="0.3">
      <c r="A2279" s="240"/>
      <c r="B2279" s="245"/>
      <c r="C2279" s="48" t="s">
        <v>3396</v>
      </c>
      <c r="D2279" s="32"/>
      <c r="E2279" s="33"/>
      <c r="F2279" s="27" t="s">
        <v>523</v>
      </c>
      <c r="G2279" s="27"/>
      <c r="H2279" s="31"/>
      <c r="I2279" s="27"/>
      <c r="J2279" s="141">
        <v>0</v>
      </c>
    </row>
    <row r="2280" spans="1:10" ht="15.75" hidden="1" thickBot="1" x14ac:dyDescent="0.3">
      <c r="A2280" s="240"/>
      <c r="B2280" s="245"/>
      <c r="C2280" s="32"/>
      <c r="D2280" s="43"/>
      <c r="E2280" s="33"/>
      <c r="F2280" s="30" t="s">
        <v>523</v>
      </c>
      <c r="G2280" s="30" t="str">
        <f t="shared" ref="G2280:G2287" si="38">IF(ISNUMBER(F2280),E2280*F2280,"")</f>
        <v/>
      </c>
      <c r="H2280" s="31"/>
      <c r="I2280" s="27"/>
      <c r="J2280" s="141">
        <v>0</v>
      </c>
    </row>
    <row r="2281" spans="1:10" ht="15.75" hidden="1" thickBot="1" x14ac:dyDescent="0.3">
      <c r="A2281" s="239" t="s">
        <v>708</v>
      </c>
      <c r="B2281" s="236" t="str">
        <f>INDEX(Orçamentária!A:B,MATCH(Composições!A2281,Orçamentária!A:A,0),2)</f>
        <v>Folha de porta em madeira 2,10x0,80m, pintada</v>
      </c>
      <c r="C2281" s="37"/>
      <c r="D2281" s="22" t="str">
        <f>TRIM(INDEX(Orçamentária!C:C,MATCH(Composições!A2281,Orçamentária!A:A,0),1))</f>
        <v>un</v>
      </c>
      <c r="E2281" s="23"/>
      <c r="F2281" s="38" t="s">
        <v>523</v>
      </c>
      <c r="G2281" s="24" t="str">
        <f t="shared" si="38"/>
        <v/>
      </c>
      <c r="H2281" s="25"/>
      <c r="I2281" s="26"/>
      <c r="J2281" s="141">
        <v>0</v>
      </c>
    </row>
    <row r="2282" spans="1:10" ht="15.75" hidden="1" thickBot="1" x14ac:dyDescent="0.3">
      <c r="A2282" s="240"/>
      <c r="B2282" s="245"/>
      <c r="C2282" s="28"/>
      <c r="D2282" s="28"/>
      <c r="E2282" s="29"/>
      <c r="F2282" s="39" t="s">
        <v>523</v>
      </c>
      <c r="G2282" s="27" t="str">
        <f t="shared" si="38"/>
        <v/>
      </c>
      <c r="H2282" s="31"/>
      <c r="I2282" s="27"/>
      <c r="J2282" s="141">
        <v>0</v>
      </c>
    </row>
    <row r="2283" spans="1:10" ht="51.75" hidden="1" thickBot="1" x14ac:dyDescent="0.3">
      <c r="A2283" s="240"/>
      <c r="B2283" s="245"/>
      <c r="C2283" s="32" t="s">
        <v>3741</v>
      </c>
      <c r="D2283" s="43" t="s">
        <v>280</v>
      </c>
      <c r="E2283" s="33">
        <v>1</v>
      </c>
      <c r="F2283" s="30">
        <v>293.13200000000001</v>
      </c>
      <c r="G2283" s="30">
        <f t="shared" si="38"/>
        <v>293.13200000000001</v>
      </c>
      <c r="H2283" s="35">
        <f>SUM(G2283:G2287)</f>
        <v>412.17689804999998</v>
      </c>
      <c r="I2283" s="36"/>
      <c r="J2283" s="141">
        <v>0</v>
      </c>
    </row>
    <row r="2284" spans="1:10" ht="15.75" hidden="1" thickBot="1" x14ac:dyDescent="0.3">
      <c r="A2284" s="240"/>
      <c r="B2284" s="245"/>
      <c r="C2284" s="32" t="s">
        <v>704</v>
      </c>
      <c r="D2284" s="43" t="s">
        <v>705</v>
      </c>
      <c r="E2284" s="33">
        <f>ROUND(1.546*0.8,4)</f>
        <v>1.2367999999999999</v>
      </c>
      <c r="F2284" s="27">
        <v>23.616999999999997</v>
      </c>
      <c r="G2284" s="30">
        <f t="shared" si="38"/>
        <v>29.209505599999993</v>
      </c>
      <c r="H2284" s="31"/>
      <c r="I2284" s="27"/>
      <c r="J2284" s="141">
        <v>0</v>
      </c>
    </row>
    <row r="2285" spans="1:10" ht="15.75" hidden="1" thickBot="1" x14ac:dyDescent="0.3">
      <c r="A2285" s="240"/>
      <c r="B2285" s="245"/>
      <c r="C2285" s="32" t="s">
        <v>706</v>
      </c>
      <c r="D2285" s="43" t="s">
        <v>705</v>
      </c>
      <c r="E2285" s="33">
        <f>ROUND(0.773*0.8,4)</f>
        <v>0.61839999999999995</v>
      </c>
      <c r="F2285" s="27">
        <v>18.420500000000001</v>
      </c>
      <c r="G2285" s="30">
        <f t="shared" si="38"/>
        <v>11.391237199999999</v>
      </c>
      <c r="H2285" s="31"/>
      <c r="I2285" s="27"/>
      <c r="J2285" s="141">
        <v>0</v>
      </c>
    </row>
    <row r="2286" spans="1:10" ht="15.75" hidden="1" thickBot="1" x14ac:dyDescent="0.3">
      <c r="A2286" s="240"/>
      <c r="B2286" s="245"/>
      <c r="C2286" s="32" t="s">
        <v>203</v>
      </c>
      <c r="D2286" s="46" t="s">
        <v>102</v>
      </c>
      <c r="E2286" s="33">
        <f>ROUND(0.108*(2*0.8*2.1),4)</f>
        <v>0.3629</v>
      </c>
      <c r="F2286" s="30">
        <v>46.56</v>
      </c>
      <c r="G2286" s="27">
        <f t="shared" si="38"/>
        <v>16.896623999999999</v>
      </c>
      <c r="H2286" s="31"/>
      <c r="I2286" s="27"/>
      <c r="J2286" s="141">
        <v>0</v>
      </c>
    </row>
    <row r="2287" spans="1:10" ht="15.75" hidden="1" thickBot="1" x14ac:dyDescent="0.3">
      <c r="A2287" s="240"/>
      <c r="B2287" s="245"/>
      <c r="C2287" s="32" t="s">
        <v>100</v>
      </c>
      <c r="D2287" s="32" t="s">
        <v>12</v>
      </c>
      <c r="E2287" s="33">
        <f>ROUND(0.7076*(2*0.8*2.1),4)</f>
        <v>2.3774999999999999</v>
      </c>
      <c r="F2287" s="27">
        <v>25.887499999999999</v>
      </c>
      <c r="G2287" s="27">
        <f t="shared" si="38"/>
        <v>61.547531249999999</v>
      </c>
      <c r="H2287" s="31"/>
      <c r="I2287" s="27"/>
      <c r="J2287" s="141">
        <v>0</v>
      </c>
    </row>
    <row r="2288" spans="1:10" ht="15.75" hidden="1" thickBot="1" x14ac:dyDescent="0.3">
      <c r="A2288" s="240"/>
      <c r="B2288" s="245"/>
      <c r="C2288" s="32"/>
      <c r="D2288" s="32"/>
      <c r="E2288" s="33"/>
      <c r="F2288" s="27" t="s">
        <v>523</v>
      </c>
      <c r="G2288" s="27"/>
      <c r="H2288" s="31"/>
      <c r="I2288" s="27"/>
      <c r="J2288" s="141">
        <v>0</v>
      </c>
    </row>
    <row r="2289" spans="1:10" ht="39" hidden="1" thickBot="1" x14ac:dyDescent="0.3">
      <c r="A2289" s="240"/>
      <c r="B2289" s="245"/>
      <c r="C2289" s="48" t="s">
        <v>3396</v>
      </c>
      <c r="D2289" s="32"/>
      <c r="E2289" s="33"/>
      <c r="F2289" s="27" t="s">
        <v>523</v>
      </c>
      <c r="G2289" s="27"/>
      <c r="H2289" s="31"/>
      <c r="I2289" s="27"/>
      <c r="J2289" s="141">
        <v>0</v>
      </c>
    </row>
    <row r="2290" spans="1:10" ht="15.75" hidden="1" thickBot="1" x14ac:dyDescent="0.3">
      <c r="A2290" s="240"/>
      <c r="B2290" s="245"/>
      <c r="C2290" s="32"/>
      <c r="D2290" s="43"/>
      <c r="E2290" s="33"/>
      <c r="F2290" s="30" t="s">
        <v>523</v>
      </c>
      <c r="G2290" s="30" t="str">
        <f t="shared" ref="G2290:G2297" si="39">IF(ISNUMBER(F2290),E2290*F2290,"")</f>
        <v/>
      </c>
      <c r="H2290" s="31"/>
      <c r="I2290" s="27"/>
      <c r="J2290" s="141">
        <v>0</v>
      </c>
    </row>
    <row r="2291" spans="1:10" ht="15.75" hidden="1" thickBot="1" x14ac:dyDescent="0.3">
      <c r="A2291" s="239" t="s">
        <v>709</v>
      </c>
      <c r="B2291" s="236" t="str">
        <f>INDEX(Orçamentária!A:B,MATCH(Composições!A2291,Orçamentária!A:A,0),2)</f>
        <v>Folha de porta em madeira 2,10x0,90m, pintada</v>
      </c>
      <c r="C2291" s="37"/>
      <c r="D2291" s="22" t="str">
        <f>TRIM(INDEX(Orçamentária!C:C,MATCH(Composições!A2291,Orçamentária!A:A,0),1))</f>
        <v>un</v>
      </c>
      <c r="E2291" s="23"/>
      <c r="F2291" s="38" t="s">
        <v>523</v>
      </c>
      <c r="G2291" s="24" t="str">
        <f t="shared" si="39"/>
        <v/>
      </c>
      <c r="H2291" s="25"/>
      <c r="I2291" s="26"/>
      <c r="J2291" s="141">
        <v>0</v>
      </c>
    </row>
    <row r="2292" spans="1:10" ht="15.75" hidden="1" thickBot="1" x14ac:dyDescent="0.3">
      <c r="A2292" s="240"/>
      <c r="B2292" s="245"/>
      <c r="C2292" s="28"/>
      <c r="D2292" s="28"/>
      <c r="E2292" s="29"/>
      <c r="F2292" s="39" t="s">
        <v>523</v>
      </c>
      <c r="G2292" s="27" t="str">
        <f t="shared" si="39"/>
        <v/>
      </c>
      <c r="H2292" s="31"/>
      <c r="I2292" s="27"/>
      <c r="J2292" s="141">
        <v>0</v>
      </c>
    </row>
    <row r="2293" spans="1:10" ht="51.75" hidden="1" thickBot="1" x14ac:dyDescent="0.3">
      <c r="A2293" s="240"/>
      <c r="B2293" s="245"/>
      <c r="C2293" s="32" t="s">
        <v>3742</v>
      </c>
      <c r="D2293" s="43" t="s">
        <v>280</v>
      </c>
      <c r="E2293" s="33">
        <v>1</v>
      </c>
      <c r="F2293" s="30">
        <v>335.36899999999997</v>
      </c>
      <c r="G2293" s="30">
        <f t="shared" si="39"/>
        <v>335.36899999999997</v>
      </c>
      <c r="H2293" s="35">
        <f>SUM(G2293:G2297)</f>
        <v>467.68338864999998</v>
      </c>
      <c r="I2293" s="36"/>
      <c r="J2293" s="141">
        <v>0</v>
      </c>
    </row>
    <row r="2294" spans="1:10" ht="15.75" hidden="1" thickBot="1" x14ac:dyDescent="0.3">
      <c r="A2294" s="240"/>
      <c r="B2294" s="245"/>
      <c r="C2294" s="32" t="s">
        <v>704</v>
      </c>
      <c r="D2294" s="43" t="s">
        <v>705</v>
      </c>
      <c r="E2294" s="33">
        <f>ROUND(1.678*0.8,4)</f>
        <v>1.3424</v>
      </c>
      <c r="F2294" s="27">
        <v>23.616999999999997</v>
      </c>
      <c r="G2294" s="30">
        <f t="shared" si="39"/>
        <v>31.703460799999998</v>
      </c>
      <c r="H2294" s="31"/>
      <c r="I2294" s="27"/>
      <c r="J2294" s="141">
        <v>0</v>
      </c>
    </row>
    <row r="2295" spans="1:10" ht="15.75" hidden="1" thickBot="1" x14ac:dyDescent="0.3">
      <c r="A2295" s="240"/>
      <c r="B2295" s="245"/>
      <c r="C2295" s="32" t="s">
        <v>706</v>
      </c>
      <c r="D2295" s="43" t="s">
        <v>705</v>
      </c>
      <c r="E2295" s="33">
        <f>ROUND(0.839*0.8,4)</f>
        <v>0.67120000000000002</v>
      </c>
      <c r="F2295" s="27">
        <v>18.420500000000001</v>
      </c>
      <c r="G2295" s="30">
        <f t="shared" si="39"/>
        <v>12.3638396</v>
      </c>
      <c r="H2295" s="31"/>
      <c r="I2295" s="27"/>
      <c r="J2295" s="141">
        <v>0</v>
      </c>
    </row>
    <row r="2296" spans="1:10" ht="15.75" hidden="1" thickBot="1" x14ac:dyDescent="0.3">
      <c r="A2296" s="240"/>
      <c r="B2296" s="245"/>
      <c r="C2296" s="32" t="s">
        <v>203</v>
      </c>
      <c r="D2296" s="46" t="s">
        <v>102</v>
      </c>
      <c r="E2296" s="33">
        <f>ROUND(0.108*(2*0.9*2.1),4)</f>
        <v>0.40820000000000001</v>
      </c>
      <c r="F2296" s="30">
        <v>46.56</v>
      </c>
      <c r="G2296" s="27">
        <f t="shared" si="39"/>
        <v>19.005792</v>
      </c>
      <c r="H2296" s="31"/>
      <c r="I2296" s="27"/>
      <c r="J2296" s="141">
        <v>0</v>
      </c>
    </row>
    <row r="2297" spans="1:10" ht="15.75" hidden="1" thickBot="1" x14ac:dyDescent="0.3">
      <c r="A2297" s="240"/>
      <c r="B2297" s="245"/>
      <c r="C2297" s="32" t="s">
        <v>100</v>
      </c>
      <c r="D2297" s="32" t="s">
        <v>12</v>
      </c>
      <c r="E2297" s="33">
        <f>ROUND(0.7076*(2*0.9*2.1),4)</f>
        <v>2.6747000000000001</v>
      </c>
      <c r="F2297" s="27">
        <v>25.887499999999999</v>
      </c>
      <c r="G2297" s="27">
        <f t="shared" si="39"/>
        <v>69.241296250000005</v>
      </c>
      <c r="H2297" s="31"/>
      <c r="I2297" s="27"/>
      <c r="J2297" s="141">
        <v>0</v>
      </c>
    </row>
    <row r="2298" spans="1:10" ht="15.75" hidden="1" thickBot="1" x14ac:dyDescent="0.3">
      <c r="A2298" s="240"/>
      <c r="B2298" s="245"/>
      <c r="C2298" s="32"/>
      <c r="D2298" s="32"/>
      <c r="E2298" s="33"/>
      <c r="F2298" s="27" t="s">
        <v>523</v>
      </c>
      <c r="G2298" s="27"/>
      <c r="H2298" s="31"/>
      <c r="I2298" s="27"/>
      <c r="J2298" s="141">
        <v>0</v>
      </c>
    </row>
    <row r="2299" spans="1:10" ht="39" hidden="1" thickBot="1" x14ac:dyDescent="0.3">
      <c r="A2299" s="240"/>
      <c r="B2299" s="245"/>
      <c r="C2299" s="48" t="s">
        <v>3396</v>
      </c>
      <c r="D2299" s="32"/>
      <c r="E2299" s="33"/>
      <c r="F2299" s="27" t="s">
        <v>523</v>
      </c>
      <c r="G2299" s="27"/>
      <c r="H2299" s="31"/>
      <c r="I2299" s="27"/>
      <c r="J2299" s="141">
        <v>0</v>
      </c>
    </row>
    <row r="2300" spans="1:10" ht="15.75" hidden="1" thickBot="1" x14ac:dyDescent="0.3">
      <c r="A2300" s="240"/>
      <c r="B2300" s="245"/>
      <c r="C2300" s="32"/>
      <c r="D2300" s="43"/>
      <c r="E2300" s="33"/>
      <c r="F2300" s="30" t="s">
        <v>523</v>
      </c>
      <c r="G2300" s="30" t="str">
        <f t="shared" ref="G2300:G2307" si="40">IF(ISNUMBER(F2300),E2300*F2300,"")</f>
        <v/>
      </c>
      <c r="H2300" s="31"/>
      <c r="I2300" s="27"/>
      <c r="J2300" s="141">
        <v>0</v>
      </c>
    </row>
    <row r="2301" spans="1:10" ht="15.75" hidden="1" thickBot="1" x14ac:dyDescent="0.3">
      <c r="A2301" s="239" t="s">
        <v>710</v>
      </c>
      <c r="B2301" s="236" t="str">
        <f>INDEX(Orçamentária!A:B,MATCH(Composições!A2301,Orçamentária!A:A,0),2)</f>
        <v>Folha de porta em madeira 2,10x1,0m, pintada</v>
      </c>
      <c r="C2301" s="37"/>
      <c r="D2301" s="22" t="str">
        <f>TRIM(INDEX(Orçamentária!C:C,MATCH(Composições!A2301,Orçamentária!A:A,0),1))</f>
        <v>un</v>
      </c>
      <c r="E2301" s="23"/>
      <c r="F2301" s="38" t="s">
        <v>523</v>
      </c>
      <c r="G2301" s="24" t="str">
        <f t="shared" si="40"/>
        <v/>
      </c>
      <c r="H2301" s="25"/>
      <c r="I2301" s="26"/>
      <c r="J2301" s="141">
        <v>0</v>
      </c>
    </row>
    <row r="2302" spans="1:10" ht="15.75" hidden="1" thickBot="1" x14ac:dyDescent="0.3">
      <c r="A2302" s="240"/>
      <c r="B2302" s="245"/>
      <c r="C2302" s="28"/>
      <c r="D2302" s="28"/>
      <c r="E2302" s="29"/>
      <c r="F2302" s="39" t="s">
        <v>523</v>
      </c>
      <c r="G2302" s="27" t="str">
        <f t="shared" si="40"/>
        <v/>
      </c>
      <c r="H2302" s="31"/>
      <c r="I2302" s="27"/>
      <c r="J2302" s="141">
        <v>0</v>
      </c>
    </row>
    <row r="2303" spans="1:10" ht="51.75" hidden="1" thickBot="1" x14ac:dyDescent="0.3">
      <c r="A2303" s="240"/>
      <c r="B2303" s="245"/>
      <c r="C2303" s="32" t="s">
        <v>3737</v>
      </c>
      <c r="D2303" s="43" t="s">
        <v>280</v>
      </c>
      <c r="E2303" s="33">
        <v>1</v>
      </c>
      <c r="F2303" s="30">
        <v>359.214</v>
      </c>
      <c r="G2303" s="30">
        <f t="shared" si="40"/>
        <v>359.214</v>
      </c>
      <c r="H2303" s="35">
        <f>SUM(G2303:G2307)</f>
        <v>501.33597765000002</v>
      </c>
      <c r="I2303" s="36"/>
      <c r="J2303" s="141">
        <v>0</v>
      </c>
    </row>
    <row r="2304" spans="1:10" ht="15.75" hidden="1" thickBot="1" x14ac:dyDescent="0.3">
      <c r="A2304" s="240"/>
      <c r="B2304" s="245"/>
      <c r="C2304" s="32" t="s">
        <v>704</v>
      </c>
      <c r="D2304" s="43" t="s">
        <v>705</v>
      </c>
      <c r="E2304" s="33">
        <f>ROUND(1.678*0.8,4)</f>
        <v>1.3424</v>
      </c>
      <c r="F2304" s="27">
        <v>23.616999999999997</v>
      </c>
      <c r="G2304" s="30">
        <f t="shared" si="40"/>
        <v>31.703460799999998</v>
      </c>
      <c r="H2304" s="31"/>
      <c r="I2304" s="27"/>
      <c r="J2304" s="141">
        <v>0</v>
      </c>
    </row>
    <row r="2305" spans="1:10" ht="15.75" hidden="1" thickBot="1" x14ac:dyDescent="0.3">
      <c r="A2305" s="240"/>
      <c r="B2305" s="245"/>
      <c r="C2305" s="32" t="s">
        <v>706</v>
      </c>
      <c r="D2305" s="43" t="s">
        <v>705</v>
      </c>
      <c r="E2305" s="33">
        <f>ROUND(0.839*0.8,4)</f>
        <v>0.67120000000000002</v>
      </c>
      <c r="F2305" s="27">
        <v>18.420500000000001</v>
      </c>
      <c r="G2305" s="30">
        <f t="shared" si="40"/>
        <v>12.3638396</v>
      </c>
      <c r="H2305" s="31"/>
      <c r="I2305" s="27"/>
      <c r="J2305" s="141">
        <v>0</v>
      </c>
    </row>
    <row r="2306" spans="1:10" ht="15.75" hidden="1" thickBot="1" x14ac:dyDescent="0.3">
      <c r="A2306" s="240"/>
      <c r="B2306" s="245"/>
      <c r="C2306" s="32" t="s">
        <v>203</v>
      </c>
      <c r="D2306" s="46" t="s">
        <v>102</v>
      </c>
      <c r="E2306" s="33">
        <f>ROUND(0.108*(2*1*2.1),4)</f>
        <v>0.4536</v>
      </c>
      <c r="F2306" s="30">
        <v>46.56</v>
      </c>
      <c r="G2306" s="27">
        <f t="shared" si="40"/>
        <v>21.119616000000001</v>
      </c>
      <c r="H2306" s="31"/>
      <c r="I2306" s="27"/>
      <c r="J2306" s="141">
        <v>0</v>
      </c>
    </row>
    <row r="2307" spans="1:10" ht="15.75" hidden="1" thickBot="1" x14ac:dyDescent="0.3">
      <c r="A2307" s="240"/>
      <c r="B2307" s="245"/>
      <c r="C2307" s="32" t="s">
        <v>100</v>
      </c>
      <c r="D2307" s="32" t="s">
        <v>12</v>
      </c>
      <c r="E2307" s="33">
        <f>ROUND(0.7076*(2*1*2.1),4)</f>
        <v>2.9719000000000002</v>
      </c>
      <c r="F2307" s="27">
        <v>25.887499999999999</v>
      </c>
      <c r="G2307" s="27">
        <f t="shared" si="40"/>
        <v>76.935061250000004</v>
      </c>
      <c r="H2307" s="31"/>
      <c r="I2307" s="27"/>
      <c r="J2307" s="141">
        <v>0</v>
      </c>
    </row>
    <row r="2308" spans="1:10" ht="15.75" hidden="1" thickBot="1" x14ac:dyDescent="0.3">
      <c r="A2308" s="240"/>
      <c r="B2308" s="245"/>
      <c r="C2308" s="32"/>
      <c r="D2308" s="32"/>
      <c r="E2308" s="33"/>
      <c r="F2308" s="27" t="s">
        <v>523</v>
      </c>
      <c r="G2308" s="27"/>
      <c r="H2308" s="31"/>
      <c r="I2308" s="27"/>
      <c r="J2308" s="141">
        <v>0</v>
      </c>
    </row>
    <row r="2309" spans="1:10" ht="39" hidden="1" thickBot="1" x14ac:dyDescent="0.3">
      <c r="A2309" s="240"/>
      <c r="B2309" s="245"/>
      <c r="C2309" s="48" t="s">
        <v>3396</v>
      </c>
      <c r="D2309" s="32"/>
      <c r="E2309" s="33"/>
      <c r="F2309" s="27" t="s">
        <v>523</v>
      </c>
      <c r="G2309" s="27"/>
      <c r="H2309" s="31"/>
      <c r="I2309" s="27"/>
      <c r="J2309" s="141">
        <v>0</v>
      </c>
    </row>
    <row r="2310" spans="1:10" ht="15.75" hidden="1" thickBot="1" x14ac:dyDescent="0.3">
      <c r="A2310" s="240"/>
      <c r="B2310" s="245"/>
      <c r="C2310" s="32"/>
      <c r="D2310" s="43"/>
      <c r="E2310" s="33"/>
      <c r="F2310" s="30" t="s">
        <v>523</v>
      </c>
      <c r="G2310" s="30" t="str">
        <f t="shared" ref="G2310:G2373" si="41">IF(ISNUMBER(F2310),E2310*F2310,"")</f>
        <v/>
      </c>
      <c r="H2310" s="31"/>
      <c r="I2310" s="27"/>
      <c r="J2310" s="141">
        <v>0</v>
      </c>
    </row>
    <row r="2311" spans="1:10" ht="15.75" hidden="1" thickBot="1" x14ac:dyDescent="0.3">
      <c r="A2311" s="239" t="s">
        <v>711</v>
      </c>
      <c r="B2311" s="236" t="str">
        <f>INDEX(Orçamentária!A:B,MATCH(Composições!A2311,Orçamentária!A:A,0),2)</f>
        <v>Instalação de batentes de madeira reaproveitados</v>
      </c>
      <c r="C2311" s="37"/>
      <c r="D2311" s="22" t="str">
        <f>TRIM(INDEX(Orçamentária!C:C,MATCH(Composições!A2311,Orçamentária!A:A,0),1))</f>
        <v>un</v>
      </c>
      <c r="E2311" s="23"/>
      <c r="F2311" s="38" t="s">
        <v>523</v>
      </c>
      <c r="G2311" s="24" t="str">
        <f t="shared" si="41"/>
        <v/>
      </c>
      <c r="H2311" s="25"/>
      <c r="I2311" s="26"/>
      <c r="J2311" s="141">
        <v>0</v>
      </c>
    </row>
    <row r="2312" spans="1:10" ht="15.75" hidden="1" thickBot="1" x14ac:dyDescent="0.3">
      <c r="A2312" s="240"/>
      <c r="B2312" s="245"/>
      <c r="C2312" s="28"/>
      <c r="D2312" s="28"/>
      <c r="E2312" s="29"/>
      <c r="F2312" s="39" t="s">
        <v>523</v>
      </c>
      <c r="G2312" s="27" t="str">
        <f t="shared" si="41"/>
        <v/>
      </c>
      <c r="H2312" s="31"/>
      <c r="I2312" s="27"/>
      <c r="J2312" s="141">
        <v>0</v>
      </c>
    </row>
    <row r="2313" spans="1:10" ht="15.75" hidden="1" thickBot="1" x14ac:dyDescent="0.3">
      <c r="A2313" s="240"/>
      <c r="B2313" s="245"/>
      <c r="C2313" s="32" t="s">
        <v>1450</v>
      </c>
      <c r="D2313" s="43" t="s">
        <v>901</v>
      </c>
      <c r="E2313" s="33">
        <v>1.0999999999999999E-2</v>
      </c>
      <c r="F2313" s="30">
        <v>29.098499999999998</v>
      </c>
      <c r="G2313" s="27">
        <f t="shared" si="41"/>
        <v>0.32008349999999997</v>
      </c>
      <c r="H2313" s="35">
        <f>SUM(G2313:G2316)</f>
        <v>90.580770999999984</v>
      </c>
      <c r="I2313" s="36"/>
      <c r="J2313" s="141">
        <v>0</v>
      </c>
    </row>
    <row r="2314" spans="1:10" ht="15.75" hidden="1" thickBot="1" x14ac:dyDescent="0.3">
      <c r="A2314" s="240"/>
      <c r="B2314" s="245"/>
      <c r="C2314" s="32" t="s">
        <v>98</v>
      </c>
      <c r="D2314" s="46" t="s">
        <v>901</v>
      </c>
      <c r="E2314" s="33">
        <v>2.4E-2</v>
      </c>
      <c r="F2314" s="30">
        <v>22.077999999999996</v>
      </c>
      <c r="G2314" s="27">
        <f t="shared" si="41"/>
        <v>0.5298719999999999</v>
      </c>
      <c r="H2314" s="31"/>
      <c r="I2314" s="27"/>
      <c r="J2314" s="141">
        <v>0</v>
      </c>
    </row>
    <row r="2315" spans="1:10" ht="15.75" hidden="1" thickBot="1" x14ac:dyDescent="0.3">
      <c r="A2315" s="240"/>
      <c r="B2315" s="245"/>
      <c r="C2315" s="32" t="s">
        <v>704</v>
      </c>
      <c r="D2315" s="43" t="s">
        <v>705</v>
      </c>
      <c r="E2315" s="33">
        <v>2.7410000000000001</v>
      </c>
      <c r="F2315" s="27">
        <v>23.616999999999997</v>
      </c>
      <c r="G2315" s="27">
        <f t="shared" si="41"/>
        <v>64.734196999999995</v>
      </c>
      <c r="H2315" s="31"/>
      <c r="I2315" s="27"/>
      <c r="J2315" s="141">
        <v>0</v>
      </c>
    </row>
    <row r="2316" spans="1:10" ht="15.75" hidden="1" thickBot="1" x14ac:dyDescent="0.3">
      <c r="A2316" s="240"/>
      <c r="B2316" s="245"/>
      <c r="C2316" s="32" t="s">
        <v>706</v>
      </c>
      <c r="D2316" s="43" t="s">
        <v>705</v>
      </c>
      <c r="E2316" s="33">
        <v>1.357</v>
      </c>
      <c r="F2316" s="27">
        <v>18.420500000000001</v>
      </c>
      <c r="G2316" s="27">
        <f t="shared" si="41"/>
        <v>24.9966185</v>
      </c>
      <c r="H2316" s="31"/>
      <c r="I2316" s="27"/>
      <c r="J2316" s="141">
        <v>0</v>
      </c>
    </row>
    <row r="2317" spans="1:10" ht="15.75" hidden="1" thickBot="1" x14ac:dyDescent="0.3">
      <c r="A2317" s="240"/>
      <c r="B2317" s="245"/>
      <c r="C2317" s="32"/>
      <c r="D2317" s="32"/>
      <c r="E2317" s="33"/>
      <c r="F2317" s="27" t="s">
        <v>523</v>
      </c>
      <c r="G2317" s="30" t="str">
        <f t="shared" si="41"/>
        <v/>
      </c>
      <c r="H2317" s="31"/>
      <c r="I2317" s="27"/>
      <c r="J2317" s="141">
        <v>0</v>
      </c>
    </row>
    <row r="2318" spans="1:10" ht="15.75" hidden="1" thickBot="1" x14ac:dyDescent="0.3">
      <c r="A2318" s="239" t="s">
        <v>712</v>
      </c>
      <c r="B2318" s="236" t="str">
        <f>INDEX(Orçamentária!A:B,MATCH(Composições!A2318,Orçamentária!A:A,0),2)</f>
        <v>Instalação de folhas de portas e dobradiças reaproveitadas</v>
      </c>
      <c r="C2318" s="37"/>
      <c r="D2318" s="22" t="str">
        <f>TRIM(INDEX(Orçamentária!C:C,MATCH(Composições!A2318,Orçamentária!A:A,0),1))</f>
        <v>un</v>
      </c>
      <c r="E2318" s="23"/>
      <c r="F2318" s="38" t="s">
        <v>523</v>
      </c>
      <c r="G2318" s="24" t="str">
        <f t="shared" si="41"/>
        <v/>
      </c>
      <c r="H2318" s="25"/>
      <c r="I2318" s="26"/>
      <c r="J2318" s="141">
        <v>0</v>
      </c>
    </row>
    <row r="2319" spans="1:10" ht="15.75" hidden="1" thickBot="1" x14ac:dyDescent="0.3">
      <c r="A2319" s="240"/>
      <c r="B2319" s="245"/>
      <c r="C2319" s="28"/>
      <c r="D2319" s="28"/>
      <c r="E2319" s="29"/>
      <c r="F2319" s="39" t="s">
        <v>523</v>
      </c>
      <c r="G2319" s="30" t="str">
        <f t="shared" si="41"/>
        <v/>
      </c>
      <c r="H2319" s="31"/>
      <c r="I2319" s="27"/>
      <c r="J2319" s="141">
        <v>0</v>
      </c>
    </row>
    <row r="2320" spans="1:10" ht="26.25" hidden="1" thickBot="1" x14ac:dyDescent="0.3">
      <c r="A2320" s="240"/>
      <c r="B2320" s="245"/>
      <c r="C2320" s="32" t="s">
        <v>703</v>
      </c>
      <c r="D2320" s="32" t="s">
        <v>280</v>
      </c>
      <c r="E2320" s="33">
        <v>19.8</v>
      </c>
      <c r="F2320" s="27">
        <v>9.5000000000000001E-2</v>
      </c>
      <c r="G2320" s="30">
        <f t="shared" si="41"/>
        <v>1.881</v>
      </c>
      <c r="H2320" s="35">
        <f>SUM(G2320:G2323)</f>
        <v>66.127115500000002</v>
      </c>
      <c r="I2320" s="36"/>
      <c r="J2320" s="141">
        <v>0</v>
      </c>
    </row>
    <row r="2321" spans="1:10" ht="15.75" hidden="1" thickBot="1" x14ac:dyDescent="0.3">
      <c r="A2321" s="240"/>
      <c r="B2321" s="245"/>
      <c r="C2321" s="32" t="s">
        <v>704</v>
      </c>
      <c r="D2321" s="32" t="s">
        <v>705</v>
      </c>
      <c r="E2321" s="33">
        <v>1.546</v>
      </c>
      <c r="F2321" s="27">
        <v>23.616999999999997</v>
      </c>
      <c r="G2321" s="30">
        <f t="shared" si="41"/>
        <v>36.511882</v>
      </c>
      <c r="H2321" s="31"/>
      <c r="I2321" s="27"/>
      <c r="J2321" s="141">
        <v>0</v>
      </c>
    </row>
    <row r="2322" spans="1:10" ht="15.75" hidden="1" thickBot="1" x14ac:dyDescent="0.3">
      <c r="A2322" s="240"/>
      <c r="B2322" s="245"/>
      <c r="C2322" s="32" t="s">
        <v>713</v>
      </c>
      <c r="D2322" s="32" t="s">
        <v>705</v>
      </c>
      <c r="E2322" s="33">
        <v>0.221</v>
      </c>
      <c r="F2322" s="27">
        <v>24.889999999999997</v>
      </c>
      <c r="G2322" s="30">
        <f t="shared" si="41"/>
        <v>5.5006899999999996</v>
      </c>
      <c r="H2322" s="31"/>
      <c r="I2322" s="27"/>
      <c r="J2322" s="141">
        <v>0</v>
      </c>
    </row>
    <row r="2323" spans="1:10" ht="15.75" hidden="1" thickBot="1" x14ac:dyDescent="0.3">
      <c r="A2323" s="240"/>
      <c r="B2323" s="245"/>
      <c r="C2323" s="32" t="s">
        <v>706</v>
      </c>
      <c r="D2323" s="32" t="s">
        <v>705</v>
      </c>
      <c r="E2323" s="33">
        <v>1.2070000000000001</v>
      </c>
      <c r="F2323" s="27">
        <v>18.420500000000001</v>
      </c>
      <c r="G2323" s="30">
        <f t="shared" si="41"/>
        <v>22.233543500000003</v>
      </c>
      <c r="H2323" s="31"/>
      <c r="I2323" s="27"/>
      <c r="J2323" s="141">
        <v>0</v>
      </c>
    </row>
    <row r="2324" spans="1:10" ht="15.75" hidden="1" thickBot="1" x14ac:dyDescent="0.3">
      <c r="A2324" s="240"/>
      <c r="B2324" s="245"/>
      <c r="C2324" s="32"/>
      <c r="D2324" s="32"/>
      <c r="E2324" s="33"/>
      <c r="F2324" s="27" t="s">
        <v>523</v>
      </c>
      <c r="G2324" s="30" t="str">
        <f t="shared" si="41"/>
        <v/>
      </c>
      <c r="H2324" s="31"/>
      <c r="I2324" s="27"/>
      <c r="J2324" s="141">
        <v>0</v>
      </c>
    </row>
    <row r="2325" spans="1:10" ht="15.75" hidden="1" thickBot="1" x14ac:dyDescent="0.3">
      <c r="A2325" s="225" t="s">
        <v>714</v>
      </c>
      <c r="B2325" s="228" t="str">
        <f>INDEX(Orçamentária!A:B,MATCH(Composições!A2325,Orçamentária!A:A,0),2)</f>
        <v>Dobradiça para porta</v>
      </c>
      <c r="C2325" s="37"/>
      <c r="D2325" s="22" t="str">
        <f>TRIM(INDEX(Orçamentária!C:C,MATCH(Composições!A2325,Orçamentária!A:A,0),1))</f>
        <v>un</v>
      </c>
      <c r="E2325" s="23"/>
      <c r="F2325" s="38" t="s">
        <v>523</v>
      </c>
      <c r="G2325" s="24" t="str">
        <f t="shared" si="41"/>
        <v/>
      </c>
      <c r="H2325" s="25"/>
      <c r="I2325" s="26"/>
      <c r="J2325" s="141">
        <v>0</v>
      </c>
    </row>
    <row r="2326" spans="1:10" ht="15.75" hidden="1" thickBot="1" x14ac:dyDescent="0.3">
      <c r="A2326" s="226"/>
      <c r="B2326" s="244"/>
      <c r="C2326" s="28"/>
      <c r="D2326" s="28"/>
      <c r="E2326" s="29"/>
      <c r="F2326" s="39" t="s">
        <v>523</v>
      </c>
      <c r="G2326" s="30" t="str">
        <f t="shared" si="41"/>
        <v/>
      </c>
      <c r="H2326" s="31"/>
      <c r="I2326" s="27"/>
      <c r="J2326" s="141">
        <v>0</v>
      </c>
    </row>
    <row r="2327" spans="1:10" ht="26.25" hidden="1" thickBot="1" x14ac:dyDescent="0.3">
      <c r="A2327" s="226"/>
      <c r="B2327" s="244"/>
      <c r="C2327" s="32" t="s">
        <v>702</v>
      </c>
      <c r="D2327" s="43" t="s">
        <v>280</v>
      </c>
      <c r="E2327" s="33">
        <v>1</v>
      </c>
      <c r="F2327" s="30">
        <v>19.541499999999999</v>
      </c>
      <c r="G2327" s="30">
        <f t="shared" si="41"/>
        <v>19.541499999999999</v>
      </c>
      <c r="H2327" s="35">
        <f>SUM(G2327:G2329)</f>
        <v>49.611260999999999</v>
      </c>
      <c r="I2327" s="36"/>
      <c r="J2327" s="141">
        <v>0</v>
      </c>
    </row>
    <row r="2328" spans="1:10" ht="15.75" hidden="1" thickBot="1" x14ac:dyDescent="0.3">
      <c r="A2328" s="226"/>
      <c r="B2328" s="244"/>
      <c r="C2328" s="32" t="s">
        <v>706</v>
      </c>
      <c r="D2328" s="43" t="s">
        <v>12</v>
      </c>
      <c r="E2328" s="33">
        <v>0.45800000000000002</v>
      </c>
      <c r="F2328" s="27">
        <v>18.420500000000001</v>
      </c>
      <c r="G2328" s="30">
        <f t="shared" si="41"/>
        <v>8.4365890000000014</v>
      </c>
      <c r="H2328" s="31"/>
      <c r="I2328" s="27"/>
      <c r="J2328" s="141">
        <v>0</v>
      </c>
    </row>
    <row r="2329" spans="1:10" ht="15.75" hidden="1" thickBot="1" x14ac:dyDescent="0.3">
      <c r="A2329" s="226"/>
      <c r="B2329" s="244"/>
      <c r="C2329" s="32" t="s">
        <v>44</v>
      </c>
      <c r="D2329" s="43" t="s">
        <v>12</v>
      </c>
      <c r="E2329" s="33">
        <v>0.91600000000000004</v>
      </c>
      <c r="F2329" s="27">
        <v>23.616999999999997</v>
      </c>
      <c r="G2329" s="30">
        <f t="shared" si="41"/>
        <v>21.633171999999998</v>
      </c>
      <c r="H2329" s="31"/>
      <c r="I2329" s="27"/>
      <c r="J2329" s="141">
        <v>0</v>
      </c>
    </row>
    <row r="2330" spans="1:10" ht="15.75" hidden="1" thickBot="1" x14ac:dyDescent="0.3">
      <c r="A2330" s="227"/>
      <c r="B2330" s="230"/>
      <c r="C2330" s="32"/>
      <c r="D2330" s="32"/>
      <c r="E2330" s="33"/>
      <c r="F2330" s="27" t="s">
        <v>523</v>
      </c>
      <c r="G2330" s="30" t="str">
        <f t="shared" si="41"/>
        <v/>
      </c>
      <c r="H2330" s="31"/>
      <c r="I2330" s="27"/>
      <c r="J2330" s="141">
        <v>0</v>
      </c>
    </row>
    <row r="2331" spans="1:10" ht="15.75" hidden="1" thickBot="1" x14ac:dyDescent="0.3">
      <c r="A2331" s="225" t="s">
        <v>715</v>
      </c>
      <c r="B2331" s="228" t="str">
        <f>INDEX(Orçamentária!A:B,MATCH(Composições!A2331,Orçamentária!A:A,0),2)</f>
        <v>Fechadura para banheiro maçaneta em barra</v>
      </c>
      <c r="C2331" s="37"/>
      <c r="D2331" s="22" t="str">
        <f>TRIM(INDEX(Orçamentária!C:C,MATCH(Composições!A2331,Orçamentária!A:A,0),1))</f>
        <v>un</v>
      </c>
      <c r="E2331" s="23"/>
      <c r="F2331" s="38" t="s">
        <v>523</v>
      </c>
      <c r="G2331" s="24" t="str">
        <f t="shared" si="41"/>
        <v/>
      </c>
      <c r="H2331" s="25"/>
      <c r="I2331" s="26"/>
      <c r="J2331" s="141">
        <v>0</v>
      </c>
    </row>
    <row r="2332" spans="1:10" ht="15.75" hidden="1" thickBot="1" x14ac:dyDescent="0.3">
      <c r="A2332" s="226"/>
      <c r="B2332" s="244"/>
      <c r="C2332" s="28"/>
      <c r="D2332" s="28"/>
      <c r="E2332" s="29"/>
      <c r="F2332" s="39" t="s">
        <v>523</v>
      </c>
      <c r="G2332" s="30" t="str">
        <f t="shared" si="41"/>
        <v/>
      </c>
      <c r="H2332" s="31"/>
      <c r="I2332" s="27"/>
      <c r="J2332" s="141">
        <v>0</v>
      </c>
    </row>
    <row r="2333" spans="1:10" ht="39" hidden="1" thickBot="1" x14ac:dyDescent="0.3">
      <c r="A2333" s="226"/>
      <c r="B2333" s="244"/>
      <c r="C2333" s="32" t="s">
        <v>716</v>
      </c>
      <c r="D2333" s="43" t="s">
        <v>144</v>
      </c>
      <c r="E2333" s="33">
        <v>1</v>
      </c>
      <c r="F2333" s="30" t="s">
        <v>523</v>
      </c>
      <c r="G2333" s="30" t="str">
        <f t="shared" si="41"/>
        <v/>
      </c>
      <c r="H2333" s="35">
        <f>SUM(G2333:G2335)</f>
        <v>25.187711</v>
      </c>
      <c r="I2333" s="36"/>
      <c r="J2333" s="141">
        <v>0</v>
      </c>
    </row>
    <row r="2334" spans="1:10" ht="15.75" hidden="1" thickBot="1" x14ac:dyDescent="0.3">
      <c r="A2334" s="226"/>
      <c r="B2334" s="244"/>
      <c r="C2334" s="32" t="s">
        <v>44</v>
      </c>
      <c r="D2334" s="43" t="s">
        <v>12</v>
      </c>
      <c r="E2334" s="33">
        <v>0.76700000000000002</v>
      </c>
      <c r="F2334" s="27">
        <v>23.616999999999997</v>
      </c>
      <c r="G2334" s="30">
        <f t="shared" si="41"/>
        <v>18.114238999999998</v>
      </c>
      <c r="H2334" s="31"/>
      <c r="I2334" s="27"/>
      <c r="J2334" s="141">
        <v>0</v>
      </c>
    </row>
    <row r="2335" spans="1:10" ht="15.75" hidden="1" thickBot="1" x14ac:dyDescent="0.3">
      <c r="A2335" s="226"/>
      <c r="B2335" s="244"/>
      <c r="C2335" s="32" t="s">
        <v>23</v>
      </c>
      <c r="D2335" s="43" t="s">
        <v>12</v>
      </c>
      <c r="E2335" s="33">
        <v>0.38400000000000001</v>
      </c>
      <c r="F2335" s="27">
        <v>18.420500000000001</v>
      </c>
      <c r="G2335" s="30">
        <f t="shared" si="41"/>
        <v>7.0734720000000006</v>
      </c>
      <c r="H2335" s="31"/>
      <c r="I2335" s="27"/>
      <c r="J2335" s="141">
        <v>0</v>
      </c>
    </row>
    <row r="2336" spans="1:10" ht="15.75" hidden="1" thickBot="1" x14ac:dyDescent="0.3">
      <c r="A2336" s="227"/>
      <c r="B2336" s="230"/>
      <c r="C2336" s="32"/>
      <c r="D2336" s="32"/>
      <c r="E2336" s="33"/>
      <c r="F2336" s="27" t="s">
        <v>523</v>
      </c>
      <c r="G2336" s="30" t="str">
        <f t="shared" si="41"/>
        <v/>
      </c>
      <c r="H2336" s="31"/>
      <c r="I2336" s="27"/>
      <c r="J2336" s="141">
        <v>0</v>
      </c>
    </row>
    <row r="2337" spans="1:10" ht="15.75" hidden="1" thickBot="1" x14ac:dyDescent="0.3">
      <c r="A2337" s="225" t="s">
        <v>717</v>
      </c>
      <c r="B2337" s="228" t="str">
        <f>INDEX(Orçamentária!A:B,MATCH(Composições!A2337,Orçamentária!A:A,0),2)</f>
        <v>Fechadura para porta externa maçaneta em barra</v>
      </c>
      <c r="C2337" s="37"/>
      <c r="D2337" s="22" t="str">
        <f>TRIM(INDEX(Orçamentária!C:C,MATCH(Composições!A2337,Orçamentária!A:A,0),1))</f>
        <v>un</v>
      </c>
      <c r="E2337" s="23"/>
      <c r="F2337" s="38" t="s">
        <v>523</v>
      </c>
      <c r="G2337" s="24" t="str">
        <f t="shared" si="41"/>
        <v/>
      </c>
      <c r="H2337" s="25"/>
      <c r="I2337" s="26"/>
      <c r="J2337" s="141">
        <v>0</v>
      </c>
    </row>
    <row r="2338" spans="1:10" ht="15.75" hidden="1" thickBot="1" x14ac:dyDescent="0.3">
      <c r="A2338" s="226"/>
      <c r="B2338" s="244"/>
      <c r="C2338" s="28"/>
      <c r="D2338" s="28"/>
      <c r="E2338" s="29"/>
      <c r="F2338" s="39" t="s">
        <v>523</v>
      </c>
      <c r="G2338" s="30" t="str">
        <f t="shared" si="41"/>
        <v/>
      </c>
      <c r="H2338" s="31"/>
      <c r="I2338" s="27"/>
      <c r="J2338" s="141">
        <v>0</v>
      </c>
    </row>
    <row r="2339" spans="1:10" ht="39" hidden="1" thickBot="1" x14ac:dyDescent="0.3">
      <c r="A2339" s="226"/>
      <c r="B2339" s="244"/>
      <c r="C2339" s="32" t="s">
        <v>718</v>
      </c>
      <c r="D2339" s="43" t="s">
        <v>144</v>
      </c>
      <c r="E2339" s="33">
        <v>1</v>
      </c>
      <c r="F2339" s="30" t="s">
        <v>523</v>
      </c>
      <c r="G2339" s="30" t="str">
        <f t="shared" si="41"/>
        <v/>
      </c>
      <c r="H2339" s="35">
        <f>SUM(G2339:G2341)</f>
        <v>32.8929045</v>
      </c>
      <c r="I2339" s="36"/>
      <c r="J2339" s="141">
        <v>0</v>
      </c>
    </row>
    <row r="2340" spans="1:10" ht="15.75" hidden="1" thickBot="1" x14ac:dyDescent="0.3">
      <c r="A2340" s="226"/>
      <c r="B2340" s="244"/>
      <c r="C2340" s="32" t="s">
        <v>44</v>
      </c>
      <c r="D2340" s="43" t="s">
        <v>12</v>
      </c>
      <c r="E2340" s="33">
        <v>1.002</v>
      </c>
      <c r="F2340" s="27">
        <v>23.616999999999997</v>
      </c>
      <c r="G2340" s="30">
        <f t="shared" si="41"/>
        <v>23.664233999999997</v>
      </c>
      <c r="H2340" s="31"/>
      <c r="I2340" s="27"/>
      <c r="J2340" s="141">
        <v>0</v>
      </c>
    </row>
    <row r="2341" spans="1:10" ht="15.75" hidden="1" thickBot="1" x14ac:dyDescent="0.3">
      <c r="A2341" s="226"/>
      <c r="B2341" s="244"/>
      <c r="C2341" s="32" t="s">
        <v>23</v>
      </c>
      <c r="D2341" s="43" t="s">
        <v>12</v>
      </c>
      <c r="E2341" s="33">
        <v>0.501</v>
      </c>
      <c r="F2341" s="27">
        <v>18.420500000000001</v>
      </c>
      <c r="G2341" s="30">
        <f t="shared" si="41"/>
        <v>9.2286704999999998</v>
      </c>
      <c r="H2341" s="31"/>
      <c r="I2341" s="27"/>
      <c r="J2341" s="141">
        <v>0</v>
      </c>
    </row>
    <row r="2342" spans="1:10" ht="15.75" hidden="1" thickBot="1" x14ac:dyDescent="0.3">
      <c r="A2342" s="227"/>
      <c r="B2342" s="230"/>
      <c r="C2342" s="32"/>
      <c r="D2342" s="32"/>
      <c r="E2342" s="33"/>
      <c r="F2342" s="27" t="s">
        <v>523</v>
      </c>
      <c r="G2342" s="30" t="str">
        <f t="shared" si="41"/>
        <v/>
      </c>
      <c r="H2342" s="31"/>
      <c r="I2342" s="27"/>
      <c r="J2342" s="141">
        <v>0</v>
      </c>
    </row>
    <row r="2343" spans="1:10" ht="15.75" hidden="1" thickBot="1" x14ac:dyDescent="0.3">
      <c r="A2343" s="225" t="s">
        <v>719</v>
      </c>
      <c r="B2343" s="228" t="str">
        <f>INDEX(Orçamentária!A:B,MATCH(Composições!A2343,Orçamentária!A:A,0),2)</f>
        <v>Fechadura para porta interna maçaneta tubular</v>
      </c>
      <c r="C2343" s="37"/>
      <c r="D2343" s="22" t="str">
        <f>TRIM(INDEX(Orçamentária!C:C,MATCH(Composições!A2343,Orçamentária!A:A,0),1))</f>
        <v>un</v>
      </c>
      <c r="E2343" s="23"/>
      <c r="F2343" s="38" t="s">
        <v>523</v>
      </c>
      <c r="G2343" s="24" t="str">
        <f t="shared" si="41"/>
        <v/>
      </c>
      <c r="H2343" s="25"/>
      <c r="I2343" s="26"/>
      <c r="J2343" s="141">
        <v>0</v>
      </c>
    </row>
    <row r="2344" spans="1:10" ht="15.75" hidden="1" thickBot="1" x14ac:dyDescent="0.3">
      <c r="A2344" s="226"/>
      <c r="B2344" s="244"/>
      <c r="C2344" s="28"/>
      <c r="D2344" s="28"/>
      <c r="E2344" s="29"/>
      <c r="F2344" s="39" t="s">
        <v>523</v>
      </c>
      <c r="G2344" s="30" t="str">
        <f t="shared" si="41"/>
        <v/>
      </c>
      <c r="H2344" s="31"/>
      <c r="I2344" s="27"/>
      <c r="J2344" s="141">
        <v>0</v>
      </c>
    </row>
    <row r="2345" spans="1:10" ht="39" hidden="1" thickBot="1" x14ac:dyDescent="0.3">
      <c r="A2345" s="226"/>
      <c r="B2345" s="244"/>
      <c r="C2345" s="32" t="s">
        <v>720</v>
      </c>
      <c r="D2345" s="43" t="s">
        <v>144</v>
      </c>
      <c r="E2345" s="33">
        <v>1</v>
      </c>
      <c r="F2345" s="30" t="s">
        <v>523</v>
      </c>
      <c r="G2345" s="30" t="str">
        <f t="shared" si="41"/>
        <v/>
      </c>
      <c r="H2345" s="35">
        <f>SUM(G2345:G2347)</f>
        <v>32.8929045</v>
      </c>
      <c r="I2345" s="36"/>
      <c r="J2345" s="141">
        <v>0</v>
      </c>
    </row>
    <row r="2346" spans="1:10" ht="15.75" hidden="1" thickBot="1" x14ac:dyDescent="0.3">
      <c r="A2346" s="226"/>
      <c r="B2346" s="244"/>
      <c r="C2346" s="32" t="s">
        <v>44</v>
      </c>
      <c r="D2346" s="43" t="s">
        <v>12</v>
      </c>
      <c r="E2346" s="33">
        <v>1.002</v>
      </c>
      <c r="F2346" s="27">
        <v>23.616999999999997</v>
      </c>
      <c r="G2346" s="30">
        <f t="shared" si="41"/>
        <v>23.664233999999997</v>
      </c>
      <c r="H2346" s="31"/>
      <c r="I2346" s="27"/>
      <c r="J2346" s="141">
        <v>0</v>
      </c>
    </row>
    <row r="2347" spans="1:10" ht="15.75" hidden="1" thickBot="1" x14ac:dyDescent="0.3">
      <c r="A2347" s="226"/>
      <c r="B2347" s="244"/>
      <c r="C2347" s="32" t="s">
        <v>23</v>
      </c>
      <c r="D2347" s="43" t="s">
        <v>12</v>
      </c>
      <c r="E2347" s="33">
        <v>0.501</v>
      </c>
      <c r="F2347" s="27">
        <v>18.420500000000001</v>
      </c>
      <c r="G2347" s="30">
        <f t="shared" si="41"/>
        <v>9.2286704999999998</v>
      </c>
      <c r="H2347" s="31"/>
      <c r="I2347" s="27"/>
      <c r="J2347" s="141">
        <v>0</v>
      </c>
    </row>
    <row r="2348" spans="1:10" ht="15.75" hidden="1" thickBot="1" x14ac:dyDescent="0.3">
      <c r="A2348" s="227"/>
      <c r="B2348" s="230"/>
      <c r="C2348" s="32"/>
      <c r="D2348" s="32"/>
      <c r="E2348" s="33"/>
      <c r="F2348" s="27" t="s">
        <v>523</v>
      </c>
      <c r="G2348" s="30" t="str">
        <f t="shared" si="41"/>
        <v/>
      </c>
      <c r="H2348" s="31"/>
      <c r="I2348" s="27"/>
      <c r="J2348" s="141">
        <v>0</v>
      </c>
    </row>
    <row r="2349" spans="1:10" ht="15.75" hidden="1" thickBot="1" x14ac:dyDescent="0.3">
      <c r="A2349" s="225" t="s">
        <v>721</v>
      </c>
      <c r="B2349" s="228" t="str">
        <f>INDEX(Orçamentária!A:B,MATCH(Composições!A2349,Orçamentária!A:A,0),2)</f>
        <v>Instalação de fechadura/puxador de porta reaproveitados</v>
      </c>
      <c r="C2349" s="37"/>
      <c r="D2349" s="22" t="str">
        <f>TRIM(INDEX(Orçamentária!C:C,MATCH(Composições!A2349,Orçamentária!A:A,0),1))</f>
        <v>un</v>
      </c>
      <c r="E2349" s="23"/>
      <c r="F2349" s="38" t="s">
        <v>523</v>
      </c>
      <c r="G2349" s="24" t="str">
        <f t="shared" si="41"/>
        <v/>
      </c>
      <c r="H2349" s="25"/>
      <c r="I2349" s="26"/>
      <c r="J2349" s="141">
        <v>0</v>
      </c>
    </row>
    <row r="2350" spans="1:10" ht="15.75" hidden="1" thickBot="1" x14ac:dyDescent="0.3">
      <c r="A2350" s="226"/>
      <c r="B2350" s="244"/>
      <c r="C2350" s="28"/>
      <c r="D2350" s="28"/>
      <c r="E2350" s="29"/>
      <c r="F2350" s="39" t="s">
        <v>523</v>
      </c>
      <c r="G2350" s="30" t="str">
        <f t="shared" si="41"/>
        <v/>
      </c>
      <c r="H2350" s="31"/>
      <c r="I2350" s="27"/>
      <c r="J2350" s="141">
        <v>0</v>
      </c>
    </row>
    <row r="2351" spans="1:10" ht="15.75" hidden="1" thickBot="1" x14ac:dyDescent="0.3">
      <c r="A2351" s="226"/>
      <c r="B2351" s="244"/>
      <c r="C2351" s="32" t="s">
        <v>44</v>
      </c>
      <c r="D2351" s="32" t="s">
        <v>12</v>
      </c>
      <c r="E2351" s="33">
        <v>1.002</v>
      </c>
      <c r="F2351" s="27">
        <v>23.616999999999997</v>
      </c>
      <c r="G2351" s="30">
        <f t="shared" si="41"/>
        <v>23.664233999999997</v>
      </c>
      <c r="H2351" s="35">
        <f>SUM(G2351:G2352)</f>
        <v>32.8929045</v>
      </c>
      <c r="I2351" s="36"/>
      <c r="J2351" s="141">
        <v>0</v>
      </c>
    </row>
    <row r="2352" spans="1:10" ht="15.75" hidden="1" thickBot="1" x14ac:dyDescent="0.3">
      <c r="A2352" s="226"/>
      <c r="B2352" s="244"/>
      <c r="C2352" s="32" t="s">
        <v>23</v>
      </c>
      <c r="D2352" s="32" t="s">
        <v>12</v>
      </c>
      <c r="E2352" s="33">
        <v>0.501</v>
      </c>
      <c r="F2352" s="27">
        <v>18.420500000000001</v>
      </c>
      <c r="G2352" s="30">
        <f t="shared" si="41"/>
        <v>9.2286704999999998</v>
      </c>
      <c r="H2352" s="31"/>
      <c r="I2352" s="27"/>
      <c r="J2352" s="141">
        <v>0</v>
      </c>
    </row>
    <row r="2353" spans="1:10" ht="15.75" hidden="1" thickBot="1" x14ac:dyDescent="0.3">
      <c r="A2353" s="227"/>
      <c r="B2353" s="230"/>
      <c r="C2353" s="32"/>
      <c r="D2353" s="32"/>
      <c r="E2353" s="33"/>
      <c r="F2353" s="27" t="s">
        <v>523</v>
      </c>
      <c r="G2353" s="30" t="str">
        <f t="shared" si="41"/>
        <v/>
      </c>
      <c r="H2353" s="31"/>
      <c r="I2353" s="27"/>
      <c r="J2353" s="141">
        <v>0</v>
      </c>
    </row>
    <row r="2354" spans="1:10" ht="15.75" hidden="1" thickBot="1" x14ac:dyDescent="0.3">
      <c r="A2354" s="225" t="s">
        <v>722</v>
      </c>
      <c r="B2354" s="228" t="str">
        <f>INDEX(Orçamentária!A:B,MATCH(Composições!A2354,Orçamentária!A:A,0),2)</f>
        <v>Mola hidráulica aérea</v>
      </c>
      <c r="C2354" s="37"/>
      <c r="D2354" s="22" t="str">
        <f>TRIM(INDEX(Orçamentária!C:C,MATCH(Composições!A2354,Orçamentária!A:A,0),1))</f>
        <v>un</v>
      </c>
      <c r="E2354" s="23"/>
      <c r="F2354" s="38" t="s">
        <v>523</v>
      </c>
      <c r="G2354" s="24" t="str">
        <f t="shared" si="41"/>
        <v/>
      </c>
      <c r="H2354" s="25"/>
      <c r="I2354" s="26"/>
      <c r="J2354" s="141">
        <v>0</v>
      </c>
    </row>
    <row r="2355" spans="1:10" ht="15.75" hidden="1" thickBot="1" x14ac:dyDescent="0.3">
      <c r="A2355" s="226"/>
      <c r="B2355" s="244"/>
      <c r="C2355" s="28"/>
      <c r="D2355" s="28"/>
      <c r="E2355" s="29"/>
      <c r="F2355" s="39" t="s">
        <v>523</v>
      </c>
      <c r="G2355" s="30" t="str">
        <f t="shared" si="41"/>
        <v/>
      </c>
      <c r="H2355" s="31"/>
      <c r="I2355" s="27"/>
      <c r="J2355" s="141">
        <v>0</v>
      </c>
    </row>
    <row r="2356" spans="1:10" ht="15.75" hidden="1" thickBot="1" x14ac:dyDescent="0.3">
      <c r="A2356" s="226"/>
      <c r="B2356" s="244"/>
      <c r="C2356" s="32" t="s">
        <v>608</v>
      </c>
      <c r="D2356" s="32" t="s">
        <v>12</v>
      </c>
      <c r="E2356" s="33">
        <v>1</v>
      </c>
      <c r="F2356" s="27">
        <v>23.331999999999997</v>
      </c>
      <c r="G2356" s="30">
        <f t="shared" si="41"/>
        <v>23.331999999999997</v>
      </c>
      <c r="H2356" s="35">
        <f>SUM(G2356:G2357)</f>
        <v>23.331999999999997</v>
      </c>
      <c r="I2356" s="36"/>
      <c r="J2356" s="141">
        <v>0</v>
      </c>
    </row>
    <row r="2357" spans="1:10" ht="26.25" hidden="1" thickBot="1" x14ac:dyDescent="0.3">
      <c r="A2357" s="226"/>
      <c r="B2357" s="244"/>
      <c r="C2357" s="32" t="s">
        <v>723</v>
      </c>
      <c r="D2357" s="32" t="s">
        <v>20</v>
      </c>
      <c r="E2357" s="33">
        <v>1</v>
      </c>
      <c r="F2357" s="30" t="s">
        <v>523</v>
      </c>
      <c r="G2357" s="30" t="str">
        <f t="shared" si="41"/>
        <v/>
      </c>
      <c r="H2357" s="31"/>
      <c r="I2357" s="27"/>
      <c r="J2357" s="141">
        <v>0</v>
      </c>
    </row>
    <row r="2358" spans="1:10" ht="15.75" hidden="1" thickBot="1" x14ac:dyDescent="0.3">
      <c r="A2358" s="227"/>
      <c r="B2358" s="230"/>
      <c r="C2358" s="32"/>
      <c r="D2358" s="32"/>
      <c r="E2358" s="33"/>
      <c r="F2358" s="27" t="s">
        <v>523</v>
      </c>
      <c r="G2358" s="30" t="str">
        <f t="shared" si="41"/>
        <v/>
      </c>
      <c r="H2358" s="31"/>
      <c r="I2358" s="27"/>
      <c r="J2358" s="141">
        <v>0</v>
      </c>
    </row>
    <row r="2359" spans="1:10" ht="15.75" hidden="1" thickBot="1" x14ac:dyDescent="0.3">
      <c r="A2359" s="225" t="s">
        <v>724</v>
      </c>
      <c r="B2359" s="228" t="str">
        <f>INDEX(Orçamentária!A:B,MATCH(Composições!A2359,Orçamentária!A:A,0),2)</f>
        <v>Pivô em latão com acabamento cromado para portas pivotantes</v>
      </c>
      <c r="C2359" s="37"/>
      <c r="D2359" s="22" t="str">
        <f>TRIM(INDEX(Orçamentária!C:C,MATCH(Composições!A2359,Orçamentária!A:A,0),1))</f>
        <v>un</v>
      </c>
      <c r="E2359" s="23"/>
      <c r="F2359" s="38" t="s">
        <v>523</v>
      </c>
      <c r="G2359" s="24" t="str">
        <f t="shared" si="41"/>
        <v/>
      </c>
      <c r="H2359" s="25"/>
      <c r="I2359" s="26"/>
      <c r="J2359" s="141">
        <v>0</v>
      </c>
    </row>
    <row r="2360" spans="1:10" ht="15.75" hidden="1" thickBot="1" x14ac:dyDescent="0.3">
      <c r="A2360" s="226"/>
      <c r="B2360" s="244"/>
      <c r="C2360" s="28"/>
      <c r="D2360" s="28"/>
      <c r="E2360" s="29"/>
      <c r="F2360" s="39" t="s">
        <v>523</v>
      </c>
      <c r="G2360" s="30" t="str">
        <f t="shared" si="41"/>
        <v/>
      </c>
      <c r="H2360" s="31"/>
      <c r="I2360" s="27"/>
      <c r="J2360" s="141">
        <v>0</v>
      </c>
    </row>
    <row r="2361" spans="1:10" ht="15.75" hidden="1" thickBot="1" x14ac:dyDescent="0.3">
      <c r="A2361" s="226"/>
      <c r="B2361" s="244"/>
      <c r="C2361" s="32" t="s">
        <v>608</v>
      </c>
      <c r="D2361" s="32" t="s">
        <v>12</v>
      </c>
      <c r="E2361" s="33">
        <f>1/2</f>
        <v>0.5</v>
      </c>
      <c r="F2361" s="27">
        <v>23.331999999999997</v>
      </c>
      <c r="G2361" s="30">
        <f t="shared" si="41"/>
        <v>11.665999999999999</v>
      </c>
      <c r="H2361" s="35">
        <f>SUM(G2361:G2362)</f>
        <v>11.665999999999999</v>
      </c>
      <c r="I2361" s="36"/>
      <c r="J2361" s="141">
        <v>0</v>
      </c>
    </row>
    <row r="2362" spans="1:10" ht="39" hidden="1" thickBot="1" x14ac:dyDescent="0.3">
      <c r="A2362" s="226"/>
      <c r="B2362" s="244"/>
      <c r="C2362" s="32" t="s">
        <v>725</v>
      </c>
      <c r="D2362" s="32" t="s">
        <v>20</v>
      </c>
      <c r="E2362" s="33">
        <v>1</v>
      </c>
      <c r="F2362" s="30" t="s">
        <v>523</v>
      </c>
      <c r="G2362" s="30" t="str">
        <f t="shared" si="41"/>
        <v/>
      </c>
      <c r="H2362" s="31"/>
      <c r="I2362" s="27"/>
      <c r="J2362" s="141">
        <v>0</v>
      </c>
    </row>
    <row r="2363" spans="1:10" ht="15.75" hidden="1" thickBot="1" x14ac:dyDescent="0.3">
      <c r="A2363" s="227"/>
      <c r="B2363" s="230"/>
      <c r="C2363" s="32"/>
      <c r="D2363" s="32"/>
      <c r="E2363" s="33"/>
      <c r="F2363" s="27" t="s">
        <v>523</v>
      </c>
      <c r="G2363" s="30" t="str">
        <f t="shared" si="41"/>
        <v/>
      </c>
      <c r="H2363" s="31"/>
      <c r="I2363" s="27"/>
      <c r="J2363" s="141">
        <v>0</v>
      </c>
    </row>
    <row r="2364" spans="1:10" ht="15.75" hidden="1" thickBot="1" x14ac:dyDescent="0.3">
      <c r="A2364" s="225" t="s">
        <v>726</v>
      </c>
      <c r="B2364" s="228" t="str">
        <f>INDEX(Orçamentária!A:B,MATCH(Composições!A2364,Orçamentária!A:A,0),2)</f>
        <v>Cabo de dados tipo UTP, tipo LSZH, categoria 6</v>
      </c>
      <c r="C2364" s="37"/>
      <c r="D2364" s="22" t="str">
        <f>TRIM(INDEX(Orçamentária!C:C,MATCH(Composições!A2364,Orçamentária!A:A,0),1))</f>
        <v>m</v>
      </c>
      <c r="E2364" s="23"/>
      <c r="F2364" s="38" t="s">
        <v>523</v>
      </c>
      <c r="G2364" s="24" t="str">
        <f t="shared" si="41"/>
        <v/>
      </c>
      <c r="H2364" s="25"/>
      <c r="I2364" s="26"/>
      <c r="J2364" s="141">
        <v>0</v>
      </c>
    </row>
    <row r="2365" spans="1:10" ht="15.75" hidden="1" thickBot="1" x14ac:dyDescent="0.3">
      <c r="A2365" s="226"/>
      <c r="B2365" s="244"/>
      <c r="C2365" s="28"/>
      <c r="D2365" s="28"/>
      <c r="E2365" s="29"/>
      <c r="F2365" s="39" t="s">
        <v>523</v>
      </c>
      <c r="G2365" s="30" t="str">
        <f t="shared" si="41"/>
        <v/>
      </c>
      <c r="H2365" s="31"/>
      <c r="I2365" s="27"/>
      <c r="J2365" s="141">
        <v>0</v>
      </c>
    </row>
    <row r="2366" spans="1:10" ht="15.75" hidden="1" thickBot="1" x14ac:dyDescent="0.3">
      <c r="A2366" s="226"/>
      <c r="B2366" s="244"/>
      <c r="C2366" s="32" t="s">
        <v>74</v>
      </c>
      <c r="D2366" s="32" t="s">
        <v>12</v>
      </c>
      <c r="E2366" s="33">
        <v>2.8E-3</v>
      </c>
      <c r="F2366" s="27">
        <v>19.4085</v>
      </c>
      <c r="G2366" s="30">
        <f t="shared" si="41"/>
        <v>5.4343799999999998E-2</v>
      </c>
      <c r="H2366" s="35">
        <f>SUM(G2366:G2368)</f>
        <v>0.12475399999999999</v>
      </c>
      <c r="I2366" s="36"/>
      <c r="J2366" s="141">
        <v>0</v>
      </c>
    </row>
    <row r="2367" spans="1:10" ht="15.75" hidden="1" thickBot="1" x14ac:dyDescent="0.3">
      <c r="A2367" s="226"/>
      <c r="B2367" s="244"/>
      <c r="C2367" s="32" t="s">
        <v>30</v>
      </c>
      <c r="D2367" s="32" t="s">
        <v>12</v>
      </c>
      <c r="E2367" s="33">
        <v>2.8E-3</v>
      </c>
      <c r="F2367" s="27">
        <v>25.146499999999996</v>
      </c>
      <c r="G2367" s="30">
        <f t="shared" si="41"/>
        <v>7.0410199999999992E-2</v>
      </c>
      <c r="H2367" s="31"/>
      <c r="I2367" s="27"/>
      <c r="J2367" s="141">
        <v>0</v>
      </c>
    </row>
    <row r="2368" spans="1:10" ht="26.25" hidden="1" thickBot="1" x14ac:dyDescent="0.3">
      <c r="A2368" s="226"/>
      <c r="B2368" s="244"/>
      <c r="C2368" s="32" t="s">
        <v>727</v>
      </c>
      <c r="D2368" s="32" t="s">
        <v>93</v>
      </c>
      <c r="E2368" s="33">
        <v>1.05</v>
      </c>
      <c r="F2368" s="30" t="s">
        <v>523</v>
      </c>
      <c r="G2368" s="30" t="str">
        <f t="shared" si="41"/>
        <v/>
      </c>
      <c r="H2368" s="31"/>
      <c r="I2368" s="27"/>
      <c r="J2368" s="141">
        <v>0</v>
      </c>
    </row>
    <row r="2369" spans="1:10" ht="15.75" hidden="1" thickBot="1" x14ac:dyDescent="0.3">
      <c r="A2369" s="227"/>
      <c r="B2369" s="230"/>
      <c r="C2369" s="32"/>
      <c r="D2369" s="32"/>
      <c r="E2369" s="33"/>
      <c r="F2369" s="27" t="s">
        <v>523</v>
      </c>
      <c r="G2369" s="30" t="str">
        <f t="shared" si="41"/>
        <v/>
      </c>
      <c r="H2369" s="31"/>
      <c r="I2369" s="27"/>
      <c r="J2369" s="141">
        <v>0</v>
      </c>
    </row>
    <row r="2370" spans="1:10" ht="15.75" hidden="1" thickBot="1" x14ac:dyDescent="0.3">
      <c r="A2370" s="225" t="s">
        <v>728</v>
      </c>
      <c r="B2370" s="228" t="str">
        <f>INDEX(Orçamentária!A:B,MATCH(Composições!A2370,Orçamentária!A:A,0),2)</f>
        <v>Módulo (tomada) de rede RJ45, categoria 6, com conectorização e certificação</v>
      </c>
      <c r="C2370" s="37"/>
      <c r="D2370" s="22" t="str">
        <f>TRIM(INDEX(Orçamentária!C:C,MATCH(Composições!A2370,Orçamentária!A:A,0),1))</f>
        <v>un</v>
      </c>
      <c r="E2370" s="23"/>
      <c r="F2370" s="38" t="s">
        <v>523</v>
      </c>
      <c r="G2370" s="24" t="str">
        <f t="shared" si="41"/>
        <v/>
      </c>
      <c r="H2370" s="25"/>
      <c r="I2370" s="26"/>
      <c r="J2370" s="141">
        <v>0</v>
      </c>
    </row>
    <row r="2371" spans="1:10" ht="15.75" hidden="1" thickBot="1" x14ac:dyDescent="0.3">
      <c r="A2371" s="226"/>
      <c r="B2371" s="244"/>
      <c r="C2371" s="28"/>
      <c r="D2371" s="28"/>
      <c r="E2371" s="29"/>
      <c r="F2371" s="39" t="s">
        <v>523</v>
      </c>
      <c r="G2371" s="30" t="str">
        <f t="shared" si="41"/>
        <v/>
      </c>
      <c r="H2371" s="31"/>
      <c r="I2371" s="27"/>
      <c r="J2371" s="141">
        <v>0</v>
      </c>
    </row>
    <row r="2372" spans="1:10" ht="26.25" hidden="1" thickBot="1" x14ac:dyDescent="0.3">
      <c r="A2372" s="226"/>
      <c r="B2372" s="244"/>
      <c r="C2372" s="32" t="s">
        <v>729</v>
      </c>
      <c r="D2372" s="32" t="s">
        <v>144</v>
      </c>
      <c r="E2372" s="33">
        <v>1</v>
      </c>
      <c r="F2372" s="30" t="s">
        <v>523</v>
      </c>
      <c r="G2372" s="30" t="str">
        <f t="shared" si="41"/>
        <v/>
      </c>
      <c r="H2372" s="35">
        <f>SUM(G2372:G2376)</f>
        <v>18.374482</v>
      </c>
      <c r="I2372" s="36"/>
      <c r="J2372" s="141">
        <v>0</v>
      </c>
    </row>
    <row r="2373" spans="1:10" ht="15.75" hidden="1" thickBot="1" x14ac:dyDescent="0.3">
      <c r="A2373" s="226"/>
      <c r="B2373" s="244"/>
      <c r="C2373" s="32" t="s">
        <v>730</v>
      </c>
      <c r="D2373" s="32" t="s">
        <v>144</v>
      </c>
      <c r="E2373" s="33">
        <v>1</v>
      </c>
      <c r="F2373" s="30" t="s">
        <v>523</v>
      </c>
      <c r="G2373" s="30" t="str">
        <f t="shared" si="41"/>
        <v/>
      </c>
      <c r="H2373" s="31"/>
      <c r="I2373" s="27"/>
      <c r="J2373" s="141">
        <v>0</v>
      </c>
    </row>
    <row r="2374" spans="1:10" ht="15.75" hidden="1" thickBot="1" x14ac:dyDescent="0.3">
      <c r="A2374" s="226"/>
      <c r="B2374" s="244"/>
      <c r="C2374" s="32" t="s">
        <v>731</v>
      </c>
      <c r="D2374" s="32" t="s">
        <v>144</v>
      </c>
      <c r="E2374" s="33">
        <v>1</v>
      </c>
      <c r="F2374" s="30" t="s">
        <v>523</v>
      </c>
      <c r="G2374" s="30" t="str">
        <f t="shared" ref="G2374:G2437" si="42">IF(ISNUMBER(F2374),E2374*F2374,"")</f>
        <v/>
      </c>
      <c r="H2374" s="31"/>
      <c r="I2374" s="27"/>
      <c r="J2374" s="141">
        <v>0</v>
      </c>
    </row>
    <row r="2375" spans="1:10" ht="15.75" hidden="1" thickBot="1" x14ac:dyDescent="0.3">
      <c r="A2375" s="226"/>
      <c r="B2375" s="244"/>
      <c r="C2375" s="32" t="s">
        <v>74</v>
      </c>
      <c r="D2375" s="43" t="s">
        <v>12</v>
      </c>
      <c r="E2375" s="33">
        <f>0.2062*2</f>
        <v>0.41239999999999999</v>
      </c>
      <c r="F2375" s="27">
        <v>19.4085</v>
      </c>
      <c r="G2375" s="30">
        <f t="shared" si="42"/>
        <v>8.0040654</v>
      </c>
      <c r="H2375" s="31"/>
      <c r="I2375" s="27"/>
      <c r="J2375" s="141">
        <v>0</v>
      </c>
    </row>
    <row r="2376" spans="1:10" ht="15.75" hidden="1" thickBot="1" x14ac:dyDescent="0.3">
      <c r="A2376" s="226"/>
      <c r="B2376" s="244"/>
      <c r="C2376" s="32" t="s">
        <v>30</v>
      </c>
      <c r="D2376" s="32" t="s">
        <v>12</v>
      </c>
      <c r="E2376" s="33">
        <f>0.2062*2</f>
        <v>0.41239999999999999</v>
      </c>
      <c r="F2376" s="27">
        <v>25.146499999999996</v>
      </c>
      <c r="G2376" s="30">
        <f t="shared" si="42"/>
        <v>10.370416599999999</v>
      </c>
      <c r="H2376" s="31"/>
      <c r="I2376" s="27"/>
      <c r="J2376" s="141">
        <v>0</v>
      </c>
    </row>
    <row r="2377" spans="1:10" ht="15.75" hidden="1" thickBot="1" x14ac:dyDescent="0.3">
      <c r="A2377" s="227"/>
      <c r="B2377" s="230"/>
      <c r="C2377" s="32"/>
      <c r="D2377" s="32"/>
      <c r="E2377" s="33"/>
      <c r="F2377" s="27" t="s">
        <v>523</v>
      </c>
      <c r="G2377" s="30" t="str">
        <f t="shared" si="42"/>
        <v/>
      </c>
      <c r="H2377" s="31"/>
      <c r="I2377" s="27"/>
      <c r="J2377" s="141">
        <v>0</v>
      </c>
    </row>
    <row r="2378" spans="1:10" ht="15.75" hidden="1" thickBot="1" x14ac:dyDescent="0.3">
      <c r="A2378" s="225" t="s">
        <v>732</v>
      </c>
      <c r="B2378" s="228" t="str">
        <f>INDEX(Orçamentária!A:B,MATCH(Composições!A2378,Orçamentária!A:A,0),2)</f>
        <v>Painel de distribuição (patch panel) de 24 portas, categoria 6</v>
      </c>
      <c r="C2378" s="37"/>
      <c r="D2378" s="22" t="str">
        <f>TRIM(INDEX(Orçamentária!C:C,MATCH(Composições!A2378,Orçamentária!A:A,0),1))</f>
        <v>un</v>
      </c>
      <c r="E2378" s="23"/>
      <c r="F2378" s="38" t="s">
        <v>523</v>
      </c>
      <c r="G2378" s="24" t="str">
        <f t="shared" si="42"/>
        <v/>
      </c>
      <c r="H2378" s="25"/>
      <c r="I2378" s="26"/>
      <c r="J2378" s="141">
        <v>0</v>
      </c>
    </row>
    <row r="2379" spans="1:10" ht="15.75" hidden="1" thickBot="1" x14ac:dyDescent="0.3">
      <c r="A2379" s="226"/>
      <c r="B2379" s="244"/>
      <c r="C2379" s="28"/>
      <c r="D2379" s="28"/>
      <c r="E2379" s="29"/>
      <c r="F2379" s="39" t="s">
        <v>523</v>
      </c>
      <c r="G2379" s="30" t="str">
        <f t="shared" si="42"/>
        <v/>
      </c>
      <c r="H2379" s="31"/>
      <c r="I2379" s="27"/>
      <c r="J2379" s="141">
        <v>0</v>
      </c>
    </row>
    <row r="2380" spans="1:10" ht="15.75" hidden="1" thickBot="1" x14ac:dyDescent="0.3">
      <c r="A2380" s="226"/>
      <c r="B2380" s="244"/>
      <c r="C2380" s="32" t="s">
        <v>74</v>
      </c>
      <c r="D2380" s="43" t="s">
        <v>12</v>
      </c>
      <c r="E2380" s="33">
        <f>6.2007</f>
        <v>6.2007000000000003</v>
      </c>
      <c r="F2380" s="27">
        <v>19.4085</v>
      </c>
      <c r="G2380" s="30">
        <f t="shared" si="42"/>
        <v>120.34628595000001</v>
      </c>
      <c r="H2380" s="35">
        <f>SUM(G2380:G2383)</f>
        <v>276.27218849999997</v>
      </c>
      <c r="I2380" s="36"/>
      <c r="J2380" s="141">
        <v>0</v>
      </c>
    </row>
    <row r="2381" spans="1:10" ht="15.75" hidden="1" thickBot="1" x14ac:dyDescent="0.3">
      <c r="A2381" s="226"/>
      <c r="B2381" s="244"/>
      <c r="C2381" s="32" t="s">
        <v>30</v>
      </c>
      <c r="D2381" s="32" t="s">
        <v>12</v>
      </c>
      <c r="E2381" s="33">
        <f>6.2007</f>
        <v>6.2007000000000003</v>
      </c>
      <c r="F2381" s="27">
        <v>25.146499999999996</v>
      </c>
      <c r="G2381" s="30">
        <f t="shared" si="42"/>
        <v>155.92590254999999</v>
      </c>
      <c r="H2381" s="31"/>
      <c r="I2381" s="27"/>
      <c r="J2381" s="141">
        <v>0</v>
      </c>
    </row>
    <row r="2382" spans="1:10" ht="26.25" hidden="1" thickBot="1" x14ac:dyDescent="0.3">
      <c r="A2382" s="226"/>
      <c r="B2382" s="244"/>
      <c r="C2382" s="32" t="s">
        <v>733</v>
      </c>
      <c r="D2382" s="32" t="s">
        <v>20</v>
      </c>
      <c r="E2382" s="33">
        <v>1</v>
      </c>
      <c r="F2382" s="30" t="s">
        <v>523</v>
      </c>
      <c r="G2382" s="30" t="str">
        <f t="shared" si="42"/>
        <v/>
      </c>
      <c r="H2382" s="31"/>
      <c r="I2382" s="27"/>
      <c r="J2382" s="141">
        <v>0</v>
      </c>
    </row>
    <row r="2383" spans="1:10" ht="15.75" hidden="1" thickBot="1" x14ac:dyDescent="0.3">
      <c r="A2383" s="226"/>
      <c r="B2383" s="244"/>
      <c r="C2383" s="32" t="s">
        <v>730</v>
      </c>
      <c r="D2383" s="32" t="s">
        <v>144</v>
      </c>
      <c r="E2383" s="33">
        <v>24</v>
      </c>
      <c r="F2383" s="30" t="s">
        <v>523</v>
      </c>
      <c r="G2383" s="30" t="str">
        <f t="shared" si="42"/>
        <v/>
      </c>
      <c r="H2383" s="31"/>
      <c r="I2383" s="27"/>
      <c r="J2383" s="141">
        <v>0</v>
      </c>
    </row>
    <row r="2384" spans="1:10" ht="15.75" hidden="1" thickBot="1" x14ac:dyDescent="0.3">
      <c r="A2384" s="227"/>
      <c r="B2384" s="230"/>
      <c r="C2384" s="32"/>
      <c r="D2384" s="32"/>
      <c r="E2384" s="33"/>
      <c r="F2384" s="27" t="s">
        <v>523</v>
      </c>
      <c r="G2384" s="30" t="str">
        <f t="shared" si="42"/>
        <v/>
      </c>
      <c r="H2384" s="31"/>
      <c r="I2384" s="27"/>
      <c r="J2384" s="141">
        <v>0</v>
      </c>
    </row>
    <row r="2385" spans="1:10" ht="15.75" hidden="1" thickBot="1" x14ac:dyDescent="0.3">
      <c r="A2385" s="225" t="s">
        <v>734</v>
      </c>
      <c r="B2385" s="228" t="str">
        <f>INDEX(Orçamentária!A:B,MATCH(Composições!A2385,Orçamentária!A:A,0),2)</f>
        <v>Cabo de telefonia tipo CCI 50x2</v>
      </c>
      <c r="C2385" s="37"/>
      <c r="D2385" s="22" t="str">
        <f>TRIM(INDEX(Orçamentária!C:C,MATCH(Composições!A2385,Orçamentária!A:A,0),1))</f>
        <v>m</v>
      </c>
      <c r="E2385" s="23"/>
      <c r="F2385" s="38" t="s">
        <v>523</v>
      </c>
      <c r="G2385" s="24" t="str">
        <f t="shared" si="42"/>
        <v/>
      </c>
      <c r="H2385" s="25"/>
      <c r="I2385" s="26"/>
      <c r="J2385" s="141">
        <v>0</v>
      </c>
    </row>
    <row r="2386" spans="1:10" ht="15.75" hidden="1" thickBot="1" x14ac:dyDescent="0.3">
      <c r="A2386" s="231"/>
      <c r="B2386" s="244"/>
      <c r="C2386" s="28"/>
      <c r="D2386" s="28"/>
      <c r="E2386" s="29"/>
      <c r="F2386" s="39" t="s">
        <v>523</v>
      </c>
      <c r="G2386" s="30" t="str">
        <f t="shared" si="42"/>
        <v/>
      </c>
      <c r="H2386" s="31"/>
      <c r="I2386" s="27"/>
      <c r="J2386" s="141">
        <v>0</v>
      </c>
    </row>
    <row r="2387" spans="1:10" ht="15.75" hidden="1" thickBot="1" x14ac:dyDescent="0.3">
      <c r="A2387" s="231"/>
      <c r="B2387" s="244"/>
      <c r="C2387" s="32" t="s">
        <v>74</v>
      </c>
      <c r="D2387" s="43" t="s">
        <v>12</v>
      </c>
      <c r="E2387" s="33">
        <v>6.4100000000000004E-2</v>
      </c>
      <c r="F2387" s="27">
        <v>19.4085</v>
      </c>
      <c r="G2387" s="30">
        <f t="shared" si="42"/>
        <v>1.2440848500000001</v>
      </c>
      <c r="H2387" s="35">
        <f>SUM(G2387:G2389)</f>
        <v>4.1427505</v>
      </c>
      <c r="I2387" s="36"/>
      <c r="J2387" s="141">
        <v>0</v>
      </c>
    </row>
    <row r="2388" spans="1:10" ht="15.75" hidden="1" thickBot="1" x14ac:dyDescent="0.3">
      <c r="A2388" s="231"/>
      <c r="B2388" s="244"/>
      <c r="C2388" s="32" t="s">
        <v>30</v>
      </c>
      <c r="D2388" s="32" t="s">
        <v>12</v>
      </c>
      <c r="E2388" s="33">
        <v>6.4100000000000004E-2</v>
      </c>
      <c r="F2388" s="27">
        <v>25.146499999999996</v>
      </c>
      <c r="G2388" s="30">
        <f t="shared" si="42"/>
        <v>1.6118906499999999</v>
      </c>
      <c r="H2388" s="31"/>
      <c r="I2388" s="27"/>
      <c r="J2388" s="141">
        <v>0</v>
      </c>
    </row>
    <row r="2389" spans="1:10" ht="26.25" hidden="1" thickBot="1" x14ac:dyDescent="0.3">
      <c r="A2389" s="231"/>
      <c r="B2389" s="244"/>
      <c r="C2389" s="32" t="s">
        <v>735</v>
      </c>
      <c r="D2389" s="32" t="s">
        <v>93</v>
      </c>
      <c r="E2389" s="33">
        <v>1.05</v>
      </c>
      <c r="F2389" s="30">
        <v>1.2255</v>
      </c>
      <c r="G2389" s="30">
        <f t="shared" si="42"/>
        <v>1.286775</v>
      </c>
      <c r="H2389" s="31"/>
      <c r="I2389" s="27"/>
      <c r="J2389" s="141">
        <v>0</v>
      </c>
    </row>
    <row r="2390" spans="1:10" ht="15.75" hidden="1" thickBot="1" x14ac:dyDescent="0.3">
      <c r="A2390" s="232"/>
      <c r="B2390" s="230"/>
      <c r="C2390" s="32"/>
      <c r="D2390" s="32"/>
      <c r="E2390" s="33"/>
      <c r="F2390" s="30" t="s">
        <v>523</v>
      </c>
      <c r="G2390" s="30" t="str">
        <f t="shared" si="42"/>
        <v/>
      </c>
      <c r="H2390" s="31"/>
      <c r="I2390" s="27"/>
      <c r="J2390" s="141">
        <v>0</v>
      </c>
    </row>
    <row r="2391" spans="1:10" ht="15.75" hidden="1" thickBot="1" x14ac:dyDescent="0.3">
      <c r="A2391" s="225" t="s">
        <v>736</v>
      </c>
      <c r="B2391" s="228" t="str">
        <f>INDEX(Orçamentária!A:B,MATCH(Composições!A2391,Orçamentária!A:A,0),2)</f>
        <v>Módulo (tomada) de rede RJ45, para telefonia</v>
      </c>
      <c r="C2391" s="37"/>
      <c r="D2391" s="22" t="str">
        <f>TRIM(INDEX(Orçamentária!C:C,MATCH(Composições!A2391,Orçamentária!A:A,0),1))</f>
        <v>un</v>
      </c>
      <c r="E2391" s="23"/>
      <c r="F2391" s="38" t="s">
        <v>523</v>
      </c>
      <c r="G2391" s="24" t="str">
        <f t="shared" si="42"/>
        <v/>
      </c>
      <c r="H2391" s="25"/>
      <c r="I2391" s="26"/>
      <c r="J2391" s="141">
        <v>0</v>
      </c>
    </row>
    <row r="2392" spans="1:10" ht="15.75" hidden="1" thickBot="1" x14ac:dyDescent="0.3">
      <c r="A2392" s="226"/>
      <c r="B2392" s="244"/>
      <c r="C2392" s="28"/>
      <c r="D2392" s="28"/>
      <c r="E2392" s="29"/>
      <c r="F2392" s="39" t="s">
        <v>523</v>
      </c>
      <c r="G2392" s="30" t="str">
        <f t="shared" si="42"/>
        <v/>
      </c>
      <c r="H2392" s="31"/>
      <c r="I2392" s="27"/>
      <c r="J2392" s="141">
        <v>0</v>
      </c>
    </row>
    <row r="2393" spans="1:10" ht="26.25" hidden="1" thickBot="1" x14ac:dyDescent="0.3">
      <c r="A2393" s="226"/>
      <c r="B2393" s="244"/>
      <c r="C2393" s="32" t="s">
        <v>737</v>
      </c>
      <c r="D2393" s="32" t="s">
        <v>144</v>
      </c>
      <c r="E2393" s="33">
        <v>1</v>
      </c>
      <c r="F2393" s="30" t="s">
        <v>523</v>
      </c>
      <c r="G2393" s="30" t="str">
        <f t="shared" si="42"/>
        <v/>
      </c>
      <c r="H2393" s="35">
        <f>SUM(G2393:G2396)</f>
        <v>48.792740999999999</v>
      </c>
      <c r="I2393" s="36"/>
      <c r="J2393" s="141">
        <v>0</v>
      </c>
    </row>
    <row r="2394" spans="1:10" ht="15.75" hidden="1" thickBot="1" x14ac:dyDescent="0.3">
      <c r="A2394" s="226"/>
      <c r="B2394" s="244"/>
      <c r="C2394" s="32" t="s">
        <v>738</v>
      </c>
      <c r="D2394" s="32" t="s">
        <v>280</v>
      </c>
      <c r="E2394" s="33">
        <v>1</v>
      </c>
      <c r="F2394" s="30">
        <v>39.605499999999999</v>
      </c>
      <c r="G2394" s="30">
        <f t="shared" si="42"/>
        <v>39.605499999999999</v>
      </c>
      <c r="H2394" s="31"/>
      <c r="I2394" s="27"/>
      <c r="J2394" s="141">
        <v>0</v>
      </c>
    </row>
    <row r="2395" spans="1:10" ht="15.75" hidden="1" thickBot="1" x14ac:dyDescent="0.3">
      <c r="A2395" s="226"/>
      <c r="B2395" s="244"/>
      <c r="C2395" s="32" t="s">
        <v>74</v>
      </c>
      <c r="D2395" s="43" t="s">
        <v>12</v>
      </c>
      <c r="E2395" s="33">
        <v>0.20619999999999999</v>
      </c>
      <c r="F2395" s="27">
        <v>19.4085</v>
      </c>
      <c r="G2395" s="30">
        <f t="shared" si="42"/>
        <v>4.0020327</v>
      </c>
      <c r="H2395" s="31"/>
      <c r="I2395" s="27"/>
      <c r="J2395" s="141">
        <v>0</v>
      </c>
    </row>
    <row r="2396" spans="1:10" ht="15.75" hidden="1" thickBot="1" x14ac:dyDescent="0.3">
      <c r="A2396" s="226"/>
      <c r="B2396" s="244"/>
      <c r="C2396" s="32" t="s">
        <v>30</v>
      </c>
      <c r="D2396" s="32" t="s">
        <v>12</v>
      </c>
      <c r="E2396" s="33">
        <v>0.20619999999999999</v>
      </c>
      <c r="F2396" s="27">
        <v>25.146499999999996</v>
      </c>
      <c r="G2396" s="30">
        <f t="shared" si="42"/>
        <v>5.1852082999999993</v>
      </c>
      <c r="H2396" s="31"/>
      <c r="I2396" s="27"/>
      <c r="J2396" s="141">
        <v>0</v>
      </c>
    </row>
    <row r="2397" spans="1:10" ht="15.75" hidden="1" thickBot="1" x14ac:dyDescent="0.3">
      <c r="A2397" s="227"/>
      <c r="B2397" s="230"/>
      <c r="C2397" s="32"/>
      <c r="D2397" s="32"/>
      <c r="E2397" s="33"/>
      <c r="F2397" s="27" t="s">
        <v>523</v>
      </c>
      <c r="G2397" s="30" t="str">
        <f t="shared" si="42"/>
        <v/>
      </c>
      <c r="H2397" s="31"/>
      <c r="I2397" s="27"/>
      <c r="J2397" s="141">
        <v>0</v>
      </c>
    </row>
    <row r="2398" spans="1:10" ht="15.75" hidden="1" thickBot="1" x14ac:dyDescent="0.3">
      <c r="A2398" s="225" t="s">
        <v>739</v>
      </c>
      <c r="B2398" s="228" t="str">
        <f>INDEX(Orçamentária!A:B,MATCH(Composições!A2398,Orçamentária!A:A,0),2)</f>
        <v>Grelha para retorno para portas, divisórias e paredes 525x325 mm</v>
      </c>
      <c r="C2398" s="37"/>
      <c r="D2398" s="22" t="str">
        <f>TRIM(INDEX(Orçamentária!C:C,MATCH(Composições!A2398,Orçamentária!A:A,0),1))</f>
        <v>un</v>
      </c>
      <c r="E2398" s="23"/>
      <c r="F2398" s="38" t="s">
        <v>523</v>
      </c>
      <c r="G2398" s="24" t="str">
        <f t="shared" si="42"/>
        <v/>
      </c>
      <c r="H2398" s="25"/>
      <c r="I2398" s="26"/>
      <c r="J2398" s="141">
        <v>0</v>
      </c>
    </row>
    <row r="2399" spans="1:10" ht="15.75" hidden="1" thickBot="1" x14ac:dyDescent="0.3">
      <c r="A2399" s="226"/>
      <c r="B2399" s="244"/>
      <c r="C2399" s="28"/>
      <c r="D2399" s="28"/>
      <c r="E2399" s="29"/>
      <c r="F2399" s="39" t="s">
        <v>523</v>
      </c>
      <c r="G2399" s="30" t="str">
        <f t="shared" si="42"/>
        <v/>
      </c>
      <c r="H2399" s="31"/>
      <c r="I2399" s="27"/>
      <c r="J2399" s="141">
        <v>0</v>
      </c>
    </row>
    <row r="2400" spans="1:10" ht="15.75" hidden="1" thickBot="1" x14ac:dyDescent="0.3">
      <c r="A2400" s="226"/>
      <c r="B2400" s="244"/>
      <c r="C2400" s="32" t="s">
        <v>52</v>
      </c>
      <c r="D2400" s="43" t="s">
        <v>12</v>
      </c>
      <c r="E2400" s="33">
        <v>3.5</v>
      </c>
      <c r="F2400" s="27">
        <v>21.184999999999999</v>
      </c>
      <c r="G2400" s="30">
        <f t="shared" si="42"/>
        <v>74.147499999999994</v>
      </c>
      <c r="H2400" s="35">
        <f>SUM(G2400:G2402)</f>
        <v>166.61574999999999</v>
      </c>
      <c r="I2400" s="36"/>
      <c r="J2400" s="141">
        <v>0</v>
      </c>
    </row>
    <row r="2401" spans="1:10" ht="26.25" hidden="1" thickBot="1" x14ac:dyDescent="0.3">
      <c r="A2401" s="226"/>
      <c r="B2401" s="244"/>
      <c r="C2401" s="32" t="s">
        <v>571</v>
      </c>
      <c r="D2401" s="43" t="s">
        <v>12</v>
      </c>
      <c r="E2401" s="33">
        <v>3.5</v>
      </c>
      <c r="F2401" s="27">
        <v>26.419499999999999</v>
      </c>
      <c r="G2401" s="30">
        <f t="shared" si="42"/>
        <v>92.468249999999998</v>
      </c>
      <c r="H2401" s="31"/>
      <c r="I2401" s="27"/>
      <c r="J2401" s="141">
        <v>0</v>
      </c>
    </row>
    <row r="2402" spans="1:10" ht="26.25" hidden="1" thickBot="1" x14ac:dyDescent="0.3">
      <c r="A2402" s="226"/>
      <c r="B2402" s="244"/>
      <c r="C2402" s="32" t="s">
        <v>740</v>
      </c>
      <c r="D2402" s="32" t="s">
        <v>144</v>
      </c>
      <c r="E2402" s="33">
        <v>1</v>
      </c>
      <c r="F2402" s="30" t="s">
        <v>523</v>
      </c>
      <c r="G2402" s="30" t="str">
        <f t="shared" si="42"/>
        <v/>
      </c>
      <c r="H2402" s="31"/>
      <c r="I2402" s="27"/>
      <c r="J2402" s="141">
        <v>0</v>
      </c>
    </row>
    <row r="2403" spans="1:10" ht="15.75" hidden="1" thickBot="1" x14ac:dyDescent="0.3">
      <c r="A2403" s="227"/>
      <c r="B2403" s="230"/>
      <c r="C2403" s="32"/>
      <c r="D2403" s="32"/>
      <c r="E2403" s="33"/>
      <c r="F2403" s="27" t="s">
        <v>523</v>
      </c>
      <c r="G2403" s="30" t="str">
        <f t="shared" si="42"/>
        <v/>
      </c>
      <c r="H2403" s="31"/>
      <c r="I2403" s="27"/>
      <c r="J2403" s="141">
        <v>0</v>
      </c>
    </row>
    <row r="2404" spans="1:10" ht="15.75" hidden="1" thickBot="1" x14ac:dyDescent="0.3">
      <c r="A2404" s="225" t="s">
        <v>1875</v>
      </c>
      <c r="B2404" s="228" t="str">
        <f>INDEX(Orçamentária!A:B,MATCH(Composições!A2404,Orçamentária!A:A,0),2)</f>
        <v>Dobradiça para porta com anel</v>
      </c>
      <c r="C2404" s="37"/>
      <c r="D2404" s="22" t="str">
        <f>TRIM(INDEX(Orçamentária!C:C,MATCH(Composições!A2404,Orçamentária!A:A,0),1))</f>
        <v>un</v>
      </c>
      <c r="E2404" s="23"/>
      <c r="F2404" s="38" t="s">
        <v>523</v>
      </c>
      <c r="G2404" s="24" t="str">
        <f t="shared" si="42"/>
        <v/>
      </c>
      <c r="H2404" s="25"/>
      <c r="I2404" s="26"/>
      <c r="J2404" s="141">
        <v>0</v>
      </c>
    </row>
    <row r="2405" spans="1:10" ht="15.75" hidden="1" thickBot="1" x14ac:dyDescent="0.3">
      <c r="A2405" s="226"/>
      <c r="B2405" s="244"/>
      <c r="C2405" s="28"/>
      <c r="D2405" s="28"/>
      <c r="E2405" s="29"/>
      <c r="F2405" s="39" t="s">
        <v>523</v>
      </c>
      <c r="G2405" s="30" t="str">
        <f t="shared" si="42"/>
        <v/>
      </c>
      <c r="H2405" s="31"/>
      <c r="I2405" s="27"/>
      <c r="J2405" s="141">
        <v>0</v>
      </c>
    </row>
    <row r="2406" spans="1:10" ht="26.25" hidden="1" thickBot="1" x14ac:dyDescent="0.3">
      <c r="A2406" s="226"/>
      <c r="B2406" s="244"/>
      <c r="C2406" s="32" t="s">
        <v>6641</v>
      </c>
      <c r="D2406" s="32" t="s">
        <v>280</v>
      </c>
      <c r="E2406" s="33">
        <v>1</v>
      </c>
      <c r="F2406" s="27">
        <v>16.9955</v>
      </c>
      <c r="G2406" s="30">
        <f t="shared" si="42"/>
        <v>16.9955</v>
      </c>
      <c r="H2406" s="35">
        <f>SUM(G2406:G2406)</f>
        <v>16.9955</v>
      </c>
      <c r="I2406" s="36"/>
      <c r="J2406" s="141">
        <v>0</v>
      </c>
    </row>
    <row r="2407" spans="1:10" ht="15.75" hidden="1" thickBot="1" x14ac:dyDescent="0.3">
      <c r="A2407" s="227"/>
      <c r="B2407" s="230"/>
      <c r="C2407" s="32"/>
      <c r="D2407" s="32"/>
      <c r="E2407" s="33"/>
      <c r="F2407" s="27" t="s">
        <v>523</v>
      </c>
      <c r="G2407" s="30" t="str">
        <f t="shared" si="42"/>
        <v/>
      </c>
      <c r="H2407" s="31"/>
      <c r="I2407" s="27"/>
      <c r="J2407" s="141">
        <v>0</v>
      </c>
    </row>
    <row r="2408" spans="1:10" ht="15.75" hidden="1" thickBot="1" x14ac:dyDescent="0.3">
      <c r="A2408" s="225" t="s">
        <v>1879</v>
      </c>
      <c r="B2408" s="228" t="str">
        <f>INDEX(Orçamentária!A:B,MATCH(Composições!A2408,Orçamentária!A:A,0),2)</f>
        <v>Fechadura para porta externa maçaneta em barra (fornecimento)</v>
      </c>
      <c r="C2408" s="37"/>
      <c r="D2408" s="22" t="str">
        <f>TRIM(INDEX(Orçamentária!C:C,MATCH(Composições!A2408,Orçamentária!A:A,0),1))</f>
        <v>un</v>
      </c>
      <c r="E2408" s="23"/>
      <c r="F2408" s="38" t="s">
        <v>523</v>
      </c>
      <c r="G2408" s="24" t="str">
        <f t="shared" si="42"/>
        <v/>
      </c>
      <c r="H2408" s="25"/>
      <c r="I2408" s="26"/>
      <c r="J2408" s="141">
        <v>0</v>
      </c>
    </row>
    <row r="2409" spans="1:10" ht="15.75" hidden="1" thickBot="1" x14ac:dyDescent="0.3">
      <c r="A2409" s="226"/>
      <c r="B2409" s="244"/>
      <c r="C2409" s="28"/>
      <c r="D2409" s="28"/>
      <c r="E2409" s="29"/>
      <c r="F2409" s="39" t="s">
        <v>523</v>
      </c>
      <c r="G2409" s="30" t="str">
        <f t="shared" si="42"/>
        <v/>
      </c>
      <c r="H2409" s="31"/>
      <c r="I2409" s="27"/>
      <c r="J2409" s="141">
        <v>0</v>
      </c>
    </row>
    <row r="2410" spans="1:10" ht="51.75" hidden="1" thickBot="1" x14ac:dyDescent="0.3">
      <c r="A2410" s="226"/>
      <c r="B2410" s="244"/>
      <c r="C2410" s="32" t="s">
        <v>3734</v>
      </c>
      <c r="D2410" s="43" t="s">
        <v>742</v>
      </c>
      <c r="E2410" s="33">
        <v>1</v>
      </c>
      <c r="F2410" s="27">
        <v>74.099999999999994</v>
      </c>
      <c r="G2410" s="30">
        <f t="shared" si="42"/>
        <v>74.099999999999994</v>
      </c>
      <c r="H2410" s="35">
        <f>SUM(G2410:G2410)</f>
        <v>74.099999999999994</v>
      </c>
      <c r="I2410" s="36"/>
      <c r="J2410" s="141">
        <v>0</v>
      </c>
    </row>
    <row r="2411" spans="1:10" ht="15.75" hidden="1" thickBot="1" x14ac:dyDescent="0.3">
      <c r="A2411" s="227"/>
      <c r="B2411" s="230"/>
      <c r="C2411" s="32"/>
      <c r="D2411" s="32"/>
      <c r="E2411" s="33"/>
      <c r="F2411" s="27" t="s">
        <v>523</v>
      </c>
      <c r="G2411" s="30" t="str">
        <f t="shared" si="42"/>
        <v/>
      </c>
      <c r="H2411" s="31"/>
      <c r="I2411" s="27"/>
      <c r="J2411" s="141">
        <v>0</v>
      </c>
    </row>
    <row r="2412" spans="1:10" ht="15.75" hidden="1" thickBot="1" x14ac:dyDescent="0.3">
      <c r="A2412" s="225" t="s">
        <v>741</v>
      </c>
      <c r="B2412" s="228" t="str">
        <f>INDEX(Orçamentária!A:B,MATCH(Composições!A2412,Orçamentária!A:A,0),2)</f>
        <v>Fechadura para Porta Externa com Espelho - Millenio</v>
      </c>
      <c r="C2412" s="37"/>
      <c r="D2412" s="22" t="str">
        <f>TRIM(INDEX(Orçamentária!C:C,MATCH(Composições!A2412,Orçamentária!A:A,0),1))</f>
        <v>un</v>
      </c>
      <c r="E2412" s="23"/>
      <c r="F2412" s="38" t="s">
        <v>523</v>
      </c>
      <c r="G2412" s="24" t="str">
        <f t="shared" si="42"/>
        <v/>
      </c>
      <c r="H2412" s="25"/>
      <c r="I2412" s="26"/>
      <c r="J2412" s="141">
        <v>0</v>
      </c>
    </row>
    <row r="2413" spans="1:10" ht="15.75" hidden="1" thickBot="1" x14ac:dyDescent="0.3">
      <c r="A2413" s="226"/>
      <c r="B2413" s="244"/>
      <c r="C2413" s="28"/>
      <c r="D2413" s="28"/>
      <c r="E2413" s="29"/>
      <c r="F2413" s="39" t="s">
        <v>523</v>
      </c>
      <c r="G2413" s="30" t="str">
        <f t="shared" si="42"/>
        <v/>
      </c>
      <c r="H2413" s="31"/>
      <c r="I2413" s="27"/>
      <c r="J2413" s="141">
        <v>0</v>
      </c>
    </row>
    <row r="2414" spans="1:10" ht="51.75" hidden="1" thickBot="1" x14ac:dyDescent="0.3">
      <c r="A2414" s="226"/>
      <c r="B2414" s="244"/>
      <c r="C2414" s="32" t="s">
        <v>3735</v>
      </c>
      <c r="D2414" s="43" t="s">
        <v>742</v>
      </c>
      <c r="E2414" s="33">
        <v>1</v>
      </c>
      <c r="F2414" s="27">
        <v>96.310999999999993</v>
      </c>
      <c r="G2414" s="30">
        <f t="shared" si="42"/>
        <v>96.310999999999993</v>
      </c>
      <c r="H2414" s="35">
        <f>SUM(G2414:G2414)</f>
        <v>96.310999999999993</v>
      </c>
      <c r="I2414" s="36"/>
      <c r="J2414" s="141">
        <v>0</v>
      </c>
    </row>
    <row r="2415" spans="1:10" ht="15.75" hidden="1" thickBot="1" x14ac:dyDescent="0.3">
      <c r="A2415" s="227"/>
      <c r="B2415" s="230"/>
      <c r="C2415" s="32"/>
      <c r="D2415" s="32"/>
      <c r="E2415" s="33"/>
      <c r="F2415" s="27" t="s">
        <v>523</v>
      </c>
      <c r="G2415" s="30" t="str">
        <f t="shared" si="42"/>
        <v/>
      </c>
      <c r="H2415" s="31"/>
      <c r="I2415" s="27"/>
      <c r="J2415" s="141">
        <v>0</v>
      </c>
    </row>
    <row r="2416" spans="1:10" ht="15.75" hidden="1" thickBot="1" x14ac:dyDescent="0.3">
      <c r="A2416" s="225" t="s">
        <v>1882</v>
      </c>
      <c r="B2416" s="228" t="str">
        <f>INDEX(Orçamentária!A:B,MATCH(Composições!A2416,Orçamentária!A:A,0),2)</f>
        <v>Fechadura para Porta de Banheiro com Espelho - Millenio</v>
      </c>
      <c r="C2416" s="37"/>
      <c r="D2416" s="22" t="str">
        <f>TRIM(INDEX(Orçamentária!C:C,MATCH(Composições!A2416,Orçamentária!A:A,0),1))</f>
        <v>un</v>
      </c>
      <c r="E2416" s="23"/>
      <c r="F2416" s="38" t="s">
        <v>523</v>
      </c>
      <c r="G2416" s="24" t="str">
        <f t="shared" si="42"/>
        <v/>
      </c>
      <c r="H2416" s="25"/>
      <c r="I2416" s="26"/>
      <c r="J2416" s="141">
        <v>0</v>
      </c>
    </row>
    <row r="2417" spans="1:10" ht="15.75" hidden="1" thickBot="1" x14ac:dyDescent="0.3">
      <c r="A2417" s="226"/>
      <c r="B2417" s="244"/>
      <c r="C2417" s="28"/>
      <c r="D2417" s="28"/>
      <c r="E2417" s="29"/>
      <c r="F2417" s="39" t="s">
        <v>523</v>
      </c>
      <c r="G2417" s="30" t="str">
        <f t="shared" si="42"/>
        <v/>
      </c>
      <c r="H2417" s="31"/>
      <c r="I2417" s="27"/>
      <c r="J2417" s="141">
        <v>0</v>
      </c>
    </row>
    <row r="2418" spans="1:10" ht="51.75" hidden="1" thickBot="1" x14ac:dyDescent="0.3">
      <c r="A2418" s="226"/>
      <c r="B2418" s="244"/>
      <c r="C2418" s="32" t="s">
        <v>3733</v>
      </c>
      <c r="D2418" s="43" t="s">
        <v>742</v>
      </c>
      <c r="E2418" s="33">
        <v>1</v>
      </c>
      <c r="F2418" s="27">
        <v>58.263499999999993</v>
      </c>
      <c r="G2418" s="30">
        <f t="shared" si="42"/>
        <v>58.263499999999993</v>
      </c>
      <c r="H2418" s="35">
        <f>SUM(G2418:G2418)</f>
        <v>58.263499999999993</v>
      </c>
      <c r="I2418" s="36"/>
      <c r="J2418" s="141">
        <v>0</v>
      </c>
    </row>
    <row r="2419" spans="1:10" ht="15.75" hidden="1" thickBot="1" x14ac:dyDescent="0.3">
      <c r="A2419" s="227"/>
      <c r="B2419" s="230"/>
      <c r="C2419" s="32"/>
      <c r="D2419" s="32"/>
      <c r="E2419" s="33"/>
      <c r="F2419" s="27" t="s">
        <v>523</v>
      </c>
      <c r="G2419" s="30" t="str">
        <f t="shared" si="42"/>
        <v/>
      </c>
      <c r="H2419" s="31"/>
      <c r="I2419" s="27"/>
      <c r="J2419" s="141">
        <v>0</v>
      </c>
    </row>
    <row r="2420" spans="1:10" ht="15.75" hidden="1" thickBot="1" x14ac:dyDescent="0.3">
      <c r="A2420" s="225" t="s">
        <v>1886</v>
      </c>
      <c r="B2420" s="228" t="str">
        <f>INDEX(Orçamentária!A:B,MATCH(Composições!A2420,Orçamentária!A:A,0),2)</f>
        <v>Tarjeta Livre / Ocupado para portas de banheiro</v>
      </c>
      <c r="C2420" s="37"/>
      <c r="D2420" s="22" t="str">
        <f>TRIM(INDEX(Orçamentária!C:C,MATCH(Composições!A2420,Orçamentária!A:A,0),1))</f>
        <v>un</v>
      </c>
      <c r="E2420" s="23"/>
      <c r="F2420" s="38" t="s">
        <v>523</v>
      </c>
      <c r="G2420" s="24" t="str">
        <f t="shared" si="42"/>
        <v/>
      </c>
      <c r="H2420" s="25"/>
      <c r="I2420" s="26"/>
      <c r="J2420" s="141">
        <v>0</v>
      </c>
    </row>
    <row r="2421" spans="1:10" ht="15.75" hidden="1" thickBot="1" x14ac:dyDescent="0.3">
      <c r="A2421" s="226"/>
      <c r="B2421" s="244"/>
      <c r="C2421" s="28"/>
      <c r="D2421" s="28"/>
      <c r="E2421" s="29"/>
      <c r="F2421" s="39" t="s">
        <v>523</v>
      </c>
      <c r="G2421" s="30" t="str">
        <f t="shared" si="42"/>
        <v/>
      </c>
      <c r="H2421" s="31"/>
      <c r="I2421" s="27"/>
      <c r="J2421" s="141">
        <v>0</v>
      </c>
    </row>
    <row r="2422" spans="1:10" ht="26.25" hidden="1" thickBot="1" x14ac:dyDescent="0.3">
      <c r="A2422" s="226"/>
      <c r="B2422" s="244"/>
      <c r="C2422" s="32" t="s">
        <v>3746</v>
      </c>
      <c r="D2422" s="32" t="s">
        <v>280</v>
      </c>
      <c r="E2422" s="33">
        <v>1</v>
      </c>
      <c r="F2422" s="27">
        <v>41.106500000000004</v>
      </c>
      <c r="G2422" s="30">
        <f t="shared" si="42"/>
        <v>41.106500000000004</v>
      </c>
      <c r="H2422" s="35">
        <f>SUM(G2422:G2422)</f>
        <v>41.106500000000004</v>
      </c>
      <c r="I2422" s="36"/>
      <c r="J2422" s="141">
        <v>0</v>
      </c>
    </row>
    <row r="2423" spans="1:10" ht="15.75" hidden="1" thickBot="1" x14ac:dyDescent="0.3">
      <c r="A2423" s="227"/>
      <c r="B2423" s="230"/>
      <c r="C2423" s="32"/>
      <c r="D2423" s="32"/>
      <c r="E2423" s="33"/>
      <c r="F2423" s="27" t="s">
        <v>523</v>
      </c>
      <c r="G2423" s="30" t="str">
        <f t="shared" si="42"/>
        <v/>
      </c>
      <c r="H2423" s="31"/>
      <c r="I2423" s="27"/>
      <c r="J2423" s="141">
        <v>0</v>
      </c>
    </row>
    <row r="2424" spans="1:10" ht="15.75" hidden="1" thickBot="1" x14ac:dyDescent="0.3">
      <c r="A2424" s="225" t="s">
        <v>1892</v>
      </c>
      <c r="B2424" s="228" t="str">
        <f>INDEX(Orçamentária!A:B,MATCH(Composições!A2424,Orçamentária!A:A,0),2)</f>
        <v>Fechadura de embutir para armário e gaveta</v>
      </c>
      <c r="C2424" s="37"/>
      <c r="D2424" s="22" t="str">
        <f>TRIM(INDEX(Orçamentária!C:C,MATCH(Composições!A2424,Orçamentária!A:A,0),1))</f>
        <v>un</v>
      </c>
      <c r="E2424" s="23"/>
      <c r="F2424" s="38" t="s">
        <v>523</v>
      </c>
      <c r="G2424" s="24" t="str">
        <f t="shared" si="42"/>
        <v/>
      </c>
      <c r="H2424" s="25"/>
      <c r="I2424" s="26"/>
      <c r="J2424" s="141">
        <v>0</v>
      </c>
    </row>
    <row r="2425" spans="1:10" ht="15.75" hidden="1" thickBot="1" x14ac:dyDescent="0.3">
      <c r="A2425" s="226"/>
      <c r="B2425" s="244"/>
      <c r="C2425" s="28"/>
      <c r="D2425" s="28"/>
      <c r="E2425" s="29"/>
      <c r="F2425" s="39" t="s">
        <v>523</v>
      </c>
      <c r="G2425" s="30" t="str">
        <f t="shared" si="42"/>
        <v/>
      </c>
      <c r="H2425" s="31"/>
      <c r="I2425" s="27"/>
      <c r="J2425" s="141">
        <v>0</v>
      </c>
    </row>
    <row r="2426" spans="1:10" ht="39" hidden="1" thickBot="1" x14ac:dyDescent="0.3">
      <c r="A2426" s="226"/>
      <c r="B2426" s="244"/>
      <c r="C2426" s="32" t="s">
        <v>3731</v>
      </c>
      <c r="D2426" s="32" t="s">
        <v>280</v>
      </c>
      <c r="E2426" s="33">
        <v>1</v>
      </c>
      <c r="F2426" s="27">
        <v>14.6395</v>
      </c>
      <c r="G2426" s="30">
        <f t="shared" si="42"/>
        <v>14.6395</v>
      </c>
      <c r="H2426" s="35">
        <f>SUM(G2426:G2426)</f>
        <v>14.6395</v>
      </c>
      <c r="I2426" s="36"/>
      <c r="J2426" s="141">
        <v>0</v>
      </c>
    </row>
    <row r="2427" spans="1:10" ht="39" hidden="1" thickBot="1" x14ac:dyDescent="0.3">
      <c r="A2427" s="227"/>
      <c r="B2427" s="230"/>
      <c r="C2427" s="32" t="s">
        <v>3732</v>
      </c>
      <c r="D2427" s="32"/>
      <c r="E2427" s="33"/>
      <c r="F2427" s="27" t="s">
        <v>523</v>
      </c>
      <c r="G2427" s="30" t="str">
        <f t="shared" si="42"/>
        <v/>
      </c>
      <c r="H2427" s="31"/>
      <c r="I2427" s="27"/>
      <c r="J2427" s="141">
        <v>0</v>
      </c>
    </row>
    <row r="2428" spans="1:10" ht="15.75" hidden="1" thickBot="1" x14ac:dyDescent="0.3">
      <c r="A2428" s="225" t="s">
        <v>1894</v>
      </c>
      <c r="B2428" s="228" t="str">
        <f>INDEX(Orçamentária!A:B,MATCH(Composições!A2428,Orçamentária!A:A,0),2)</f>
        <v>Fechadura de embutir para móveis – Fechamento Superior - Referência 861</v>
      </c>
      <c r="C2428" s="37"/>
      <c r="D2428" s="22" t="str">
        <f>TRIM(INDEX(Orçamentária!C:C,MATCH(Composições!A2428,Orçamentária!A:A,0),1))</f>
        <v>un</v>
      </c>
      <c r="E2428" s="23"/>
      <c r="F2428" s="38" t="s">
        <v>523</v>
      </c>
      <c r="G2428" s="24" t="str">
        <f t="shared" si="42"/>
        <v/>
      </c>
      <c r="H2428" s="25"/>
      <c r="I2428" s="26"/>
      <c r="J2428" s="141">
        <v>0</v>
      </c>
    </row>
    <row r="2429" spans="1:10" ht="15.75" hidden="1" thickBot="1" x14ac:dyDescent="0.3">
      <c r="A2429" s="226"/>
      <c r="B2429" s="244"/>
      <c r="C2429" s="28"/>
      <c r="D2429" s="28"/>
      <c r="E2429" s="29"/>
      <c r="F2429" s="39" t="s">
        <v>523</v>
      </c>
      <c r="G2429" s="30" t="str">
        <f t="shared" si="42"/>
        <v/>
      </c>
      <c r="H2429" s="31"/>
      <c r="I2429" s="27"/>
      <c r="J2429" s="141">
        <v>0</v>
      </c>
    </row>
    <row r="2430" spans="1:10" ht="51.75" hidden="1" thickBot="1" x14ac:dyDescent="0.3">
      <c r="A2430" s="226"/>
      <c r="B2430" s="244"/>
      <c r="C2430" s="32" t="s">
        <v>3730</v>
      </c>
      <c r="D2430" s="32" t="s">
        <v>280</v>
      </c>
      <c r="E2430" s="33">
        <v>1</v>
      </c>
      <c r="F2430" s="27">
        <v>14.629999999999999</v>
      </c>
      <c r="G2430" s="30">
        <f t="shared" si="42"/>
        <v>14.629999999999999</v>
      </c>
      <c r="H2430" s="35">
        <f>SUM(G2430:G2430)</f>
        <v>14.629999999999999</v>
      </c>
      <c r="I2430" s="36"/>
      <c r="J2430" s="141">
        <v>0</v>
      </c>
    </row>
    <row r="2431" spans="1:10" ht="15.75" hidden="1" thickBot="1" x14ac:dyDescent="0.3">
      <c r="A2431" s="227"/>
      <c r="B2431" s="230"/>
      <c r="C2431" s="32"/>
      <c r="D2431" s="32"/>
      <c r="E2431" s="33"/>
      <c r="F2431" s="27" t="s">
        <v>523</v>
      </c>
      <c r="G2431" s="30" t="str">
        <f t="shared" si="42"/>
        <v/>
      </c>
      <c r="H2431" s="31"/>
      <c r="I2431" s="27"/>
      <c r="J2431" s="141">
        <v>0</v>
      </c>
    </row>
    <row r="2432" spans="1:10" ht="15.75" hidden="1" thickBot="1" x14ac:dyDescent="0.3">
      <c r="A2432" s="225" t="s">
        <v>1896</v>
      </c>
      <c r="B2432" s="228" t="str">
        <f>INDEX(Orçamentária!A:B,MATCH(Composições!A2432,Orçamentária!A:A,0),2)</f>
        <v>Fechadura de embutir para móveis – Fechamento lateral - Referência 871</v>
      </c>
      <c r="C2432" s="37"/>
      <c r="D2432" s="22" t="str">
        <f>TRIM(INDEX(Orçamentária!C:C,MATCH(Composições!A2432,Orçamentária!A:A,0),1))</f>
        <v>un</v>
      </c>
      <c r="E2432" s="23"/>
      <c r="F2432" s="38" t="s">
        <v>523</v>
      </c>
      <c r="G2432" s="24" t="str">
        <f t="shared" si="42"/>
        <v/>
      </c>
      <c r="H2432" s="25"/>
      <c r="I2432" s="26"/>
      <c r="J2432" s="141">
        <v>0</v>
      </c>
    </row>
    <row r="2433" spans="1:10" ht="15.75" hidden="1" thickBot="1" x14ac:dyDescent="0.3">
      <c r="A2433" s="226"/>
      <c r="B2433" s="244"/>
      <c r="C2433" s="28"/>
      <c r="D2433" s="28"/>
      <c r="E2433" s="29"/>
      <c r="F2433" s="39" t="s">
        <v>523</v>
      </c>
      <c r="G2433" s="30" t="str">
        <f t="shared" si="42"/>
        <v/>
      </c>
      <c r="H2433" s="31"/>
      <c r="I2433" s="27"/>
      <c r="J2433" s="141">
        <v>0</v>
      </c>
    </row>
    <row r="2434" spans="1:10" ht="51.75" hidden="1" thickBot="1" x14ac:dyDescent="0.3">
      <c r="A2434" s="226"/>
      <c r="B2434" s="244"/>
      <c r="C2434" s="32" t="s">
        <v>3730</v>
      </c>
      <c r="D2434" s="32" t="s">
        <v>280</v>
      </c>
      <c r="E2434" s="33">
        <v>1</v>
      </c>
      <c r="F2434" s="27">
        <v>14.629999999999999</v>
      </c>
      <c r="G2434" s="30">
        <f t="shared" si="42"/>
        <v>14.629999999999999</v>
      </c>
      <c r="H2434" s="35">
        <f>SUM(G2434:G2434)</f>
        <v>14.629999999999999</v>
      </c>
      <c r="I2434" s="36"/>
      <c r="J2434" s="141">
        <v>0</v>
      </c>
    </row>
    <row r="2435" spans="1:10" ht="15.75" hidden="1" thickBot="1" x14ac:dyDescent="0.3">
      <c r="A2435" s="227"/>
      <c r="B2435" s="230"/>
      <c r="C2435" s="32"/>
      <c r="D2435" s="32"/>
      <c r="E2435" s="33"/>
      <c r="F2435" s="27" t="s">
        <v>523</v>
      </c>
      <c r="G2435" s="30" t="str">
        <f t="shared" si="42"/>
        <v/>
      </c>
      <c r="H2435" s="31"/>
      <c r="I2435" s="27"/>
      <c r="J2435" s="141">
        <v>0</v>
      </c>
    </row>
    <row r="2436" spans="1:10" ht="15.75" hidden="1" thickBot="1" x14ac:dyDescent="0.3">
      <c r="A2436" s="225" t="s">
        <v>1951</v>
      </c>
      <c r="B2436" s="228" t="str">
        <f>INDEX(Orçamentária!A:B,MATCH(Composições!A2436,Orçamentária!A:A,0),2)</f>
        <v>Puxador alça 102mm</v>
      </c>
      <c r="C2436" s="37"/>
      <c r="D2436" s="22" t="str">
        <f>TRIM(INDEX(Orçamentária!C:C,MATCH(Composições!A2436,Orçamentária!A:A,0),1))</f>
        <v>un</v>
      </c>
      <c r="E2436" s="23"/>
      <c r="F2436" s="38" t="s">
        <v>523</v>
      </c>
      <c r="G2436" s="24" t="str">
        <f t="shared" si="42"/>
        <v/>
      </c>
      <c r="H2436" s="25"/>
      <c r="I2436" s="26"/>
      <c r="J2436" s="141">
        <v>0</v>
      </c>
    </row>
    <row r="2437" spans="1:10" ht="15.75" hidden="1" thickBot="1" x14ac:dyDescent="0.3">
      <c r="A2437" s="226"/>
      <c r="B2437" s="244"/>
      <c r="C2437" s="28"/>
      <c r="D2437" s="28"/>
      <c r="E2437" s="29"/>
      <c r="F2437" s="39" t="s">
        <v>523</v>
      </c>
      <c r="G2437" s="30" t="str">
        <f t="shared" si="42"/>
        <v/>
      </c>
      <c r="H2437" s="31"/>
      <c r="I2437" s="27"/>
      <c r="J2437" s="141">
        <v>0</v>
      </c>
    </row>
    <row r="2438" spans="1:10" ht="39" hidden="1" thickBot="1" x14ac:dyDescent="0.3">
      <c r="A2438" s="226"/>
      <c r="B2438" s="244"/>
      <c r="C2438" s="32" t="s">
        <v>3745</v>
      </c>
      <c r="D2438" s="32" t="s">
        <v>280</v>
      </c>
      <c r="E2438" s="33">
        <v>1</v>
      </c>
      <c r="F2438" s="27">
        <v>18.211500000000001</v>
      </c>
      <c r="G2438" s="30">
        <f t="shared" ref="G2438:G2501" si="43">IF(ISNUMBER(F2438),E2438*F2438,"")</f>
        <v>18.211500000000001</v>
      </c>
      <c r="H2438" s="35">
        <f>SUM(G2438:G2438)</f>
        <v>18.211500000000001</v>
      </c>
      <c r="I2438" s="36"/>
      <c r="J2438" s="141">
        <v>0</v>
      </c>
    </row>
    <row r="2439" spans="1:10" ht="15.75" hidden="1" thickBot="1" x14ac:dyDescent="0.3">
      <c r="A2439" s="227"/>
      <c r="B2439" s="230"/>
      <c r="C2439" s="32"/>
      <c r="D2439" s="32"/>
      <c r="E2439" s="33"/>
      <c r="F2439" s="27" t="s">
        <v>523</v>
      </c>
      <c r="G2439" s="30" t="str">
        <f t="shared" si="43"/>
        <v/>
      </c>
      <c r="H2439" s="31"/>
      <c r="I2439" s="27"/>
      <c r="J2439" s="141">
        <v>0</v>
      </c>
    </row>
    <row r="2440" spans="1:10" ht="15.75" hidden="1" thickBot="1" x14ac:dyDescent="0.3">
      <c r="A2440" s="225" t="s">
        <v>743</v>
      </c>
      <c r="B2440" s="228" t="str">
        <f>INDEX(Orçamentária!A:B,MATCH(Composições!A2440,Orçamentária!A:A,0),2)</f>
        <v>Espuma Expansiva à base de poliuretano</v>
      </c>
      <c r="C2440" s="37"/>
      <c r="D2440" s="22" t="str">
        <f>TRIM(INDEX(Orçamentária!C:C,MATCH(Composições!A2440,Orçamentária!A:A,0),1))</f>
        <v>500 ml</v>
      </c>
      <c r="E2440" s="23"/>
      <c r="F2440" s="38" t="s">
        <v>523</v>
      </c>
      <c r="G2440" s="24" t="str">
        <f t="shared" si="43"/>
        <v/>
      </c>
      <c r="H2440" s="25"/>
      <c r="I2440" s="26"/>
      <c r="J2440" s="141">
        <v>0</v>
      </c>
    </row>
    <row r="2441" spans="1:10" ht="15.75" hidden="1" thickBot="1" x14ac:dyDescent="0.3">
      <c r="A2441" s="226"/>
      <c r="B2441" s="244"/>
      <c r="C2441" s="28"/>
      <c r="D2441" s="28"/>
      <c r="E2441" s="29"/>
      <c r="F2441" s="39" t="s">
        <v>523</v>
      </c>
      <c r="G2441" s="30" t="str">
        <f t="shared" si="43"/>
        <v/>
      </c>
      <c r="H2441" s="31"/>
      <c r="I2441" s="27"/>
      <c r="J2441" s="141">
        <v>0</v>
      </c>
    </row>
    <row r="2442" spans="1:10" ht="26.25" hidden="1" thickBot="1" x14ac:dyDescent="0.3">
      <c r="A2442" s="226"/>
      <c r="B2442" s="244"/>
      <c r="C2442" s="32" t="s">
        <v>744</v>
      </c>
      <c r="D2442" s="43" t="s">
        <v>280</v>
      </c>
      <c r="E2442" s="33">
        <v>1</v>
      </c>
      <c r="F2442" s="27">
        <v>30.875</v>
      </c>
      <c r="G2442" s="30">
        <f t="shared" si="43"/>
        <v>30.875</v>
      </c>
      <c r="H2442" s="35">
        <f>SUM(G2442:G2442)</f>
        <v>30.875</v>
      </c>
      <c r="I2442" s="36"/>
      <c r="J2442" s="141">
        <v>0</v>
      </c>
    </row>
    <row r="2443" spans="1:10" ht="15.75" hidden="1" thickBot="1" x14ac:dyDescent="0.3">
      <c r="A2443" s="227"/>
      <c r="B2443" s="230"/>
      <c r="C2443" s="32"/>
      <c r="D2443" s="32"/>
      <c r="E2443" s="33"/>
      <c r="F2443" s="27" t="s">
        <v>523</v>
      </c>
      <c r="G2443" s="30" t="str">
        <f t="shared" si="43"/>
        <v/>
      </c>
      <c r="H2443" s="31"/>
      <c r="I2443" s="27"/>
      <c r="J2443" s="141">
        <v>0</v>
      </c>
    </row>
    <row r="2444" spans="1:10" ht="15.75" hidden="1" thickBot="1" x14ac:dyDescent="0.3">
      <c r="A2444" s="225" t="s">
        <v>2001</v>
      </c>
      <c r="B2444" s="228" t="str">
        <f>INDEX(Orçamentária!A:B,MATCH(Composições!A2444,Orçamentária!A:A,0),2)</f>
        <v>Adesivo de Contato à Base d’água</v>
      </c>
      <c r="C2444" s="37"/>
      <c r="D2444" s="22" t="str">
        <f>TRIM(INDEX(Orçamentária!C:C,MATCH(Composições!A2444,Orçamentária!A:A,0),1))</f>
        <v>kg</v>
      </c>
      <c r="E2444" s="23"/>
      <c r="F2444" s="38" t="s">
        <v>523</v>
      </c>
      <c r="G2444" s="24" t="str">
        <f t="shared" si="43"/>
        <v/>
      </c>
      <c r="H2444" s="25"/>
      <c r="I2444" s="26"/>
      <c r="J2444" s="141">
        <v>0</v>
      </c>
    </row>
    <row r="2445" spans="1:10" ht="15.75" hidden="1" thickBot="1" x14ac:dyDescent="0.3">
      <c r="A2445" s="226"/>
      <c r="B2445" s="244"/>
      <c r="C2445" s="28"/>
      <c r="D2445" s="28"/>
      <c r="E2445" s="29"/>
      <c r="F2445" s="39" t="s">
        <v>523</v>
      </c>
      <c r="G2445" s="30" t="str">
        <f t="shared" si="43"/>
        <v/>
      </c>
      <c r="H2445" s="31"/>
      <c r="I2445" s="27"/>
      <c r="J2445" s="141">
        <v>0</v>
      </c>
    </row>
    <row r="2446" spans="1:10" ht="15.75" hidden="1" thickBot="1" x14ac:dyDescent="0.3">
      <c r="A2446" s="226"/>
      <c r="B2446" s="244"/>
      <c r="C2446" s="32" t="s">
        <v>6626</v>
      </c>
      <c r="D2446" s="43" t="s">
        <v>901</v>
      </c>
      <c r="E2446" s="33">
        <v>1</v>
      </c>
      <c r="F2446" s="27">
        <v>45.637999999999998</v>
      </c>
      <c r="G2446" s="30">
        <f t="shared" si="43"/>
        <v>45.637999999999998</v>
      </c>
      <c r="H2446" s="35">
        <f>SUM(G2446:G2446)</f>
        <v>45.637999999999998</v>
      </c>
      <c r="I2446" s="36"/>
      <c r="J2446" s="141">
        <v>0</v>
      </c>
    </row>
    <row r="2447" spans="1:10" ht="15.75" hidden="1" thickBot="1" x14ac:dyDescent="0.3">
      <c r="A2447" s="227"/>
      <c r="B2447" s="230"/>
      <c r="C2447" s="32"/>
      <c r="D2447" s="32"/>
      <c r="E2447" s="33"/>
      <c r="F2447" s="27" t="s">
        <v>523</v>
      </c>
      <c r="G2447" s="30" t="str">
        <f t="shared" si="43"/>
        <v/>
      </c>
      <c r="H2447" s="31"/>
      <c r="I2447" s="27"/>
      <c r="J2447" s="141">
        <v>0</v>
      </c>
    </row>
    <row r="2448" spans="1:10" ht="15.75" hidden="1" thickBot="1" x14ac:dyDescent="0.3">
      <c r="A2448" s="225" t="s">
        <v>2005</v>
      </c>
      <c r="B2448" s="228" t="str">
        <f>INDEX(Orçamentária!A:B,MATCH(Composições!A2448,Orçamentária!A:A,0),2)</f>
        <v>Laminado fenólico melamínico texturizado - Azul Noturno</v>
      </c>
      <c r="C2448" s="37"/>
      <c r="D2448" s="22" t="str">
        <f>TRIM(INDEX(Orçamentária!C:C,MATCH(Composições!A2448,Orçamentária!A:A,0),1))</f>
        <v>m2</v>
      </c>
      <c r="E2448" s="23"/>
      <c r="F2448" s="38" t="s">
        <v>523</v>
      </c>
      <c r="G2448" s="24" t="str">
        <f t="shared" si="43"/>
        <v/>
      </c>
      <c r="H2448" s="25"/>
      <c r="I2448" s="26"/>
      <c r="J2448" s="141">
        <v>0</v>
      </c>
    </row>
    <row r="2449" spans="1:10" ht="15.75" hidden="1" thickBot="1" x14ac:dyDescent="0.3">
      <c r="A2449" s="226"/>
      <c r="B2449" s="244"/>
      <c r="C2449" s="28"/>
      <c r="D2449" s="28"/>
      <c r="E2449" s="29"/>
      <c r="F2449" s="39" t="s">
        <v>523</v>
      </c>
      <c r="G2449" s="30" t="str">
        <f t="shared" si="43"/>
        <v/>
      </c>
      <c r="H2449" s="31"/>
      <c r="I2449" s="27"/>
      <c r="J2449" s="141">
        <v>0</v>
      </c>
    </row>
    <row r="2450" spans="1:10" ht="26.25" hidden="1" thickBot="1" x14ac:dyDescent="0.3">
      <c r="A2450" s="226"/>
      <c r="B2450" s="244"/>
      <c r="C2450" s="32" t="s">
        <v>3268</v>
      </c>
      <c r="D2450" s="43" t="s">
        <v>95</v>
      </c>
      <c r="E2450" s="33">
        <v>1</v>
      </c>
      <c r="F2450" s="27">
        <v>51.908000000000001</v>
      </c>
      <c r="G2450" s="30">
        <f t="shared" si="43"/>
        <v>51.908000000000001</v>
      </c>
      <c r="H2450" s="35">
        <f>SUM(G2450:G2450)</f>
        <v>51.908000000000001</v>
      </c>
      <c r="I2450" s="36"/>
      <c r="J2450" s="141">
        <v>0</v>
      </c>
    </row>
    <row r="2451" spans="1:10" ht="15.75" hidden="1" thickBot="1" x14ac:dyDescent="0.3">
      <c r="A2451" s="227"/>
      <c r="B2451" s="230"/>
      <c r="C2451" s="32"/>
      <c r="D2451" s="32"/>
      <c r="E2451" s="33"/>
      <c r="F2451" s="27" t="s">
        <v>523</v>
      </c>
      <c r="G2451" s="30" t="str">
        <f t="shared" si="43"/>
        <v/>
      </c>
      <c r="H2451" s="31"/>
      <c r="I2451" s="27"/>
      <c r="J2451" s="141">
        <v>0</v>
      </c>
    </row>
    <row r="2452" spans="1:10" ht="15.75" hidden="1" thickBot="1" x14ac:dyDescent="0.3">
      <c r="A2452" s="225" t="s">
        <v>2007</v>
      </c>
      <c r="B2452" s="228" t="str">
        <f>INDEX(Orçamentária!A:B,MATCH(Composições!A2452,Orçamentária!A:A,0),2)</f>
        <v>Laminado fenólico melamínico texturizado - Branco</v>
      </c>
      <c r="C2452" s="37"/>
      <c r="D2452" s="22" t="str">
        <f>TRIM(INDEX(Orçamentária!C:C,MATCH(Composições!A2452,Orçamentária!A:A,0),1))</f>
        <v>m2</v>
      </c>
      <c r="E2452" s="23"/>
      <c r="F2452" s="38" t="s">
        <v>523</v>
      </c>
      <c r="G2452" s="24" t="str">
        <f t="shared" si="43"/>
        <v/>
      </c>
      <c r="H2452" s="25"/>
      <c r="I2452" s="26"/>
      <c r="J2452" s="141">
        <v>0</v>
      </c>
    </row>
    <row r="2453" spans="1:10" ht="15.75" hidden="1" thickBot="1" x14ac:dyDescent="0.3">
      <c r="A2453" s="226"/>
      <c r="B2453" s="244"/>
      <c r="C2453" s="28"/>
      <c r="D2453" s="28"/>
      <c r="E2453" s="29"/>
      <c r="F2453" s="39" t="s">
        <v>523</v>
      </c>
      <c r="G2453" s="30" t="str">
        <f t="shared" si="43"/>
        <v/>
      </c>
      <c r="H2453" s="31"/>
      <c r="I2453" s="27"/>
      <c r="J2453" s="141">
        <v>0</v>
      </c>
    </row>
    <row r="2454" spans="1:10" ht="26.25" hidden="1" thickBot="1" x14ac:dyDescent="0.3">
      <c r="A2454" s="226"/>
      <c r="B2454" s="244"/>
      <c r="C2454" s="32" t="s">
        <v>3268</v>
      </c>
      <c r="D2454" s="43" t="s">
        <v>95</v>
      </c>
      <c r="E2454" s="33">
        <v>1</v>
      </c>
      <c r="F2454" s="27">
        <v>51.908000000000001</v>
      </c>
      <c r="G2454" s="30">
        <f t="shared" si="43"/>
        <v>51.908000000000001</v>
      </c>
      <c r="H2454" s="35">
        <f>SUM(G2454:G2454)</f>
        <v>51.908000000000001</v>
      </c>
      <c r="I2454" s="36"/>
      <c r="J2454" s="141">
        <v>0</v>
      </c>
    </row>
    <row r="2455" spans="1:10" ht="15.75" hidden="1" thickBot="1" x14ac:dyDescent="0.3">
      <c r="A2455" s="227"/>
      <c r="B2455" s="230"/>
      <c r="C2455" s="32"/>
      <c r="D2455" s="32"/>
      <c r="E2455" s="33"/>
      <c r="F2455" s="27" t="s">
        <v>523</v>
      </c>
      <c r="G2455" s="30" t="str">
        <f t="shared" si="43"/>
        <v/>
      </c>
      <c r="H2455" s="31"/>
      <c r="I2455" s="27"/>
      <c r="J2455" s="141">
        <v>0</v>
      </c>
    </row>
    <row r="2456" spans="1:10" ht="15.75" hidden="1" thickBot="1" x14ac:dyDescent="0.3">
      <c r="A2456" s="225" t="s">
        <v>2009</v>
      </c>
      <c r="B2456" s="228" t="str">
        <f>INDEX(Orçamentária!A:B,MATCH(Composições!A2456,Orçamentária!A:A,0),2)</f>
        <v>Laminado fenólico melamínico texturizado - Ovo</v>
      </c>
      <c r="C2456" s="37"/>
      <c r="D2456" s="22" t="str">
        <f>TRIM(INDEX(Orçamentária!C:C,MATCH(Composições!A2456,Orçamentária!A:A,0),1))</f>
        <v>m2</v>
      </c>
      <c r="E2456" s="23"/>
      <c r="F2456" s="38" t="s">
        <v>523</v>
      </c>
      <c r="G2456" s="24" t="str">
        <f t="shared" si="43"/>
        <v/>
      </c>
      <c r="H2456" s="25"/>
      <c r="I2456" s="26"/>
      <c r="J2456" s="141">
        <v>0</v>
      </c>
    </row>
    <row r="2457" spans="1:10" ht="15.75" hidden="1" thickBot="1" x14ac:dyDescent="0.3">
      <c r="A2457" s="226"/>
      <c r="B2457" s="244"/>
      <c r="C2457" s="28"/>
      <c r="D2457" s="28"/>
      <c r="E2457" s="29"/>
      <c r="F2457" s="39" t="s">
        <v>523</v>
      </c>
      <c r="G2457" s="30" t="str">
        <f t="shared" si="43"/>
        <v/>
      </c>
      <c r="H2457" s="31"/>
      <c r="I2457" s="27"/>
      <c r="J2457" s="141">
        <v>0</v>
      </c>
    </row>
    <row r="2458" spans="1:10" ht="26.25" hidden="1" thickBot="1" x14ac:dyDescent="0.3">
      <c r="A2458" s="226"/>
      <c r="B2458" s="244"/>
      <c r="C2458" s="32" t="s">
        <v>3268</v>
      </c>
      <c r="D2458" s="43" t="s">
        <v>95</v>
      </c>
      <c r="E2458" s="33">
        <v>1</v>
      </c>
      <c r="F2458" s="27">
        <v>51.908000000000001</v>
      </c>
      <c r="G2458" s="30">
        <f t="shared" si="43"/>
        <v>51.908000000000001</v>
      </c>
      <c r="H2458" s="35">
        <f>SUM(G2458:G2458)</f>
        <v>51.908000000000001</v>
      </c>
      <c r="I2458" s="36"/>
      <c r="J2458" s="141">
        <v>0</v>
      </c>
    </row>
    <row r="2459" spans="1:10" ht="15.75" hidden="1" thickBot="1" x14ac:dyDescent="0.3">
      <c r="A2459" s="227"/>
      <c r="B2459" s="230"/>
      <c r="C2459" s="32"/>
      <c r="D2459" s="32"/>
      <c r="E2459" s="33"/>
      <c r="F2459" s="27" t="s">
        <v>523</v>
      </c>
      <c r="G2459" s="30" t="str">
        <f t="shared" si="43"/>
        <v/>
      </c>
      <c r="H2459" s="31"/>
      <c r="I2459" s="27"/>
      <c r="J2459" s="141">
        <v>0</v>
      </c>
    </row>
    <row r="2460" spans="1:10" ht="15.75" hidden="1" thickBot="1" x14ac:dyDescent="0.3">
      <c r="A2460" s="225" t="s">
        <v>2041</v>
      </c>
      <c r="B2460" s="228" t="str">
        <f>INDEX(Orçamentária!A:B,MATCH(Composições!A2460,Orçamentária!A:A,0),2)</f>
        <v>Tábua de Madeira bruta aparelhada - Pinus</v>
      </c>
      <c r="C2460" s="37"/>
      <c r="D2460" s="22" t="str">
        <f>TRIM(INDEX(Orçamentária!C:C,MATCH(Composições!A2460,Orçamentária!A:A,0),1))</f>
        <v>m3</v>
      </c>
      <c r="E2460" s="23"/>
      <c r="F2460" s="38" t="s">
        <v>523</v>
      </c>
      <c r="G2460" s="24" t="str">
        <f t="shared" si="43"/>
        <v/>
      </c>
      <c r="H2460" s="25"/>
      <c r="I2460" s="26"/>
      <c r="J2460" s="141">
        <v>0</v>
      </c>
    </row>
    <row r="2461" spans="1:10" ht="15.75" hidden="1" thickBot="1" x14ac:dyDescent="0.3">
      <c r="A2461" s="226"/>
      <c r="B2461" s="244"/>
      <c r="C2461" s="28"/>
      <c r="D2461" s="28"/>
      <c r="E2461" s="29"/>
      <c r="F2461" s="39" t="s">
        <v>523</v>
      </c>
      <c r="G2461" s="30" t="str">
        <f t="shared" si="43"/>
        <v/>
      </c>
      <c r="H2461" s="31"/>
      <c r="I2461" s="27"/>
      <c r="J2461" s="141">
        <v>0</v>
      </c>
    </row>
    <row r="2462" spans="1:10" ht="26.25" hidden="1" thickBot="1" x14ac:dyDescent="0.3">
      <c r="A2462" s="226"/>
      <c r="B2462" s="244"/>
      <c r="C2462" s="32" t="s">
        <v>3713</v>
      </c>
      <c r="D2462" s="43" t="s">
        <v>93</v>
      </c>
      <c r="E2462" s="33">
        <f>1/(0.025*0.3)</f>
        <v>133.33333333333334</v>
      </c>
      <c r="F2462" s="27">
        <v>14.25</v>
      </c>
      <c r="G2462" s="30">
        <f t="shared" si="43"/>
        <v>1900.0000000000002</v>
      </c>
      <c r="H2462" s="35">
        <f>SUM(G2462:G2462)</f>
        <v>1900.0000000000002</v>
      </c>
      <c r="I2462" s="36"/>
      <c r="J2462" s="141">
        <v>0</v>
      </c>
    </row>
    <row r="2463" spans="1:10" ht="15.75" hidden="1" thickBot="1" x14ac:dyDescent="0.3">
      <c r="A2463" s="227"/>
      <c r="B2463" s="230"/>
      <c r="C2463" s="32"/>
      <c r="D2463" s="32"/>
      <c r="E2463" s="33"/>
      <c r="F2463" s="27" t="s">
        <v>523</v>
      </c>
      <c r="G2463" s="30" t="str">
        <f t="shared" si="43"/>
        <v/>
      </c>
      <c r="H2463" s="31"/>
      <c r="I2463" s="27"/>
      <c r="J2463" s="141">
        <v>0</v>
      </c>
    </row>
    <row r="2464" spans="1:10" ht="15.75" hidden="1" thickBot="1" x14ac:dyDescent="0.3">
      <c r="A2464" s="225" t="s">
        <v>2043</v>
      </c>
      <c r="B2464" s="228" t="str">
        <f>INDEX(Orçamentária!A:B,MATCH(Composições!A2464,Orçamentária!A:A,0),2)</f>
        <v>Sarrafo De Madeira</v>
      </c>
      <c r="C2464" s="37"/>
      <c r="D2464" s="22" t="str">
        <f>TRIM(INDEX(Orçamentária!C:C,MATCH(Composições!A2464,Orçamentária!A:A,0),1))</f>
        <v>m</v>
      </c>
      <c r="E2464" s="23"/>
      <c r="F2464" s="38" t="s">
        <v>523</v>
      </c>
      <c r="G2464" s="24" t="str">
        <f t="shared" si="43"/>
        <v/>
      </c>
      <c r="H2464" s="25"/>
      <c r="I2464" s="26"/>
      <c r="J2464" s="141">
        <v>0</v>
      </c>
    </row>
    <row r="2465" spans="1:10" ht="15.75" hidden="1" thickBot="1" x14ac:dyDescent="0.3">
      <c r="A2465" s="226"/>
      <c r="B2465" s="244"/>
      <c r="C2465" s="28"/>
      <c r="D2465" s="28"/>
      <c r="E2465" s="29"/>
      <c r="F2465" s="39" t="s">
        <v>523</v>
      </c>
      <c r="G2465" s="30" t="str">
        <f t="shared" si="43"/>
        <v/>
      </c>
      <c r="H2465" s="31"/>
      <c r="I2465" s="27"/>
      <c r="J2465" s="141">
        <v>0</v>
      </c>
    </row>
    <row r="2466" spans="1:10" ht="26.25" hidden="1" thickBot="1" x14ac:dyDescent="0.3">
      <c r="A2466" s="226"/>
      <c r="B2466" s="244"/>
      <c r="C2466" s="32" t="s">
        <v>3710</v>
      </c>
      <c r="D2466" s="43" t="s">
        <v>93</v>
      </c>
      <c r="E2466" s="33">
        <v>1</v>
      </c>
      <c r="F2466" s="27">
        <v>4.3605</v>
      </c>
      <c r="G2466" s="30">
        <f t="shared" si="43"/>
        <v>4.3605</v>
      </c>
      <c r="H2466" s="35">
        <f>SUM(G2466:G2466)</f>
        <v>4.3605</v>
      </c>
      <c r="I2466" s="36"/>
      <c r="J2466" s="141">
        <v>0</v>
      </c>
    </row>
    <row r="2467" spans="1:10" ht="15.75" hidden="1" thickBot="1" x14ac:dyDescent="0.3">
      <c r="A2467" s="227"/>
      <c r="B2467" s="230"/>
      <c r="C2467" s="32"/>
      <c r="D2467" s="32"/>
      <c r="E2467" s="33"/>
      <c r="F2467" s="27" t="s">
        <v>523</v>
      </c>
      <c r="G2467" s="30" t="str">
        <f t="shared" si="43"/>
        <v/>
      </c>
      <c r="H2467" s="31"/>
      <c r="I2467" s="27"/>
      <c r="J2467" s="141">
        <v>0</v>
      </c>
    </row>
    <row r="2468" spans="1:10" ht="15.75" hidden="1" thickBot="1" x14ac:dyDescent="0.3">
      <c r="A2468" s="225" t="s">
        <v>2045</v>
      </c>
      <c r="B2468" s="228" t="str">
        <f>INDEX(Orçamentária!A:B,MATCH(Composições!A2468,Orçamentária!A:A,0),2)</f>
        <v>Caibro De Madeira</v>
      </c>
      <c r="C2468" s="37"/>
      <c r="D2468" s="22" t="str">
        <f>TRIM(INDEX(Orçamentária!C:C,MATCH(Composições!A2468,Orçamentária!A:A,0),1))</f>
        <v>m</v>
      </c>
      <c r="E2468" s="23"/>
      <c r="F2468" s="38" t="s">
        <v>523</v>
      </c>
      <c r="G2468" s="24" t="str">
        <f t="shared" si="43"/>
        <v/>
      </c>
      <c r="H2468" s="25"/>
      <c r="I2468" s="26"/>
      <c r="J2468" s="141">
        <v>0</v>
      </c>
    </row>
    <row r="2469" spans="1:10" ht="15.75" hidden="1" thickBot="1" x14ac:dyDescent="0.3">
      <c r="A2469" s="226"/>
      <c r="B2469" s="244"/>
      <c r="C2469" s="28"/>
      <c r="D2469" s="28"/>
      <c r="E2469" s="29"/>
      <c r="F2469" s="39" t="s">
        <v>523</v>
      </c>
      <c r="G2469" s="30" t="str">
        <f t="shared" si="43"/>
        <v/>
      </c>
      <c r="H2469" s="31"/>
      <c r="I2469" s="27"/>
      <c r="J2469" s="141">
        <v>0</v>
      </c>
    </row>
    <row r="2470" spans="1:10" ht="26.25" hidden="1" thickBot="1" x14ac:dyDescent="0.3">
      <c r="A2470" s="226"/>
      <c r="B2470" s="244"/>
      <c r="C2470" s="32" t="s">
        <v>3702</v>
      </c>
      <c r="D2470" s="43" t="s">
        <v>93</v>
      </c>
      <c r="E2470" s="33">
        <v>1</v>
      </c>
      <c r="F2470" s="27">
        <v>6.0419999999999998</v>
      </c>
      <c r="G2470" s="30">
        <f t="shared" si="43"/>
        <v>6.0419999999999998</v>
      </c>
      <c r="H2470" s="35">
        <f>SUM(G2470:G2470)</f>
        <v>6.0419999999999998</v>
      </c>
      <c r="I2470" s="36"/>
      <c r="J2470" s="141">
        <v>0</v>
      </c>
    </row>
    <row r="2471" spans="1:10" ht="15.75" hidden="1" thickBot="1" x14ac:dyDescent="0.3">
      <c r="A2471" s="227"/>
      <c r="B2471" s="230"/>
      <c r="C2471" s="32"/>
      <c r="D2471" s="32"/>
      <c r="E2471" s="33"/>
      <c r="F2471" s="27" t="s">
        <v>523</v>
      </c>
      <c r="G2471" s="30" t="str">
        <f t="shared" si="43"/>
        <v/>
      </c>
      <c r="H2471" s="31"/>
      <c r="I2471" s="27"/>
      <c r="J2471" s="141">
        <v>0</v>
      </c>
    </row>
    <row r="2472" spans="1:10" ht="15.75" hidden="1" thickBot="1" x14ac:dyDescent="0.3">
      <c r="A2472" s="225" t="s">
        <v>2051</v>
      </c>
      <c r="B2472" s="228" t="str">
        <f>INDEX(Orçamentária!A:B,MATCH(Composições!A2472,Orçamentária!A:A,0),2)</f>
        <v>Painel de MDF Laminado – Branco - 06mm</v>
      </c>
      <c r="C2472" s="37"/>
      <c r="D2472" s="22" t="str">
        <f>TRIM(INDEX(Orçamentária!C:C,MATCH(Composições!A2472,Orçamentária!A:A,0),1))</f>
        <v>m2</v>
      </c>
      <c r="E2472" s="23"/>
      <c r="F2472" s="38" t="s">
        <v>523</v>
      </c>
      <c r="G2472" s="24" t="str">
        <f t="shared" si="43"/>
        <v/>
      </c>
      <c r="H2472" s="25"/>
      <c r="I2472" s="26"/>
      <c r="J2472" s="141">
        <v>0</v>
      </c>
    </row>
    <row r="2473" spans="1:10" ht="15.75" hidden="1" thickBot="1" x14ac:dyDescent="0.3">
      <c r="A2473" s="226"/>
      <c r="B2473" s="244"/>
      <c r="C2473" s="28"/>
      <c r="D2473" s="28"/>
      <c r="E2473" s="29"/>
      <c r="F2473" s="39" t="s">
        <v>523</v>
      </c>
      <c r="G2473" s="30" t="str">
        <f t="shared" si="43"/>
        <v/>
      </c>
      <c r="H2473" s="31"/>
      <c r="I2473" s="27"/>
      <c r="J2473" s="141">
        <v>0</v>
      </c>
    </row>
    <row r="2474" spans="1:10" ht="15.75" hidden="1" thickBot="1" x14ac:dyDescent="0.3">
      <c r="A2474" s="226"/>
      <c r="B2474" s="244"/>
      <c r="C2474" s="32" t="s">
        <v>3269</v>
      </c>
      <c r="D2474" s="43" t="s">
        <v>95</v>
      </c>
      <c r="E2474" s="33">
        <v>1</v>
      </c>
      <c r="F2474" s="27">
        <v>32.651499999999999</v>
      </c>
      <c r="G2474" s="30">
        <f t="shared" si="43"/>
        <v>32.651499999999999</v>
      </c>
      <c r="H2474" s="35">
        <f>SUM(G2474:G2474)</f>
        <v>32.651499999999999</v>
      </c>
      <c r="I2474" s="36"/>
      <c r="J2474" s="141">
        <v>0</v>
      </c>
    </row>
    <row r="2475" spans="1:10" ht="15.75" hidden="1" thickBot="1" x14ac:dyDescent="0.3">
      <c r="A2475" s="227"/>
      <c r="B2475" s="230"/>
      <c r="C2475" s="32"/>
      <c r="D2475" s="32"/>
      <c r="E2475" s="33"/>
      <c r="F2475" s="27" t="s">
        <v>523</v>
      </c>
      <c r="G2475" s="30" t="str">
        <f t="shared" si="43"/>
        <v/>
      </c>
      <c r="H2475" s="31"/>
      <c r="I2475" s="27"/>
      <c r="J2475" s="141">
        <v>0</v>
      </c>
    </row>
    <row r="2476" spans="1:10" ht="15.75" hidden="1" thickBot="1" x14ac:dyDescent="0.3">
      <c r="A2476" s="225" t="s">
        <v>2055</v>
      </c>
      <c r="B2476" s="228" t="str">
        <f>INDEX(Orçamentária!A:B,MATCH(Composições!A2476,Orçamentária!A:A,0),2)</f>
        <v>Painel de MDF Laminado - Branco - 15mm</v>
      </c>
      <c r="C2476" s="37"/>
      <c r="D2476" s="22" t="str">
        <f>TRIM(INDEX(Orçamentária!C:C,MATCH(Composições!A2476,Orçamentária!A:A,0),1))</f>
        <v>m2</v>
      </c>
      <c r="E2476" s="23"/>
      <c r="F2476" s="38" t="s">
        <v>523</v>
      </c>
      <c r="G2476" s="24" t="str">
        <f t="shared" si="43"/>
        <v/>
      </c>
      <c r="H2476" s="25"/>
      <c r="I2476" s="26"/>
      <c r="J2476" s="141">
        <v>0</v>
      </c>
    </row>
    <row r="2477" spans="1:10" ht="15.75" hidden="1" thickBot="1" x14ac:dyDescent="0.3">
      <c r="A2477" s="226"/>
      <c r="B2477" s="244"/>
      <c r="C2477" s="28"/>
      <c r="D2477" s="28"/>
      <c r="E2477" s="29"/>
      <c r="F2477" s="39" t="s">
        <v>523</v>
      </c>
      <c r="G2477" s="30" t="str">
        <f t="shared" si="43"/>
        <v/>
      </c>
      <c r="H2477" s="31"/>
      <c r="I2477" s="27"/>
      <c r="J2477" s="141">
        <v>0</v>
      </c>
    </row>
    <row r="2478" spans="1:10" ht="26.25" hidden="1" thickBot="1" x14ac:dyDescent="0.3">
      <c r="A2478" s="226"/>
      <c r="B2478" s="244"/>
      <c r="C2478" s="32" t="s">
        <v>3270</v>
      </c>
      <c r="D2478" s="43" t="s">
        <v>95</v>
      </c>
      <c r="E2478" s="33">
        <v>1</v>
      </c>
      <c r="F2478" s="27">
        <v>51.233499999999999</v>
      </c>
      <c r="G2478" s="30">
        <f t="shared" si="43"/>
        <v>51.233499999999999</v>
      </c>
      <c r="H2478" s="35">
        <f>SUM(G2478:G2478)</f>
        <v>51.233499999999999</v>
      </c>
      <c r="I2478" s="36"/>
      <c r="J2478" s="141">
        <v>0</v>
      </c>
    </row>
    <row r="2479" spans="1:10" ht="15.75" hidden="1" thickBot="1" x14ac:dyDescent="0.3">
      <c r="A2479" s="227"/>
      <c r="B2479" s="230"/>
      <c r="C2479" s="32"/>
      <c r="D2479" s="32"/>
      <c r="E2479" s="33"/>
      <c r="F2479" s="27" t="s">
        <v>523</v>
      </c>
      <c r="G2479" s="30" t="str">
        <f t="shared" si="43"/>
        <v/>
      </c>
      <c r="H2479" s="31"/>
      <c r="I2479" s="27"/>
      <c r="J2479" s="141">
        <v>0</v>
      </c>
    </row>
    <row r="2480" spans="1:10" ht="15.75" hidden="1" thickBot="1" x14ac:dyDescent="0.3">
      <c r="A2480" s="225" t="s">
        <v>2059</v>
      </c>
      <c r="B2480" s="228" t="str">
        <f>INDEX(Orçamentária!A:B,MATCH(Composições!A2480,Orçamentária!A:A,0),2)</f>
        <v>Painel de MDF Laminado – Branco - 18mm</v>
      </c>
      <c r="C2480" s="37"/>
      <c r="D2480" s="22" t="str">
        <f>TRIM(INDEX(Orçamentária!C:C,MATCH(Composições!A2480,Orçamentária!A:A,0),1))</f>
        <v>m2</v>
      </c>
      <c r="E2480" s="23"/>
      <c r="F2480" s="38" t="s">
        <v>523</v>
      </c>
      <c r="G2480" s="24" t="str">
        <f t="shared" si="43"/>
        <v/>
      </c>
      <c r="H2480" s="25"/>
      <c r="I2480" s="26"/>
      <c r="J2480" s="141">
        <v>0</v>
      </c>
    </row>
    <row r="2481" spans="1:10" ht="15.75" hidden="1" thickBot="1" x14ac:dyDescent="0.3">
      <c r="A2481" s="226"/>
      <c r="B2481" s="244"/>
      <c r="C2481" s="28"/>
      <c r="D2481" s="28"/>
      <c r="E2481" s="29"/>
      <c r="F2481" s="39" t="s">
        <v>523</v>
      </c>
      <c r="G2481" s="30" t="str">
        <f t="shared" si="43"/>
        <v/>
      </c>
      <c r="H2481" s="31"/>
      <c r="I2481" s="27"/>
      <c r="J2481" s="141">
        <v>0</v>
      </c>
    </row>
    <row r="2482" spans="1:10" ht="26.25" hidden="1" thickBot="1" x14ac:dyDescent="0.3">
      <c r="A2482" s="226"/>
      <c r="B2482" s="244"/>
      <c r="C2482" s="32" t="s">
        <v>3271</v>
      </c>
      <c r="D2482" s="43" t="s">
        <v>95</v>
      </c>
      <c r="E2482" s="33">
        <v>1</v>
      </c>
      <c r="F2482" s="27">
        <v>63.602499999999999</v>
      </c>
      <c r="G2482" s="30">
        <f t="shared" si="43"/>
        <v>63.602499999999999</v>
      </c>
      <c r="H2482" s="35">
        <f>SUM(G2482:G2482)</f>
        <v>63.602499999999999</v>
      </c>
      <c r="I2482" s="36"/>
      <c r="J2482" s="141">
        <v>0</v>
      </c>
    </row>
    <row r="2483" spans="1:10" ht="15.75" hidden="1" thickBot="1" x14ac:dyDescent="0.3">
      <c r="A2483" s="227"/>
      <c r="B2483" s="230"/>
      <c r="C2483" s="32"/>
      <c r="D2483" s="32"/>
      <c r="E2483" s="33"/>
      <c r="F2483" s="27" t="s">
        <v>523</v>
      </c>
      <c r="G2483" s="30" t="str">
        <f t="shared" si="43"/>
        <v/>
      </c>
      <c r="H2483" s="31"/>
      <c r="I2483" s="27"/>
      <c r="J2483" s="141">
        <v>0</v>
      </c>
    </row>
    <row r="2484" spans="1:10" ht="15.75" hidden="1" thickBot="1" x14ac:dyDescent="0.3">
      <c r="A2484" s="225" t="s">
        <v>2063</v>
      </c>
      <c r="B2484" s="228" t="str">
        <f>INDEX(Orçamentária!A:B,MATCH(Composições!A2484,Orçamentária!A:A,0),2)</f>
        <v>Cantoneira laminada em aço abas iguais 1" x 3/16"</v>
      </c>
      <c r="C2484" s="37"/>
      <c r="D2484" s="22" t="str">
        <f>TRIM(INDEX(Orçamentária!C:C,MATCH(Composições!A2484,Orçamentária!A:A,0),1))</f>
        <v>m</v>
      </c>
      <c r="E2484" s="23"/>
      <c r="F2484" s="38" t="s">
        <v>523</v>
      </c>
      <c r="G2484" s="24" t="str">
        <f t="shared" si="43"/>
        <v/>
      </c>
      <c r="H2484" s="25"/>
      <c r="I2484" s="26"/>
      <c r="J2484" s="141">
        <v>0</v>
      </c>
    </row>
    <row r="2485" spans="1:10" ht="15.75" hidden="1" thickBot="1" x14ac:dyDescent="0.3">
      <c r="A2485" s="226"/>
      <c r="B2485" s="244"/>
      <c r="C2485" s="28"/>
      <c r="D2485" s="28"/>
      <c r="E2485" s="29"/>
      <c r="F2485" s="39" t="s">
        <v>523</v>
      </c>
      <c r="G2485" s="30" t="str">
        <f t="shared" si="43"/>
        <v/>
      </c>
      <c r="H2485" s="31"/>
      <c r="I2485" s="27"/>
      <c r="J2485" s="141">
        <v>0</v>
      </c>
    </row>
    <row r="2486" spans="1:10" ht="26.25" hidden="1" thickBot="1" x14ac:dyDescent="0.3">
      <c r="A2486" s="226"/>
      <c r="B2486" s="244"/>
      <c r="C2486" s="32" t="s">
        <v>130</v>
      </c>
      <c r="D2486" s="43" t="s">
        <v>42</v>
      </c>
      <c r="E2486" s="33">
        <v>1.73</v>
      </c>
      <c r="F2486" s="27">
        <v>11.856</v>
      </c>
      <c r="G2486" s="30">
        <f t="shared" si="43"/>
        <v>20.51088</v>
      </c>
      <c r="H2486" s="35">
        <f>SUM(G2486:G2486)</f>
        <v>20.51088</v>
      </c>
      <c r="I2486" s="36"/>
      <c r="J2486" s="141">
        <v>0</v>
      </c>
    </row>
    <row r="2487" spans="1:10" ht="15.75" hidden="1" thickBot="1" x14ac:dyDescent="0.3">
      <c r="A2487" s="227"/>
      <c r="B2487" s="230"/>
      <c r="C2487" s="32"/>
      <c r="D2487" s="32"/>
      <c r="E2487" s="33"/>
      <c r="F2487" s="27" t="s">
        <v>523</v>
      </c>
      <c r="G2487" s="30" t="str">
        <f t="shared" si="43"/>
        <v/>
      </c>
      <c r="H2487" s="31"/>
      <c r="I2487" s="27"/>
      <c r="J2487" s="141">
        <v>0</v>
      </c>
    </row>
    <row r="2488" spans="1:10" ht="15.75" hidden="1" thickBot="1" x14ac:dyDescent="0.3">
      <c r="A2488" s="225" t="s">
        <v>2065</v>
      </c>
      <c r="B2488" s="228" t="str">
        <f>INDEX(Orçamentária!A:B,MATCH(Composições!A2488,Orçamentária!A:A,0),2)</f>
        <v>Cantoneira laminada em aço abas iguais 1"1/4 x 3/16"</v>
      </c>
      <c r="C2488" s="37"/>
      <c r="D2488" s="22" t="str">
        <f>TRIM(INDEX(Orçamentária!C:C,MATCH(Composições!A2488,Orçamentária!A:A,0),1))</f>
        <v>m</v>
      </c>
      <c r="E2488" s="23"/>
      <c r="F2488" s="38" t="s">
        <v>523</v>
      </c>
      <c r="G2488" s="24" t="str">
        <f t="shared" si="43"/>
        <v/>
      </c>
      <c r="H2488" s="25"/>
      <c r="I2488" s="26"/>
      <c r="J2488" s="141">
        <v>0</v>
      </c>
    </row>
    <row r="2489" spans="1:10" ht="15.75" hidden="1" thickBot="1" x14ac:dyDescent="0.3">
      <c r="A2489" s="226"/>
      <c r="B2489" s="244"/>
      <c r="C2489" s="28"/>
      <c r="D2489" s="28"/>
      <c r="E2489" s="29"/>
      <c r="F2489" s="39" t="s">
        <v>523</v>
      </c>
      <c r="G2489" s="30" t="str">
        <f t="shared" si="43"/>
        <v/>
      </c>
      <c r="H2489" s="31"/>
      <c r="I2489" s="27"/>
      <c r="J2489" s="141">
        <v>0</v>
      </c>
    </row>
    <row r="2490" spans="1:10" ht="26.25" hidden="1" thickBot="1" x14ac:dyDescent="0.3">
      <c r="A2490" s="226"/>
      <c r="B2490" s="244"/>
      <c r="C2490" s="32" t="s">
        <v>130</v>
      </c>
      <c r="D2490" s="43" t="s">
        <v>42</v>
      </c>
      <c r="E2490" s="33">
        <v>2.2000000000000002</v>
      </c>
      <c r="F2490" s="27">
        <v>11.856</v>
      </c>
      <c r="G2490" s="30">
        <f t="shared" si="43"/>
        <v>26.083200000000001</v>
      </c>
      <c r="H2490" s="35">
        <f>SUM(G2490:G2490)</f>
        <v>26.083200000000001</v>
      </c>
      <c r="I2490" s="36"/>
      <c r="J2490" s="141">
        <v>0</v>
      </c>
    </row>
    <row r="2491" spans="1:10" ht="15.75" hidden="1" thickBot="1" x14ac:dyDescent="0.3">
      <c r="A2491" s="227"/>
      <c r="B2491" s="230"/>
      <c r="C2491" s="32"/>
      <c r="D2491" s="32"/>
      <c r="E2491" s="33"/>
      <c r="F2491" s="27" t="s">
        <v>523</v>
      </c>
      <c r="G2491" s="30" t="str">
        <f t="shared" si="43"/>
        <v/>
      </c>
      <c r="H2491" s="31"/>
      <c r="I2491" s="27"/>
      <c r="J2491" s="141">
        <v>0</v>
      </c>
    </row>
    <row r="2492" spans="1:10" ht="15.75" hidden="1" thickBot="1" x14ac:dyDescent="0.3">
      <c r="A2492" s="225" t="s">
        <v>2067</v>
      </c>
      <c r="B2492" s="228" t="str">
        <f>INDEX(Orçamentária!A:B,MATCH(Composições!A2492,Orçamentária!A:A,0),2)</f>
        <v>Cantoneira laminada em aço abas iguais 2” x 1/8”</v>
      </c>
      <c r="C2492" s="37"/>
      <c r="D2492" s="22" t="str">
        <f>TRIM(INDEX(Orçamentária!C:C,MATCH(Composições!A2492,Orçamentária!A:A,0),1))</f>
        <v>m</v>
      </c>
      <c r="E2492" s="23"/>
      <c r="F2492" s="38" t="s">
        <v>523</v>
      </c>
      <c r="G2492" s="24" t="str">
        <f t="shared" si="43"/>
        <v/>
      </c>
      <c r="H2492" s="25"/>
      <c r="I2492" s="26"/>
      <c r="J2492" s="141">
        <v>0</v>
      </c>
    </row>
    <row r="2493" spans="1:10" ht="15.75" hidden="1" thickBot="1" x14ac:dyDescent="0.3">
      <c r="A2493" s="226"/>
      <c r="B2493" s="244"/>
      <c r="C2493" s="28"/>
      <c r="D2493" s="28"/>
      <c r="E2493" s="29"/>
      <c r="F2493" s="39" t="s">
        <v>523</v>
      </c>
      <c r="G2493" s="30" t="str">
        <f t="shared" si="43"/>
        <v/>
      </c>
      <c r="H2493" s="31"/>
      <c r="I2493" s="27"/>
      <c r="J2493" s="141">
        <v>0</v>
      </c>
    </row>
    <row r="2494" spans="1:10" ht="26.25" hidden="1" thickBot="1" x14ac:dyDescent="0.3">
      <c r="A2494" s="226"/>
      <c r="B2494" s="244"/>
      <c r="C2494" s="32" t="s">
        <v>130</v>
      </c>
      <c r="D2494" s="43" t="s">
        <v>42</v>
      </c>
      <c r="E2494" s="33">
        <v>2.46</v>
      </c>
      <c r="F2494" s="27">
        <v>11.856</v>
      </c>
      <c r="G2494" s="30">
        <f t="shared" si="43"/>
        <v>29.165759999999999</v>
      </c>
      <c r="H2494" s="35">
        <f>SUM(G2494:G2494)</f>
        <v>29.165759999999999</v>
      </c>
      <c r="I2494" s="36"/>
      <c r="J2494" s="141">
        <v>0</v>
      </c>
    </row>
    <row r="2495" spans="1:10" ht="15.75" hidden="1" thickBot="1" x14ac:dyDescent="0.3">
      <c r="A2495" s="227"/>
      <c r="B2495" s="230"/>
      <c r="C2495" s="32"/>
      <c r="D2495" s="32"/>
      <c r="E2495" s="33"/>
      <c r="F2495" s="27" t="s">
        <v>523</v>
      </c>
      <c r="G2495" s="30" t="str">
        <f t="shared" si="43"/>
        <v/>
      </c>
      <c r="H2495" s="31"/>
      <c r="I2495" s="27"/>
      <c r="J2495" s="141">
        <v>0</v>
      </c>
    </row>
    <row r="2496" spans="1:10" ht="15.75" hidden="1" thickBot="1" x14ac:dyDescent="0.3">
      <c r="A2496" s="225" t="s">
        <v>2069</v>
      </c>
      <c r="B2496" s="228" t="str">
        <f>INDEX(Orçamentária!A:B,MATCH(Composições!A2496,Orçamentária!A:A,0),2)</f>
        <v>Cantoneira laminada em aço abas Iguais 2” x 3/16”</v>
      </c>
      <c r="C2496" s="37"/>
      <c r="D2496" s="22" t="str">
        <f>TRIM(INDEX(Orçamentária!C:C,MATCH(Composições!A2496,Orçamentária!A:A,0),1))</f>
        <v>m</v>
      </c>
      <c r="E2496" s="23"/>
      <c r="F2496" s="38" t="s">
        <v>523</v>
      </c>
      <c r="G2496" s="24" t="str">
        <f t="shared" si="43"/>
        <v/>
      </c>
      <c r="H2496" s="25"/>
      <c r="I2496" s="26"/>
      <c r="J2496" s="141">
        <v>0</v>
      </c>
    </row>
    <row r="2497" spans="1:10" ht="15.75" hidden="1" thickBot="1" x14ac:dyDescent="0.3">
      <c r="A2497" s="226"/>
      <c r="B2497" s="244"/>
      <c r="C2497" s="28"/>
      <c r="D2497" s="28"/>
      <c r="E2497" s="29"/>
      <c r="F2497" s="39" t="s">
        <v>523</v>
      </c>
      <c r="G2497" s="30" t="str">
        <f t="shared" si="43"/>
        <v/>
      </c>
      <c r="H2497" s="31"/>
      <c r="I2497" s="27"/>
      <c r="J2497" s="141">
        <v>0</v>
      </c>
    </row>
    <row r="2498" spans="1:10" ht="26.25" hidden="1" thickBot="1" x14ac:dyDescent="0.3">
      <c r="A2498" s="226"/>
      <c r="B2498" s="244"/>
      <c r="C2498" s="32" t="s">
        <v>130</v>
      </c>
      <c r="D2498" s="43" t="s">
        <v>42</v>
      </c>
      <c r="E2498" s="33">
        <v>3.63</v>
      </c>
      <c r="F2498" s="27">
        <v>11.856</v>
      </c>
      <c r="G2498" s="30">
        <f t="shared" si="43"/>
        <v>43.037279999999996</v>
      </c>
      <c r="H2498" s="35">
        <f>SUM(G2498:G2498)</f>
        <v>43.037279999999996</v>
      </c>
      <c r="I2498" s="36"/>
      <c r="J2498" s="141">
        <v>0</v>
      </c>
    </row>
    <row r="2499" spans="1:10" ht="15.75" hidden="1" thickBot="1" x14ac:dyDescent="0.3">
      <c r="A2499" s="227"/>
      <c r="B2499" s="230"/>
      <c r="C2499" s="32"/>
      <c r="D2499" s="32"/>
      <c r="E2499" s="33"/>
      <c r="F2499" s="27" t="s">
        <v>523</v>
      </c>
      <c r="G2499" s="30" t="str">
        <f t="shared" si="43"/>
        <v/>
      </c>
      <c r="H2499" s="31"/>
      <c r="I2499" s="27"/>
      <c r="J2499" s="141">
        <v>0</v>
      </c>
    </row>
    <row r="2500" spans="1:10" ht="15.75" hidden="1" thickBot="1" x14ac:dyDescent="0.3">
      <c r="A2500" s="225" t="s">
        <v>2071</v>
      </c>
      <c r="B2500" s="228" t="str">
        <f>INDEX(Orçamentária!A:B,MATCH(Composições!A2500,Orçamentária!A:A,0),2)</f>
        <v>Cantoneira laminada em aço abas Iguais 5/8” x 1/8”</v>
      </c>
      <c r="C2500" s="37"/>
      <c r="D2500" s="22" t="str">
        <f>TRIM(INDEX(Orçamentária!C:C,MATCH(Composições!A2500,Orçamentária!A:A,0),1))</f>
        <v>m</v>
      </c>
      <c r="E2500" s="23"/>
      <c r="F2500" s="38" t="s">
        <v>523</v>
      </c>
      <c r="G2500" s="24" t="str">
        <f t="shared" si="43"/>
        <v/>
      </c>
      <c r="H2500" s="25"/>
      <c r="I2500" s="26"/>
      <c r="J2500" s="141">
        <v>0</v>
      </c>
    </row>
    <row r="2501" spans="1:10" ht="15.75" hidden="1" thickBot="1" x14ac:dyDescent="0.3">
      <c r="A2501" s="226"/>
      <c r="B2501" s="244"/>
      <c r="C2501" s="28"/>
      <c r="D2501" s="28"/>
      <c r="E2501" s="29"/>
      <c r="F2501" s="39" t="s">
        <v>523</v>
      </c>
      <c r="G2501" s="30" t="str">
        <f t="shared" si="43"/>
        <v/>
      </c>
      <c r="H2501" s="31"/>
      <c r="I2501" s="27"/>
      <c r="J2501" s="141">
        <v>0</v>
      </c>
    </row>
    <row r="2502" spans="1:10" ht="26.25" hidden="1" thickBot="1" x14ac:dyDescent="0.3">
      <c r="A2502" s="226"/>
      <c r="B2502" s="244"/>
      <c r="C2502" s="32" t="s">
        <v>130</v>
      </c>
      <c r="D2502" s="43" t="s">
        <v>42</v>
      </c>
      <c r="E2502" s="33">
        <v>0.71</v>
      </c>
      <c r="F2502" s="27">
        <v>11.856</v>
      </c>
      <c r="G2502" s="30">
        <f t="shared" ref="G2502:G2565" si="44">IF(ISNUMBER(F2502),E2502*F2502,"")</f>
        <v>8.4177599999999995</v>
      </c>
      <c r="H2502" s="35">
        <f>SUM(G2502:G2502)</f>
        <v>8.4177599999999995</v>
      </c>
      <c r="I2502" s="36"/>
      <c r="J2502" s="141">
        <v>0</v>
      </c>
    </row>
    <row r="2503" spans="1:10" ht="15.75" hidden="1" thickBot="1" x14ac:dyDescent="0.3">
      <c r="A2503" s="227"/>
      <c r="B2503" s="230"/>
      <c r="C2503" s="32"/>
      <c r="D2503" s="32"/>
      <c r="E2503" s="33"/>
      <c r="F2503" s="27" t="s">
        <v>523</v>
      </c>
      <c r="G2503" s="30" t="str">
        <f t="shared" si="44"/>
        <v/>
      </c>
      <c r="H2503" s="31"/>
      <c r="I2503" s="27"/>
      <c r="J2503" s="141">
        <v>0</v>
      </c>
    </row>
    <row r="2504" spans="1:10" ht="15.75" hidden="1" thickBot="1" x14ac:dyDescent="0.3">
      <c r="A2504" s="225" t="s">
        <v>2073</v>
      </c>
      <c r="B2504" s="228" t="str">
        <f>INDEX(Orçamentária!A:B,MATCH(Composições!A2504,Orçamentária!A:A,0),2)</f>
        <v>Chapa aço galvanizado # 16 (kg)</v>
      </c>
      <c r="C2504" s="37"/>
      <c r="D2504" s="22" t="str">
        <f>TRIM(INDEX(Orçamentária!C:C,MATCH(Composições!A2504,Orçamentária!A:A,0),1))</f>
        <v>kg</v>
      </c>
      <c r="E2504" s="23"/>
      <c r="F2504" s="38" t="s">
        <v>523</v>
      </c>
      <c r="G2504" s="24" t="str">
        <f t="shared" si="44"/>
        <v/>
      </c>
      <c r="H2504" s="25"/>
      <c r="I2504" s="26"/>
      <c r="J2504" s="141">
        <v>0</v>
      </c>
    </row>
    <row r="2505" spans="1:10" ht="15.75" hidden="1" thickBot="1" x14ac:dyDescent="0.3">
      <c r="A2505" s="226"/>
      <c r="B2505" s="244"/>
      <c r="C2505" s="28"/>
      <c r="D2505" s="28"/>
      <c r="E2505" s="29"/>
      <c r="F2505" s="39" t="s">
        <v>523</v>
      </c>
      <c r="G2505" s="30" t="str">
        <f t="shared" si="44"/>
        <v/>
      </c>
      <c r="H2505" s="31"/>
      <c r="I2505" s="27"/>
      <c r="J2505" s="141">
        <v>0</v>
      </c>
    </row>
    <row r="2506" spans="1:10" ht="26.25" hidden="1" thickBot="1" x14ac:dyDescent="0.3">
      <c r="A2506" s="226"/>
      <c r="B2506" s="244"/>
      <c r="C2506" s="32" t="s">
        <v>3267</v>
      </c>
      <c r="D2506" s="43" t="s">
        <v>42</v>
      </c>
      <c r="E2506" s="33">
        <v>1</v>
      </c>
      <c r="F2506" s="27">
        <v>15.1715</v>
      </c>
      <c r="G2506" s="30">
        <f t="shared" si="44"/>
        <v>15.1715</v>
      </c>
      <c r="H2506" s="35">
        <f>SUM(G2506:G2506)</f>
        <v>15.1715</v>
      </c>
      <c r="I2506" s="36"/>
      <c r="J2506" s="141">
        <v>0</v>
      </c>
    </row>
    <row r="2507" spans="1:10" ht="15.75" hidden="1" thickBot="1" x14ac:dyDescent="0.3">
      <c r="A2507" s="227"/>
      <c r="B2507" s="230"/>
      <c r="C2507" s="32"/>
      <c r="D2507" s="32"/>
      <c r="E2507" s="33"/>
      <c r="F2507" s="27" t="s">
        <v>523</v>
      </c>
      <c r="G2507" s="30" t="str">
        <f t="shared" si="44"/>
        <v/>
      </c>
      <c r="H2507" s="31"/>
      <c r="I2507" s="27"/>
      <c r="J2507" s="141">
        <v>0</v>
      </c>
    </row>
    <row r="2508" spans="1:10" ht="15.75" hidden="1" thickBot="1" x14ac:dyDescent="0.3">
      <c r="A2508" s="225" t="s">
        <v>2075</v>
      </c>
      <c r="B2508" s="228" t="str">
        <f>INDEX(Orçamentária!A:B,MATCH(Composições!A2508,Orçamentária!A:A,0),2)</f>
        <v>Ferro chato 1"x1/8"</v>
      </c>
      <c r="C2508" s="37"/>
      <c r="D2508" s="22" t="str">
        <f>TRIM(INDEX(Orçamentária!C:C,MATCH(Composições!A2508,Orçamentária!A:A,0),1))</f>
        <v>m</v>
      </c>
      <c r="E2508" s="23"/>
      <c r="F2508" s="38" t="s">
        <v>523</v>
      </c>
      <c r="G2508" s="24" t="str">
        <f t="shared" si="44"/>
        <v/>
      </c>
      <c r="H2508" s="25"/>
      <c r="I2508" s="26"/>
      <c r="J2508" s="141">
        <v>0</v>
      </c>
    </row>
    <row r="2509" spans="1:10" ht="15.75" hidden="1" thickBot="1" x14ac:dyDescent="0.3">
      <c r="A2509" s="226"/>
      <c r="B2509" s="244"/>
      <c r="C2509" s="28"/>
      <c r="D2509" s="28"/>
      <c r="E2509" s="29"/>
      <c r="F2509" s="39" t="s">
        <v>523</v>
      </c>
      <c r="G2509" s="30" t="str">
        <f t="shared" si="44"/>
        <v/>
      </c>
      <c r="H2509" s="31"/>
      <c r="I2509" s="27"/>
      <c r="J2509" s="141">
        <v>0</v>
      </c>
    </row>
    <row r="2510" spans="1:10" ht="15.75" hidden="1" thickBot="1" x14ac:dyDescent="0.3">
      <c r="A2510" s="226"/>
      <c r="B2510" s="244"/>
      <c r="C2510" s="32" t="s">
        <v>3701</v>
      </c>
      <c r="D2510" s="43" t="s">
        <v>42</v>
      </c>
      <c r="E2510" s="33">
        <v>0.63</v>
      </c>
      <c r="F2510" s="27">
        <v>13.5185</v>
      </c>
      <c r="G2510" s="30">
        <f t="shared" si="44"/>
        <v>8.5166550000000001</v>
      </c>
      <c r="H2510" s="35">
        <f>SUM(G2510:G2510)</f>
        <v>8.5166550000000001</v>
      </c>
      <c r="I2510" s="36"/>
      <c r="J2510" s="141">
        <v>0</v>
      </c>
    </row>
    <row r="2511" spans="1:10" ht="15.75" hidden="1" thickBot="1" x14ac:dyDescent="0.3">
      <c r="A2511" s="227"/>
      <c r="B2511" s="230"/>
      <c r="C2511" s="32"/>
      <c r="D2511" s="32"/>
      <c r="E2511" s="33"/>
      <c r="F2511" s="27" t="s">
        <v>523</v>
      </c>
      <c r="G2511" s="30" t="str">
        <f t="shared" si="44"/>
        <v/>
      </c>
      <c r="H2511" s="31"/>
      <c r="I2511" s="27"/>
      <c r="J2511" s="141">
        <v>0</v>
      </c>
    </row>
    <row r="2512" spans="1:10" ht="15.75" hidden="1" thickBot="1" x14ac:dyDescent="0.3">
      <c r="A2512" s="225" t="s">
        <v>2077</v>
      </c>
      <c r="B2512" s="228" t="str">
        <f>INDEX(Orçamentária!A:B,MATCH(Composições!A2512,Orçamentária!A:A,0),2)</f>
        <v>Ferro chato 1"x3/16"</v>
      </c>
      <c r="C2512" s="37"/>
      <c r="D2512" s="22" t="str">
        <f>TRIM(INDEX(Orçamentária!C:C,MATCH(Composições!A2512,Orçamentária!A:A,0),1))</f>
        <v>m</v>
      </c>
      <c r="E2512" s="23"/>
      <c r="F2512" s="38" t="s">
        <v>523</v>
      </c>
      <c r="G2512" s="24" t="str">
        <f t="shared" si="44"/>
        <v/>
      </c>
      <c r="H2512" s="25"/>
      <c r="I2512" s="26"/>
      <c r="J2512" s="141">
        <v>0</v>
      </c>
    </row>
    <row r="2513" spans="1:10" ht="15.75" hidden="1" thickBot="1" x14ac:dyDescent="0.3">
      <c r="A2513" s="226"/>
      <c r="B2513" s="244"/>
      <c r="C2513" s="28"/>
      <c r="D2513" s="28"/>
      <c r="E2513" s="29"/>
      <c r="F2513" s="39" t="s">
        <v>523</v>
      </c>
      <c r="G2513" s="30" t="str">
        <f t="shared" si="44"/>
        <v/>
      </c>
      <c r="H2513" s="31"/>
      <c r="I2513" s="27"/>
      <c r="J2513" s="141">
        <v>0</v>
      </c>
    </row>
    <row r="2514" spans="1:10" ht="15.75" hidden="1" thickBot="1" x14ac:dyDescent="0.3">
      <c r="A2514" s="226"/>
      <c r="B2514" s="244"/>
      <c r="C2514" s="32" t="s">
        <v>3701</v>
      </c>
      <c r="D2514" s="43" t="s">
        <v>42</v>
      </c>
      <c r="E2514" s="33">
        <v>0.95</v>
      </c>
      <c r="F2514" s="27">
        <v>13.5185</v>
      </c>
      <c r="G2514" s="30">
        <f t="shared" si="44"/>
        <v>12.842574999999998</v>
      </c>
      <c r="H2514" s="35">
        <f>SUM(G2514:G2514)</f>
        <v>12.842574999999998</v>
      </c>
      <c r="I2514" s="36"/>
      <c r="J2514" s="141">
        <v>0</v>
      </c>
    </row>
    <row r="2515" spans="1:10" ht="15.75" hidden="1" thickBot="1" x14ac:dyDescent="0.3">
      <c r="A2515" s="227"/>
      <c r="B2515" s="230"/>
      <c r="C2515" s="32"/>
      <c r="D2515" s="32"/>
      <c r="E2515" s="33"/>
      <c r="F2515" s="27" t="s">
        <v>523</v>
      </c>
      <c r="G2515" s="30" t="str">
        <f t="shared" si="44"/>
        <v/>
      </c>
      <c r="H2515" s="31"/>
      <c r="I2515" s="27"/>
      <c r="J2515" s="141">
        <v>0</v>
      </c>
    </row>
    <row r="2516" spans="1:10" ht="15.75" hidden="1" thickBot="1" x14ac:dyDescent="0.3">
      <c r="A2516" s="225" t="s">
        <v>2079</v>
      </c>
      <c r="B2516" s="228" t="str">
        <f>INDEX(Orçamentária!A:B,MATCH(Composições!A2516,Orçamentária!A:A,0),2)</f>
        <v>Ferro chato  3/4"x1/4" ou 7/8"x1/4" ou 1” x 1/4”</v>
      </c>
      <c r="C2516" s="37"/>
      <c r="D2516" s="22" t="str">
        <f>TRIM(INDEX(Orçamentária!C:C,MATCH(Composições!A2516,Orçamentária!A:A,0),1))</f>
        <v>m</v>
      </c>
      <c r="E2516" s="23"/>
      <c r="F2516" s="38" t="s">
        <v>523</v>
      </c>
      <c r="G2516" s="24" t="str">
        <f t="shared" si="44"/>
        <v/>
      </c>
      <c r="H2516" s="25"/>
      <c r="I2516" s="26"/>
      <c r="J2516" s="141">
        <v>0</v>
      </c>
    </row>
    <row r="2517" spans="1:10" ht="15.75" hidden="1" thickBot="1" x14ac:dyDescent="0.3">
      <c r="A2517" s="226"/>
      <c r="B2517" s="244"/>
      <c r="C2517" s="28"/>
      <c r="D2517" s="28"/>
      <c r="E2517" s="29"/>
      <c r="F2517" s="39" t="s">
        <v>523</v>
      </c>
      <c r="G2517" s="30" t="str">
        <f t="shared" si="44"/>
        <v/>
      </c>
      <c r="H2517" s="31"/>
      <c r="I2517" s="27"/>
      <c r="J2517" s="141">
        <v>0</v>
      </c>
    </row>
    <row r="2518" spans="1:10" ht="15.75" hidden="1" thickBot="1" x14ac:dyDescent="0.3">
      <c r="A2518" s="226"/>
      <c r="B2518" s="244"/>
      <c r="C2518" s="32" t="s">
        <v>3701</v>
      </c>
      <c r="D2518" s="43" t="s">
        <v>42</v>
      </c>
      <c r="E2518" s="33">
        <v>1.1100000000000001</v>
      </c>
      <c r="F2518" s="27">
        <v>13.5185</v>
      </c>
      <c r="G2518" s="30">
        <f t="shared" si="44"/>
        <v>15.005535</v>
      </c>
      <c r="H2518" s="35">
        <f>SUM(G2518:G2518)</f>
        <v>15.005535</v>
      </c>
      <c r="I2518" s="36"/>
      <c r="J2518" s="141">
        <v>0</v>
      </c>
    </row>
    <row r="2519" spans="1:10" ht="15.75" hidden="1" thickBot="1" x14ac:dyDescent="0.3">
      <c r="A2519" s="227"/>
      <c r="B2519" s="230"/>
      <c r="C2519" s="32"/>
      <c r="D2519" s="32"/>
      <c r="E2519" s="33"/>
      <c r="F2519" s="27" t="s">
        <v>523</v>
      </c>
      <c r="G2519" s="30" t="str">
        <f t="shared" si="44"/>
        <v/>
      </c>
      <c r="H2519" s="31"/>
      <c r="I2519" s="27"/>
      <c r="J2519" s="141">
        <v>0</v>
      </c>
    </row>
    <row r="2520" spans="1:10" ht="15.75" hidden="1" thickBot="1" x14ac:dyDescent="0.3">
      <c r="A2520" s="225" t="s">
        <v>2081</v>
      </c>
      <c r="B2520" s="228" t="str">
        <f>INDEX(Orçamentária!A:B,MATCH(Composições!A2520,Orçamentária!A:A,0),2)</f>
        <v>Ferro chato 3/4"x1/8"</v>
      </c>
      <c r="C2520" s="37"/>
      <c r="D2520" s="22" t="str">
        <f>TRIM(INDEX(Orçamentária!C:C,MATCH(Composições!A2520,Orçamentária!A:A,0),1))</f>
        <v>m</v>
      </c>
      <c r="E2520" s="23"/>
      <c r="F2520" s="38" t="s">
        <v>523</v>
      </c>
      <c r="G2520" s="24" t="str">
        <f t="shared" si="44"/>
        <v/>
      </c>
      <c r="H2520" s="25"/>
      <c r="I2520" s="26"/>
      <c r="J2520" s="141">
        <v>0</v>
      </c>
    </row>
    <row r="2521" spans="1:10" ht="15.75" hidden="1" thickBot="1" x14ac:dyDescent="0.3">
      <c r="A2521" s="226"/>
      <c r="B2521" s="244"/>
      <c r="C2521" s="28"/>
      <c r="D2521" s="28"/>
      <c r="E2521" s="29"/>
      <c r="F2521" s="39" t="s">
        <v>523</v>
      </c>
      <c r="G2521" s="30" t="str">
        <f t="shared" si="44"/>
        <v/>
      </c>
      <c r="H2521" s="31"/>
      <c r="I2521" s="27"/>
      <c r="J2521" s="141">
        <v>0</v>
      </c>
    </row>
    <row r="2522" spans="1:10" ht="15.75" hidden="1" thickBot="1" x14ac:dyDescent="0.3">
      <c r="A2522" s="226"/>
      <c r="B2522" s="244"/>
      <c r="C2522" s="32" t="s">
        <v>3701</v>
      </c>
      <c r="D2522" s="43" t="s">
        <v>42</v>
      </c>
      <c r="E2522" s="33">
        <v>0.48</v>
      </c>
      <c r="F2522" s="27">
        <v>13.5185</v>
      </c>
      <c r="G2522" s="30">
        <f t="shared" si="44"/>
        <v>6.4888799999999991</v>
      </c>
      <c r="H2522" s="35">
        <f>SUM(G2522:G2522)</f>
        <v>6.4888799999999991</v>
      </c>
      <c r="I2522" s="36"/>
      <c r="J2522" s="141">
        <v>0</v>
      </c>
    </row>
    <row r="2523" spans="1:10" ht="15.75" hidden="1" thickBot="1" x14ac:dyDescent="0.3">
      <c r="A2523" s="227"/>
      <c r="B2523" s="230"/>
      <c r="C2523" s="32"/>
      <c r="D2523" s="32"/>
      <c r="E2523" s="33"/>
      <c r="F2523" s="27" t="s">
        <v>523</v>
      </c>
      <c r="G2523" s="30" t="str">
        <f t="shared" si="44"/>
        <v/>
      </c>
      <c r="H2523" s="31"/>
      <c r="I2523" s="27"/>
      <c r="J2523" s="141">
        <v>0</v>
      </c>
    </row>
    <row r="2524" spans="1:10" ht="15.75" hidden="1" thickBot="1" x14ac:dyDescent="0.3">
      <c r="A2524" s="225" t="s">
        <v>2083</v>
      </c>
      <c r="B2524" s="228" t="str">
        <f>INDEX(Orçamentária!A:B,MATCH(Composições!A2524,Orçamentária!A:A,0),2)</f>
        <v>Ferro chato 3/4"x3/16"</v>
      </c>
      <c r="C2524" s="37"/>
      <c r="D2524" s="22" t="str">
        <f>TRIM(INDEX(Orçamentária!C:C,MATCH(Composições!A2524,Orçamentária!A:A,0),1))</f>
        <v>m</v>
      </c>
      <c r="E2524" s="23"/>
      <c r="F2524" s="38" t="s">
        <v>523</v>
      </c>
      <c r="G2524" s="24" t="str">
        <f t="shared" si="44"/>
        <v/>
      </c>
      <c r="H2524" s="25"/>
      <c r="I2524" s="26"/>
      <c r="J2524" s="141">
        <v>0</v>
      </c>
    </row>
    <row r="2525" spans="1:10" ht="15.75" hidden="1" thickBot="1" x14ac:dyDescent="0.3">
      <c r="A2525" s="226"/>
      <c r="B2525" s="244"/>
      <c r="C2525" s="28"/>
      <c r="D2525" s="28"/>
      <c r="E2525" s="29"/>
      <c r="F2525" s="39" t="s">
        <v>523</v>
      </c>
      <c r="G2525" s="30" t="str">
        <f t="shared" si="44"/>
        <v/>
      </c>
      <c r="H2525" s="31"/>
      <c r="I2525" s="27"/>
      <c r="J2525" s="141">
        <v>0</v>
      </c>
    </row>
    <row r="2526" spans="1:10" ht="15.75" hidden="1" thickBot="1" x14ac:dyDescent="0.3">
      <c r="A2526" s="226"/>
      <c r="B2526" s="244"/>
      <c r="C2526" s="32" t="s">
        <v>3701</v>
      </c>
      <c r="D2526" s="43" t="s">
        <v>42</v>
      </c>
      <c r="E2526" s="33">
        <v>0.71</v>
      </c>
      <c r="F2526" s="27">
        <v>13.5185</v>
      </c>
      <c r="G2526" s="30">
        <f t="shared" si="44"/>
        <v>9.5981349999999992</v>
      </c>
      <c r="H2526" s="35">
        <f>SUM(G2526:G2526)</f>
        <v>9.5981349999999992</v>
      </c>
      <c r="I2526" s="36"/>
      <c r="J2526" s="141">
        <v>0</v>
      </c>
    </row>
    <row r="2527" spans="1:10" ht="15.75" hidden="1" thickBot="1" x14ac:dyDescent="0.3">
      <c r="A2527" s="227"/>
      <c r="B2527" s="230"/>
      <c r="C2527" s="32"/>
      <c r="D2527" s="32"/>
      <c r="E2527" s="33"/>
      <c r="F2527" s="27" t="s">
        <v>523</v>
      </c>
      <c r="G2527" s="30" t="str">
        <f t="shared" si="44"/>
        <v/>
      </c>
      <c r="H2527" s="31"/>
      <c r="I2527" s="27"/>
      <c r="J2527" s="141">
        <v>0</v>
      </c>
    </row>
    <row r="2528" spans="1:10" ht="15.75" hidden="1" thickBot="1" x14ac:dyDescent="0.3">
      <c r="A2528" s="225" t="s">
        <v>2085</v>
      </c>
      <c r="B2528" s="228" t="str">
        <f>INDEX(Orçamentária!A:B,MATCH(Composições!A2528,Orçamentária!A:A,0),2)</f>
        <v>Ferro chato 5/8"x1/8"</v>
      </c>
      <c r="C2528" s="37"/>
      <c r="D2528" s="22" t="str">
        <f>TRIM(INDEX(Orçamentária!C:C,MATCH(Composições!A2528,Orçamentária!A:A,0),1))</f>
        <v>m</v>
      </c>
      <c r="E2528" s="23"/>
      <c r="F2528" s="38" t="s">
        <v>523</v>
      </c>
      <c r="G2528" s="24" t="str">
        <f t="shared" si="44"/>
        <v/>
      </c>
      <c r="H2528" s="25"/>
      <c r="I2528" s="26"/>
      <c r="J2528" s="141">
        <v>0</v>
      </c>
    </row>
    <row r="2529" spans="1:10" ht="15.75" hidden="1" thickBot="1" x14ac:dyDescent="0.3">
      <c r="A2529" s="226"/>
      <c r="B2529" s="244"/>
      <c r="C2529" s="28"/>
      <c r="D2529" s="28"/>
      <c r="E2529" s="29"/>
      <c r="F2529" s="39" t="s">
        <v>523</v>
      </c>
      <c r="G2529" s="30" t="str">
        <f t="shared" si="44"/>
        <v/>
      </c>
      <c r="H2529" s="31"/>
      <c r="I2529" s="27"/>
      <c r="J2529" s="141">
        <v>0</v>
      </c>
    </row>
    <row r="2530" spans="1:10" ht="15.75" hidden="1" thickBot="1" x14ac:dyDescent="0.3">
      <c r="A2530" s="226"/>
      <c r="B2530" s="244"/>
      <c r="C2530" s="32" t="s">
        <v>3701</v>
      </c>
      <c r="D2530" s="43" t="s">
        <v>42</v>
      </c>
      <c r="E2530" s="33">
        <v>0.4</v>
      </c>
      <c r="F2530" s="27">
        <v>13.5185</v>
      </c>
      <c r="G2530" s="30">
        <f t="shared" si="44"/>
        <v>5.4074</v>
      </c>
      <c r="H2530" s="35">
        <f>SUM(G2530:G2530)</f>
        <v>5.4074</v>
      </c>
      <c r="I2530" s="36"/>
      <c r="J2530" s="141">
        <v>0</v>
      </c>
    </row>
    <row r="2531" spans="1:10" ht="15.75" hidden="1" thickBot="1" x14ac:dyDescent="0.3">
      <c r="A2531" s="227"/>
      <c r="B2531" s="230"/>
      <c r="C2531" s="32"/>
      <c r="D2531" s="32"/>
      <c r="E2531" s="33"/>
      <c r="F2531" s="27" t="s">
        <v>523</v>
      </c>
      <c r="G2531" s="30" t="str">
        <f t="shared" si="44"/>
        <v/>
      </c>
      <c r="H2531" s="31"/>
      <c r="I2531" s="27"/>
      <c r="J2531" s="141">
        <v>0</v>
      </c>
    </row>
    <row r="2532" spans="1:10" ht="15.75" hidden="1" thickBot="1" x14ac:dyDescent="0.3">
      <c r="A2532" s="225" t="s">
        <v>2087</v>
      </c>
      <c r="B2532" s="228" t="str">
        <f>INDEX(Orçamentária!A:B,MATCH(Composições!A2532,Orçamentária!A:A,0),2)</f>
        <v>Ferro chato 5/8"x3/16"</v>
      </c>
      <c r="C2532" s="37"/>
      <c r="D2532" s="22" t="str">
        <f>TRIM(INDEX(Orçamentária!C:C,MATCH(Composições!A2532,Orçamentária!A:A,0),1))</f>
        <v>m</v>
      </c>
      <c r="E2532" s="23"/>
      <c r="F2532" s="38" t="s">
        <v>523</v>
      </c>
      <c r="G2532" s="24" t="str">
        <f t="shared" si="44"/>
        <v/>
      </c>
      <c r="H2532" s="25"/>
      <c r="I2532" s="26"/>
      <c r="J2532" s="141">
        <v>0</v>
      </c>
    </row>
    <row r="2533" spans="1:10" ht="15.75" hidden="1" thickBot="1" x14ac:dyDescent="0.3">
      <c r="A2533" s="226"/>
      <c r="B2533" s="244"/>
      <c r="C2533" s="28"/>
      <c r="D2533" s="28"/>
      <c r="E2533" s="29"/>
      <c r="F2533" s="39" t="s">
        <v>523</v>
      </c>
      <c r="G2533" s="30" t="str">
        <f t="shared" si="44"/>
        <v/>
      </c>
      <c r="H2533" s="31"/>
      <c r="I2533" s="27"/>
      <c r="J2533" s="141">
        <v>0</v>
      </c>
    </row>
    <row r="2534" spans="1:10" ht="15.75" hidden="1" thickBot="1" x14ac:dyDescent="0.3">
      <c r="A2534" s="226"/>
      <c r="B2534" s="244"/>
      <c r="C2534" s="32" t="s">
        <v>3701</v>
      </c>
      <c r="D2534" s="43" t="s">
        <v>42</v>
      </c>
      <c r="E2534" s="33">
        <v>0.79</v>
      </c>
      <c r="F2534" s="27">
        <v>13.5185</v>
      </c>
      <c r="G2534" s="30">
        <f t="shared" si="44"/>
        <v>10.679615</v>
      </c>
      <c r="H2534" s="35">
        <f>SUM(G2534:G2534)</f>
        <v>10.679615</v>
      </c>
      <c r="I2534" s="36"/>
      <c r="J2534" s="141">
        <v>0</v>
      </c>
    </row>
    <row r="2535" spans="1:10" ht="15.75" hidden="1" thickBot="1" x14ac:dyDescent="0.3">
      <c r="A2535" s="227"/>
      <c r="B2535" s="230"/>
      <c r="C2535" s="32"/>
      <c r="D2535" s="32"/>
      <c r="E2535" s="33"/>
      <c r="F2535" s="27" t="s">
        <v>523</v>
      </c>
      <c r="G2535" s="30" t="str">
        <f t="shared" si="44"/>
        <v/>
      </c>
      <c r="H2535" s="31"/>
      <c r="I2535" s="27"/>
      <c r="J2535" s="141">
        <v>0</v>
      </c>
    </row>
    <row r="2536" spans="1:10" ht="15.75" hidden="1" thickBot="1" x14ac:dyDescent="0.3">
      <c r="A2536" s="225" t="s">
        <v>2089</v>
      </c>
      <c r="B2536" s="228" t="str">
        <f>INDEX(Orçamentária!A:B,MATCH(Composições!A2536,Orçamentária!A:A,0),2)</f>
        <v>Ferro chato 7/8"x1/8"</v>
      </c>
      <c r="C2536" s="37"/>
      <c r="D2536" s="22" t="str">
        <f>TRIM(INDEX(Orçamentária!C:C,MATCH(Composições!A2536,Orçamentária!A:A,0),1))</f>
        <v>m</v>
      </c>
      <c r="E2536" s="23"/>
      <c r="F2536" s="38" t="s">
        <v>523</v>
      </c>
      <c r="G2536" s="24" t="str">
        <f t="shared" si="44"/>
        <v/>
      </c>
      <c r="H2536" s="25"/>
      <c r="I2536" s="26"/>
      <c r="J2536" s="141">
        <v>0</v>
      </c>
    </row>
    <row r="2537" spans="1:10" ht="15.75" hidden="1" thickBot="1" x14ac:dyDescent="0.3">
      <c r="A2537" s="226"/>
      <c r="B2537" s="244"/>
      <c r="C2537" s="28"/>
      <c r="D2537" s="28"/>
      <c r="E2537" s="29"/>
      <c r="F2537" s="39" t="s">
        <v>523</v>
      </c>
      <c r="G2537" s="30" t="str">
        <f t="shared" si="44"/>
        <v/>
      </c>
      <c r="H2537" s="31"/>
      <c r="I2537" s="27"/>
      <c r="J2537" s="141">
        <v>0</v>
      </c>
    </row>
    <row r="2538" spans="1:10" ht="15.75" hidden="1" thickBot="1" x14ac:dyDescent="0.3">
      <c r="A2538" s="226"/>
      <c r="B2538" s="244"/>
      <c r="C2538" s="32" t="s">
        <v>3701</v>
      </c>
      <c r="D2538" s="43" t="s">
        <v>42</v>
      </c>
      <c r="E2538" s="33">
        <v>0.55000000000000004</v>
      </c>
      <c r="F2538" s="27">
        <v>13.5185</v>
      </c>
      <c r="G2538" s="30">
        <f t="shared" si="44"/>
        <v>7.4351750000000001</v>
      </c>
      <c r="H2538" s="35">
        <f>SUM(G2538:G2538)</f>
        <v>7.4351750000000001</v>
      </c>
      <c r="I2538" s="36"/>
      <c r="J2538" s="141">
        <v>0</v>
      </c>
    </row>
    <row r="2539" spans="1:10" ht="15.75" hidden="1" thickBot="1" x14ac:dyDescent="0.3">
      <c r="A2539" s="227"/>
      <c r="B2539" s="230"/>
      <c r="C2539" s="32"/>
      <c r="D2539" s="32"/>
      <c r="E2539" s="33"/>
      <c r="F2539" s="27" t="s">
        <v>523</v>
      </c>
      <c r="G2539" s="30" t="str">
        <f t="shared" si="44"/>
        <v/>
      </c>
      <c r="H2539" s="31"/>
      <c r="I2539" s="27"/>
      <c r="J2539" s="141">
        <v>0</v>
      </c>
    </row>
    <row r="2540" spans="1:10" ht="15.75" hidden="1" thickBot="1" x14ac:dyDescent="0.3">
      <c r="A2540" s="225" t="s">
        <v>2091</v>
      </c>
      <c r="B2540" s="228" t="str">
        <f>INDEX(Orçamentária!A:B,MATCH(Composições!A2540,Orçamentária!A:A,0),2)</f>
        <v>Ferro chato 7/8"x3/16"</v>
      </c>
      <c r="C2540" s="37"/>
      <c r="D2540" s="22" t="str">
        <f>TRIM(INDEX(Orçamentária!C:C,MATCH(Composições!A2540,Orçamentária!A:A,0),1))</f>
        <v>m</v>
      </c>
      <c r="E2540" s="23"/>
      <c r="F2540" s="38" t="s">
        <v>523</v>
      </c>
      <c r="G2540" s="24" t="str">
        <f t="shared" si="44"/>
        <v/>
      </c>
      <c r="H2540" s="25"/>
      <c r="I2540" s="26"/>
      <c r="J2540" s="141">
        <v>0</v>
      </c>
    </row>
    <row r="2541" spans="1:10" ht="15.75" hidden="1" thickBot="1" x14ac:dyDescent="0.3">
      <c r="A2541" s="226"/>
      <c r="B2541" s="244"/>
      <c r="C2541" s="28"/>
      <c r="D2541" s="28"/>
      <c r="E2541" s="29"/>
      <c r="F2541" s="39" t="s">
        <v>523</v>
      </c>
      <c r="G2541" s="30" t="str">
        <f t="shared" si="44"/>
        <v/>
      </c>
      <c r="H2541" s="31"/>
      <c r="I2541" s="27"/>
      <c r="J2541" s="141">
        <v>0</v>
      </c>
    </row>
    <row r="2542" spans="1:10" ht="15.75" hidden="1" thickBot="1" x14ac:dyDescent="0.3">
      <c r="A2542" s="226"/>
      <c r="B2542" s="244"/>
      <c r="C2542" s="32" t="s">
        <v>3701</v>
      </c>
      <c r="D2542" s="43" t="s">
        <v>42</v>
      </c>
      <c r="E2542" s="33">
        <v>0.83</v>
      </c>
      <c r="F2542" s="27">
        <v>13.5185</v>
      </c>
      <c r="G2542" s="30">
        <f t="shared" si="44"/>
        <v>11.220355</v>
      </c>
      <c r="H2542" s="35">
        <f>SUM(G2542:G2542)</f>
        <v>11.220355</v>
      </c>
      <c r="I2542" s="36"/>
      <c r="J2542" s="141">
        <v>0</v>
      </c>
    </row>
    <row r="2543" spans="1:10" ht="15.75" hidden="1" thickBot="1" x14ac:dyDescent="0.3">
      <c r="A2543" s="227"/>
      <c r="B2543" s="230"/>
      <c r="C2543" s="32"/>
      <c r="D2543" s="32"/>
      <c r="E2543" s="33"/>
      <c r="F2543" s="27" t="s">
        <v>523</v>
      </c>
      <c r="G2543" s="30" t="str">
        <f t="shared" si="44"/>
        <v/>
      </c>
      <c r="H2543" s="31"/>
      <c r="I2543" s="27"/>
      <c r="J2543" s="141">
        <v>0</v>
      </c>
    </row>
    <row r="2544" spans="1:10" ht="15.75" hidden="1" thickBot="1" x14ac:dyDescent="0.3">
      <c r="A2544" s="225" t="s">
        <v>2178</v>
      </c>
      <c r="B2544" s="228" t="str">
        <f>INDEX(Orçamentária!A:B,MATCH(Composições!A2544,Orçamentária!A:A,0),2)</f>
        <v>Tela de estuque</v>
      </c>
      <c r="C2544" s="37"/>
      <c r="D2544" s="22" t="str">
        <f>TRIM(INDEX(Orçamentária!C:C,MATCH(Composições!A2544,Orçamentária!A:A,0),1))</f>
        <v>m2</v>
      </c>
      <c r="E2544" s="23"/>
      <c r="F2544" s="38" t="s">
        <v>523</v>
      </c>
      <c r="G2544" s="24" t="str">
        <f t="shared" si="44"/>
        <v/>
      </c>
      <c r="H2544" s="25"/>
      <c r="I2544" s="26"/>
      <c r="J2544" s="141">
        <v>0</v>
      </c>
    </row>
    <row r="2545" spans="1:10" ht="15.75" hidden="1" thickBot="1" x14ac:dyDescent="0.3">
      <c r="A2545" s="226"/>
      <c r="B2545" s="244"/>
      <c r="C2545" s="28"/>
      <c r="D2545" s="28"/>
      <c r="E2545" s="29"/>
      <c r="F2545" s="39" t="s">
        <v>523</v>
      </c>
      <c r="G2545" s="30" t="str">
        <f t="shared" si="44"/>
        <v/>
      </c>
      <c r="H2545" s="31"/>
      <c r="I2545" s="27"/>
      <c r="J2545" s="141">
        <v>0</v>
      </c>
    </row>
    <row r="2546" spans="1:10" ht="15.75" hidden="1" thickBot="1" x14ac:dyDescent="0.3">
      <c r="A2546" s="226"/>
      <c r="B2546" s="244"/>
      <c r="C2546" s="32" t="s">
        <v>3374</v>
      </c>
      <c r="D2546" s="43" t="s">
        <v>95</v>
      </c>
      <c r="E2546" s="33">
        <v>1</v>
      </c>
      <c r="F2546" s="27">
        <v>5.5574999999999992</v>
      </c>
      <c r="G2546" s="30">
        <f t="shared" si="44"/>
        <v>5.5574999999999992</v>
      </c>
      <c r="H2546" s="35">
        <f>SUM(G2546:G2546)</f>
        <v>5.5574999999999992</v>
      </c>
      <c r="I2546" s="36"/>
      <c r="J2546" s="141">
        <v>0</v>
      </c>
    </row>
    <row r="2547" spans="1:10" ht="15.75" hidden="1" thickBot="1" x14ac:dyDescent="0.3">
      <c r="A2547" s="227"/>
      <c r="B2547" s="230"/>
      <c r="C2547" s="32"/>
      <c r="D2547" s="32"/>
      <c r="E2547" s="33"/>
      <c r="F2547" s="27" t="s">
        <v>523</v>
      </c>
      <c r="G2547" s="30" t="str">
        <f t="shared" si="44"/>
        <v/>
      </c>
      <c r="H2547" s="31"/>
      <c r="I2547" s="27"/>
      <c r="J2547" s="141">
        <v>0</v>
      </c>
    </row>
    <row r="2548" spans="1:10" ht="15.75" hidden="1" thickBot="1" x14ac:dyDescent="0.3">
      <c r="A2548" s="225" t="s">
        <v>2182</v>
      </c>
      <c r="B2548" s="228" t="str">
        <f>INDEX(Orçamentária!A:B,MATCH(Composições!A2548,Orçamentária!A:A,0),2)</f>
        <v>Arame galvanizado, bitola 16 BWG (1,65mm)</v>
      </c>
      <c r="C2548" s="37"/>
      <c r="D2548" s="22" t="str">
        <f>TRIM(INDEX(Orçamentária!C:C,MATCH(Composições!A2548,Orçamentária!A:A,0),1))</f>
        <v>kg</v>
      </c>
      <c r="E2548" s="23"/>
      <c r="F2548" s="38" t="s">
        <v>523</v>
      </c>
      <c r="G2548" s="24" t="str">
        <f t="shared" si="44"/>
        <v/>
      </c>
      <c r="H2548" s="25"/>
      <c r="I2548" s="26"/>
      <c r="J2548" s="141">
        <v>0</v>
      </c>
    </row>
    <row r="2549" spans="1:10" ht="15.75" hidden="1" thickBot="1" x14ac:dyDescent="0.3">
      <c r="A2549" s="226"/>
      <c r="B2549" s="244"/>
      <c r="C2549" s="28"/>
      <c r="D2549" s="28"/>
      <c r="E2549" s="29"/>
      <c r="F2549" s="39" t="s">
        <v>523</v>
      </c>
      <c r="G2549" s="30" t="str">
        <f t="shared" si="44"/>
        <v/>
      </c>
      <c r="H2549" s="31"/>
      <c r="I2549" s="27"/>
      <c r="J2549" s="141">
        <v>0</v>
      </c>
    </row>
    <row r="2550" spans="1:10" ht="15.75" hidden="1" thickBot="1" x14ac:dyDescent="0.3">
      <c r="A2550" s="226"/>
      <c r="B2550" s="244"/>
      <c r="C2550" s="32" t="s">
        <v>3255</v>
      </c>
      <c r="D2550" s="43" t="s">
        <v>42</v>
      </c>
      <c r="E2550" s="33">
        <v>1</v>
      </c>
      <c r="F2550" s="27">
        <v>29.725499999999997</v>
      </c>
      <c r="G2550" s="30">
        <f t="shared" si="44"/>
        <v>29.725499999999997</v>
      </c>
      <c r="H2550" s="35">
        <f>SUM(G2550:G2550)</f>
        <v>29.725499999999997</v>
      </c>
      <c r="I2550" s="36"/>
      <c r="J2550" s="141">
        <v>0</v>
      </c>
    </row>
    <row r="2551" spans="1:10" ht="15.75" hidden="1" thickBot="1" x14ac:dyDescent="0.3">
      <c r="A2551" s="227"/>
      <c r="B2551" s="230"/>
      <c r="C2551" s="32"/>
      <c r="D2551" s="32"/>
      <c r="E2551" s="33"/>
      <c r="F2551" s="27" t="s">
        <v>523</v>
      </c>
      <c r="G2551" s="30" t="str">
        <f t="shared" si="44"/>
        <v/>
      </c>
      <c r="H2551" s="31"/>
      <c r="I2551" s="27"/>
      <c r="J2551" s="141">
        <v>0</v>
      </c>
    </row>
    <row r="2552" spans="1:10" ht="15.75" hidden="1" thickBot="1" x14ac:dyDescent="0.3">
      <c r="A2552" s="225" t="s">
        <v>2186</v>
      </c>
      <c r="B2552" s="228" t="str">
        <f>INDEX(Orçamentária!A:B,MATCH(Composições!A2552,Orçamentária!A:A,0),2)</f>
        <v>Tela em aço galvanizado, tipo alambrado, malha 2, fio 12</v>
      </c>
      <c r="C2552" s="37"/>
      <c r="D2552" s="22" t="str">
        <f>TRIM(INDEX(Orçamentária!C:C,MATCH(Composições!A2552,Orçamentária!A:A,0),1))</f>
        <v>m2</v>
      </c>
      <c r="E2552" s="23"/>
      <c r="F2552" s="38" t="s">
        <v>523</v>
      </c>
      <c r="G2552" s="24" t="str">
        <f t="shared" si="44"/>
        <v/>
      </c>
      <c r="H2552" s="25"/>
      <c r="I2552" s="26"/>
      <c r="J2552" s="141">
        <v>0</v>
      </c>
    </row>
    <row r="2553" spans="1:10" ht="15.75" hidden="1" thickBot="1" x14ac:dyDescent="0.3">
      <c r="A2553" s="226"/>
      <c r="B2553" s="244"/>
      <c r="C2553" s="28"/>
      <c r="D2553" s="28"/>
      <c r="E2553" s="29"/>
      <c r="F2553" s="39" t="s">
        <v>523</v>
      </c>
      <c r="G2553" s="30" t="str">
        <f t="shared" si="44"/>
        <v/>
      </c>
      <c r="H2553" s="31"/>
      <c r="I2553" s="27"/>
      <c r="J2553" s="141">
        <v>0</v>
      </c>
    </row>
    <row r="2554" spans="1:10" ht="26.25" hidden="1" thickBot="1" x14ac:dyDescent="0.3">
      <c r="A2554" s="226"/>
      <c r="B2554" s="244"/>
      <c r="C2554" s="32" t="s">
        <v>3373</v>
      </c>
      <c r="D2554" s="43" t="s">
        <v>95</v>
      </c>
      <c r="E2554" s="33">
        <v>1</v>
      </c>
      <c r="F2554" s="27">
        <v>39.548499999999997</v>
      </c>
      <c r="G2554" s="30">
        <f t="shared" si="44"/>
        <v>39.548499999999997</v>
      </c>
      <c r="H2554" s="35">
        <f>SUM(G2554:G2554)</f>
        <v>39.548499999999997</v>
      </c>
      <c r="I2554" s="36"/>
      <c r="J2554" s="141">
        <v>0</v>
      </c>
    </row>
    <row r="2555" spans="1:10" ht="15.75" hidden="1" thickBot="1" x14ac:dyDescent="0.3">
      <c r="A2555" s="227"/>
      <c r="B2555" s="230"/>
      <c r="C2555" s="32"/>
      <c r="D2555" s="32"/>
      <c r="E2555" s="33"/>
      <c r="F2555" s="27" t="s">
        <v>523</v>
      </c>
      <c r="G2555" s="30" t="str">
        <f t="shared" si="44"/>
        <v/>
      </c>
      <c r="H2555" s="31"/>
      <c r="I2555" s="27"/>
      <c r="J2555" s="141">
        <v>0</v>
      </c>
    </row>
    <row r="2556" spans="1:10" ht="15.75" hidden="1" thickBot="1" x14ac:dyDescent="0.3">
      <c r="A2556" s="225" t="s">
        <v>2188</v>
      </c>
      <c r="B2556" s="228" t="str">
        <f>INDEX(Orçamentária!A:B,MATCH(Composições!A2556,Orçamentária!A:A,0),2)</f>
        <v>Massa Adesiva Plástica</v>
      </c>
      <c r="C2556" s="37"/>
      <c r="D2556" s="22" t="str">
        <f>TRIM(INDEX(Orçamentária!C:C,MATCH(Composições!A2556,Orçamentária!A:A,0),1))</f>
        <v>un</v>
      </c>
      <c r="E2556" s="23"/>
      <c r="F2556" s="38" t="s">
        <v>523</v>
      </c>
      <c r="G2556" s="24" t="str">
        <f t="shared" si="44"/>
        <v/>
      </c>
      <c r="H2556" s="25"/>
      <c r="I2556" s="26"/>
      <c r="J2556" s="141">
        <v>0</v>
      </c>
    </row>
    <row r="2557" spans="1:10" ht="15.75" hidden="1" thickBot="1" x14ac:dyDescent="0.3">
      <c r="A2557" s="226"/>
      <c r="B2557" s="244"/>
      <c r="C2557" s="28"/>
      <c r="D2557" s="28"/>
      <c r="E2557" s="29"/>
      <c r="F2557" s="39" t="s">
        <v>523</v>
      </c>
      <c r="G2557" s="30" t="str">
        <f t="shared" si="44"/>
        <v/>
      </c>
      <c r="H2557" s="31"/>
      <c r="I2557" s="27"/>
      <c r="J2557" s="141">
        <v>0</v>
      </c>
    </row>
    <row r="2558" spans="1:10" ht="15.75" hidden="1" thickBot="1" x14ac:dyDescent="0.3">
      <c r="A2558" s="226"/>
      <c r="B2558" s="244"/>
      <c r="C2558" s="32" t="s">
        <v>3349</v>
      </c>
      <c r="D2558" s="43" t="s">
        <v>42</v>
      </c>
      <c r="E2558" s="33">
        <v>0.4</v>
      </c>
      <c r="F2558" s="27">
        <v>39.424999999999997</v>
      </c>
      <c r="G2558" s="30">
        <f t="shared" si="44"/>
        <v>15.77</v>
      </c>
      <c r="H2558" s="35">
        <f>SUM(G2558:G2558)</f>
        <v>15.77</v>
      </c>
      <c r="I2558" s="36"/>
      <c r="J2558" s="141">
        <v>0</v>
      </c>
    </row>
    <row r="2559" spans="1:10" ht="15.75" hidden="1" thickBot="1" x14ac:dyDescent="0.3">
      <c r="A2559" s="227"/>
      <c r="B2559" s="230"/>
      <c r="C2559" s="32"/>
      <c r="D2559" s="32"/>
      <c r="E2559" s="33"/>
      <c r="F2559" s="27" t="s">
        <v>523</v>
      </c>
      <c r="G2559" s="30" t="str">
        <f t="shared" si="44"/>
        <v/>
      </c>
      <c r="H2559" s="31"/>
      <c r="I2559" s="27"/>
      <c r="J2559" s="141">
        <v>0</v>
      </c>
    </row>
    <row r="2560" spans="1:10" ht="15.75" hidden="1" thickBot="1" x14ac:dyDescent="0.3">
      <c r="A2560" s="225" t="s">
        <v>745</v>
      </c>
      <c r="B2560" s="228" t="str">
        <f>INDEX(Orçamentária!A:B,MATCH(Composições!A2560,Orçamentária!A:A,0),2)</f>
        <v>Argamassa Para Contrapiso</v>
      </c>
      <c r="C2560" s="37"/>
      <c r="D2560" s="22" t="str">
        <f>TRIM(INDEX(Orçamentária!C:C,MATCH(Composições!A2560,Orçamentária!A:A,0),1))</f>
        <v>40 kg</v>
      </c>
      <c r="E2560" s="23"/>
      <c r="F2560" s="38" t="s">
        <v>523</v>
      </c>
      <c r="G2560" s="24" t="str">
        <f t="shared" si="44"/>
        <v/>
      </c>
      <c r="H2560" s="25"/>
      <c r="I2560" s="26"/>
      <c r="J2560" s="141">
        <v>0</v>
      </c>
    </row>
    <row r="2561" spans="1:10" ht="15.75" hidden="1" thickBot="1" x14ac:dyDescent="0.3">
      <c r="A2561" s="226"/>
      <c r="B2561" s="244"/>
      <c r="C2561" s="28"/>
      <c r="D2561" s="28"/>
      <c r="E2561" s="29"/>
      <c r="F2561" s="39" t="s">
        <v>523</v>
      </c>
      <c r="G2561" s="30" t="str">
        <f t="shared" si="44"/>
        <v/>
      </c>
      <c r="H2561" s="31"/>
      <c r="I2561" s="27"/>
      <c r="J2561" s="141">
        <v>0</v>
      </c>
    </row>
    <row r="2562" spans="1:10" ht="15.75" hidden="1" thickBot="1" x14ac:dyDescent="0.3">
      <c r="A2562" s="226"/>
      <c r="B2562" s="244"/>
      <c r="C2562" s="32" t="s">
        <v>746</v>
      </c>
      <c r="D2562" s="43" t="s">
        <v>42</v>
      </c>
      <c r="E2562" s="33">
        <v>40</v>
      </c>
      <c r="F2562" s="27">
        <v>0.54149999999999998</v>
      </c>
      <c r="G2562" s="30">
        <f t="shared" si="44"/>
        <v>21.66</v>
      </c>
      <c r="H2562" s="35">
        <f>SUM(G2562:G2562)</f>
        <v>21.66</v>
      </c>
      <c r="I2562" s="36"/>
      <c r="J2562" s="141">
        <v>0</v>
      </c>
    </row>
    <row r="2563" spans="1:10" ht="15.75" hidden="1" thickBot="1" x14ac:dyDescent="0.3">
      <c r="A2563" s="227"/>
      <c r="B2563" s="230"/>
      <c r="C2563" s="32"/>
      <c r="D2563" s="32"/>
      <c r="E2563" s="33"/>
      <c r="F2563" s="27" t="s">
        <v>523</v>
      </c>
      <c r="G2563" s="30" t="str">
        <f t="shared" si="44"/>
        <v/>
      </c>
      <c r="H2563" s="31"/>
      <c r="I2563" s="27"/>
      <c r="J2563" s="141">
        <v>0</v>
      </c>
    </row>
    <row r="2564" spans="1:10" ht="15.75" hidden="1" thickBot="1" x14ac:dyDescent="0.3">
      <c r="A2564" s="225" t="s">
        <v>747</v>
      </c>
      <c r="B2564" s="228" t="str">
        <f>INDEX(Orçamentária!A:B,MATCH(Composições!A2564,Orçamentária!A:A,0),2)</f>
        <v>Argamassa Múltiplo Uso</v>
      </c>
      <c r="C2564" s="37"/>
      <c r="D2564" s="22" t="str">
        <f>TRIM(INDEX(Orçamentária!C:C,MATCH(Composições!A2564,Orçamentária!A:A,0),1))</f>
        <v>40 kg</v>
      </c>
      <c r="E2564" s="23"/>
      <c r="F2564" s="38" t="s">
        <v>523</v>
      </c>
      <c r="G2564" s="24" t="str">
        <f t="shared" si="44"/>
        <v/>
      </c>
      <c r="H2564" s="25"/>
      <c r="I2564" s="26"/>
      <c r="J2564" s="141">
        <v>0</v>
      </c>
    </row>
    <row r="2565" spans="1:10" ht="15.75" hidden="1" thickBot="1" x14ac:dyDescent="0.3">
      <c r="A2565" s="226"/>
      <c r="B2565" s="244"/>
      <c r="C2565" s="28"/>
      <c r="D2565" s="28"/>
      <c r="E2565" s="29"/>
      <c r="F2565" s="39" t="s">
        <v>523</v>
      </c>
      <c r="G2565" s="30" t="str">
        <f t="shared" si="44"/>
        <v/>
      </c>
      <c r="H2565" s="31"/>
      <c r="I2565" s="27"/>
      <c r="J2565" s="141">
        <v>0</v>
      </c>
    </row>
    <row r="2566" spans="1:10" ht="26.25" hidden="1" thickBot="1" x14ac:dyDescent="0.3">
      <c r="A2566" s="226"/>
      <c r="B2566" s="244"/>
      <c r="C2566" s="32" t="s">
        <v>748</v>
      </c>
      <c r="D2566" s="43" t="s">
        <v>42</v>
      </c>
      <c r="E2566" s="33">
        <v>40</v>
      </c>
      <c r="F2566" s="27">
        <v>0.56999999999999995</v>
      </c>
      <c r="G2566" s="30">
        <f t="shared" ref="G2566:G2629" si="45">IF(ISNUMBER(F2566),E2566*F2566,"")</f>
        <v>22.799999999999997</v>
      </c>
      <c r="H2566" s="35">
        <f>SUM(G2566:G2566)</f>
        <v>22.799999999999997</v>
      </c>
      <c r="I2566" s="36"/>
      <c r="J2566" s="141">
        <v>0</v>
      </c>
    </row>
    <row r="2567" spans="1:10" ht="15.75" hidden="1" thickBot="1" x14ac:dyDescent="0.3">
      <c r="A2567" s="227"/>
      <c r="B2567" s="230"/>
      <c r="C2567" s="32"/>
      <c r="D2567" s="32"/>
      <c r="E2567" s="33"/>
      <c r="F2567" s="27" t="s">
        <v>523</v>
      </c>
      <c r="G2567" s="30" t="str">
        <f t="shared" si="45"/>
        <v/>
      </c>
      <c r="H2567" s="31"/>
      <c r="I2567" s="27"/>
      <c r="J2567" s="141">
        <v>0</v>
      </c>
    </row>
    <row r="2568" spans="1:10" ht="15.75" hidden="1" thickBot="1" x14ac:dyDescent="0.3">
      <c r="A2568" s="225" t="s">
        <v>749</v>
      </c>
      <c r="B2568" s="228" t="str">
        <f>INDEX(Orçamentária!A:B,MATCH(Composições!A2568,Orçamentária!A:A,0),2)</f>
        <v>Cimento Portland CP II E 32</v>
      </c>
      <c r="C2568" s="37"/>
      <c r="D2568" s="22" t="str">
        <f>TRIM(INDEX(Orçamentária!C:C,MATCH(Composições!A2568,Orçamentária!A:A,0),1))</f>
        <v>50 kg</v>
      </c>
      <c r="E2568" s="23"/>
      <c r="F2568" s="38" t="s">
        <v>523</v>
      </c>
      <c r="G2568" s="24" t="str">
        <f t="shared" si="45"/>
        <v/>
      </c>
      <c r="H2568" s="25"/>
      <c r="I2568" s="26"/>
      <c r="J2568" s="141">
        <v>0</v>
      </c>
    </row>
    <row r="2569" spans="1:10" ht="15.75" hidden="1" thickBot="1" x14ac:dyDescent="0.3">
      <c r="A2569" s="226"/>
      <c r="B2569" s="244"/>
      <c r="C2569" s="28"/>
      <c r="D2569" s="28"/>
      <c r="E2569" s="29"/>
      <c r="F2569" s="39" t="s">
        <v>523</v>
      </c>
      <c r="G2569" s="30" t="str">
        <f t="shared" si="45"/>
        <v/>
      </c>
      <c r="H2569" s="31"/>
      <c r="I2569" s="27"/>
      <c r="J2569" s="141">
        <v>0</v>
      </c>
    </row>
    <row r="2570" spans="1:10" ht="15.75" hidden="1" thickBot="1" x14ac:dyDescent="0.3">
      <c r="A2570" s="226"/>
      <c r="B2570" s="244"/>
      <c r="C2570" s="32" t="s">
        <v>750</v>
      </c>
      <c r="D2570" s="43" t="s">
        <v>42</v>
      </c>
      <c r="E2570" s="33">
        <v>50</v>
      </c>
      <c r="F2570" s="27">
        <v>0.64600000000000002</v>
      </c>
      <c r="G2570" s="30">
        <f t="shared" si="45"/>
        <v>32.300000000000004</v>
      </c>
      <c r="H2570" s="35">
        <f>SUM(G2570:G2570)</f>
        <v>32.300000000000004</v>
      </c>
      <c r="I2570" s="36"/>
      <c r="J2570" s="141">
        <v>0</v>
      </c>
    </row>
    <row r="2571" spans="1:10" ht="15.75" hidden="1" thickBot="1" x14ac:dyDescent="0.3">
      <c r="A2571" s="227"/>
      <c r="B2571" s="230"/>
      <c r="C2571" s="32"/>
      <c r="D2571" s="32"/>
      <c r="E2571" s="33"/>
      <c r="F2571" s="27" t="s">
        <v>523</v>
      </c>
      <c r="G2571" s="30" t="str">
        <f t="shared" si="45"/>
        <v/>
      </c>
      <c r="H2571" s="31"/>
      <c r="I2571" s="27"/>
      <c r="J2571" s="141">
        <v>0</v>
      </c>
    </row>
    <row r="2572" spans="1:10" ht="15.75" hidden="1" thickBot="1" x14ac:dyDescent="0.3">
      <c r="A2572" s="225" t="s">
        <v>751</v>
      </c>
      <c r="B2572" s="228" t="str">
        <f>INDEX(Orçamentária!A:B,MATCH(Composições!A2572,Orçamentária!A:A,0),2)</f>
        <v>Argamassa Colante tipo AC III</v>
      </c>
      <c r="C2572" s="37"/>
      <c r="D2572" s="22" t="str">
        <f>TRIM(INDEX(Orçamentária!C:C,MATCH(Composições!A2572,Orçamentária!A:A,0),1))</f>
        <v>20 kg</v>
      </c>
      <c r="E2572" s="23"/>
      <c r="F2572" s="38" t="s">
        <v>523</v>
      </c>
      <c r="G2572" s="24" t="str">
        <f t="shared" si="45"/>
        <v/>
      </c>
      <c r="H2572" s="25"/>
      <c r="I2572" s="26"/>
      <c r="J2572" s="141">
        <v>0</v>
      </c>
    </row>
    <row r="2573" spans="1:10" ht="15.75" hidden="1" thickBot="1" x14ac:dyDescent="0.3">
      <c r="A2573" s="226"/>
      <c r="B2573" s="244"/>
      <c r="C2573" s="28"/>
      <c r="D2573" s="28"/>
      <c r="E2573" s="29"/>
      <c r="F2573" s="39" t="s">
        <v>523</v>
      </c>
      <c r="G2573" s="30" t="str">
        <f t="shared" si="45"/>
        <v/>
      </c>
      <c r="H2573" s="31"/>
      <c r="I2573" s="27"/>
      <c r="J2573" s="141">
        <v>0</v>
      </c>
    </row>
    <row r="2574" spans="1:10" ht="15.75" hidden="1" thickBot="1" x14ac:dyDescent="0.3">
      <c r="A2574" s="226"/>
      <c r="B2574" s="244"/>
      <c r="C2574" s="32" t="s">
        <v>3537</v>
      </c>
      <c r="D2574" s="43" t="s">
        <v>42</v>
      </c>
      <c r="E2574" s="33">
        <v>20</v>
      </c>
      <c r="F2574" s="27">
        <v>1.6054999999999999</v>
      </c>
      <c r="G2574" s="30">
        <f t="shared" si="45"/>
        <v>32.11</v>
      </c>
      <c r="H2574" s="35">
        <f>SUM(G2574:G2574)</f>
        <v>32.11</v>
      </c>
      <c r="I2574" s="36"/>
      <c r="J2574" s="141">
        <v>0</v>
      </c>
    </row>
    <row r="2575" spans="1:10" ht="15.75" hidden="1" thickBot="1" x14ac:dyDescent="0.3">
      <c r="A2575" s="227"/>
      <c r="B2575" s="230"/>
      <c r="C2575" s="32"/>
      <c r="D2575" s="32"/>
      <c r="E2575" s="33"/>
      <c r="F2575" s="27" t="s">
        <v>523</v>
      </c>
      <c r="G2575" s="30" t="str">
        <f t="shared" si="45"/>
        <v/>
      </c>
      <c r="H2575" s="31"/>
      <c r="I2575" s="27"/>
      <c r="J2575" s="141">
        <v>0</v>
      </c>
    </row>
    <row r="2576" spans="1:10" ht="15.75" hidden="1" thickBot="1" x14ac:dyDescent="0.3">
      <c r="A2576" s="225" t="s">
        <v>752</v>
      </c>
      <c r="B2576" s="228" t="str">
        <f>INDEX(Orçamentária!A:B,MATCH(Composições!A2576,Orçamentária!A:A,0),2)</f>
        <v>Gesso Para Uso Geral</v>
      </c>
      <c r="C2576" s="37"/>
      <c r="D2576" s="22" t="str">
        <f>TRIM(INDEX(Orçamentária!C:C,MATCH(Composições!A2576,Orçamentária!A:A,0),1))</f>
        <v>40 kg</v>
      </c>
      <c r="E2576" s="23"/>
      <c r="F2576" s="38" t="s">
        <v>523</v>
      </c>
      <c r="G2576" s="24" t="str">
        <f t="shared" si="45"/>
        <v/>
      </c>
      <c r="H2576" s="25"/>
      <c r="I2576" s="26"/>
      <c r="J2576" s="141">
        <v>0</v>
      </c>
    </row>
    <row r="2577" spans="1:10" ht="15.75" hidden="1" thickBot="1" x14ac:dyDescent="0.3">
      <c r="A2577" s="226"/>
      <c r="B2577" s="244"/>
      <c r="C2577" s="28"/>
      <c r="D2577" s="28"/>
      <c r="E2577" s="29"/>
      <c r="F2577" s="39" t="s">
        <v>523</v>
      </c>
      <c r="G2577" s="30" t="str">
        <f t="shared" si="45"/>
        <v/>
      </c>
      <c r="H2577" s="31"/>
      <c r="I2577" s="27"/>
      <c r="J2577" s="141">
        <v>0</v>
      </c>
    </row>
    <row r="2578" spans="1:10" ht="26.25" hidden="1" thickBot="1" x14ac:dyDescent="0.3">
      <c r="A2578" s="226"/>
      <c r="B2578" s="244"/>
      <c r="C2578" s="32" t="s">
        <v>3703</v>
      </c>
      <c r="D2578" s="43" t="s">
        <v>42</v>
      </c>
      <c r="E2578" s="33">
        <v>40</v>
      </c>
      <c r="F2578" s="27">
        <v>0.73149999999999993</v>
      </c>
      <c r="G2578" s="30">
        <f t="shared" si="45"/>
        <v>29.259999999999998</v>
      </c>
      <c r="H2578" s="35">
        <f>SUM(G2578:G2578)</f>
        <v>29.259999999999998</v>
      </c>
      <c r="I2578" s="36"/>
      <c r="J2578" s="141">
        <v>0</v>
      </c>
    </row>
    <row r="2579" spans="1:10" ht="15.75" hidden="1" thickBot="1" x14ac:dyDescent="0.3">
      <c r="A2579" s="227"/>
      <c r="B2579" s="230"/>
      <c r="C2579" s="32"/>
      <c r="D2579" s="32"/>
      <c r="E2579" s="33"/>
      <c r="F2579" s="27" t="s">
        <v>523</v>
      </c>
      <c r="G2579" s="30" t="str">
        <f t="shared" si="45"/>
        <v/>
      </c>
      <c r="H2579" s="31"/>
      <c r="I2579" s="27"/>
      <c r="J2579" s="141">
        <v>0</v>
      </c>
    </row>
    <row r="2580" spans="1:10" ht="15.75" hidden="1" thickBot="1" x14ac:dyDescent="0.3">
      <c r="A2580" s="225" t="s">
        <v>753</v>
      </c>
      <c r="B2580" s="228" t="str">
        <f>INDEX(Orçamentária!A:B,MATCH(Composições!A2580,Orçamentária!A:A,0),2)</f>
        <v>Areia Média</v>
      </c>
      <c r="C2580" s="37"/>
      <c r="D2580" s="22" t="str">
        <f>TRIM(INDEX(Orçamentária!C:C,MATCH(Composições!A2580,Orçamentária!A:A,0),1))</f>
        <v>m3</v>
      </c>
      <c r="E2580" s="23"/>
      <c r="F2580" s="38" t="s">
        <v>523</v>
      </c>
      <c r="G2580" s="24" t="str">
        <f t="shared" si="45"/>
        <v/>
      </c>
      <c r="H2580" s="25"/>
      <c r="I2580" s="26"/>
      <c r="J2580" s="141">
        <v>0</v>
      </c>
    </row>
    <row r="2581" spans="1:10" ht="15.75" hidden="1" thickBot="1" x14ac:dyDescent="0.3">
      <c r="A2581" s="226"/>
      <c r="B2581" s="244"/>
      <c r="C2581" s="28"/>
      <c r="D2581" s="28"/>
      <c r="E2581" s="29"/>
      <c r="F2581" s="39" t="s">
        <v>523</v>
      </c>
      <c r="G2581" s="30" t="str">
        <f t="shared" si="45"/>
        <v/>
      </c>
      <c r="H2581" s="31"/>
      <c r="I2581" s="27"/>
      <c r="J2581" s="141">
        <v>0</v>
      </c>
    </row>
    <row r="2582" spans="1:10" ht="26.25" hidden="1" thickBot="1" x14ac:dyDescent="0.3">
      <c r="A2582" s="226"/>
      <c r="B2582" s="244"/>
      <c r="C2582" s="32" t="s">
        <v>754</v>
      </c>
      <c r="D2582" s="43" t="s">
        <v>109</v>
      </c>
      <c r="E2582" s="33">
        <v>1</v>
      </c>
      <c r="F2582" s="27">
        <v>160.53099999999998</v>
      </c>
      <c r="G2582" s="30">
        <f t="shared" si="45"/>
        <v>160.53099999999998</v>
      </c>
      <c r="H2582" s="35">
        <f>SUM(G2582:G2584)</f>
        <v>203.238383</v>
      </c>
      <c r="I2582" s="36"/>
      <c r="J2582" s="141">
        <v>0</v>
      </c>
    </row>
    <row r="2583" spans="1:10" ht="51.75" hidden="1" thickBot="1" x14ac:dyDescent="0.3">
      <c r="A2583" s="226"/>
      <c r="B2583" s="244"/>
      <c r="C2583" s="32" t="s">
        <v>3532</v>
      </c>
      <c r="D2583" s="32" t="s">
        <v>109</v>
      </c>
      <c r="E2583" s="33">
        <f>E2582</f>
        <v>1</v>
      </c>
      <c r="F2583" s="30">
        <v>7.6983819999999996</v>
      </c>
      <c r="G2583" s="30">
        <f t="shared" si="45"/>
        <v>7.6983819999999996</v>
      </c>
      <c r="H2583" s="31"/>
      <c r="I2583" s="27"/>
      <c r="J2583" s="141">
        <v>0</v>
      </c>
    </row>
    <row r="2584" spans="1:10" ht="39" hidden="1" thickBot="1" x14ac:dyDescent="0.3">
      <c r="A2584" s="226"/>
      <c r="B2584" s="244"/>
      <c r="C2584" s="32" t="s">
        <v>755</v>
      </c>
      <c r="D2584" s="43" t="s">
        <v>756</v>
      </c>
      <c r="E2584" s="33">
        <f>E2582*20</f>
        <v>20</v>
      </c>
      <c r="F2584" s="27">
        <v>1.7504500499999998</v>
      </c>
      <c r="G2584" s="30">
        <f t="shared" si="45"/>
        <v>35.009000999999998</v>
      </c>
      <c r="H2584" s="31"/>
      <c r="I2584" s="27"/>
      <c r="J2584" s="141">
        <v>0</v>
      </c>
    </row>
    <row r="2585" spans="1:10" ht="15.75" hidden="1" thickBot="1" x14ac:dyDescent="0.3">
      <c r="A2585" s="226"/>
      <c r="B2585" s="244"/>
      <c r="C2585" s="32"/>
      <c r="D2585" s="43"/>
      <c r="E2585" s="33"/>
      <c r="F2585" s="27" t="s">
        <v>523</v>
      </c>
      <c r="G2585" s="30" t="str">
        <f t="shared" si="45"/>
        <v/>
      </c>
      <c r="H2585" s="31"/>
      <c r="I2585" s="27"/>
      <c r="J2585" s="141">
        <v>0</v>
      </c>
    </row>
    <row r="2586" spans="1:10" ht="15.75" hidden="1" thickBot="1" x14ac:dyDescent="0.3">
      <c r="A2586" s="226"/>
      <c r="B2586" s="244"/>
      <c r="C2586" s="44" t="s">
        <v>757</v>
      </c>
      <c r="D2586" s="43"/>
      <c r="E2586" s="33"/>
      <c r="F2586" s="27" t="s">
        <v>523</v>
      </c>
      <c r="G2586" s="30" t="str">
        <f t="shared" si="45"/>
        <v/>
      </c>
      <c r="H2586" s="31"/>
      <c r="I2586" s="27"/>
      <c r="J2586" s="141">
        <v>0</v>
      </c>
    </row>
    <row r="2587" spans="1:10" ht="15.75" hidden="1" thickBot="1" x14ac:dyDescent="0.3">
      <c r="A2587" s="227"/>
      <c r="B2587" s="230"/>
      <c r="C2587" s="32"/>
      <c r="D2587" s="32"/>
      <c r="E2587" s="33"/>
      <c r="F2587" s="27" t="s">
        <v>523</v>
      </c>
      <c r="G2587" s="30" t="str">
        <f t="shared" si="45"/>
        <v/>
      </c>
      <c r="H2587" s="31"/>
      <c r="I2587" s="27"/>
      <c r="J2587" s="141">
        <v>0</v>
      </c>
    </row>
    <row r="2588" spans="1:10" ht="15.75" hidden="1" thickBot="1" x14ac:dyDescent="0.3">
      <c r="A2588" s="225" t="s">
        <v>758</v>
      </c>
      <c r="B2588" s="228" t="str">
        <f>INDEX(Orçamentária!A:B,MATCH(Composições!A2588,Orçamentária!A:A,0),2)</f>
        <v>Brita Nº 0</v>
      </c>
      <c r="C2588" s="37"/>
      <c r="D2588" s="22" t="str">
        <f>TRIM(INDEX(Orçamentária!C:C,MATCH(Composições!A2588,Orçamentária!A:A,0),1))</f>
        <v>m3</v>
      </c>
      <c r="E2588" s="23"/>
      <c r="F2588" s="38" t="s">
        <v>523</v>
      </c>
      <c r="G2588" s="24" t="str">
        <f t="shared" si="45"/>
        <v/>
      </c>
      <c r="H2588" s="25"/>
      <c r="I2588" s="26"/>
      <c r="J2588" s="141">
        <v>0</v>
      </c>
    </row>
    <row r="2589" spans="1:10" ht="15.75" hidden="1" thickBot="1" x14ac:dyDescent="0.3">
      <c r="A2589" s="226"/>
      <c r="B2589" s="244"/>
      <c r="C2589" s="28"/>
      <c r="D2589" s="28"/>
      <c r="E2589" s="29"/>
      <c r="F2589" s="39" t="s">
        <v>523</v>
      </c>
      <c r="G2589" s="30" t="str">
        <f t="shared" si="45"/>
        <v/>
      </c>
      <c r="H2589" s="31"/>
      <c r="I2589" s="27"/>
      <c r="J2589" s="141">
        <v>0</v>
      </c>
    </row>
    <row r="2590" spans="1:10" ht="26.25" hidden="1" thickBot="1" x14ac:dyDescent="0.3">
      <c r="A2590" s="226"/>
      <c r="B2590" s="244"/>
      <c r="C2590" s="32" t="s">
        <v>759</v>
      </c>
      <c r="D2590" s="43" t="s">
        <v>109</v>
      </c>
      <c r="E2590" s="33">
        <v>1</v>
      </c>
      <c r="F2590" s="27">
        <v>169.76499999999999</v>
      </c>
      <c r="G2590" s="30">
        <f t="shared" si="45"/>
        <v>169.76499999999999</v>
      </c>
      <c r="H2590" s="35">
        <f>SUM(G2590:G2592)</f>
        <v>212.47238299999998</v>
      </c>
      <c r="I2590" s="36"/>
      <c r="J2590" s="141">
        <v>0</v>
      </c>
    </row>
    <row r="2591" spans="1:10" ht="51.75" hidden="1" thickBot="1" x14ac:dyDescent="0.3">
      <c r="A2591" s="226"/>
      <c r="B2591" s="244"/>
      <c r="C2591" s="32" t="s">
        <v>3532</v>
      </c>
      <c r="D2591" s="32" t="s">
        <v>109</v>
      </c>
      <c r="E2591" s="33">
        <f>E2590</f>
        <v>1</v>
      </c>
      <c r="F2591" s="30">
        <v>7.6983819999999996</v>
      </c>
      <c r="G2591" s="30">
        <f t="shared" si="45"/>
        <v>7.6983819999999996</v>
      </c>
      <c r="H2591" s="31"/>
      <c r="I2591" s="27"/>
      <c r="J2591" s="141">
        <v>0</v>
      </c>
    </row>
    <row r="2592" spans="1:10" ht="39" hidden="1" thickBot="1" x14ac:dyDescent="0.3">
      <c r="A2592" s="226"/>
      <c r="B2592" s="244"/>
      <c r="C2592" s="32" t="s">
        <v>755</v>
      </c>
      <c r="D2592" s="43" t="s">
        <v>756</v>
      </c>
      <c r="E2592" s="33">
        <f>E2590*20</f>
        <v>20</v>
      </c>
      <c r="F2592" s="27">
        <v>1.7504500499999998</v>
      </c>
      <c r="G2592" s="30">
        <f t="shared" si="45"/>
        <v>35.009000999999998</v>
      </c>
      <c r="H2592" s="31"/>
      <c r="I2592" s="27"/>
      <c r="J2592" s="141">
        <v>0</v>
      </c>
    </row>
    <row r="2593" spans="1:10" ht="15.75" hidden="1" thickBot="1" x14ac:dyDescent="0.3">
      <c r="A2593" s="226"/>
      <c r="B2593" s="244"/>
      <c r="C2593" s="32"/>
      <c r="D2593" s="43"/>
      <c r="E2593" s="33"/>
      <c r="F2593" s="27" t="s">
        <v>523</v>
      </c>
      <c r="G2593" s="30" t="str">
        <f t="shared" si="45"/>
        <v/>
      </c>
      <c r="H2593" s="31"/>
      <c r="I2593" s="27"/>
      <c r="J2593" s="141">
        <v>0</v>
      </c>
    </row>
    <row r="2594" spans="1:10" ht="15.75" hidden="1" thickBot="1" x14ac:dyDescent="0.3">
      <c r="A2594" s="226"/>
      <c r="B2594" s="244"/>
      <c r="C2594" s="44" t="s">
        <v>760</v>
      </c>
      <c r="D2594" s="43"/>
      <c r="E2594" s="33"/>
      <c r="F2594" s="27" t="s">
        <v>523</v>
      </c>
      <c r="G2594" s="30" t="str">
        <f t="shared" si="45"/>
        <v/>
      </c>
      <c r="H2594" s="31"/>
      <c r="I2594" s="27"/>
      <c r="J2594" s="141">
        <v>0</v>
      </c>
    </row>
    <row r="2595" spans="1:10" ht="15.75" hidden="1" thickBot="1" x14ac:dyDescent="0.3">
      <c r="A2595" s="227"/>
      <c r="B2595" s="230"/>
      <c r="C2595" s="32"/>
      <c r="D2595" s="32"/>
      <c r="E2595" s="33"/>
      <c r="F2595" s="27" t="s">
        <v>523</v>
      </c>
      <c r="G2595" s="30" t="str">
        <f t="shared" si="45"/>
        <v/>
      </c>
      <c r="H2595" s="31"/>
      <c r="I2595" s="27"/>
      <c r="J2595" s="141">
        <v>0</v>
      </c>
    </row>
    <row r="2596" spans="1:10" ht="15.75" hidden="1" thickBot="1" x14ac:dyDescent="0.3">
      <c r="A2596" s="225" t="s">
        <v>761</v>
      </c>
      <c r="B2596" s="228" t="str">
        <f>INDEX(Orçamentária!A:B,MATCH(Composições!A2596,Orçamentária!A:A,0),2)</f>
        <v>Brita Nº 1</v>
      </c>
      <c r="C2596" s="37"/>
      <c r="D2596" s="22" t="str">
        <f>TRIM(INDEX(Orçamentária!C:C,MATCH(Composições!A2596,Orçamentária!A:A,0),1))</f>
        <v>m3</v>
      </c>
      <c r="E2596" s="23"/>
      <c r="F2596" s="38" t="s">
        <v>523</v>
      </c>
      <c r="G2596" s="24" t="str">
        <f t="shared" si="45"/>
        <v/>
      </c>
      <c r="H2596" s="25"/>
      <c r="I2596" s="26"/>
      <c r="J2596" s="141">
        <v>0</v>
      </c>
    </row>
    <row r="2597" spans="1:10" ht="15.75" hidden="1" thickBot="1" x14ac:dyDescent="0.3">
      <c r="A2597" s="226"/>
      <c r="B2597" s="244"/>
      <c r="C2597" s="28"/>
      <c r="D2597" s="28"/>
      <c r="E2597" s="29"/>
      <c r="F2597" s="39" t="s">
        <v>523</v>
      </c>
      <c r="G2597" s="30" t="str">
        <f t="shared" si="45"/>
        <v/>
      </c>
      <c r="H2597" s="31"/>
      <c r="I2597" s="27"/>
      <c r="J2597" s="141">
        <v>0</v>
      </c>
    </row>
    <row r="2598" spans="1:10" ht="26.25" hidden="1" thickBot="1" x14ac:dyDescent="0.3">
      <c r="A2598" s="226"/>
      <c r="B2598" s="244"/>
      <c r="C2598" s="32" t="s">
        <v>762</v>
      </c>
      <c r="D2598" s="43" t="s">
        <v>109</v>
      </c>
      <c r="E2598" s="33">
        <v>1</v>
      </c>
      <c r="F2598" s="27">
        <v>147.041</v>
      </c>
      <c r="G2598" s="30">
        <f t="shared" si="45"/>
        <v>147.041</v>
      </c>
      <c r="H2598" s="35">
        <f>SUM(G2598:G2600)</f>
        <v>189.74838299999999</v>
      </c>
      <c r="I2598" s="36"/>
      <c r="J2598" s="141">
        <v>0</v>
      </c>
    </row>
    <row r="2599" spans="1:10" ht="51.75" hidden="1" thickBot="1" x14ac:dyDescent="0.3">
      <c r="A2599" s="226"/>
      <c r="B2599" s="244"/>
      <c r="C2599" s="32" t="s">
        <v>3532</v>
      </c>
      <c r="D2599" s="32" t="s">
        <v>109</v>
      </c>
      <c r="E2599" s="33">
        <f>E2598</f>
        <v>1</v>
      </c>
      <c r="F2599" s="30">
        <v>7.6983819999999996</v>
      </c>
      <c r="G2599" s="30">
        <f t="shared" si="45"/>
        <v>7.6983819999999996</v>
      </c>
      <c r="H2599" s="31"/>
      <c r="I2599" s="27"/>
      <c r="J2599" s="141">
        <v>0</v>
      </c>
    </row>
    <row r="2600" spans="1:10" ht="39" hidden="1" thickBot="1" x14ac:dyDescent="0.3">
      <c r="A2600" s="226"/>
      <c r="B2600" s="244"/>
      <c r="C2600" s="32" t="s">
        <v>755</v>
      </c>
      <c r="D2600" s="43" t="s">
        <v>756</v>
      </c>
      <c r="E2600" s="33">
        <f>E2598*20</f>
        <v>20</v>
      </c>
      <c r="F2600" s="27">
        <v>1.7504500499999998</v>
      </c>
      <c r="G2600" s="30">
        <f t="shared" si="45"/>
        <v>35.009000999999998</v>
      </c>
      <c r="H2600" s="31"/>
      <c r="I2600" s="27"/>
      <c r="J2600" s="141">
        <v>0</v>
      </c>
    </row>
    <row r="2601" spans="1:10" ht="15.75" hidden="1" thickBot="1" x14ac:dyDescent="0.3">
      <c r="A2601" s="226"/>
      <c r="B2601" s="244"/>
      <c r="C2601" s="32"/>
      <c r="D2601" s="43"/>
      <c r="E2601" s="33"/>
      <c r="F2601" s="27" t="s">
        <v>523</v>
      </c>
      <c r="G2601" s="30" t="str">
        <f t="shared" si="45"/>
        <v/>
      </c>
      <c r="H2601" s="31"/>
      <c r="I2601" s="27"/>
      <c r="J2601" s="141">
        <v>0</v>
      </c>
    </row>
    <row r="2602" spans="1:10" ht="15.75" hidden="1" thickBot="1" x14ac:dyDescent="0.3">
      <c r="A2602" s="226"/>
      <c r="B2602" s="244"/>
      <c r="C2602" s="44" t="s">
        <v>760</v>
      </c>
      <c r="D2602" s="43"/>
      <c r="E2602" s="33"/>
      <c r="F2602" s="27" t="s">
        <v>523</v>
      </c>
      <c r="G2602" s="30" t="str">
        <f t="shared" si="45"/>
        <v/>
      </c>
      <c r="H2602" s="31"/>
      <c r="I2602" s="27"/>
      <c r="J2602" s="141">
        <v>0</v>
      </c>
    </row>
    <row r="2603" spans="1:10" ht="15.75" hidden="1" thickBot="1" x14ac:dyDescent="0.3">
      <c r="A2603" s="227"/>
      <c r="B2603" s="230"/>
      <c r="C2603" s="32"/>
      <c r="D2603" s="32"/>
      <c r="E2603" s="33"/>
      <c r="F2603" s="27" t="s">
        <v>523</v>
      </c>
      <c r="G2603" s="30" t="str">
        <f t="shared" si="45"/>
        <v/>
      </c>
      <c r="H2603" s="31"/>
      <c r="I2603" s="27"/>
      <c r="J2603" s="141">
        <v>0</v>
      </c>
    </row>
    <row r="2604" spans="1:10" ht="15.75" hidden="1" thickBot="1" x14ac:dyDescent="0.3">
      <c r="A2604" s="225" t="s">
        <v>763</v>
      </c>
      <c r="B2604" s="228" t="str">
        <f>INDEX(Orçamentária!A:B,MATCH(Composições!A2604,Orçamentária!A:A,0),2)</f>
        <v>Bloco Cerâmico De 08 Furos</v>
      </c>
      <c r="C2604" s="37"/>
      <c r="D2604" s="22" t="str">
        <f>TRIM(INDEX(Orçamentária!C:C,MATCH(Composições!A2604,Orçamentária!A:A,0),1))</f>
        <v>un</v>
      </c>
      <c r="E2604" s="23"/>
      <c r="F2604" s="38" t="s">
        <v>523</v>
      </c>
      <c r="G2604" s="24" t="str">
        <f t="shared" si="45"/>
        <v/>
      </c>
      <c r="H2604" s="25"/>
      <c r="I2604" s="26"/>
      <c r="J2604" s="141">
        <v>0</v>
      </c>
    </row>
    <row r="2605" spans="1:10" ht="15.75" hidden="1" thickBot="1" x14ac:dyDescent="0.3">
      <c r="A2605" s="226"/>
      <c r="B2605" s="244"/>
      <c r="C2605" s="28"/>
      <c r="D2605" s="28"/>
      <c r="E2605" s="29"/>
      <c r="F2605" s="39" t="s">
        <v>523</v>
      </c>
      <c r="G2605" s="30" t="str">
        <f t="shared" si="45"/>
        <v/>
      </c>
      <c r="H2605" s="31"/>
      <c r="I2605" s="27"/>
      <c r="J2605" s="141">
        <v>0</v>
      </c>
    </row>
    <row r="2606" spans="1:10" ht="26.25" hidden="1" thickBot="1" x14ac:dyDescent="0.3">
      <c r="A2606" s="226"/>
      <c r="B2606" s="244"/>
      <c r="C2606" s="32" t="s">
        <v>6797</v>
      </c>
      <c r="D2606" s="32" t="s">
        <v>150</v>
      </c>
      <c r="E2606" s="33">
        <f>1/1000</f>
        <v>1E-3</v>
      </c>
      <c r="F2606" s="27" t="s">
        <v>523</v>
      </c>
      <c r="G2606" s="30" t="str">
        <f t="shared" si="45"/>
        <v/>
      </c>
      <c r="H2606" s="35">
        <f>SUM(G2606:G2606)</f>
        <v>0</v>
      </c>
      <c r="I2606" s="36"/>
      <c r="J2606" s="141">
        <v>0</v>
      </c>
    </row>
    <row r="2607" spans="1:10" ht="15.75" hidden="1" thickBot="1" x14ac:dyDescent="0.3">
      <c r="A2607" s="227"/>
      <c r="B2607" s="230"/>
      <c r="C2607" s="32"/>
      <c r="D2607" s="32"/>
      <c r="E2607" s="33"/>
      <c r="F2607" s="27" t="s">
        <v>523</v>
      </c>
      <c r="G2607" s="30" t="str">
        <f t="shared" si="45"/>
        <v/>
      </c>
      <c r="H2607" s="31"/>
      <c r="I2607" s="27"/>
      <c r="J2607" s="141">
        <v>0</v>
      </c>
    </row>
    <row r="2608" spans="1:10" ht="15.75" hidden="1" thickBot="1" x14ac:dyDescent="0.3">
      <c r="A2608" s="225" t="s">
        <v>764</v>
      </c>
      <c r="B2608" s="228" t="str">
        <f>INDEX(Orçamentária!A:B,MATCH(Composições!A2608,Orçamentária!A:A,0),2)</f>
        <v>Tijolo Maciço</v>
      </c>
      <c r="C2608" s="37"/>
      <c r="D2608" s="22" t="str">
        <f>TRIM(INDEX(Orçamentária!C:C,MATCH(Composições!A2608,Orçamentária!A:A,0),1))</f>
        <v>un</v>
      </c>
      <c r="E2608" s="23"/>
      <c r="F2608" s="38" t="s">
        <v>523</v>
      </c>
      <c r="G2608" s="24" t="str">
        <f t="shared" si="45"/>
        <v/>
      </c>
      <c r="H2608" s="25"/>
      <c r="I2608" s="26"/>
      <c r="J2608" s="141">
        <v>0</v>
      </c>
    </row>
    <row r="2609" spans="1:10" ht="15.75" hidden="1" thickBot="1" x14ac:dyDescent="0.3">
      <c r="A2609" s="226"/>
      <c r="B2609" s="244"/>
      <c r="C2609" s="28"/>
      <c r="D2609" s="28"/>
      <c r="E2609" s="29"/>
      <c r="F2609" s="39" t="s">
        <v>523</v>
      </c>
      <c r="G2609" s="30" t="str">
        <f t="shared" si="45"/>
        <v/>
      </c>
      <c r="H2609" s="31"/>
      <c r="I2609" s="27"/>
      <c r="J2609" s="141">
        <v>0</v>
      </c>
    </row>
    <row r="2610" spans="1:10" ht="15.75" hidden="1" thickBot="1" x14ac:dyDescent="0.3">
      <c r="A2610" s="226"/>
      <c r="B2610" s="244"/>
      <c r="C2610" s="32" t="s">
        <v>3523</v>
      </c>
      <c r="D2610" s="32" t="s">
        <v>280</v>
      </c>
      <c r="E2610" s="33">
        <v>1</v>
      </c>
      <c r="F2610" s="27">
        <v>0.71249999999999991</v>
      </c>
      <c r="G2610" s="30">
        <f t="shared" si="45"/>
        <v>0.71249999999999991</v>
      </c>
      <c r="H2610" s="35">
        <f>SUM(G2610:G2610)</f>
        <v>0.71249999999999991</v>
      </c>
      <c r="I2610" s="36"/>
      <c r="J2610" s="141">
        <v>0</v>
      </c>
    </row>
    <row r="2611" spans="1:10" ht="15.75" hidden="1" thickBot="1" x14ac:dyDescent="0.3">
      <c r="A2611" s="227"/>
      <c r="B2611" s="230"/>
      <c r="C2611" s="32"/>
      <c r="D2611" s="32"/>
      <c r="E2611" s="33"/>
      <c r="F2611" s="27" t="s">
        <v>523</v>
      </c>
      <c r="G2611" s="30" t="str">
        <f t="shared" si="45"/>
        <v/>
      </c>
      <c r="H2611" s="31"/>
      <c r="I2611" s="27"/>
      <c r="J2611" s="141">
        <v>0</v>
      </c>
    </row>
    <row r="2612" spans="1:10" ht="15.75" hidden="1" thickBot="1" x14ac:dyDescent="0.3">
      <c r="A2612" s="225" t="s">
        <v>765</v>
      </c>
      <c r="B2612" s="228" t="str">
        <f>INDEX(Orçamentária!A:B,MATCH(Composições!A2612,Orçamentária!A:A,0),2)</f>
        <v>Bloco De Concreto Com 02 Furos</v>
      </c>
      <c r="C2612" s="37"/>
      <c r="D2612" s="22" t="str">
        <f>TRIM(INDEX(Orçamentária!C:C,MATCH(Composições!A2612,Orçamentária!A:A,0),1))</f>
        <v>un</v>
      </c>
      <c r="E2612" s="23"/>
      <c r="F2612" s="38" t="s">
        <v>523</v>
      </c>
      <c r="G2612" s="24" t="str">
        <f t="shared" si="45"/>
        <v/>
      </c>
      <c r="H2612" s="25"/>
      <c r="I2612" s="26"/>
      <c r="J2612" s="141">
        <v>0</v>
      </c>
    </row>
    <row r="2613" spans="1:10" ht="15.75" hidden="1" thickBot="1" x14ac:dyDescent="0.3">
      <c r="A2613" s="226"/>
      <c r="B2613" s="244"/>
      <c r="C2613" s="28"/>
      <c r="D2613" s="28"/>
      <c r="E2613" s="29"/>
      <c r="F2613" s="39" t="s">
        <v>523</v>
      </c>
      <c r="G2613" s="30" t="str">
        <f t="shared" si="45"/>
        <v/>
      </c>
      <c r="H2613" s="31"/>
      <c r="I2613" s="27"/>
      <c r="J2613" s="141">
        <v>0</v>
      </c>
    </row>
    <row r="2614" spans="1:10" ht="26.25" hidden="1" thickBot="1" x14ac:dyDescent="0.3">
      <c r="A2614" s="226"/>
      <c r="B2614" s="244"/>
      <c r="C2614" s="32" t="s">
        <v>3518</v>
      </c>
      <c r="D2614" s="32" t="s">
        <v>280</v>
      </c>
      <c r="E2614" s="33">
        <v>1</v>
      </c>
      <c r="F2614" s="27">
        <v>2.6599999999999997</v>
      </c>
      <c r="G2614" s="30">
        <f t="shared" si="45"/>
        <v>2.6599999999999997</v>
      </c>
      <c r="H2614" s="35">
        <f>SUM(G2614:G2614)</f>
        <v>2.6599999999999997</v>
      </c>
      <c r="I2614" s="36"/>
      <c r="J2614" s="141">
        <v>0</v>
      </c>
    </row>
    <row r="2615" spans="1:10" ht="15.75" hidden="1" thickBot="1" x14ac:dyDescent="0.3">
      <c r="A2615" s="227"/>
      <c r="B2615" s="230"/>
      <c r="C2615" s="32"/>
      <c r="D2615" s="32"/>
      <c r="E2615" s="33"/>
      <c r="F2615" s="27" t="s">
        <v>523</v>
      </c>
      <c r="G2615" s="30" t="str">
        <f t="shared" si="45"/>
        <v/>
      </c>
      <c r="H2615" s="31"/>
      <c r="I2615" s="27"/>
      <c r="J2615" s="141">
        <v>0</v>
      </c>
    </row>
    <row r="2616" spans="1:10" ht="15.75" hidden="1" thickBot="1" x14ac:dyDescent="0.3">
      <c r="A2616" s="225" t="s">
        <v>766</v>
      </c>
      <c r="B2616" s="228" t="str">
        <f>INDEX(Orçamentária!A:B,MATCH(Composições!A2616,Orçamentária!A:A,0),2)</f>
        <v>Bloco De Concreto Tipo Canaleta</v>
      </c>
      <c r="C2616" s="37"/>
      <c r="D2616" s="22" t="str">
        <f>TRIM(INDEX(Orçamentária!C:C,MATCH(Composições!A2616,Orçamentária!A:A,0),1))</f>
        <v>un</v>
      </c>
      <c r="E2616" s="23"/>
      <c r="F2616" s="38" t="s">
        <v>523</v>
      </c>
      <c r="G2616" s="24" t="str">
        <f t="shared" si="45"/>
        <v/>
      </c>
      <c r="H2616" s="25"/>
      <c r="I2616" s="26"/>
      <c r="J2616" s="141">
        <v>0</v>
      </c>
    </row>
    <row r="2617" spans="1:10" ht="15.75" hidden="1" thickBot="1" x14ac:dyDescent="0.3">
      <c r="A2617" s="226"/>
      <c r="B2617" s="244"/>
      <c r="C2617" s="28"/>
      <c r="D2617" s="28"/>
      <c r="E2617" s="29"/>
      <c r="F2617" s="39" t="s">
        <v>523</v>
      </c>
      <c r="G2617" s="30" t="str">
        <f t="shared" si="45"/>
        <v/>
      </c>
      <c r="H2617" s="31"/>
      <c r="I2617" s="27"/>
      <c r="J2617" s="141">
        <v>0</v>
      </c>
    </row>
    <row r="2618" spans="1:10" ht="15.75" hidden="1" thickBot="1" x14ac:dyDescent="0.3">
      <c r="A2618" s="226"/>
      <c r="B2618" s="244"/>
      <c r="C2618" s="32" t="s">
        <v>143</v>
      </c>
      <c r="D2618" s="32" t="s">
        <v>144</v>
      </c>
      <c r="E2618" s="33">
        <v>1</v>
      </c>
      <c r="F2618" s="27">
        <v>0</v>
      </c>
      <c r="G2618" s="30">
        <f t="shared" si="45"/>
        <v>0</v>
      </c>
      <c r="H2618" s="35">
        <f>SUM(G2618:G2618)</f>
        <v>0</v>
      </c>
      <c r="I2618" s="36"/>
      <c r="J2618" s="141">
        <v>0</v>
      </c>
    </row>
    <row r="2619" spans="1:10" ht="15.75" hidden="1" thickBot="1" x14ac:dyDescent="0.3">
      <c r="A2619" s="227"/>
      <c r="B2619" s="230"/>
      <c r="C2619" s="32"/>
      <c r="D2619" s="32"/>
      <c r="E2619" s="33"/>
      <c r="F2619" s="27" t="s">
        <v>523</v>
      </c>
      <c r="G2619" s="30" t="str">
        <f t="shared" si="45"/>
        <v/>
      </c>
      <c r="H2619" s="31"/>
      <c r="I2619" s="27"/>
      <c r="J2619" s="141">
        <v>0</v>
      </c>
    </row>
    <row r="2620" spans="1:10" ht="15.75" hidden="1" thickBot="1" x14ac:dyDescent="0.3">
      <c r="A2620" s="225" t="s">
        <v>767</v>
      </c>
      <c r="B2620" s="228" t="str">
        <f>INDEX(Orçamentária!A:B,MATCH(Composições!A2620,Orçamentária!A:A,0),2)</f>
        <v>Vergalhão Ca-60 Diâmetro 5,0 Mm</v>
      </c>
      <c r="C2620" s="37"/>
      <c r="D2620" s="22" t="str">
        <f>TRIM(INDEX(Orçamentária!C:C,MATCH(Composições!A2620,Orçamentária!A:A,0),1))</f>
        <v>m</v>
      </c>
      <c r="E2620" s="23"/>
      <c r="F2620" s="38" t="s">
        <v>523</v>
      </c>
      <c r="G2620" s="24" t="str">
        <f t="shared" si="45"/>
        <v/>
      </c>
      <c r="H2620" s="25"/>
      <c r="I2620" s="26"/>
      <c r="J2620" s="141">
        <v>0</v>
      </c>
    </row>
    <row r="2621" spans="1:10" ht="15.75" hidden="1" thickBot="1" x14ac:dyDescent="0.3">
      <c r="A2621" s="226"/>
      <c r="B2621" s="244"/>
      <c r="C2621" s="28"/>
      <c r="D2621" s="28"/>
      <c r="E2621" s="29"/>
      <c r="F2621" s="39" t="s">
        <v>523</v>
      </c>
      <c r="G2621" s="30" t="str">
        <f t="shared" si="45"/>
        <v/>
      </c>
      <c r="H2621" s="31"/>
      <c r="I2621" s="27"/>
      <c r="J2621" s="141">
        <v>0</v>
      </c>
    </row>
    <row r="2622" spans="1:10" ht="15.75" hidden="1" thickBot="1" x14ac:dyDescent="0.3">
      <c r="A2622" s="226"/>
      <c r="B2622" s="244"/>
      <c r="C2622" s="32" t="s">
        <v>1454</v>
      </c>
      <c r="D2622" s="32" t="s">
        <v>42</v>
      </c>
      <c r="E2622" s="33">
        <v>0.154</v>
      </c>
      <c r="F2622" s="27">
        <v>9.6234999999999999</v>
      </c>
      <c r="G2622" s="30">
        <f t="shared" si="45"/>
        <v>1.482019</v>
      </c>
      <c r="H2622" s="35">
        <f>SUM(G2622:G2622)</f>
        <v>1.482019</v>
      </c>
      <c r="I2622" s="36"/>
      <c r="J2622" s="141">
        <v>0</v>
      </c>
    </row>
    <row r="2623" spans="1:10" ht="15.75" hidden="1" thickBot="1" x14ac:dyDescent="0.3">
      <c r="A2623" s="227"/>
      <c r="B2623" s="230"/>
      <c r="C2623" s="32"/>
      <c r="D2623" s="32"/>
      <c r="E2623" s="33"/>
      <c r="F2623" s="27" t="s">
        <v>523</v>
      </c>
      <c r="G2623" s="30" t="str">
        <f t="shared" si="45"/>
        <v/>
      </c>
      <c r="H2623" s="31"/>
      <c r="I2623" s="27"/>
      <c r="J2623" s="141">
        <v>0</v>
      </c>
    </row>
    <row r="2624" spans="1:10" ht="15.75" hidden="1" thickBot="1" x14ac:dyDescent="0.3">
      <c r="A2624" s="225" t="s">
        <v>768</v>
      </c>
      <c r="B2624" s="228" t="str">
        <f>INDEX(Orçamentária!A:B,MATCH(Composições!A2624,Orçamentária!A:A,0),2)</f>
        <v>Vergalhão Ca-50 Diâmetro 6,3 Mm</v>
      </c>
      <c r="C2624" s="37"/>
      <c r="D2624" s="22" t="str">
        <f>TRIM(INDEX(Orçamentária!C:C,MATCH(Composições!A2624,Orçamentária!A:A,0),1))</f>
        <v>m</v>
      </c>
      <c r="E2624" s="23"/>
      <c r="F2624" s="38" t="s">
        <v>523</v>
      </c>
      <c r="G2624" s="24" t="str">
        <f t="shared" si="45"/>
        <v/>
      </c>
      <c r="H2624" s="25"/>
      <c r="I2624" s="26"/>
      <c r="J2624" s="141">
        <v>0</v>
      </c>
    </row>
    <row r="2625" spans="1:10" ht="15.75" hidden="1" thickBot="1" x14ac:dyDescent="0.3">
      <c r="A2625" s="226"/>
      <c r="B2625" s="244"/>
      <c r="C2625" s="28"/>
      <c r="D2625" s="28"/>
      <c r="E2625" s="29"/>
      <c r="F2625" s="39" t="s">
        <v>523</v>
      </c>
      <c r="G2625" s="30" t="str">
        <f t="shared" si="45"/>
        <v/>
      </c>
      <c r="H2625" s="31"/>
      <c r="I2625" s="27"/>
      <c r="J2625" s="141">
        <v>0</v>
      </c>
    </row>
    <row r="2626" spans="1:10" ht="15.75" hidden="1" thickBot="1" x14ac:dyDescent="0.3">
      <c r="A2626" s="226"/>
      <c r="B2626" s="244"/>
      <c r="C2626" s="32" t="s">
        <v>769</v>
      </c>
      <c r="D2626" s="32" t="s">
        <v>42</v>
      </c>
      <c r="E2626" s="33">
        <v>0.245</v>
      </c>
      <c r="F2626" s="27">
        <v>10.725499999999998</v>
      </c>
      <c r="G2626" s="30">
        <f t="shared" si="45"/>
        <v>2.6277474999999995</v>
      </c>
      <c r="H2626" s="35">
        <f>SUM(G2626:G2626)</f>
        <v>2.6277474999999995</v>
      </c>
      <c r="I2626" s="36"/>
      <c r="J2626" s="141">
        <v>0</v>
      </c>
    </row>
    <row r="2627" spans="1:10" ht="15.75" hidden="1" thickBot="1" x14ac:dyDescent="0.3">
      <c r="A2627" s="227"/>
      <c r="B2627" s="230"/>
      <c r="C2627" s="32"/>
      <c r="D2627" s="32"/>
      <c r="E2627" s="33"/>
      <c r="F2627" s="27" t="s">
        <v>523</v>
      </c>
      <c r="G2627" s="30" t="str">
        <f t="shared" si="45"/>
        <v/>
      </c>
      <c r="H2627" s="31"/>
      <c r="I2627" s="27"/>
      <c r="J2627" s="141">
        <v>0</v>
      </c>
    </row>
    <row r="2628" spans="1:10" ht="15.75" hidden="1" thickBot="1" x14ac:dyDescent="0.3">
      <c r="A2628" s="225" t="s">
        <v>770</v>
      </c>
      <c r="B2628" s="228" t="str">
        <f>INDEX(Orçamentária!A:B,MATCH(Composições!A2628,Orçamentária!A:A,0),2)</f>
        <v>Vergalhão Ca-50 Diâmetro 8,0 Mm</v>
      </c>
      <c r="C2628" s="37"/>
      <c r="D2628" s="22" t="str">
        <f>TRIM(INDEX(Orçamentária!C:C,MATCH(Composições!A2628,Orçamentária!A:A,0),1))</f>
        <v>m</v>
      </c>
      <c r="E2628" s="23"/>
      <c r="F2628" s="38" t="s">
        <v>523</v>
      </c>
      <c r="G2628" s="24" t="str">
        <f t="shared" si="45"/>
        <v/>
      </c>
      <c r="H2628" s="25"/>
      <c r="I2628" s="26"/>
      <c r="J2628" s="141">
        <v>0</v>
      </c>
    </row>
    <row r="2629" spans="1:10" ht="15.75" hidden="1" thickBot="1" x14ac:dyDescent="0.3">
      <c r="A2629" s="226"/>
      <c r="B2629" s="244"/>
      <c r="C2629" s="28"/>
      <c r="D2629" s="28"/>
      <c r="E2629" s="29"/>
      <c r="F2629" s="39" t="s">
        <v>523</v>
      </c>
      <c r="G2629" s="30" t="str">
        <f t="shared" si="45"/>
        <v/>
      </c>
      <c r="H2629" s="31"/>
      <c r="I2629" s="27"/>
      <c r="J2629" s="141">
        <v>0</v>
      </c>
    </row>
    <row r="2630" spans="1:10" ht="15.75" hidden="1" thickBot="1" x14ac:dyDescent="0.3">
      <c r="A2630" s="226"/>
      <c r="B2630" s="244"/>
      <c r="C2630" s="32" t="s">
        <v>771</v>
      </c>
      <c r="D2630" s="32" t="s">
        <v>42</v>
      </c>
      <c r="E2630" s="33">
        <v>0.39500000000000002</v>
      </c>
      <c r="F2630" s="27">
        <v>10.782499999999999</v>
      </c>
      <c r="G2630" s="30">
        <f t="shared" ref="G2630:G2693" si="46">IF(ISNUMBER(F2630),E2630*F2630,"")</f>
        <v>4.2590874999999997</v>
      </c>
      <c r="H2630" s="35">
        <f>SUM(G2630:G2630)</f>
        <v>4.2590874999999997</v>
      </c>
      <c r="I2630" s="36"/>
      <c r="J2630" s="141">
        <v>0</v>
      </c>
    </row>
    <row r="2631" spans="1:10" ht="15.75" hidden="1" thickBot="1" x14ac:dyDescent="0.3">
      <c r="A2631" s="227"/>
      <c r="B2631" s="230"/>
      <c r="C2631" s="32"/>
      <c r="D2631" s="32"/>
      <c r="E2631" s="33"/>
      <c r="F2631" s="27" t="s">
        <v>523</v>
      </c>
      <c r="G2631" s="30" t="str">
        <f t="shared" si="46"/>
        <v/>
      </c>
      <c r="H2631" s="31"/>
      <c r="I2631" s="27"/>
      <c r="J2631" s="141">
        <v>0</v>
      </c>
    </row>
    <row r="2632" spans="1:10" ht="15.75" hidden="1" thickBot="1" x14ac:dyDescent="0.3">
      <c r="A2632" s="225" t="s">
        <v>772</v>
      </c>
      <c r="B2632" s="228" t="str">
        <f>INDEX(Orçamentária!A:B,MATCH(Composições!A2632,Orçamentária!A:A,0),2)</f>
        <v>Vergalhão Ca-50 Diâmetro 10,0 Mm</v>
      </c>
      <c r="C2632" s="37"/>
      <c r="D2632" s="22" t="str">
        <f>TRIM(INDEX(Orçamentária!C:C,MATCH(Composições!A2632,Orçamentária!A:A,0),1))</f>
        <v>m</v>
      </c>
      <c r="E2632" s="23"/>
      <c r="F2632" s="38" t="s">
        <v>523</v>
      </c>
      <c r="G2632" s="24" t="str">
        <f t="shared" si="46"/>
        <v/>
      </c>
      <c r="H2632" s="25"/>
      <c r="I2632" s="26"/>
      <c r="J2632" s="141">
        <v>0</v>
      </c>
    </row>
    <row r="2633" spans="1:10" ht="15.75" hidden="1" thickBot="1" x14ac:dyDescent="0.3">
      <c r="A2633" s="226"/>
      <c r="B2633" s="244"/>
      <c r="C2633" s="28"/>
      <c r="D2633" s="28"/>
      <c r="E2633" s="29"/>
      <c r="F2633" s="39" t="s">
        <v>523</v>
      </c>
      <c r="G2633" s="30" t="str">
        <f t="shared" si="46"/>
        <v/>
      </c>
      <c r="H2633" s="31"/>
      <c r="I2633" s="27"/>
      <c r="J2633" s="141">
        <v>0</v>
      </c>
    </row>
    <row r="2634" spans="1:10" ht="15.75" hidden="1" thickBot="1" x14ac:dyDescent="0.3">
      <c r="A2634" s="226"/>
      <c r="B2634" s="244"/>
      <c r="C2634" s="32" t="s">
        <v>773</v>
      </c>
      <c r="D2634" s="32" t="s">
        <v>42</v>
      </c>
      <c r="E2634" s="33">
        <v>0.61699999999999999</v>
      </c>
      <c r="F2634" s="27">
        <v>10.164999999999999</v>
      </c>
      <c r="G2634" s="30">
        <f t="shared" si="46"/>
        <v>6.2718049999999996</v>
      </c>
      <c r="H2634" s="35">
        <f>SUM(G2634:G2634)</f>
        <v>6.2718049999999996</v>
      </c>
      <c r="I2634" s="36"/>
      <c r="J2634" s="141">
        <v>0</v>
      </c>
    </row>
    <row r="2635" spans="1:10" ht="15.75" hidden="1" thickBot="1" x14ac:dyDescent="0.3">
      <c r="A2635" s="227"/>
      <c r="B2635" s="230"/>
      <c r="C2635" s="32"/>
      <c r="D2635" s="32"/>
      <c r="E2635" s="33"/>
      <c r="F2635" s="27" t="s">
        <v>523</v>
      </c>
      <c r="G2635" s="30" t="str">
        <f t="shared" si="46"/>
        <v/>
      </c>
      <c r="H2635" s="31"/>
      <c r="I2635" s="27"/>
      <c r="J2635" s="141">
        <v>0</v>
      </c>
    </row>
    <row r="2636" spans="1:10" ht="15.75" hidden="1" thickBot="1" x14ac:dyDescent="0.3">
      <c r="A2636" s="225" t="s">
        <v>774</v>
      </c>
      <c r="B2636" s="228" t="str">
        <f>INDEX(Orçamentária!A:B,MATCH(Composições!A2636,Orçamentária!A:A,0),2)</f>
        <v>Vergalhão Ca-50 Diâmetro 12,5 Mm</v>
      </c>
      <c r="C2636" s="37"/>
      <c r="D2636" s="22" t="str">
        <f>TRIM(INDEX(Orçamentária!C:C,MATCH(Composições!A2636,Orçamentária!A:A,0),1))</f>
        <v>m</v>
      </c>
      <c r="E2636" s="23"/>
      <c r="F2636" s="38" t="s">
        <v>523</v>
      </c>
      <c r="G2636" s="24" t="str">
        <f t="shared" si="46"/>
        <v/>
      </c>
      <c r="H2636" s="25"/>
      <c r="I2636" s="26"/>
      <c r="J2636" s="141">
        <v>0</v>
      </c>
    </row>
    <row r="2637" spans="1:10" ht="15.75" hidden="1" thickBot="1" x14ac:dyDescent="0.3">
      <c r="A2637" s="226"/>
      <c r="B2637" s="244"/>
      <c r="C2637" s="28"/>
      <c r="D2637" s="28"/>
      <c r="E2637" s="29"/>
      <c r="F2637" s="39" t="s">
        <v>523</v>
      </c>
      <c r="G2637" s="30" t="str">
        <f t="shared" si="46"/>
        <v/>
      </c>
      <c r="H2637" s="31"/>
      <c r="I2637" s="27"/>
      <c r="J2637" s="141">
        <v>0</v>
      </c>
    </row>
    <row r="2638" spans="1:10" ht="15.75" hidden="1" thickBot="1" x14ac:dyDescent="0.3">
      <c r="A2638" s="226"/>
      <c r="B2638" s="244"/>
      <c r="C2638" s="32" t="s">
        <v>775</v>
      </c>
      <c r="D2638" s="32" t="s">
        <v>42</v>
      </c>
      <c r="E2638" s="33">
        <v>0.96299999999999997</v>
      </c>
      <c r="F2638" s="27">
        <v>8.8064999999999998</v>
      </c>
      <c r="G2638" s="30">
        <f t="shared" si="46"/>
        <v>8.4806594999999998</v>
      </c>
      <c r="H2638" s="35">
        <f>SUM(G2638:G2638)</f>
        <v>8.4806594999999998</v>
      </c>
      <c r="I2638" s="36"/>
      <c r="J2638" s="141">
        <v>0</v>
      </c>
    </row>
    <row r="2639" spans="1:10" ht="15.75" hidden="1" thickBot="1" x14ac:dyDescent="0.3">
      <c r="A2639" s="227"/>
      <c r="B2639" s="230"/>
      <c r="C2639" s="32"/>
      <c r="D2639" s="32"/>
      <c r="E2639" s="33"/>
      <c r="F2639" s="27" t="s">
        <v>523</v>
      </c>
      <c r="G2639" s="30" t="str">
        <f t="shared" si="46"/>
        <v/>
      </c>
      <c r="H2639" s="31"/>
      <c r="I2639" s="27"/>
      <c r="J2639" s="141">
        <v>0</v>
      </c>
    </row>
    <row r="2640" spans="1:10" ht="15.75" hidden="1" thickBot="1" x14ac:dyDescent="0.3">
      <c r="A2640" s="225" t="s">
        <v>776</v>
      </c>
      <c r="B2640" s="228" t="str">
        <f>INDEX(Orçamentária!A:B,MATCH(Composições!A2640,Orçamentária!A:A,0),2)</f>
        <v>Arame Recozido Nº 18</v>
      </c>
      <c r="C2640" s="37"/>
      <c r="D2640" s="22" t="str">
        <f>TRIM(INDEX(Orçamentária!C:C,MATCH(Composições!A2640,Orçamentária!A:A,0),1))</f>
        <v>kg</v>
      </c>
      <c r="E2640" s="23"/>
      <c r="F2640" s="38" t="s">
        <v>523</v>
      </c>
      <c r="G2640" s="24" t="str">
        <f t="shared" si="46"/>
        <v/>
      </c>
      <c r="H2640" s="25"/>
      <c r="I2640" s="26"/>
      <c r="J2640" s="141">
        <v>0</v>
      </c>
    </row>
    <row r="2641" spans="1:10" ht="15.75" hidden="1" thickBot="1" x14ac:dyDescent="0.3">
      <c r="A2641" s="226"/>
      <c r="B2641" s="244"/>
      <c r="C2641" s="28"/>
      <c r="D2641" s="28"/>
      <c r="E2641" s="29"/>
      <c r="F2641" s="39" t="s">
        <v>523</v>
      </c>
      <c r="G2641" s="30" t="str">
        <f t="shared" si="46"/>
        <v/>
      </c>
      <c r="H2641" s="31"/>
      <c r="I2641" s="27"/>
      <c r="J2641" s="141">
        <v>0</v>
      </c>
    </row>
    <row r="2642" spans="1:10" ht="26.25" hidden="1" thickBot="1" x14ac:dyDescent="0.3">
      <c r="A2642" s="226"/>
      <c r="B2642" s="244"/>
      <c r="C2642" s="32" t="s">
        <v>3513</v>
      </c>
      <c r="D2642" s="32" t="s">
        <v>42</v>
      </c>
      <c r="E2642" s="33">
        <v>1</v>
      </c>
      <c r="F2642" s="27">
        <v>22.61</v>
      </c>
      <c r="G2642" s="30">
        <f t="shared" si="46"/>
        <v>22.61</v>
      </c>
      <c r="H2642" s="35">
        <f>SUM(G2642:G2642)</f>
        <v>22.61</v>
      </c>
      <c r="I2642" s="36"/>
      <c r="J2642" s="141">
        <v>0</v>
      </c>
    </row>
    <row r="2643" spans="1:10" ht="15.75" hidden="1" thickBot="1" x14ac:dyDescent="0.3">
      <c r="A2643" s="227"/>
      <c r="B2643" s="230"/>
      <c r="C2643" s="32"/>
      <c r="D2643" s="32"/>
      <c r="E2643" s="33"/>
      <c r="F2643" s="27" t="s">
        <v>523</v>
      </c>
      <c r="G2643" s="30" t="str">
        <f t="shared" si="46"/>
        <v/>
      </c>
      <c r="H2643" s="31"/>
      <c r="I2643" s="27"/>
      <c r="J2643" s="141">
        <v>0</v>
      </c>
    </row>
    <row r="2644" spans="1:10" ht="15.75" hidden="1" thickBot="1" x14ac:dyDescent="0.3">
      <c r="A2644" s="225" t="s">
        <v>777</v>
      </c>
      <c r="B2644" s="228" t="str">
        <f>INDEX(Orçamentária!A:B,MATCH(Composições!A2644,Orçamentária!A:A,0),2)</f>
        <v>Adesivo Estrutural Epóxi Bicomponente</v>
      </c>
      <c r="C2644" s="37"/>
      <c r="D2644" s="22" t="str">
        <f>TRIM(INDEX(Orçamentária!C:C,MATCH(Composições!A2644,Orçamentária!A:A,0),1))</f>
        <v>kg</v>
      </c>
      <c r="E2644" s="23"/>
      <c r="F2644" s="38" t="s">
        <v>523</v>
      </c>
      <c r="G2644" s="24" t="str">
        <f t="shared" si="46"/>
        <v/>
      </c>
      <c r="H2644" s="25"/>
      <c r="I2644" s="26"/>
      <c r="J2644" s="141">
        <v>0</v>
      </c>
    </row>
    <row r="2645" spans="1:10" ht="15.75" hidden="1" thickBot="1" x14ac:dyDescent="0.3">
      <c r="A2645" s="226"/>
      <c r="B2645" s="244"/>
      <c r="C2645" s="28"/>
      <c r="D2645" s="28"/>
      <c r="E2645" s="29"/>
      <c r="F2645" s="39" t="s">
        <v>523</v>
      </c>
      <c r="G2645" s="30" t="str">
        <f t="shared" si="46"/>
        <v/>
      </c>
      <c r="H2645" s="31"/>
      <c r="I2645" s="27"/>
      <c r="J2645" s="141">
        <v>0</v>
      </c>
    </row>
    <row r="2646" spans="1:10" ht="26.25" hidden="1" thickBot="1" x14ac:dyDescent="0.3">
      <c r="A2646" s="226"/>
      <c r="B2646" s="244"/>
      <c r="C2646" s="32" t="s">
        <v>3252</v>
      </c>
      <c r="D2646" s="32" t="s">
        <v>42</v>
      </c>
      <c r="E2646" s="33">
        <v>1</v>
      </c>
      <c r="F2646" s="27">
        <v>55.413499999999999</v>
      </c>
      <c r="G2646" s="30">
        <f t="shared" si="46"/>
        <v>55.413499999999999</v>
      </c>
      <c r="H2646" s="35">
        <f>SUM(G2646:G2646)</f>
        <v>55.413499999999999</v>
      </c>
      <c r="I2646" s="36"/>
      <c r="J2646" s="141">
        <v>0</v>
      </c>
    </row>
    <row r="2647" spans="1:10" ht="15.75" hidden="1" thickBot="1" x14ac:dyDescent="0.3">
      <c r="A2647" s="227"/>
      <c r="B2647" s="230"/>
      <c r="C2647" s="32"/>
      <c r="D2647" s="32"/>
      <c r="E2647" s="33"/>
      <c r="F2647" s="27" t="s">
        <v>523</v>
      </c>
      <c r="G2647" s="30" t="str">
        <f t="shared" si="46"/>
        <v/>
      </c>
      <c r="H2647" s="31"/>
      <c r="I2647" s="27"/>
      <c r="J2647" s="141">
        <v>0</v>
      </c>
    </row>
    <row r="2648" spans="1:10" ht="15.75" hidden="1" thickBot="1" x14ac:dyDescent="0.3">
      <c r="A2648" s="225" t="s">
        <v>2214</v>
      </c>
      <c r="B2648" s="228" t="str">
        <f>INDEX(Orçamentária!A:B,MATCH(Composições!A2648,Orçamentária!A:A,0),2)</f>
        <v>Selante de Silicone</v>
      </c>
      <c r="C2648" s="37"/>
      <c r="D2648" s="22" t="str">
        <f>TRIM(INDEX(Orçamentária!C:C,MATCH(Composições!A2648,Orçamentária!A:A,0),1))</f>
        <v>un</v>
      </c>
      <c r="E2648" s="23"/>
      <c r="F2648" s="38" t="s">
        <v>523</v>
      </c>
      <c r="G2648" s="24" t="str">
        <f t="shared" si="46"/>
        <v/>
      </c>
      <c r="H2648" s="25"/>
      <c r="I2648" s="26"/>
      <c r="J2648" s="141">
        <v>0</v>
      </c>
    </row>
    <row r="2649" spans="1:10" ht="15.75" hidden="1" thickBot="1" x14ac:dyDescent="0.3">
      <c r="A2649" s="226"/>
      <c r="B2649" s="244"/>
      <c r="C2649" s="28"/>
      <c r="D2649" s="28"/>
      <c r="E2649" s="29"/>
      <c r="F2649" s="39" t="s">
        <v>523</v>
      </c>
      <c r="G2649" s="30" t="str">
        <f t="shared" si="46"/>
        <v/>
      </c>
      <c r="H2649" s="31"/>
      <c r="I2649" s="27"/>
      <c r="J2649" s="141">
        <v>0</v>
      </c>
    </row>
    <row r="2650" spans="1:10" ht="15.75" hidden="1" thickBot="1" x14ac:dyDescent="0.3">
      <c r="A2650" s="226"/>
      <c r="B2650" s="244"/>
      <c r="C2650" s="32" t="s">
        <v>1130</v>
      </c>
      <c r="D2650" s="43" t="s">
        <v>20</v>
      </c>
      <c r="E2650" s="33">
        <v>1</v>
      </c>
      <c r="F2650" s="27">
        <v>23.693000000000001</v>
      </c>
      <c r="G2650" s="30">
        <f t="shared" si="46"/>
        <v>23.693000000000001</v>
      </c>
      <c r="H2650" s="35">
        <f>SUM(G2650:G2650)</f>
        <v>23.693000000000001</v>
      </c>
      <c r="I2650" s="36"/>
      <c r="J2650" s="141">
        <v>0</v>
      </c>
    </row>
    <row r="2651" spans="1:10" ht="15.75" hidden="1" thickBot="1" x14ac:dyDescent="0.3">
      <c r="A2651" s="227"/>
      <c r="B2651" s="230"/>
      <c r="C2651" s="32"/>
      <c r="D2651" s="32"/>
      <c r="E2651" s="33"/>
      <c r="F2651" s="27" t="s">
        <v>523</v>
      </c>
      <c r="G2651" s="30" t="str">
        <f t="shared" si="46"/>
        <v/>
      </c>
      <c r="H2651" s="31"/>
      <c r="I2651" s="27"/>
      <c r="J2651" s="141">
        <v>0</v>
      </c>
    </row>
    <row r="2652" spans="1:10" ht="15.75" hidden="1" thickBot="1" x14ac:dyDescent="0.3">
      <c r="A2652" s="225" t="s">
        <v>779</v>
      </c>
      <c r="B2652" s="228" t="str">
        <f>INDEX(Orçamentária!A:B,MATCH(Composições!A2652,Orçamentária!A:A,0),2)</f>
        <v>Aditivo Impermeabilizante</v>
      </c>
      <c r="C2652" s="37"/>
      <c r="D2652" s="22" t="str">
        <f>TRIM(INDEX(Orçamentária!C:C,MATCH(Composições!A2652,Orçamentária!A:A,0),1))</f>
        <v>L</v>
      </c>
      <c r="E2652" s="23"/>
      <c r="F2652" s="38" t="s">
        <v>523</v>
      </c>
      <c r="G2652" s="24" t="str">
        <f t="shared" si="46"/>
        <v/>
      </c>
      <c r="H2652" s="25"/>
      <c r="I2652" s="26"/>
      <c r="J2652" s="141">
        <v>0</v>
      </c>
    </row>
    <row r="2653" spans="1:10" ht="15.75" hidden="1" thickBot="1" x14ac:dyDescent="0.3">
      <c r="A2653" s="226"/>
      <c r="B2653" s="244"/>
      <c r="C2653" s="28"/>
      <c r="D2653" s="28"/>
      <c r="E2653" s="29"/>
      <c r="F2653" s="39" t="s">
        <v>523</v>
      </c>
      <c r="G2653" s="30" t="str">
        <f t="shared" si="46"/>
        <v/>
      </c>
      <c r="H2653" s="31"/>
      <c r="I2653" s="27"/>
      <c r="J2653" s="141">
        <v>0</v>
      </c>
    </row>
    <row r="2654" spans="1:10" ht="39" hidden="1" thickBot="1" x14ac:dyDescent="0.3">
      <c r="A2654" s="226"/>
      <c r="B2654" s="244"/>
      <c r="C2654" s="32" t="s">
        <v>780</v>
      </c>
      <c r="D2654" s="43" t="s">
        <v>102</v>
      </c>
      <c r="E2654" s="33">
        <v>1</v>
      </c>
      <c r="F2654" s="27">
        <v>7.4764999999999997</v>
      </c>
      <c r="G2654" s="30">
        <f t="shared" si="46"/>
        <v>7.4764999999999997</v>
      </c>
      <c r="H2654" s="35">
        <f>SUM(G2654:G2654)</f>
        <v>7.4764999999999997</v>
      </c>
      <c r="I2654" s="36"/>
      <c r="J2654" s="141">
        <v>0</v>
      </c>
    </row>
    <row r="2655" spans="1:10" ht="15.75" hidden="1" thickBot="1" x14ac:dyDescent="0.3">
      <c r="A2655" s="227"/>
      <c r="B2655" s="230"/>
      <c r="C2655" s="32"/>
      <c r="D2655" s="32"/>
      <c r="E2655" s="33"/>
      <c r="F2655" s="27" t="s">
        <v>523</v>
      </c>
      <c r="G2655" s="30" t="str">
        <f t="shared" si="46"/>
        <v/>
      </c>
      <c r="H2655" s="31"/>
      <c r="I2655" s="27"/>
      <c r="J2655" s="141">
        <v>0</v>
      </c>
    </row>
    <row r="2656" spans="1:10" ht="15.75" hidden="1" thickBot="1" x14ac:dyDescent="0.3">
      <c r="A2656" s="225" t="s">
        <v>2231</v>
      </c>
      <c r="B2656" s="228" t="str">
        <f>INDEX(Orçamentária!A:B,MATCH(Composições!A2656,Orçamentária!A:A,0),2)</f>
        <v>Lona Plástica</v>
      </c>
      <c r="C2656" s="37"/>
      <c r="D2656" s="22" t="str">
        <f>TRIM(INDEX(Orçamentária!C:C,MATCH(Composições!A2656,Orçamentária!A:A,0),1))</f>
        <v>m2</v>
      </c>
      <c r="E2656" s="23"/>
      <c r="F2656" s="38" t="s">
        <v>523</v>
      </c>
      <c r="G2656" s="24" t="str">
        <f t="shared" si="46"/>
        <v/>
      </c>
      <c r="H2656" s="25"/>
      <c r="I2656" s="26"/>
      <c r="J2656" s="141">
        <v>0</v>
      </c>
    </row>
    <row r="2657" spans="1:10" ht="15.75" hidden="1" thickBot="1" x14ac:dyDescent="0.3">
      <c r="A2657" s="226"/>
      <c r="B2657" s="244"/>
      <c r="C2657" s="28"/>
      <c r="D2657" s="28"/>
      <c r="E2657" s="29"/>
      <c r="F2657" s="39" t="s">
        <v>523</v>
      </c>
      <c r="G2657" s="30" t="str">
        <f t="shared" si="46"/>
        <v/>
      </c>
      <c r="H2657" s="31"/>
      <c r="I2657" s="27"/>
      <c r="J2657" s="141">
        <v>0</v>
      </c>
    </row>
    <row r="2658" spans="1:10" ht="15.75" hidden="1" thickBot="1" x14ac:dyDescent="0.3">
      <c r="A2658" s="226"/>
      <c r="B2658" s="244"/>
      <c r="C2658" s="32" t="s">
        <v>3704</v>
      </c>
      <c r="D2658" s="43" t="s">
        <v>95</v>
      </c>
      <c r="E2658" s="33">
        <v>1</v>
      </c>
      <c r="F2658" s="27">
        <v>2.1849999999999996</v>
      </c>
      <c r="G2658" s="30">
        <f t="shared" si="46"/>
        <v>2.1849999999999996</v>
      </c>
      <c r="H2658" s="35">
        <f>SUM(G2658:G2658)</f>
        <v>2.1849999999999996</v>
      </c>
      <c r="I2658" s="36"/>
      <c r="J2658" s="141">
        <v>0</v>
      </c>
    </row>
    <row r="2659" spans="1:10" ht="15.75" hidden="1" thickBot="1" x14ac:dyDescent="0.3">
      <c r="A2659" s="227"/>
      <c r="B2659" s="230"/>
      <c r="C2659" s="32"/>
      <c r="D2659" s="32"/>
      <c r="E2659" s="33"/>
      <c r="F2659" s="27" t="s">
        <v>523</v>
      </c>
      <c r="G2659" s="30" t="str">
        <f t="shared" si="46"/>
        <v/>
      </c>
      <c r="H2659" s="31"/>
      <c r="I2659" s="27"/>
      <c r="J2659" s="141">
        <v>0</v>
      </c>
    </row>
    <row r="2660" spans="1:10" ht="15.75" hidden="1" thickBot="1" x14ac:dyDescent="0.3">
      <c r="A2660" s="225" t="s">
        <v>781</v>
      </c>
      <c r="B2660" s="228" t="str">
        <f>INDEX(Orçamentária!A:B,MATCH(Composições!A2660,Orçamentária!A:A,0),2)</f>
        <v>Supervisor(a)-Geral</v>
      </c>
      <c r="C2660" s="37"/>
      <c r="D2660" s="22" t="str">
        <f>TRIM(INDEX(Orçamentária!C:C,MATCH(Composições!A2660,Orçamentária!A:A,0),1))</f>
        <v>Profissional</v>
      </c>
      <c r="E2660" s="23"/>
      <c r="F2660" s="38" t="s">
        <v>523</v>
      </c>
      <c r="G2660" s="24" t="str">
        <f t="shared" si="46"/>
        <v/>
      </c>
      <c r="H2660" s="25"/>
      <c r="I2660" s="26"/>
      <c r="J2660" s="141">
        <v>0</v>
      </c>
    </row>
    <row r="2661" spans="1:10" ht="15.75" hidden="1" thickBot="1" x14ac:dyDescent="0.3">
      <c r="A2661" s="226"/>
      <c r="B2661" s="244"/>
      <c r="C2661" s="28"/>
      <c r="D2661" s="28"/>
      <c r="E2661" s="29"/>
      <c r="F2661" s="39" t="s">
        <v>523</v>
      </c>
      <c r="G2661" s="30" t="str">
        <f t="shared" si="46"/>
        <v/>
      </c>
      <c r="H2661" s="31"/>
      <c r="I2661" s="27"/>
      <c r="J2661" s="141">
        <v>0</v>
      </c>
    </row>
    <row r="2662" spans="1:10" ht="26.25" hidden="1" thickBot="1" x14ac:dyDescent="0.3">
      <c r="A2662" s="226"/>
      <c r="B2662" s="244"/>
      <c r="C2662" s="32" t="s">
        <v>782</v>
      </c>
      <c r="D2662" s="43" t="s">
        <v>12</v>
      </c>
      <c r="E2662" s="149">
        <f>ROUND(220/(1+110.14%),4)</f>
        <v>104.6921</v>
      </c>
      <c r="F2662" s="27">
        <v>99.17049999999999</v>
      </c>
      <c r="G2662" s="30">
        <f t="shared" si="46"/>
        <v>10382.367903049999</v>
      </c>
      <c r="H2662" s="35">
        <f>SUM(G2662:G2662)</f>
        <v>10382.367903049999</v>
      </c>
      <c r="I2662" s="36"/>
      <c r="J2662" s="141">
        <v>0</v>
      </c>
    </row>
    <row r="2663" spans="1:10" ht="15.75" hidden="1" thickBot="1" x14ac:dyDescent="0.3">
      <c r="A2663" s="226"/>
      <c r="B2663" s="244"/>
      <c r="C2663" s="32"/>
      <c r="D2663" s="43"/>
      <c r="E2663" s="33"/>
      <c r="F2663" s="27" t="s">
        <v>523</v>
      </c>
      <c r="G2663" s="30" t="str">
        <f t="shared" si="46"/>
        <v/>
      </c>
      <c r="H2663" s="35"/>
      <c r="I2663" s="36"/>
      <c r="J2663" s="141">
        <v>0</v>
      </c>
    </row>
    <row r="2664" spans="1:10" ht="26.25" hidden="1" thickBot="1" x14ac:dyDescent="0.3">
      <c r="A2664" s="226"/>
      <c r="B2664" s="244"/>
      <c r="C2664" s="44" t="s">
        <v>783</v>
      </c>
      <c r="D2664" s="43"/>
      <c r="E2664" s="33"/>
      <c r="F2664" s="27" t="s">
        <v>523</v>
      </c>
      <c r="G2664" s="30" t="str">
        <f t="shared" si="46"/>
        <v/>
      </c>
      <c r="H2664" s="35"/>
      <c r="I2664" s="36"/>
      <c r="J2664" s="141">
        <v>0</v>
      </c>
    </row>
    <row r="2665" spans="1:10" ht="15.75" hidden="1" thickBot="1" x14ac:dyDescent="0.3">
      <c r="A2665" s="227"/>
      <c r="B2665" s="230"/>
      <c r="C2665" s="32"/>
      <c r="D2665" s="32"/>
      <c r="E2665" s="33"/>
      <c r="F2665" s="27" t="s">
        <v>523</v>
      </c>
      <c r="G2665" s="30" t="str">
        <f t="shared" si="46"/>
        <v/>
      </c>
      <c r="H2665" s="31"/>
      <c r="I2665" s="27"/>
      <c r="J2665" s="141">
        <v>0</v>
      </c>
    </row>
    <row r="2666" spans="1:10" ht="15.75" hidden="1" thickBot="1" x14ac:dyDescent="0.3">
      <c r="A2666" s="225" t="s">
        <v>784</v>
      </c>
      <c r="B2666" s="228" t="str">
        <f>INDEX(Orçamentária!A:B,MATCH(Composições!A2666,Orçamentária!A:A,0),2)</f>
        <v>Apoio Técnico Administrativo – Controle de Almoxarifado</v>
      </c>
      <c r="C2666" s="37"/>
      <c r="D2666" s="22" t="str">
        <f>TRIM(INDEX(Orçamentária!C:C,MATCH(Composições!A2666,Orçamentária!A:A,0),1))</f>
        <v>Profissional</v>
      </c>
      <c r="E2666" s="23"/>
      <c r="F2666" s="38" t="s">
        <v>523</v>
      </c>
      <c r="G2666" s="24" t="str">
        <f t="shared" si="46"/>
        <v/>
      </c>
      <c r="H2666" s="25"/>
      <c r="I2666" s="26"/>
      <c r="J2666" s="141">
        <v>0</v>
      </c>
    </row>
    <row r="2667" spans="1:10" ht="15.75" hidden="1" thickBot="1" x14ac:dyDescent="0.3">
      <c r="A2667" s="231"/>
      <c r="B2667" s="244"/>
      <c r="C2667" s="28"/>
      <c r="D2667" s="28"/>
      <c r="E2667" s="29"/>
      <c r="F2667" s="39" t="s">
        <v>523</v>
      </c>
      <c r="G2667" s="30" t="str">
        <f t="shared" si="46"/>
        <v/>
      </c>
      <c r="H2667" s="31"/>
      <c r="I2667" s="27"/>
      <c r="J2667" s="141">
        <v>0</v>
      </c>
    </row>
    <row r="2668" spans="1:10" ht="15.75" hidden="1" thickBot="1" x14ac:dyDescent="0.3">
      <c r="A2668" s="231"/>
      <c r="B2668" s="244"/>
      <c r="C2668" s="32" t="s">
        <v>785</v>
      </c>
      <c r="D2668" s="43" t="s">
        <v>12</v>
      </c>
      <c r="E2668" s="149">
        <f>ROUND(220/(1+110.14%),4)</f>
        <v>104.6921</v>
      </c>
      <c r="F2668" s="27">
        <v>26.932500000000001</v>
      </c>
      <c r="G2668" s="30">
        <f t="shared" si="46"/>
        <v>2819.6199832500001</v>
      </c>
      <c r="H2668" s="35">
        <f>SUM(G2668:G2668)</f>
        <v>2819.6199832500001</v>
      </c>
      <c r="I2668" s="36"/>
      <c r="J2668" s="141">
        <v>0</v>
      </c>
    </row>
    <row r="2669" spans="1:10" ht="15.75" hidden="1" thickBot="1" x14ac:dyDescent="0.3">
      <c r="A2669" s="231"/>
      <c r="B2669" s="244"/>
      <c r="C2669" s="32"/>
      <c r="D2669" s="43"/>
      <c r="E2669" s="33"/>
      <c r="F2669" s="27" t="s">
        <v>523</v>
      </c>
      <c r="G2669" s="30" t="str">
        <f t="shared" si="46"/>
        <v/>
      </c>
      <c r="H2669" s="35"/>
      <c r="I2669" s="36"/>
      <c r="J2669" s="141">
        <v>0</v>
      </c>
    </row>
    <row r="2670" spans="1:10" ht="26.25" hidden="1" thickBot="1" x14ac:dyDescent="0.3">
      <c r="A2670" s="231"/>
      <c r="B2670" s="244"/>
      <c r="C2670" s="44" t="s">
        <v>783</v>
      </c>
      <c r="D2670" s="43"/>
      <c r="E2670" s="33"/>
      <c r="F2670" s="27" t="s">
        <v>523</v>
      </c>
      <c r="G2670" s="30" t="str">
        <f t="shared" si="46"/>
        <v/>
      </c>
      <c r="H2670" s="35"/>
      <c r="I2670" s="36"/>
      <c r="J2670" s="141">
        <v>0</v>
      </c>
    </row>
    <row r="2671" spans="1:10" ht="15.75" hidden="1" thickBot="1" x14ac:dyDescent="0.3">
      <c r="A2671" s="232"/>
      <c r="B2671" s="230"/>
      <c r="C2671" s="32"/>
      <c r="D2671" s="32"/>
      <c r="E2671" s="33"/>
      <c r="F2671" s="27" t="s">
        <v>523</v>
      </c>
      <c r="G2671" s="30" t="str">
        <f t="shared" si="46"/>
        <v/>
      </c>
      <c r="H2671" s="31"/>
      <c r="I2671" s="27"/>
      <c r="J2671" s="141">
        <v>0</v>
      </c>
    </row>
    <row r="2672" spans="1:10" ht="15.75" hidden="1" thickBot="1" x14ac:dyDescent="0.3">
      <c r="A2672" s="225" t="s">
        <v>786</v>
      </c>
      <c r="B2672" s="228" t="str">
        <f>INDEX(Orçamentária!A:B,MATCH(Composições!A2672,Orçamentária!A:A,0),2)</f>
        <v>Ajudante de Serviços Gerais</v>
      </c>
      <c r="C2672" s="37"/>
      <c r="D2672" s="22" t="str">
        <f>TRIM(INDEX(Orçamentária!C:C,MATCH(Composições!A2672,Orçamentária!A:A,0),1))</f>
        <v>Profissional</v>
      </c>
      <c r="E2672" s="23"/>
      <c r="F2672" s="38" t="s">
        <v>523</v>
      </c>
      <c r="G2672" s="24" t="str">
        <f t="shared" si="46"/>
        <v/>
      </c>
      <c r="H2672" s="25"/>
      <c r="I2672" s="26"/>
      <c r="J2672" s="141">
        <v>0</v>
      </c>
    </row>
    <row r="2673" spans="1:10" ht="15.75" hidden="1" thickBot="1" x14ac:dyDescent="0.3">
      <c r="A2673" s="226"/>
      <c r="B2673" s="244"/>
      <c r="C2673" s="28"/>
      <c r="D2673" s="28"/>
      <c r="E2673" s="29"/>
      <c r="F2673" s="39" t="s">
        <v>523</v>
      </c>
      <c r="G2673" s="30" t="str">
        <f t="shared" si="46"/>
        <v/>
      </c>
      <c r="H2673" s="31"/>
      <c r="I2673" s="27"/>
      <c r="J2673" s="141">
        <v>0</v>
      </c>
    </row>
    <row r="2674" spans="1:10" ht="15.75" hidden="1" thickBot="1" x14ac:dyDescent="0.3">
      <c r="A2674" s="226"/>
      <c r="B2674" s="244"/>
      <c r="C2674" s="32" t="s">
        <v>706</v>
      </c>
      <c r="D2674" s="43" t="s">
        <v>12</v>
      </c>
      <c r="E2674" s="149">
        <f>ROUND(220/(1+110.14%),4)</f>
        <v>104.6921</v>
      </c>
      <c r="F2674" s="27">
        <v>18.420500000000001</v>
      </c>
      <c r="G2674" s="30">
        <f t="shared" si="46"/>
        <v>1928.4808280499999</v>
      </c>
      <c r="H2674" s="35">
        <f>SUM(G2674:G2674)</f>
        <v>1928.4808280499999</v>
      </c>
      <c r="I2674" s="36"/>
      <c r="J2674" s="141">
        <v>0</v>
      </c>
    </row>
    <row r="2675" spans="1:10" ht="15.75" hidden="1" thickBot="1" x14ac:dyDescent="0.3">
      <c r="A2675" s="226"/>
      <c r="B2675" s="244"/>
      <c r="C2675" s="32"/>
      <c r="D2675" s="43"/>
      <c r="E2675" s="33"/>
      <c r="F2675" s="27" t="s">
        <v>523</v>
      </c>
      <c r="G2675" s="30" t="str">
        <f t="shared" si="46"/>
        <v/>
      </c>
      <c r="H2675" s="35"/>
      <c r="I2675" s="36"/>
      <c r="J2675" s="141">
        <v>0</v>
      </c>
    </row>
    <row r="2676" spans="1:10" ht="26.25" hidden="1" thickBot="1" x14ac:dyDescent="0.3">
      <c r="A2676" s="226"/>
      <c r="B2676" s="244"/>
      <c r="C2676" s="44" t="s">
        <v>783</v>
      </c>
      <c r="D2676" s="43"/>
      <c r="E2676" s="33"/>
      <c r="F2676" s="27" t="s">
        <v>523</v>
      </c>
      <c r="G2676" s="30" t="str">
        <f t="shared" si="46"/>
        <v/>
      </c>
      <c r="H2676" s="35"/>
      <c r="I2676" s="36"/>
      <c r="J2676" s="141">
        <v>0</v>
      </c>
    </row>
    <row r="2677" spans="1:10" ht="15.75" hidden="1" thickBot="1" x14ac:dyDescent="0.3">
      <c r="A2677" s="227"/>
      <c r="B2677" s="230"/>
      <c r="C2677" s="32"/>
      <c r="D2677" s="32"/>
      <c r="E2677" s="33"/>
      <c r="F2677" s="27" t="s">
        <v>523</v>
      </c>
      <c r="G2677" s="30" t="str">
        <f t="shared" si="46"/>
        <v/>
      </c>
      <c r="H2677" s="31"/>
      <c r="I2677" s="27"/>
      <c r="J2677" s="141">
        <v>0</v>
      </c>
    </row>
    <row r="2678" spans="1:10" ht="15.75" hidden="1" thickBot="1" x14ac:dyDescent="0.3">
      <c r="A2678" s="225" t="s">
        <v>787</v>
      </c>
      <c r="B2678" s="228" t="str">
        <f>INDEX(Orçamentária!A:B,MATCH(Composições!A2678,Orçamentária!A:A,0),2)</f>
        <v>Ajudante de Marceneiro(a)</v>
      </c>
      <c r="C2678" s="37"/>
      <c r="D2678" s="22" t="str">
        <f>TRIM(INDEX(Orçamentária!C:C,MATCH(Composições!A2678,Orçamentária!A:A,0),1))</f>
        <v>Profissional</v>
      </c>
      <c r="E2678" s="23"/>
      <c r="F2678" s="38" t="s">
        <v>523</v>
      </c>
      <c r="G2678" s="24" t="str">
        <f t="shared" si="46"/>
        <v/>
      </c>
      <c r="H2678" s="25"/>
      <c r="I2678" s="26"/>
      <c r="J2678" s="141">
        <v>0</v>
      </c>
    </row>
    <row r="2679" spans="1:10" ht="15.75" hidden="1" thickBot="1" x14ac:dyDescent="0.3">
      <c r="A2679" s="226"/>
      <c r="B2679" s="244"/>
      <c r="C2679" s="28"/>
      <c r="D2679" s="28"/>
      <c r="E2679" s="29"/>
      <c r="F2679" s="39" t="s">
        <v>523</v>
      </c>
      <c r="G2679" s="30" t="str">
        <f t="shared" si="46"/>
        <v/>
      </c>
      <c r="H2679" s="31"/>
      <c r="I2679" s="27"/>
      <c r="J2679" s="141">
        <v>0</v>
      </c>
    </row>
    <row r="2680" spans="1:10" ht="15.75" hidden="1" thickBot="1" x14ac:dyDescent="0.3">
      <c r="A2680" s="226"/>
      <c r="B2680" s="244"/>
      <c r="C2680" s="32" t="s">
        <v>788</v>
      </c>
      <c r="D2680" s="43" t="s">
        <v>12</v>
      </c>
      <c r="E2680" s="149">
        <f>ROUND(220/(1+110.14%),4)</f>
        <v>104.6921</v>
      </c>
      <c r="F2680" s="27">
        <v>19.494</v>
      </c>
      <c r="G2680" s="30">
        <f t="shared" si="46"/>
        <v>2040.8677974</v>
      </c>
      <c r="H2680" s="35">
        <f>SUM(G2680:G2680)</f>
        <v>2040.8677974</v>
      </c>
      <c r="I2680" s="36"/>
      <c r="J2680" s="141">
        <v>0</v>
      </c>
    </row>
    <row r="2681" spans="1:10" ht="15.75" hidden="1" thickBot="1" x14ac:dyDescent="0.3">
      <c r="A2681" s="226"/>
      <c r="B2681" s="244"/>
      <c r="C2681" s="32"/>
      <c r="D2681" s="43"/>
      <c r="E2681" s="33"/>
      <c r="F2681" s="27" t="s">
        <v>523</v>
      </c>
      <c r="G2681" s="30" t="str">
        <f t="shared" si="46"/>
        <v/>
      </c>
      <c r="H2681" s="35"/>
      <c r="I2681" s="36"/>
      <c r="J2681" s="141">
        <v>0</v>
      </c>
    </row>
    <row r="2682" spans="1:10" ht="26.25" hidden="1" thickBot="1" x14ac:dyDescent="0.3">
      <c r="A2682" s="226"/>
      <c r="B2682" s="244"/>
      <c r="C2682" s="44" t="s">
        <v>783</v>
      </c>
      <c r="D2682" s="43"/>
      <c r="E2682" s="33"/>
      <c r="F2682" s="27" t="s">
        <v>523</v>
      </c>
      <c r="G2682" s="30" t="str">
        <f t="shared" si="46"/>
        <v/>
      </c>
      <c r="H2682" s="35"/>
      <c r="I2682" s="36"/>
      <c r="J2682" s="141">
        <v>0</v>
      </c>
    </row>
    <row r="2683" spans="1:10" ht="15.75" hidden="1" thickBot="1" x14ac:dyDescent="0.3">
      <c r="A2683" s="227"/>
      <c r="B2683" s="230"/>
      <c r="C2683" s="32"/>
      <c r="D2683" s="32"/>
      <c r="E2683" s="33"/>
      <c r="F2683" s="27" t="s">
        <v>523</v>
      </c>
      <c r="G2683" s="30" t="str">
        <f t="shared" si="46"/>
        <v/>
      </c>
      <c r="H2683" s="31"/>
      <c r="I2683" s="27"/>
      <c r="J2683" s="141">
        <v>0</v>
      </c>
    </row>
    <row r="2684" spans="1:10" ht="15.75" hidden="1" thickBot="1" x14ac:dyDescent="0.3">
      <c r="A2684" s="225" t="s">
        <v>789</v>
      </c>
      <c r="B2684" s="228" t="str">
        <f>INDEX(Orçamentária!A:B,MATCH(Composições!A2684,Orçamentária!A:A,0),2)</f>
        <v>Ajudante de Serralheiro(a)</v>
      </c>
      <c r="C2684" s="37"/>
      <c r="D2684" s="22" t="str">
        <f>TRIM(INDEX(Orçamentária!C:C,MATCH(Composições!A2684,Orçamentária!A:A,0),1))</f>
        <v>Profissional</v>
      </c>
      <c r="E2684" s="23"/>
      <c r="F2684" s="38" t="s">
        <v>523</v>
      </c>
      <c r="G2684" s="24" t="str">
        <f t="shared" si="46"/>
        <v/>
      </c>
      <c r="H2684" s="25"/>
      <c r="I2684" s="26"/>
      <c r="J2684" s="141">
        <v>0</v>
      </c>
    </row>
    <row r="2685" spans="1:10" ht="15.75" hidden="1" thickBot="1" x14ac:dyDescent="0.3">
      <c r="A2685" s="226"/>
      <c r="B2685" s="244"/>
      <c r="C2685" s="28"/>
      <c r="D2685" s="28"/>
      <c r="E2685" s="29"/>
      <c r="F2685" s="39" t="s">
        <v>523</v>
      </c>
      <c r="G2685" s="30" t="str">
        <f t="shared" si="46"/>
        <v/>
      </c>
      <c r="H2685" s="31"/>
      <c r="I2685" s="27"/>
      <c r="J2685" s="141">
        <v>0</v>
      </c>
    </row>
    <row r="2686" spans="1:10" ht="15.75" hidden="1" thickBot="1" x14ac:dyDescent="0.3">
      <c r="A2686" s="226"/>
      <c r="B2686" s="244"/>
      <c r="C2686" s="32" t="s">
        <v>790</v>
      </c>
      <c r="D2686" s="43" t="s">
        <v>12</v>
      </c>
      <c r="E2686" s="149">
        <f>ROUND(220/(1+110.14%),4)</f>
        <v>104.6921</v>
      </c>
      <c r="F2686" s="27">
        <v>19.588999999999999</v>
      </c>
      <c r="G2686" s="30">
        <f t="shared" si="46"/>
        <v>2050.8135468999999</v>
      </c>
      <c r="H2686" s="35">
        <f>SUM(G2686:G2686)</f>
        <v>2050.8135468999999</v>
      </c>
      <c r="I2686" s="36"/>
      <c r="J2686" s="141">
        <v>0</v>
      </c>
    </row>
    <row r="2687" spans="1:10" ht="15.75" hidden="1" thickBot="1" x14ac:dyDescent="0.3">
      <c r="A2687" s="226"/>
      <c r="B2687" s="244"/>
      <c r="C2687" s="32"/>
      <c r="D2687" s="43"/>
      <c r="E2687" s="33"/>
      <c r="F2687" s="27" t="s">
        <v>523</v>
      </c>
      <c r="G2687" s="30" t="str">
        <f t="shared" si="46"/>
        <v/>
      </c>
      <c r="H2687" s="35"/>
      <c r="I2687" s="36"/>
      <c r="J2687" s="141">
        <v>0</v>
      </c>
    </row>
    <row r="2688" spans="1:10" ht="26.25" hidden="1" thickBot="1" x14ac:dyDescent="0.3">
      <c r="A2688" s="226"/>
      <c r="B2688" s="244"/>
      <c r="C2688" s="44" t="s">
        <v>783</v>
      </c>
      <c r="D2688" s="43"/>
      <c r="E2688" s="33"/>
      <c r="F2688" s="27" t="s">
        <v>523</v>
      </c>
      <c r="G2688" s="30" t="str">
        <f t="shared" si="46"/>
        <v/>
      </c>
      <c r="H2688" s="35"/>
      <c r="I2688" s="36"/>
      <c r="J2688" s="141">
        <v>0</v>
      </c>
    </row>
    <row r="2689" spans="1:10" ht="15.75" hidden="1" thickBot="1" x14ac:dyDescent="0.3">
      <c r="A2689" s="227"/>
      <c r="B2689" s="230"/>
      <c r="C2689" s="32"/>
      <c r="D2689" s="32"/>
      <c r="E2689" s="33"/>
      <c r="F2689" s="27" t="s">
        <v>523</v>
      </c>
      <c r="G2689" s="30" t="str">
        <f t="shared" si="46"/>
        <v/>
      </c>
      <c r="H2689" s="31"/>
      <c r="I2689" s="27"/>
      <c r="J2689" s="141">
        <v>0</v>
      </c>
    </row>
    <row r="2690" spans="1:10" ht="15.75" hidden="1" thickBot="1" x14ac:dyDescent="0.3">
      <c r="A2690" s="225" t="s">
        <v>791</v>
      </c>
      <c r="B2690" s="228" t="str">
        <f>INDEX(Orçamentária!A:B,MATCH(Composições!A2690,Orçamentária!A:A,0),2)</f>
        <v>Lustrador(a) de Móveis</v>
      </c>
      <c r="C2690" s="37"/>
      <c r="D2690" s="22" t="str">
        <f>TRIM(INDEX(Orçamentária!C:C,MATCH(Composições!A2690,Orçamentária!A:A,0),1))</f>
        <v>Profissional</v>
      </c>
      <c r="E2690" s="23"/>
      <c r="F2690" s="38" t="s">
        <v>523</v>
      </c>
      <c r="G2690" s="24" t="str">
        <f t="shared" si="46"/>
        <v/>
      </c>
      <c r="H2690" s="25"/>
      <c r="I2690" s="26"/>
      <c r="J2690" s="141">
        <v>0</v>
      </c>
    </row>
    <row r="2691" spans="1:10" ht="15.75" hidden="1" thickBot="1" x14ac:dyDescent="0.3">
      <c r="A2691" s="226"/>
      <c r="B2691" s="244"/>
      <c r="C2691" s="28"/>
      <c r="D2691" s="28"/>
      <c r="E2691" s="29"/>
      <c r="F2691" s="39" t="s">
        <v>523</v>
      </c>
      <c r="G2691" s="30" t="str">
        <f t="shared" si="46"/>
        <v/>
      </c>
      <c r="H2691" s="31"/>
      <c r="I2691" s="27"/>
      <c r="J2691" s="141">
        <v>0</v>
      </c>
    </row>
    <row r="2692" spans="1:10" ht="15.75" hidden="1" thickBot="1" x14ac:dyDescent="0.3">
      <c r="A2692" s="226"/>
      <c r="B2692" s="244"/>
      <c r="C2692" s="32" t="s">
        <v>608</v>
      </c>
      <c r="D2692" s="43" t="s">
        <v>12</v>
      </c>
      <c r="E2692" s="149">
        <f>ROUND(220/(1+110.14%),4)</f>
        <v>104.6921</v>
      </c>
      <c r="F2692" s="27">
        <v>23.331999999999997</v>
      </c>
      <c r="G2692" s="30">
        <f t="shared" si="46"/>
        <v>2442.6760771999998</v>
      </c>
      <c r="H2692" s="35">
        <f>SUM(G2692:G2692)</f>
        <v>2442.6760771999998</v>
      </c>
      <c r="I2692" s="36"/>
      <c r="J2692" s="141">
        <v>0</v>
      </c>
    </row>
    <row r="2693" spans="1:10" ht="15.75" hidden="1" thickBot="1" x14ac:dyDescent="0.3">
      <c r="A2693" s="226"/>
      <c r="B2693" s="244"/>
      <c r="C2693" s="32"/>
      <c r="D2693" s="43"/>
      <c r="E2693" s="33"/>
      <c r="F2693" s="27" t="s">
        <v>523</v>
      </c>
      <c r="G2693" s="30" t="str">
        <f t="shared" si="46"/>
        <v/>
      </c>
      <c r="H2693" s="35"/>
      <c r="I2693" s="36"/>
      <c r="J2693" s="141">
        <v>0</v>
      </c>
    </row>
    <row r="2694" spans="1:10" ht="26.25" hidden="1" thickBot="1" x14ac:dyDescent="0.3">
      <c r="A2694" s="226"/>
      <c r="B2694" s="244"/>
      <c r="C2694" s="44" t="s">
        <v>783</v>
      </c>
      <c r="D2694" s="43"/>
      <c r="E2694" s="33"/>
      <c r="F2694" s="27" t="s">
        <v>523</v>
      </c>
      <c r="G2694" s="30" t="str">
        <f t="shared" ref="G2694:G2757" si="47">IF(ISNUMBER(F2694),E2694*F2694,"")</f>
        <v/>
      </c>
      <c r="H2694" s="35"/>
      <c r="I2694" s="36"/>
      <c r="J2694" s="141">
        <v>0</v>
      </c>
    </row>
    <row r="2695" spans="1:10" ht="15.75" hidden="1" thickBot="1" x14ac:dyDescent="0.3">
      <c r="A2695" s="227"/>
      <c r="B2695" s="230"/>
      <c r="C2695" s="32"/>
      <c r="D2695" s="32"/>
      <c r="E2695" s="33"/>
      <c r="F2695" s="27" t="s">
        <v>523</v>
      </c>
      <c r="G2695" s="30" t="str">
        <f t="shared" si="47"/>
        <v/>
      </c>
      <c r="H2695" s="31"/>
      <c r="I2695" s="27"/>
      <c r="J2695" s="141">
        <v>0</v>
      </c>
    </row>
    <row r="2696" spans="1:10" ht="15.75" hidden="1" thickBot="1" x14ac:dyDescent="0.3">
      <c r="A2696" s="225" t="s">
        <v>792</v>
      </c>
      <c r="B2696" s="228" t="str">
        <f>INDEX(Orçamentária!A:B,MATCH(Composições!A2696,Orçamentária!A:A,0),2)</f>
        <v>Marceneiro(a)</v>
      </c>
      <c r="C2696" s="37"/>
      <c r="D2696" s="22" t="str">
        <f>TRIM(INDEX(Orçamentária!C:C,MATCH(Composições!A2696,Orçamentária!A:A,0),1))</f>
        <v>Profissional</v>
      </c>
      <c r="E2696" s="23"/>
      <c r="F2696" s="38" t="s">
        <v>523</v>
      </c>
      <c r="G2696" s="24" t="str">
        <f t="shared" si="47"/>
        <v/>
      </c>
      <c r="H2696" s="25"/>
      <c r="I2696" s="26"/>
      <c r="J2696" s="141">
        <v>0</v>
      </c>
    </row>
    <row r="2697" spans="1:10" ht="15.75" hidden="1" thickBot="1" x14ac:dyDescent="0.3">
      <c r="A2697" s="226"/>
      <c r="B2697" s="244"/>
      <c r="C2697" s="28"/>
      <c r="D2697" s="28"/>
      <c r="E2697" s="29"/>
      <c r="F2697" s="39" t="s">
        <v>523</v>
      </c>
      <c r="G2697" s="30" t="str">
        <f t="shared" si="47"/>
        <v/>
      </c>
      <c r="H2697" s="31"/>
      <c r="I2697" s="27"/>
      <c r="J2697" s="141">
        <v>0</v>
      </c>
    </row>
    <row r="2698" spans="1:10" ht="15.75" hidden="1" thickBot="1" x14ac:dyDescent="0.3">
      <c r="A2698" s="226"/>
      <c r="B2698" s="244"/>
      <c r="C2698" s="32" t="s">
        <v>608</v>
      </c>
      <c r="D2698" s="43" t="s">
        <v>12</v>
      </c>
      <c r="E2698" s="149">
        <f>ROUND(220/(1+110.14%),4)</f>
        <v>104.6921</v>
      </c>
      <c r="F2698" s="27">
        <v>23.331999999999997</v>
      </c>
      <c r="G2698" s="30">
        <f t="shared" si="47"/>
        <v>2442.6760771999998</v>
      </c>
      <c r="H2698" s="35">
        <f>SUM(G2698:G2698)</f>
        <v>2442.6760771999998</v>
      </c>
      <c r="I2698" s="36"/>
      <c r="J2698" s="141">
        <v>0</v>
      </c>
    </row>
    <row r="2699" spans="1:10" ht="15.75" hidden="1" thickBot="1" x14ac:dyDescent="0.3">
      <c r="A2699" s="226"/>
      <c r="B2699" s="244"/>
      <c r="C2699" s="32"/>
      <c r="D2699" s="43"/>
      <c r="E2699" s="33"/>
      <c r="F2699" s="27" t="s">
        <v>523</v>
      </c>
      <c r="G2699" s="30" t="str">
        <f t="shared" si="47"/>
        <v/>
      </c>
      <c r="H2699" s="35"/>
      <c r="I2699" s="36"/>
      <c r="J2699" s="141">
        <v>0</v>
      </c>
    </row>
    <row r="2700" spans="1:10" ht="26.25" hidden="1" thickBot="1" x14ac:dyDescent="0.3">
      <c r="A2700" s="226"/>
      <c r="B2700" s="244"/>
      <c r="C2700" s="44" t="s">
        <v>783</v>
      </c>
      <c r="D2700" s="43"/>
      <c r="E2700" s="33"/>
      <c r="F2700" s="27" t="s">
        <v>523</v>
      </c>
      <c r="G2700" s="30" t="str">
        <f t="shared" si="47"/>
        <v/>
      </c>
      <c r="H2700" s="35"/>
      <c r="I2700" s="36"/>
      <c r="J2700" s="141">
        <v>0</v>
      </c>
    </row>
    <row r="2701" spans="1:10" ht="15.75" hidden="1" thickBot="1" x14ac:dyDescent="0.3">
      <c r="A2701" s="227"/>
      <c r="B2701" s="230"/>
      <c r="C2701" s="32"/>
      <c r="D2701" s="32"/>
      <c r="E2701" s="33"/>
      <c r="F2701" s="27" t="s">
        <v>523</v>
      </c>
      <c r="G2701" s="30" t="str">
        <f t="shared" si="47"/>
        <v/>
      </c>
      <c r="H2701" s="31"/>
      <c r="I2701" s="27"/>
      <c r="J2701" s="141">
        <v>0</v>
      </c>
    </row>
    <row r="2702" spans="1:10" ht="15.75" hidden="1" thickBot="1" x14ac:dyDescent="0.3">
      <c r="A2702" s="225" t="s">
        <v>793</v>
      </c>
      <c r="B2702" s="228" t="str">
        <f>INDEX(Orçamentária!A:B,MATCH(Composições!A2702,Orçamentária!A:A,0),2)</f>
        <v>Serralheiro(a)</v>
      </c>
      <c r="C2702" s="37"/>
      <c r="D2702" s="22" t="str">
        <f>TRIM(INDEX(Orçamentária!C:C,MATCH(Composições!A2702,Orçamentária!A:A,0),1))</f>
        <v>Profissional</v>
      </c>
      <c r="E2702" s="23"/>
      <c r="F2702" s="38" t="s">
        <v>523</v>
      </c>
      <c r="G2702" s="24" t="str">
        <f t="shared" si="47"/>
        <v/>
      </c>
      <c r="H2702" s="25"/>
      <c r="I2702" s="26"/>
      <c r="J2702" s="141">
        <v>0</v>
      </c>
    </row>
    <row r="2703" spans="1:10" ht="15.75" hidden="1" thickBot="1" x14ac:dyDescent="0.3">
      <c r="A2703" s="226"/>
      <c r="B2703" s="244"/>
      <c r="C2703" s="28"/>
      <c r="D2703" s="28"/>
      <c r="E2703" s="29"/>
      <c r="F2703" s="39" t="s">
        <v>523</v>
      </c>
      <c r="G2703" s="30" t="str">
        <f t="shared" si="47"/>
        <v/>
      </c>
      <c r="H2703" s="31"/>
      <c r="I2703" s="27"/>
      <c r="J2703" s="141">
        <v>0</v>
      </c>
    </row>
    <row r="2704" spans="1:10" ht="15.75" hidden="1" thickBot="1" x14ac:dyDescent="0.3">
      <c r="A2704" s="226"/>
      <c r="B2704" s="244"/>
      <c r="C2704" s="32" t="s">
        <v>618</v>
      </c>
      <c r="D2704" s="43" t="s">
        <v>12</v>
      </c>
      <c r="E2704" s="149">
        <f>ROUND(220/(1+110.14%),4)</f>
        <v>104.6921</v>
      </c>
      <c r="F2704" s="27">
        <v>24.747499999999999</v>
      </c>
      <c r="G2704" s="30">
        <f t="shared" si="47"/>
        <v>2590.8677447499999</v>
      </c>
      <c r="H2704" s="35">
        <f>SUM(G2704:G2704)</f>
        <v>2590.8677447499999</v>
      </c>
      <c r="I2704" s="36"/>
      <c r="J2704" s="141">
        <v>0</v>
      </c>
    </row>
    <row r="2705" spans="1:10" ht="15.75" hidden="1" thickBot="1" x14ac:dyDescent="0.3">
      <c r="A2705" s="226"/>
      <c r="B2705" s="244"/>
      <c r="C2705" s="32"/>
      <c r="D2705" s="43"/>
      <c r="E2705" s="33"/>
      <c r="F2705" s="27" t="s">
        <v>523</v>
      </c>
      <c r="G2705" s="30" t="str">
        <f t="shared" si="47"/>
        <v/>
      </c>
      <c r="H2705" s="35"/>
      <c r="I2705" s="36"/>
      <c r="J2705" s="141">
        <v>0</v>
      </c>
    </row>
    <row r="2706" spans="1:10" ht="26.25" hidden="1" thickBot="1" x14ac:dyDescent="0.3">
      <c r="A2706" s="226"/>
      <c r="B2706" s="244"/>
      <c r="C2706" s="44" t="s">
        <v>783</v>
      </c>
      <c r="D2706" s="43"/>
      <c r="E2706" s="33"/>
      <c r="F2706" s="27" t="s">
        <v>523</v>
      </c>
      <c r="G2706" s="30" t="str">
        <f t="shared" si="47"/>
        <v/>
      </c>
      <c r="H2706" s="35"/>
      <c r="I2706" s="36"/>
      <c r="J2706" s="141">
        <v>0</v>
      </c>
    </row>
    <row r="2707" spans="1:10" ht="15.75" hidden="1" thickBot="1" x14ac:dyDescent="0.3">
      <c r="A2707" s="227"/>
      <c r="B2707" s="230"/>
      <c r="C2707" s="32"/>
      <c r="D2707" s="32"/>
      <c r="E2707" s="33"/>
      <c r="F2707" s="27" t="s">
        <v>523</v>
      </c>
      <c r="G2707" s="30" t="str">
        <f t="shared" si="47"/>
        <v/>
      </c>
      <c r="H2707" s="31"/>
      <c r="I2707" s="27"/>
      <c r="J2707" s="141">
        <v>0</v>
      </c>
    </row>
    <row r="2708" spans="1:10" ht="15.75" hidden="1" thickBot="1" x14ac:dyDescent="0.3">
      <c r="A2708" s="225" t="s">
        <v>794</v>
      </c>
      <c r="B2708" s="228" t="str">
        <f>INDEX(Orçamentária!A:B,MATCH(Composições!A2708,Orçamentária!A:A,0),2)</f>
        <v>Mestre de Obras (Posto de Trabalho)</v>
      </c>
      <c r="C2708" s="37"/>
      <c r="D2708" s="22" t="str">
        <f>TRIM(INDEX(Orçamentária!C:C,MATCH(Composições!A2708,Orçamentária!A:A,0),1))</f>
        <v>Profissional</v>
      </c>
      <c r="E2708" s="23"/>
      <c r="F2708" s="38" t="s">
        <v>523</v>
      </c>
      <c r="G2708" s="24" t="str">
        <f t="shared" si="47"/>
        <v/>
      </c>
      <c r="H2708" s="25"/>
      <c r="I2708" s="26"/>
      <c r="J2708" s="141">
        <v>0</v>
      </c>
    </row>
    <row r="2709" spans="1:10" ht="15.75" hidden="1" thickBot="1" x14ac:dyDescent="0.3">
      <c r="A2709" s="226"/>
      <c r="B2709" s="244"/>
      <c r="C2709" s="28"/>
      <c r="D2709" s="28"/>
      <c r="E2709" s="29"/>
      <c r="F2709" s="39" t="s">
        <v>523</v>
      </c>
      <c r="G2709" s="30" t="str">
        <f t="shared" si="47"/>
        <v/>
      </c>
      <c r="H2709" s="31"/>
      <c r="I2709" s="27"/>
      <c r="J2709" s="141">
        <v>0</v>
      </c>
    </row>
    <row r="2710" spans="1:10" ht="15.75" hidden="1" thickBot="1" x14ac:dyDescent="0.3">
      <c r="A2710" s="226"/>
      <c r="B2710" s="244"/>
      <c r="C2710" s="32" t="s">
        <v>14</v>
      </c>
      <c r="D2710" s="43" t="s">
        <v>12</v>
      </c>
      <c r="E2710" s="149">
        <f>ROUND(220/(1+110.14%),4)</f>
        <v>104.6921</v>
      </c>
      <c r="F2710" s="27">
        <v>41.495999999999995</v>
      </c>
      <c r="G2710" s="30">
        <f t="shared" si="47"/>
        <v>4344.3033815999997</v>
      </c>
      <c r="H2710" s="35">
        <f>SUM(G2710:G2710)</f>
        <v>4344.3033815999997</v>
      </c>
      <c r="I2710" s="36"/>
      <c r="J2710" s="141">
        <v>0</v>
      </c>
    </row>
    <row r="2711" spans="1:10" ht="15.75" hidden="1" thickBot="1" x14ac:dyDescent="0.3">
      <c r="A2711" s="226"/>
      <c r="B2711" s="244"/>
      <c r="C2711" s="32"/>
      <c r="D2711" s="43"/>
      <c r="E2711" s="33"/>
      <c r="F2711" s="27" t="s">
        <v>523</v>
      </c>
      <c r="G2711" s="30" t="str">
        <f t="shared" si="47"/>
        <v/>
      </c>
      <c r="H2711" s="35"/>
      <c r="I2711" s="36"/>
      <c r="J2711" s="141">
        <v>0</v>
      </c>
    </row>
    <row r="2712" spans="1:10" ht="26.25" hidden="1" thickBot="1" x14ac:dyDescent="0.3">
      <c r="A2712" s="226"/>
      <c r="B2712" s="244"/>
      <c r="C2712" s="44" t="s">
        <v>783</v>
      </c>
      <c r="D2712" s="43"/>
      <c r="E2712" s="33"/>
      <c r="F2712" s="27" t="s">
        <v>523</v>
      </c>
      <c r="G2712" s="30" t="str">
        <f t="shared" si="47"/>
        <v/>
      </c>
      <c r="H2712" s="35"/>
      <c r="I2712" s="36"/>
      <c r="J2712" s="141">
        <v>0</v>
      </c>
    </row>
    <row r="2713" spans="1:10" ht="15.75" hidden="1" thickBot="1" x14ac:dyDescent="0.3">
      <c r="A2713" s="227"/>
      <c r="B2713" s="230"/>
      <c r="C2713" s="32"/>
      <c r="D2713" s="32"/>
      <c r="E2713" s="33"/>
      <c r="F2713" s="27" t="s">
        <v>523</v>
      </c>
      <c r="G2713" s="30" t="str">
        <f t="shared" si="47"/>
        <v/>
      </c>
      <c r="H2713" s="31"/>
      <c r="I2713" s="27"/>
      <c r="J2713" s="141">
        <v>0</v>
      </c>
    </row>
    <row r="2714" spans="1:10" ht="15.75" hidden="1" thickBot="1" x14ac:dyDescent="0.3">
      <c r="A2714" s="225" t="s">
        <v>795</v>
      </c>
      <c r="B2714" s="228" t="str">
        <f>INDEX(Orçamentária!A:B,MATCH(Composições!A2714,Orçamentária!A:A,0),2)</f>
        <v>Oficial de Serviços Gerais</v>
      </c>
      <c r="C2714" s="37"/>
      <c r="D2714" s="22" t="str">
        <f>TRIM(INDEX(Orçamentária!C:C,MATCH(Composições!A2714,Orçamentária!A:A,0),1))</f>
        <v>Profissional</v>
      </c>
      <c r="E2714" s="23"/>
      <c r="F2714" s="38" t="s">
        <v>523</v>
      </c>
      <c r="G2714" s="24" t="str">
        <f t="shared" si="47"/>
        <v/>
      </c>
      <c r="H2714" s="25"/>
      <c r="I2714" s="26"/>
      <c r="J2714" s="141">
        <v>0</v>
      </c>
    </row>
    <row r="2715" spans="1:10" ht="15.75" hidden="1" thickBot="1" x14ac:dyDescent="0.3">
      <c r="A2715" s="226"/>
      <c r="B2715" s="244"/>
      <c r="C2715" s="28"/>
      <c r="D2715" s="28"/>
      <c r="E2715" s="29"/>
      <c r="F2715" s="39" t="s">
        <v>523</v>
      </c>
      <c r="G2715" s="30" t="str">
        <f t="shared" si="47"/>
        <v/>
      </c>
      <c r="H2715" s="31"/>
      <c r="I2715" s="27"/>
      <c r="J2715" s="141">
        <v>0</v>
      </c>
    </row>
    <row r="2716" spans="1:10" ht="15.75" hidden="1" thickBot="1" x14ac:dyDescent="0.3">
      <c r="A2716" s="226"/>
      <c r="B2716" s="244"/>
      <c r="C2716" s="32" t="s">
        <v>713</v>
      </c>
      <c r="D2716" s="43" t="s">
        <v>12</v>
      </c>
      <c r="E2716" s="149">
        <f>ROUND(220/(1+110.14%),4)</f>
        <v>104.6921</v>
      </c>
      <c r="F2716" s="27">
        <v>24.889999999999997</v>
      </c>
      <c r="G2716" s="30">
        <f t="shared" si="47"/>
        <v>2605.7863689999995</v>
      </c>
      <c r="H2716" s="35">
        <f>SUM(G2716:G2716)</f>
        <v>2605.7863689999995</v>
      </c>
      <c r="I2716" s="36"/>
      <c r="J2716" s="141">
        <v>0</v>
      </c>
    </row>
    <row r="2717" spans="1:10" ht="15.75" hidden="1" thickBot="1" x14ac:dyDescent="0.3">
      <c r="A2717" s="226"/>
      <c r="B2717" s="244"/>
      <c r="C2717" s="32"/>
      <c r="D2717" s="43"/>
      <c r="E2717" s="33"/>
      <c r="F2717" s="27" t="s">
        <v>523</v>
      </c>
      <c r="G2717" s="30" t="str">
        <f t="shared" si="47"/>
        <v/>
      </c>
      <c r="H2717" s="35"/>
      <c r="I2717" s="36"/>
      <c r="J2717" s="141">
        <v>0</v>
      </c>
    </row>
    <row r="2718" spans="1:10" ht="26.25" hidden="1" thickBot="1" x14ac:dyDescent="0.3">
      <c r="A2718" s="226"/>
      <c r="B2718" s="244"/>
      <c r="C2718" s="44" t="s">
        <v>783</v>
      </c>
      <c r="D2718" s="43"/>
      <c r="E2718" s="33"/>
      <c r="F2718" s="27" t="s">
        <v>523</v>
      </c>
      <c r="G2718" s="30" t="str">
        <f t="shared" si="47"/>
        <v/>
      </c>
      <c r="H2718" s="35"/>
      <c r="I2718" s="36"/>
      <c r="J2718" s="141">
        <v>0</v>
      </c>
    </row>
    <row r="2719" spans="1:10" ht="15.75" hidden="1" thickBot="1" x14ac:dyDescent="0.3">
      <c r="A2719" s="227"/>
      <c r="B2719" s="230"/>
      <c r="C2719" s="32"/>
      <c r="D2719" s="32"/>
      <c r="E2719" s="33"/>
      <c r="F2719" s="27" t="s">
        <v>523</v>
      </c>
      <c r="G2719" s="30" t="str">
        <f t="shared" si="47"/>
        <v/>
      </c>
      <c r="H2719" s="31"/>
      <c r="I2719" s="27"/>
      <c r="J2719" s="141">
        <v>0</v>
      </c>
    </row>
    <row r="2720" spans="1:10" ht="15.75" hidden="1" thickBot="1" x14ac:dyDescent="0.3">
      <c r="A2720" s="239" t="s">
        <v>2473</v>
      </c>
      <c r="B2720" s="228" t="str">
        <f>INDEX(Orçamentária!A:B,MATCH(Composições!A2720,Orçamentária!A:A,0),2)</f>
        <v>Alicate  de corte diagonal 6''</v>
      </c>
      <c r="C2720" s="37"/>
      <c r="D2720" s="22" t="str">
        <f>TRIM(INDEX(Orçamentária!C:C,MATCH(Composições!A2720,Orçamentária!A:A,0),1))</f>
        <v>un</v>
      </c>
      <c r="E2720" s="23"/>
      <c r="F2720" s="45" t="s">
        <v>523</v>
      </c>
      <c r="G2720" s="24" t="str">
        <f t="shared" si="47"/>
        <v/>
      </c>
      <c r="H2720" s="25"/>
      <c r="I2720" s="26"/>
      <c r="J2720" s="141">
        <v>0</v>
      </c>
    </row>
    <row r="2721" spans="1:10" ht="15.75" hidden="1" thickBot="1" x14ac:dyDescent="0.3">
      <c r="A2721" s="242"/>
      <c r="B2721" s="229"/>
      <c r="C2721" s="155"/>
      <c r="D2721" s="155"/>
      <c r="E2721" s="156"/>
      <c r="F2721" s="50" t="s">
        <v>523</v>
      </c>
      <c r="G2721" s="50" t="str">
        <f t="shared" si="47"/>
        <v/>
      </c>
      <c r="H2721" s="69"/>
      <c r="I2721" s="70"/>
      <c r="J2721" s="141">
        <v>0</v>
      </c>
    </row>
    <row r="2722" spans="1:10" ht="15.75" hidden="1" thickBot="1" x14ac:dyDescent="0.3">
      <c r="A2722" s="242"/>
      <c r="B2722" s="229"/>
      <c r="C2722" s="32" t="s">
        <v>7571</v>
      </c>
      <c r="D2722" s="148" t="s">
        <v>20</v>
      </c>
      <c r="E2722" s="149">
        <v>1</v>
      </c>
      <c r="F2722" s="27">
        <v>43.699999999999996</v>
      </c>
      <c r="G2722" s="50">
        <f t="shared" si="47"/>
        <v>43.699999999999996</v>
      </c>
      <c r="H2722" s="35">
        <f>SUM(G2722:G2722)</f>
        <v>43.699999999999996</v>
      </c>
      <c r="I2722" s="36"/>
      <c r="J2722" s="141">
        <v>0</v>
      </c>
    </row>
    <row r="2723" spans="1:10" ht="15.75" hidden="1" thickBot="1" x14ac:dyDescent="0.3">
      <c r="A2723" s="243"/>
      <c r="B2723" s="230"/>
      <c r="C2723" s="51"/>
      <c r="D2723" s="151"/>
      <c r="E2723" s="62"/>
      <c r="F2723" s="72" t="s">
        <v>523</v>
      </c>
      <c r="G2723" s="72" t="str">
        <f t="shared" si="47"/>
        <v/>
      </c>
      <c r="H2723" s="73"/>
      <c r="I2723" s="70"/>
      <c r="J2723" s="141">
        <v>0</v>
      </c>
    </row>
    <row r="2724" spans="1:10" ht="15.75" hidden="1" thickBot="1" x14ac:dyDescent="0.3">
      <c r="A2724" s="239" t="s">
        <v>2491</v>
      </c>
      <c r="B2724" s="228" t="str">
        <f>INDEX(Orçamentária!A:B,MATCH(Composições!A2724,Orçamentária!A:A,0),2)</f>
        <v>Carrinho de mão reforçado</v>
      </c>
      <c r="C2724" s="37"/>
      <c r="D2724" s="22" t="str">
        <f>TRIM(INDEX(Orçamentária!C:C,MATCH(Composições!A2724,Orçamentária!A:A,0),1))</f>
        <v>un</v>
      </c>
      <c r="E2724" s="23"/>
      <c r="F2724" s="45" t="s">
        <v>523</v>
      </c>
      <c r="G2724" s="24" t="str">
        <f t="shared" si="47"/>
        <v/>
      </c>
      <c r="H2724" s="25"/>
      <c r="I2724" s="26"/>
      <c r="J2724" s="141">
        <v>0</v>
      </c>
    </row>
    <row r="2725" spans="1:10" ht="15.75" hidden="1" thickBot="1" x14ac:dyDescent="0.3">
      <c r="A2725" s="242"/>
      <c r="B2725" s="229"/>
      <c r="C2725" s="155"/>
      <c r="D2725" s="155"/>
      <c r="E2725" s="156"/>
      <c r="F2725" s="50" t="s">
        <v>523</v>
      </c>
      <c r="G2725" s="50" t="str">
        <f t="shared" si="47"/>
        <v/>
      </c>
      <c r="H2725" s="69"/>
      <c r="I2725" s="70"/>
      <c r="J2725" s="141">
        <v>0</v>
      </c>
    </row>
    <row r="2726" spans="1:10" ht="26.25" hidden="1" thickBot="1" x14ac:dyDescent="0.3">
      <c r="A2726" s="242"/>
      <c r="B2726" s="229"/>
      <c r="C2726" s="32" t="s">
        <v>7589</v>
      </c>
      <c r="D2726" s="148" t="s">
        <v>20</v>
      </c>
      <c r="E2726" s="149">
        <v>1</v>
      </c>
      <c r="F2726" s="27">
        <v>227.95249999999999</v>
      </c>
      <c r="G2726" s="50">
        <f t="shared" si="47"/>
        <v>227.95249999999999</v>
      </c>
      <c r="H2726" s="35">
        <f>SUM(G2726:G2726)</f>
        <v>227.95249999999999</v>
      </c>
      <c r="I2726" s="36"/>
      <c r="J2726" s="141">
        <v>0</v>
      </c>
    </row>
    <row r="2727" spans="1:10" ht="15.75" hidden="1" thickBot="1" x14ac:dyDescent="0.3">
      <c r="A2727" s="243"/>
      <c r="B2727" s="230"/>
      <c r="C2727" s="51"/>
      <c r="D2727" s="151"/>
      <c r="E2727" s="62"/>
      <c r="F2727" s="72" t="s">
        <v>523</v>
      </c>
      <c r="G2727" s="72" t="str">
        <f t="shared" si="47"/>
        <v/>
      </c>
      <c r="H2727" s="73"/>
      <c r="I2727" s="70"/>
      <c r="J2727" s="141">
        <v>0</v>
      </c>
    </row>
    <row r="2728" spans="1:10" ht="15.75" hidden="1" thickBot="1" x14ac:dyDescent="0.3">
      <c r="A2728" s="239" t="s">
        <v>2507</v>
      </c>
      <c r="B2728" s="228" t="str">
        <f>INDEX(Orçamentária!A:B,MATCH(Composições!A2728,Orçamentária!A:A,0),2)</f>
        <v>Enxadão estreito com cabo</v>
      </c>
      <c r="C2728" s="37"/>
      <c r="D2728" s="22" t="str">
        <f>TRIM(INDEX(Orçamentária!C:C,MATCH(Composições!A2728,Orçamentária!A:A,0),1))</f>
        <v>un</v>
      </c>
      <c r="E2728" s="23"/>
      <c r="F2728" s="45" t="s">
        <v>523</v>
      </c>
      <c r="G2728" s="24" t="str">
        <f t="shared" si="47"/>
        <v/>
      </c>
      <c r="H2728" s="25"/>
      <c r="I2728" s="26"/>
      <c r="J2728" s="141">
        <v>0</v>
      </c>
    </row>
    <row r="2729" spans="1:10" ht="15.75" hidden="1" thickBot="1" x14ac:dyDescent="0.3">
      <c r="A2729" s="242"/>
      <c r="B2729" s="229"/>
      <c r="C2729" s="155"/>
      <c r="D2729" s="155"/>
      <c r="E2729" s="156"/>
      <c r="F2729" s="50" t="s">
        <v>523</v>
      </c>
      <c r="G2729" s="50" t="str">
        <f t="shared" si="47"/>
        <v/>
      </c>
      <c r="H2729" s="69"/>
      <c r="I2729" s="70"/>
      <c r="J2729" s="141">
        <v>0</v>
      </c>
    </row>
    <row r="2730" spans="1:10" ht="15.75" hidden="1" thickBot="1" x14ac:dyDescent="0.3">
      <c r="A2730" s="242"/>
      <c r="B2730" s="229"/>
      <c r="C2730" s="32" t="s">
        <v>7601</v>
      </c>
      <c r="D2730" s="148" t="s">
        <v>20</v>
      </c>
      <c r="E2730" s="149">
        <v>1</v>
      </c>
      <c r="F2730" s="27">
        <v>56.467999999999996</v>
      </c>
      <c r="G2730" s="50">
        <f t="shared" si="47"/>
        <v>56.467999999999996</v>
      </c>
      <c r="H2730" s="35">
        <f>SUM(G2730:G2730)</f>
        <v>56.467999999999996</v>
      </c>
      <c r="I2730" s="36"/>
      <c r="J2730" s="141">
        <v>0</v>
      </c>
    </row>
    <row r="2731" spans="1:10" ht="15.75" hidden="1" thickBot="1" x14ac:dyDescent="0.3">
      <c r="A2731" s="243"/>
      <c r="B2731" s="230"/>
      <c r="C2731" s="51"/>
      <c r="D2731" s="151"/>
      <c r="E2731" s="62"/>
      <c r="F2731" s="72" t="s">
        <v>523</v>
      </c>
      <c r="G2731" s="72" t="str">
        <f t="shared" si="47"/>
        <v/>
      </c>
      <c r="H2731" s="73"/>
      <c r="I2731" s="70"/>
      <c r="J2731" s="141">
        <v>0</v>
      </c>
    </row>
    <row r="2732" spans="1:10" ht="15.75" hidden="1" thickBot="1" x14ac:dyDescent="0.3">
      <c r="A2732" s="239" t="s">
        <v>2522</v>
      </c>
      <c r="B2732" s="228" t="str">
        <f>INDEX(Orçamentária!A:B,MATCH(Composições!A2732,Orçamentária!A:A,0),2)</f>
        <v>Espátula forjada de 8 cm</v>
      </c>
      <c r="C2732" s="37"/>
      <c r="D2732" s="22" t="str">
        <f>TRIM(INDEX(Orçamentária!C:C,MATCH(Composições!A2732,Orçamentária!A:A,0),1))</f>
        <v>un</v>
      </c>
      <c r="E2732" s="23"/>
      <c r="F2732" s="45" t="s">
        <v>523</v>
      </c>
      <c r="G2732" s="24" t="str">
        <f t="shared" si="47"/>
        <v/>
      </c>
      <c r="H2732" s="25"/>
      <c r="I2732" s="26"/>
      <c r="J2732" s="141">
        <v>0</v>
      </c>
    </row>
    <row r="2733" spans="1:10" ht="15.75" hidden="1" thickBot="1" x14ac:dyDescent="0.3">
      <c r="A2733" s="242"/>
      <c r="B2733" s="229"/>
      <c r="C2733" s="155"/>
      <c r="D2733" s="155"/>
      <c r="E2733" s="156"/>
      <c r="F2733" s="50" t="s">
        <v>523</v>
      </c>
      <c r="G2733" s="50" t="str">
        <f t="shared" si="47"/>
        <v/>
      </c>
      <c r="H2733" s="69"/>
      <c r="I2733" s="70"/>
      <c r="J2733" s="141">
        <v>0</v>
      </c>
    </row>
    <row r="2734" spans="1:10" ht="15.75" hidden="1" thickBot="1" x14ac:dyDescent="0.3">
      <c r="A2734" s="242"/>
      <c r="B2734" s="229"/>
      <c r="C2734" s="32" t="s">
        <v>7603</v>
      </c>
      <c r="D2734" s="148" t="s">
        <v>20</v>
      </c>
      <c r="E2734" s="149">
        <v>1</v>
      </c>
      <c r="F2734" s="27">
        <v>22.799999999999997</v>
      </c>
      <c r="G2734" s="50">
        <f t="shared" si="47"/>
        <v>22.799999999999997</v>
      </c>
      <c r="H2734" s="35">
        <f>SUM(G2734:G2734)</f>
        <v>22.799999999999997</v>
      </c>
      <c r="I2734" s="36"/>
      <c r="J2734" s="141">
        <v>0</v>
      </c>
    </row>
    <row r="2735" spans="1:10" ht="15.75" hidden="1" thickBot="1" x14ac:dyDescent="0.3">
      <c r="A2735" s="243"/>
      <c r="B2735" s="230"/>
      <c r="C2735" s="51"/>
      <c r="D2735" s="151"/>
      <c r="E2735" s="62"/>
      <c r="F2735" s="72" t="s">
        <v>523</v>
      </c>
      <c r="G2735" s="72" t="str">
        <f t="shared" si="47"/>
        <v/>
      </c>
      <c r="H2735" s="73"/>
      <c r="I2735" s="70"/>
      <c r="J2735" s="141">
        <v>0</v>
      </c>
    </row>
    <row r="2736" spans="1:10" ht="15.75" hidden="1" thickBot="1" x14ac:dyDescent="0.3">
      <c r="A2736" s="225" t="s">
        <v>2524</v>
      </c>
      <c r="B2736" s="228" t="str">
        <f>INDEX(Orçamentária!A:B,MATCH(Composições!A2736,Orçamentária!A:A,0),2)</f>
        <v>Esquadro 300 mm</v>
      </c>
      <c r="C2736" s="37"/>
      <c r="D2736" s="22" t="str">
        <f>TRIM(INDEX(Orçamentária!C:C,MATCH(Composições!A2736,Orçamentária!A:A,0),1))</f>
        <v>un</v>
      </c>
      <c r="E2736" s="23"/>
      <c r="F2736" s="45" t="s">
        <v>523</v>
      </c>
      <c r="G2736" s="24" t="str">
        <f t="shared" si="47"/>
        <v/>
      </c>
      <c r="H2736" s="25"/>
      <c r="I2736" s="26"/>
      <c r="J2736" s="141">
        <v>0</v>
      </c>
    </row>
    <row r="2737" spans="1:10" ht="15.75" hidden="1" thickBot="1" x14ac:dyDescent="0.3">
      <c r="A2737" s="226"/>
      <c r="B2737" s="244"/>
      <c r="C2737" s="155"/>
      <c r="D2737" s="155"/>
      <c r="E2737" s="156"/>
      <c r="F2737" s="50" t="s">
        <v>523</v>
      </c>
      <c r="G2737" s="50" t="str">
        <f t="shared" si="47"/>
        <v/>
      </c>
      <c r="H2737" s="69"/>
      <c r="I2737" s="27"/>
      <c r="J2737" s="141">
        <v>0</v>
      </c>
    </row>
    <row r="2738" spans="1:10" ht="15.75" hidden="1" thickBot="1" x14ac:dyDescent="0.3">
      <c r="A2738" s="226"/>
      <c r="B2738" s="244"/>
      <c r="C2738" s="32" t="s">
        <v>7604</v>
      </c>
      <c r="D2738" s="148" t="s">
        <v>20</v>
      </c>
      <c r="E2738" s="149">
        <v>1</v>
      </c>
      <c r="F2738" s="27">
        <v>36.232999999999997</v>
      </c>
      <c r="G2738" s="50">
        <f t="shared" si="47"/>
        <v>36.232999999999997</v>
      </c>
      <c r="H2738" s="35">
        <f>SUM(G2738:G2738)</f>
        <v>36.232999999999997</v>
      </c>
      <c r="I2738" s="36"/>
      <c r="J2738" s="141">
        <v>0</v>
      </c>
    </row>
    <row r="2739" spans="1:10" ht="15.75" hidden="1" thickBot="1" x14ac:dyDescent="0.3">
      <c r="A2739" s="227"/>
      <c r="B2739" s="230"/>
      <c r="C2739" s="32"/>
      <c r="D2739" s="32"/>
      <c r="E2739" s="33"/>
      <c r="F2739" s="27" t="s">
        <v>523</v>
      </c>
      <c r="G2739" s="30" t="str">
        <f t="shared" si="47"/>
        <v/>
      </c>
      <c r="H2739" s="31"/>
      <c r="I2739" s="27"/>
      <c r="J2739" s="141">
        <v>0</v>
      </c>
    </row>
    <row r="2740" spans="1:10" ht="15.75" hidden="1" thickBot="1" x14ac:dyDescent="0.3">
      <c r="A2740" s="239" t="s">
        <v>2568</v>
      </c>
      <c r="B2740" s="228" t="str">
        <f>INDEX(Orçamentária!A:B,MATCH(Composições!A2740,Orçamentária!A:A,0),2)</f>
        <v>Prumo de centro</v>
      </c>
      <c r="C2740" s="37"/>
      <c r="D2740" s="22" t="str">
        <f>TRIM(INDEX(Orçamentária!C:C,MATCH(Composições!A2740,Orçamentária!A:A,0),1))</f>
        <v>un</v>
      </c>
      <c r="E2740" s="23"/>
      <c r="F2740" s="45" t="s">
        <v>523</v>
      </c>
      <c r="G2740" s="24" t="str">
        <f t="shared" si="47"/>
        <v/>
      </c>
      <c r="H2740" s="25"/>
      <c r="I2740" s="26"/>
      <c r="J2740" s="141">
        <v>0</v>
      </c>
    </row>
    <row r="2741" spans="1:10" ht="15.75" hidden="1" thickBot="1" x14ac:dyDescent="0.3">
      <c r="A2741" s="242"/>
      <c r="B2741" s="229"/>
      <c r="C2741" s="155"/>
      <c r="D2741" s="155"/>
      <c r="E2741" s="156"/>
      <c r="F2741" s="50" t="s">
        <v>523</v>
      </c>
      <c r="G2741" s="50" t="str">
        <f t="shared" si="47"/>
        <v/>
      </c>
      <c r="H2741" s="69"/>
      <c r="I2741" s="70"/>
      <c r="J2741" s="141">
        <v>0</v>
      </c>
    </row>
    <row r="2742" spans="1:10" ht="15.75" hidden="1" thickBot="1" x14ac:dyDescent="0.3">
      <c r="A2742" s="242"/>
      <c r="B2742" s="229"/>
      <c r="C2742" s="32" t="s">
        <v>7631</v>
      </c>
      <c r="D2742" s="148" t="s">
        <v>20</v>
      </c>
      <c r="E2742" s="149">
        <v>1</v>
      </c>
      <c r="F2742" s="27">
        <v>45.828000000000003</v>
      </c>
      <c r="G2742" s="50">
        <f t="shared" si="47"/>
        <v>45.828000000000003</v>
      </c>
      <c r="H2742" s="35">
        <f>SUM(G2742:G2742)</f>
        <v>45.828000000000003</v>
      </c>
      <c r="I2742" s="36"/>
      <c r="J2742" s="141">
        <v>0</v>
      </c>
    </row>
    <row r="2743" spans="1:10" ht="15.75" hidden="1" thickBot="1" x14ac:dyDescent="0.3">
      <c r="A2743" s="243"/>
      <c r="B2743" s="230"/>
      <c r="C2743" s="51"/>
      <c r="D2743" s="151"/>
      <c r="E2743" s="62"/>
      <c r="F2743" s="72" t="s">
        <v>523</v>
      </c>
      <c r="G2743" s="72" t="str">
        <f t="shared" si="47"/>
        <v/>
      </c>
      <c r="H2743" s="73"/>
      <c r="I2743" s="70"/>
      <c r="J2743" s="141">
        <v>0</v>
      </c>
    </row>
    <row r="2744" spans="1:10" ht="15.75" hidden="1" thickBot="1" x14ac:dyDescent="0.3">
      <c r="A2744" s="225" t="s">
        <v>2570</v>
      </c>
      <c r="B2744" s="228" t="str">
        <f>INDEX(Orçamentária!A:B,MATCH(Composições!A2744,Orçamentária!A:A,0),2)</f>
        <v>Prumo de parede</v>
      </c>
      <c r="C2744" s="37"/>
      <c r="D2744" s="22" t="str">
        <f>TRIM(INDEX(Orçamentária!C:C,MATCH(Composições!A2744,Orçamentária!A:A,0),1))</f>
        <v>un</v>
      </c>
      <c r="E2744" s="23"/>
      <c r="F2744" s="45" t="s">
        <v>523</v>
      </c>
      <c r="G2744" s="24" t="str">
        <f t="shared" si="47"/>
        <v/>
      </c>
      <c r="H2744" s="25"/>
      <c r="I2744" s="26"/>
      <c r="J2744" s="141">
        <v>0</v>
      </c>
    </row>
    <row r="2745" spans="1:10" ht="15.75" hidden="1" thickBot="1" x14ac:dyDescent="0.3">
      <c r="A2745" s="226"/>
      <c r="B2745" s="244"/>
      <c r="C2745" s="155"/>
      <c r="D2745" s="155"/>
      <c r="E2745" s="156"/>
      <c r="F2745" s="50" t="s">
        <v>523</v>
      </c>
      <c r="G2745" s="50" t="str">
        <f t="shared" si="47"/>
        <v/>
      </c>
      <c r="H2745" s="69"/>
      <c r="I2745" s="27"/>
      <c r="J2745" s="141">
        <v>0</v>
      </c>
    </row>
    <row r="2746" spans="1:10" ht="15.75" hidden="1" thickBot="1" x14ac:dyDescent="0.3">
      <c r="A2746" s="226"/>
      <c r="B2746" s="244"/>
      <c r="C2746" s="32" t="s">
        <v>7632</v>
      </c>
      <c r="D2746" s="148" t="s">
        <v>20</v>
      </c>
      <c r="E2746" s="149">
        <v>1</v>
      </c>
      <c r="F2746" s="27">
        <v>52.25</v>
      </c>
      <c r="G2746" s="50">
        <f t="shared" si="47"/>
        <v>52.25</v>
      </c>
      <c r="H2746" s="35">
        <f>SUM(G2746:G2746)</f>
        <v>52.25</v>
      </c>
      <c r="I2746" s="36"/>
      <c r="J2746" s="141">
        <v>0</v>
      </c>
    </row>
    <row r="2747" spans="1:10" ht="15.75" hidden="1" thickBot="1" x14ac:dyDescent="0.3">
      <c r="A2747" s="227"/>
      <c r="B2747" s="230"/>
      <c r="C2747" s="32"/>
      <c r="D2747" s="32"/>
      <c r="E2747" s="33"/>
      <c r="F2747" s="27" t="s">
        <v>523</v>
      </c>
      <c r="G2747" s="30" t="str">
        <f t="shared" si="47"/>
        <v/>
      </c>
      <c r="H2747" s="31"/>
      <c r="I2747" s="27"/>
      <c r="J2747" s="141">
        <v>0</v>
      </c>
    </row>
    <row r="2748" spans="1:10" ht="15.75" hidden="1" thickBot="1" x14ac:dyDescent="0.3">
      <c r="A2748" s="225" t="s">
        <v>2573</v>
      </c>
      <c r="B2748" s="228" t="str">
        <f>INDEX(Orçamentária!A:B,MATCH(Composições!A2748,Orçamentária!A:A,0),2)</f>
        <v>Régua de alumínio para pedreiro com 2m</v>
      </c>
      <c r="C2748" s="37"/>
      <c r="D2748" s="22" t="str">
        <f>TRIM(INDEX(Orçamentária!C:C,MATCH(Composições!A2748,Orçamentária!A:A,0),1))</f>
        <v>un</v>
      </c>
      <c r="E2748" s="23"/>
      <c r="F2748" s="45" t="s">
        <v>523</v>
      </c>
      <c r="G2748" s="24" t="str">
        <f t="shared" si="47"/>
        <v/>
      </c>
      <c r="H2748" s="25"/>
      <c r="I2748" s="26"/>
      <c r="J2748" s="141">
        <v>0</v>
      </c>
    </row>
    <row r="2749" spans="1:10" ht="15.75" hidden="1" thickBot="1" x14ac:dyDescent="0.3">
      <c r="A2749" s="226"/>
      <c r="B2749" s="244"/>
      <c r="C2749" s="155"/>
      <c r="D2749" s="155"/>
      <c r="E2749" s="156"/>
      <c r="F2749" s="50" t="s">
        <v>523</v>
      </c>
      <c r="G2749" s="50" t="str">
        <f t="shared" si="47"/>
        <v/>
      </c>
      <c r="H2749" s="69"/>
      <c r="I2749" s="27"/>
      <c r="J2749" s="141">
        <v>0</v>
      </c>
    </row>
    <row r="2750" spans="1:10" ht="15.75" hidden="1" thickBot="1" x14ac:dyDescent="0.3">
      <c r="A2750" s="226"/>
      <c r="B2750" s="244"/>
      <c r="C2750" s="32" t="s">
        <v>7649</v>
      </c>
      <c r="D2750" s="148" t="s">
        <v>93</v>
      </c>
      <c r="E2750" s="149">
        <v>2</v>
      </c>
      <c r="F2750" s="27">
        <v>61.3035</v>
      </c>
      <c r="G2750" s="50">
        <f t="shared" si="47"/>
        <v>122.607</v>
      </c>
      <c r="H2750" s="35">
        <f>SUM(G2750:G2750)</f>
        <v>122.607</v>
      </c>
      <c r="I2750" s="36"/>
      <c r="J2750" s="141">
        <v>0</v>
      </c>
    </row>
    <row r="2751" spans="1:10" ht="15.75" hidden="1" thickBot="1" x14ac:dyDescent="0.3">
      <c r="A2751" s="227"/>
      <c r="B2751" s="230"/>
      <c r="C2751" s="32"/>
      <c r="D2751" s="32"/>
      <c r="E2751" s="33"/>
      <c r="F2751" s="27" t="s">
        <v>523</v>
      </c>
      <c r="G2751" s="30" t="str">
        <f t="shared" si="47"/>
        <v/>
      </c>
      <c r="H2751" s="31"/>
      <c r="I2751" s="27"/>
      <c r="J2751" s="141">
        <v>0</v>
      </c>
    </row>
    <row r="2752" spans="1:10" ht="15.75" hidden="1" thickBot="1" x14ac:dyDescent="0.3">
      <c r="A2752" s="239" t="s">
        <v>2654</v>
      </c>
      <c r="B2752" s="228" t="str">
        <f>INDEX(Orçamentária!A:B,MATCH(Composições!A2752,Orçamentária!A:A,0),2)</f>
        <v>Desempenadeira de aço lisa</v>
      </c>
      <c r="C2752" s="37"/>
      <c r="D2752" s="22" t="str">
        <f>TRIM(INDEX(Orçamentária!C:C,MATCH(Composições!A2752,Orçamentária!A:A,0),1))</f>
        <v>un</v>
      </c>
      <c r="E2752" s="23"/>
      <c r="F2752" s="45" t="s">
        <v>523</v>
      </c>
      <c r="G2752" s="24" t="str">
        <f t="shared" si="47"/>
        <v/>
      </c>
      <c r="H2752" s="25"/>
      <c r="I2752" s="26"/>
      <c r="J2752" s="141">
        <v>0</v>
      </c>
    </row>
    <row r="2753" spans="1:10" ht="15.75" hidden="1" thickBot="1" x14ac:dyDescent="0.3">
      <c r="A2753" s="242"/>
      <c r="B2753" s="229"/>
      <c r="C2753" s="155"/>
      <c r="D2753" s="155"/>
      <c r="E2753" s="156"/>
      <c r="F2753" s="50" t="s">
        <v>523</v>
      </c>
      <c r="G2753" s="50" t="str">
        <f t="shared" si="47"/>
        <v/>
      </c>
      <c r="H2753" s="69"/>
      <c r="I2753" s="70"/>
      <c r="J2753" s="141">
        <v>0</v>
      </c>
    </row>
    <row r="2754" spans="1:10" ht="26.25" hidden="1" thickBot="1" x14ac:dyDescent="0.3">
      <c r="A2754" s="242"/>
      <c r="B2754" s="229"/>
      <c r="C2754" s="32" t="s">
        <v>7599</v>
      </c>
      <c r="D2754" s="148" t="s">
        <v>20</v>
      </c>
      <c r="E2754" s="149">
        <v>1</v>
      </c>
      <c r="F2754" s="27">
        <v>22.8095</v>
      </c>
      <c r="G2754" s="50">
        <f t="shared" si="47"/>
        <v>22.8095</v>
      </c>
      <c r="H2754" s="35">
        <f>SUM(G2754:G2754)</f>
        <v>22.8095</v>
      </c>
      <c r="I2754" s="36"/>
      <c r="J2754" s="141">
        <v>0</v>
      </c>
    </row>
    <row r="2755" spans="1:10" ht="15.75" hidden="1" thickBot="1" x14ac:dyDescent="0.3">
      <c r="A2755" s="243"/>
      <c r="B2755" s="230"/>
      <c r="C2755" s="51"/>
      <c r="D2755" s="151"/>
      <c r="E2755" s="62"/>
      <c r="F2755" s="72" t="s">
        <v>523</v>
      </c>
      <c r="G2755" s="72" t="str">
        <f t="shared" si="47"/>
        <v/>
      </c>
      <c r="H2755" s="73"/>
      <c r="I2755" s="70"/>
      <c r="J2755" s="141">
        <v>0</v>
      </c>
    </row>
    <row r="2756" spans="1:10" ht="15.75" hidden="1" thickBot="1" x14ac:dyDescent="0.3">
      <c r="A2756" s="225" t="s">
        <v>2656</v>
      </c>
      <c r="B2756" s="228" t="str">
        <f>INDEX(Orçamentária!A:B,MATCH(Composições!A2756,Orçamentária!A:A,0),2)</f>
        <v>Desempenadeira estriada em PVC 14 x 27 cm</v>
      </c>
      <c r="C2756" s="37"/>
      <c r="D2756" s="22" t="str">
        <f>TRIM(INDEX(Orçamentária!C:C,MATCH(Composições!A2756,Orçamentária!A:A,0),1))</f>
        <v>un</v>
      </c>
      <c r="E2756" s="23"/>
      <c r="F2756" s="45" t="s">
        <v>523</v>
      </c>
      <c r="G2756" s="24" t="str">
        <f t="shared" si="47"/>
        <v/>
      </c>
      <c r="H2756" s="25"/>
      <c r="I2756" s="26"/>
      <c r="J2756" s="141">
        <v>0</v>
      </c>
    </row>
    <row r="2757" spans="1:10" ht="15.75" hidden="1" thickBot="1" x14ac:dyDescent="0.3">
      <c r="A2757" s="226"/>
      <c r="B2757" s="244"/>
      <c r="C2757" s="155"/>
      <c r="D2757" s="155"/>
      <c r="E2757" s="156"/>
      <c r="F2757" s="50" t="s">
        <v>523</v>
      </c>
      <c r="G2757" s="50" t="str">
        <f t="shared" si="47"/>
        <v/>
      </c>
      <c r="H2757" s="69"/>
      <c r="I2757" s="27"/>
      <c r="J2757" s="141">
        <v>0</v>
      </c>
    </row>
    <row r="2758" spans="1:10" ht="15.75" hidden="1" thickBot="1" x14ac:dyDescent="0.3">
      <c r="A2758" s="226"/>
      <c r="B2758" s="244"/>
      <c r="C2758" s="32" t="s">
        <v>7600</v>
      </c>
      <c r="D2758" s="148" t="s">
        <v>20</v>
      </c>
      <c r="E2758" s="149">
        <v>1</v>
      </c>
      <c r="F2758" s="27">
        <v>18.6295</v>
      </c>
      <c r="G2758" s="50">
        <f t="shared" ref="G2758:G2821" si="48">IF(ISNUMBER(F2758),E2758*F2758,"")</f>
        <v>18.6295</v>
      </c>
      <c r="H2758" s="35">
        <f>SUM(G2758:G2758)</f>
        <v>18.6295</v>
      </c>
      <c r="I2758" s="36"/>
      <c r="J2758" s="141">
        <v>0</v>
      </c>
    </row>
    <row r="2759" spans="1:10" ht="15.75" hidden="1" thickBot="1" x14ac:dyDescent="0.3">
      <c r="A2759" s="227"/>
      <c r="B2759" s="230"/>
      <c r="C2759" s="32"/>
      <c r="D2759" s="32"/>
      <c r="E2759" s="33"/>
      <c r="F2759" s="27" t="s">
        <v>523</v>
      </c>
      <c r="G2759" s="30" t="str">
        <f t="shared" si="48"/>
        <v/>
      </c>
      <c r="H2759" s="31"/>
      <c r="I2759" s="27"/>
      <c r="J2759" s="141">
        <v>0</v>
      </c>
    </row>
    <row r="2760" spans="1:10" ht="15.75" hidden="1" thickBot="1" x14ac:dyDescent="0.3">
      <c r="A2760" s="239" t="s">
        <v>2681</v>
      </c>
      <c r="B2760" s="228" t="str">
        <f>INDEX(Orçamentária!A:B,MATCH(Composições!A2760,Orçamentária!A:A,0),2)</f>
        <v>Bota de PVC</v>
      </c>
      <c r="C2760" s="37"/>
      <c r="D2760" s="22" t="str">
        <f>TRIM(INDEX(Orçamentária!C:C,MATCH(Composições!A2760,Orçamentária!A:A,0),1))</f>
        <v>par</v>
      </c>
      <c r="E2760" s="23"/>
      <c r="F2760" s="45" t="s">
        <v>523</v>
      </c>
      <c r="G2760" s="24" t="str">
        <f t="shared" si="48"/>
        <v/>
      </c>
      <c r="H2760" s="25"/>
      <c r="I2760" s="26"/>
      <c r="J2760" s="141">
        <v>0</v>
      </c>
    </row>
    <row r="2761" spans="1:10" ht="15.75" hidden="1" thickBot="1" x14ac:dyDescent="0.3">
      <c r="A2761" s="242"/>
      <c r="B2761" s="229"/>
      <c r="C2761" s="155"/>
      <c r="D2761" s="155"/>
      <c r="E2761" s="156"/>
      <c r="F2761" s="50" t="s">
        <v>523</v>
      </c>
      <c r="G2761" s="50" t="str">
        <f t="shared" si="48"/>
        <v/>
      </c>
      <c r="H2761" s="69"/>
      <c r="I2761" s="70"/>
      <c r="J2761" s="141">
        <v>0</v>
      </c>
    </row>
    <row r="2762" spans="1:10" ht="15.75" hidden="1" thickBot="1" x14ac:dyDescent="0.3">
      <c r="A2762" s="242"/>
      <c r="B2762" s="229"/>
      <c r="C2762" s="32" t="s">
        <v>7579</v>
      </c>
      <c r="D2762" s="148" t="s">
        <v>1924</v>
      </c>
      <c r="E2762" s="149">
        <v>1</v>
      </c>
      <c r="F2762" s="27">
        <v>42.645499999999998</v>
      </c>
      <c r="G2762" s="50">
        <f t="shared" si="48"/>
        <v>42.645499999999998</v>
      </c>
      <c r="H2762" s="35">
        <f>SUM(G2762:G2762)</f>
        <v>42.645499999999998</v>
      </c>
      <c r="I2762" s="36"/>
      <c r="J2762" s="141">
        <v>0</v>
      </c>
    </row>
    <row r="2763" spans="1:10" ht="15.75" hidden="1" thickBot="1" x14ac:dyDescent="0.3">
      <c r="A2763" s="243"/>
      <c r="B2763" s="230"/>
      <c r="C2763" s="51"/>
      <c r="D2763" s="151"/>
      <c r="E2763" s="62"/>
      <c r="F2763" s="72" t="s">
        <v>523</v>
      </c>
      <c r="G2763" s="72" t="str">
        <f t="shared" si="48"/>
        <v/>
      </c>
      <c r="H2763" s="73"/>
      <c r="I2763" s="70"/>
      <c r="J2763" s="141">
        <v>0</v>
      </c>
    </row>
    <row r="2764" spans="1:10" ht="15.75" hidden="1" thickBot="1" x14ac:dyDescent="0.3">
      <c r="A2764" s="239" t="s">
        <v>2682</v>
      </c>
      <c r="B2764" s="228" t="str">
        <f>INDEX(Orçamentária!A:B,MATCH(Composições!A2764,Orçamentária!A:A,0),2)</f>
        <v>Capa de chuva</v>
      </c>
      <c r="C2764" s="37"/>
      <c r="D2764" s="22" t="str">
        <f>TRIM(INDEX(Orçamentária!C:C,MATCH(Composições!A2764,Orçamentária!A:A,0),1))</f>
        <v>un</v>
      </c>
      <c r="E2764" s="23"/>
      <c r="F2764" s="45" t="s">
        <v>523</v>
      </c>
      <c r="G2764" s="24" t="str">
        <f t="shared" si="48"/>
        <v/>
      </c>
      <c r="H2764" s="25"/>
      <c r="I2764" s="26"/>
      <c r="J2764" s="141">
        <v>0</v>
      </c>
    </row>
    <row r="2765" spans="1:10" ht="15.75" hidden="1" thickBot="1" x14ac:dyDescent="0.3">
      <c r="A2765" s="242"/>
      <c r="B2765" s="229"/>
      <c r="C2765" s="155"/>
      <c r="D2765" s="155"/>
      <c r="E2765" s="156"/>
      <c r="F2765" s="50" t="s">
        <v>523</v>
      </c>
      <c r="G2765" s="50" t="str">
        <f t="shared" si="48"/>
        <v/>
      </c>
      <c r="H2765" s="69"/>
      <c r="I2765" s="70"/>
      <c r="J2765" s="141">
        <v>0</v>
      </c>
    </row>
    <row r="2766" spans="1:10" ht="26.25" hidden="1" thickBot="1" x14ac:dyDescent="0.3">
      <c r="A2766" s="242"/>
      <c r="B2766" s="229"/>
      <c r="C2766" s="32" t="s">
        <v>3266</v>
      </c>
      <c r="D2766" s="148" t="s">
        <v>20</v>
      </c>
      <c r="E2766" s="149">
        <v>1</v>
      </c>
      <c r="F2766" s="27">
        <v>19.247</v>
      </c>
      <c r="G2766" s="50">
        <f t="shared" si="48"/>
        <v>19.247</v>
      </c>
      <c r="H2766" s="35">
        <f>SUM(G2766:G2766)</f>
        <v>19.247</v>
      </c>
      <c r="I2766" s="36"/>
      <c r="J2766" s="141">
        <v>0</v>
      </c>
    </row>
    <row r="2767" spans="1:10" ht="15.75" hidden="1" thickBot="1" x14ac:dyDescent="0.3">
      <c r="A2767" s="243"/>
      <c r="B2767" s="230"/>
      <c r="C2767" s="51"/>
      <c r="D2767" s="151"/>
      <c r="E2767" s="62"/>
      <c r="F2767" s="72" t="s">
        <v>523</v>
      </c>
      <c r="G2767" s="72" t="str">
        <f t="shared" si="48"/>
        <v/>
      </c>
      <c r="H2767" s="73"/>
      <c r="I2767" s="70"/>
      <c r="J2767" s="141">
        <v>0</v>
      </c>
    </row>
    <row r="2768" spans="1:10" ht="15.75" hidden="1" thickBot="1" x14ac:dyDescent="0.3">
      <c r="A2768" s="225" t="s">
        <v>2701</v>
      </c>
      <c r="B2768" s="228" t="str">
        <f>INDEX(Orçamentária!A:B,MATCH(Composições!A2768,Orçamentária!A:A,0),2)</f>
        <v>Talabarte em Y</v>
      </c>
      <c r="C2768" s="37"/>
      <c r="D2768" s="22" t="str">
        <f>TRIM(INDEX(Orçamentária!C:C,MATCH(Composições!A2768,Orçamentária!A:A,0),1))</f>
        <v>un</v>
      </c>
      <c r="E2768" s="23"/>
      <c r="F2768" s="45" t="s">
        <v>523</v>
      </c>
      <c r="G2768" s="24" t="str">
        <f t="shared" si="48"/>
        <v/>
      </c>
      <c r="H2768" s="25"/>
      <c r="I2768" s="26"/>
      <c r="J2768" s="141">
        <v>0</v>
      </c>
    </row>
    <row r="2769" spans="1:10" ht="15.75" hidden="1" thickBot="1" x14ac:dyDescent="0.3">
      <c r="A2769" s="226"/>
      <c r="B2769" s="244"/>
      <c r="C2769" s="155"/>
      <c r="D2769" s="155"/>
      <c r="E2769" s="156"/>
      <c r="F2769" s="50" t="s">
        <v>523</v>
      </c>
      <c r="G2769" s="50" t="str">
        <f t="shared" si="48"/>
        <v/>
      </c>
      <c r="H2769" s="69"/>
      <c r="I2769" s="27"/>
      <c r="J2769" s="141">
        <v>0</v>
      </c>
    </row>
    <row r="2770" spans="1:10" ht="26.25" hidden="1" thickBot="1" x14ac:dyDescent="0.3">
      <c r="A2770" s="226"/>
      <c r="B2770" s="244"/>
      <c r="C2770" s="32" t="s">
        <v>3366</v>
      </c>
      <c r="D2770" s="148" t="s">
        <v>20</v>
      </c>
      <c r="E2770" s="149">
        <v>1</v>
      </c>
      <c r="F2770" s="27">
        <v>198.08449999999999</v>
      </c>
      <c r="G2770" s="50">
        <f t="shared" si="48"/>
        <v>198.08449999999999</v>
      </c>
      <c r="H2770" s="35">
        <f>SUM(G2770:G2770)</f>
        <v>198.08449999999999</v>
      </c>
      <c r="I2770" s="36"/>
      <c r="J2770" s="141">
        <v>0</v>
      </c>
    </row>
    <row r="2771" spans="1:10" ht="15.75" hidden="1" thickBot="1" x14ac:dyDescent="0.3">
      <c r="A2771" s="227"/>
      <c r="B2771" s="230"/>
      <c r="C2771" s="32"/>
      <c r="D2771" s="32"/>
      <c r="E2771" s="33"/>
      <c r="F2771" s="27" t="s">
        <v>523</v>
      </c>
      <c r="G2771" s="30" t="str">
        <f t="shared" si="48"/>
        <v/>
      </c>
      <c r="H2771" s="31"/>
      <c r="I2771" s="27"/>
      <c r="J2771" s="141">
        <v>0</v>
      </c>
    </row>
    <row r="2772" spans="1:10" ht="15.75" hidden="1" thickBot="1" x14ac:dyDescent="0.3">
      <c r="A2772" s="239" t="s">
        <v>2703</v>
      </c>
      <c r="B2772" s="228" t="str">
        <f>INDEX(Orçamentária!A:B,MATCH(Composições!A2768,Orçamentária!A:A,0),2)</f>
        <v>Talabarte em Y</v>
      </c>
      <c r="C2772" s="37"/>
      <c r="D2772" s="22" t="str">
        <f>TRIM(INDEX(Orçamentária!C:C,MATCH(Composições!A2772,Orçamentária!A:A,0),1))</f>
        <v>un</v>
      </c>
      <c r="E2772" s="23"/>
      <c r="F2772" s="45" t="s">
        <v>523</v>
      </c>
      <c r="G2772" s="24" t="str">
        <f t="shared" si="48"/>
        <v/>
      </c>
      <c r="H2772" s="25"/>
      <c r="I2772" s="26"/>
      <c r="J2772" s="141">
        <v>0</v>
      </c>
    </row>
    <row r="2773" spans="1:10" ht="15.75" hidden="1" thickBot="1" x14ac:dyDescent="0.3">
      <c r="A2773" s="242"/>
      <c r="B2773" s="229"/>
      <c r="C2773" s="155"/>
      <c r="D2773" s="155"/>
      <c r="E2773" s="156"/>
      <c r="F2773" s="50" t="s">
        <v>523</v>
      </c>
      <c r="G2773" s="50" t="str">
        <f t="shared" si="48"/>
        <v/>
      </c>
      <c r="H2773" s="69"/>
      <c r="I2773" s="70"/>
      <c r="J2773" s="141">
        <v>0</v>
      </c>
    </row>
    <row r="2774" spans="1:10" ht="26.25" hidden="1" thickBot="1" x14ac:dyDescent="0.3">
      <c r="A2774" s="242"/>
      <c r="B2774" s="229"/>
      <c r="C2774" s="32" t="s">
        <v>3387</v>
      </c>
      <c r="D2774" s="148" t="s">
        <v>20</v>
      </c>
      <c r="E2774" s="149">
        <v>1</v>
      </c>
      <c r="F2774" s="27">
        <v>174.02099999999999</v>
      </c>
      <c r="G2774" s="50">
        <f t="shared" si="48"/>
        <v>174.02099999999999</v>
      </c>
      <c r="H2774" s="35">
        <f>SUM(G2774:G2774)</f>
        <v>174.02099999999999</v>
      </c>
      <c r="I2774" s="36"/>
      <c r="J2774" s="141">
        <v>0</v>
      </c>
    </row>
    <row r="2775" spans="1:10" ht="15.75" hidden="1" thickBot="1" x14ac:dyDescent="0.3">
      <c r="A2775" s="243"/>
      <c r="B2775" s="230"/>
      <c r="C2775" s="51"/>
      <c r="D2775" s="151"/>
      <c r="E2775" s="62"/>
      <c r="F2775" s="72" t="s">
        <v>523</v>
      </c>
      <c r="G2775" s="72" t="str">
        <f t="shared" si="48"/>
        <v/>
      </c>
      <c r="H2775" s="73"/>
      <c r="I2775" s="70"/>
      <c r="J2775" s="141">
        <v>0</v>
      </c>
    </row>
    <row r="2776" spans="1:10" ht="15.75" hidden="1" thickBot="1" x14ac:dyDescent="0.3">
      <c r="A2776" s="225" t="s">
        <v>796</v>
      </c>
      <c r="B2776" s="228" t="str">
        <f>INDEX(Orçamentária!A:B,MATCH(Composições!A2776,Orçamentária!A:A,0),2)</f>
        <v>Instalação de vidro (comum, temperado, aramado ou laminado) reaproveitado</v>
      </c>
      <c r="C2776" s="37"/>
      <c r="D2776" s="22" t="str">
        <f>TRIM(INDEX(Orçamentária!C:C,MATCH(Composições!A2776,Orçamentária!A:A,0),1))</f>
        <v>m2</v>
      </c>
      <c r="E2776" s="23"/>
      <c r="F2776" s="38" t="s">
        <v>523</v>
      </c>
      <c r="G2776" s="24" t="str">
        <f t="shared" si="48"/>
        <v/>
      </c>
      <c r="H2776" s="25"/>
      <c r="I2776" s="26"/>
      <c r="J2776" s="141">
        <v>0</v>
      </c>
    </row>
    <row r="2777" spans="1:10" ht="15.75" hidden="1" thickBot="1" x14ac:dyDescent="0.3">
      <c r="A2777" s="226"/>
      <c r="B2777" s="244"/>
      <c r="C2777" s="28"/>
      <c r="D2777" s="28"/>
      <c r="E2777" s="29"/>
      <c r="F2777" s="39" t="s">
        <v>523</v>
      </c>
      <c r="G2777" s="30" t="str">
        <f t="shared" si="48"/>
        <v/>
      </c>
      <c r="H2777" s="31"/>
      <c r="I2777" s="27"/>
      <c r="J2777" s="141">
        <v>0</v>
      </c>
    </row>
    <row r="2778" spans="1:10" ht="15.75" hidden="1" thickBot="1" x14ac:dyDescent="0.3">
      <c r="A2778" s="226"/>
      <c r="B2778" s="244"/>
      <c r="C2778" s="32" t="s">
        <v>68</v>
      </c>
      <c r="D2778" s="43" t="s">
        <v>12</v>
      </c>
      <c r="E2778" s="33">
        <v>1</v>
      </c>
      <c r="F2778" s="27">
        <v>22.961500000000001</v>
      </c>
      <c r="G2778" s="30">
        <f t="shared" si="48"/>
        <v>22.961500000000001</v>
      </c>
      <c r="H2778" s="35">
        <f>SUM(G2778:G2779)</f>
        <v>34.912500000000001</v>
      </c>
      <c r="I2778" s="36"/>
      <c r="J2778" s="141">
        <v>0</v>
      </c>
    </row>
    <row r="2779" spans="1:10" ht="15.75" hidden="1" thickBot="1" x14ac:dyDescent="0.3">
      <c r="A2779" s="226"/>
      <c r="B2779" s="244"/>
      <c r="C2779" s="32" t="s">
        <v>289</v>
      </c>
      <c r="D2779" s="32" t="s">
        <v>797</v>
      </c>
      <c r="E2779" s="33">
        <v>2</v>
      </c>
      <c r="F2779" s="30">
        <v>5.9754999999999994</v>
      </c>
      <c r="G2779" s="30">
        <f t="shared" si="48"/>
        <v>11.950999999999999</v>
      </c>
      <c r="H2779" s="31"/>
      <c r="I2779" s="27"/>
      <c r="J2779" s="141">
        <v>0</v>
      </c>
    </row>
    <row r="2780" spans="1:10" ht="15.75" hidden="1" thickBot="1" x14ac:dyDescent="0.3">
      <c r="A2780" s="227"/>
      <c r="B2780" s="230"/>
      <c r="C2780" s="32"/>
      <c r="D2780" s="32"/>
      <c r="E2780" s="33"/>
      <c r="F2780" s="27" t="s">
        <v>523</v>
      </c>
      <c r="G2780" s="30" t="str">
        <f t="shared" si="48"/>
        <v/>
      </c>
      <c r="H2780" s="31"/>
      <c r="I2780" s="27"/>
      <c r="J2780" s="141">
        <v>0</v>
      </c>
    </row>
    <row r="2781" spans="1:10" ht="15.75" hidden="1" thickBot="1" x14ac:dyDescent="0.3">
      <c r="A2781" s="225" t="s">
        <v>798</v>
      </c>
      <c r="B2781" s="228" t="str">
        <f>INDEX(Orçamentária!A:B,MATCH(Composições!A2781,Orçamentária!A:A,0),2)</f>
        <v>Vidro temperado incolor com 8mm de espessura</v>
      </c>
      <c r="C2781" s="37"/>
      <c r="D2781" s="22" t="str">
        <f>TRIM(INDEX(Orçamentária!C:C,MATCH(Composições!A2781,Orçamentária!A:A,0),1))</f>
        <v>m2</v>
      </c>
      <c r="E2781" s="23"/>
      <c r="F2781" s="38" t="s">
        <v>523</v>
      </c>
      <c r="G2781" s="24" t="str">
        <f t="shared" si="48"/>
        <v/>
      </c>
      <c r="H2781" s="25"/>
      <c r="I2781" s="26"/>
      <c r="J2781" s="141">
        <v>0</v>
      </c>
    </row>
    <row r="2782" spans="1:10" ht="15.75" hidden="1" thickBot="1" x14ac:dyDescent="0.3">
      <c r="A2782" s="226"/>
      <c r="B2782" s="244"/>
      <c r="C2782" s="28"/>
      <c r="D2782" s="28"/>
      <c r="E2782" s="29"/>
      <c r="F2782" s="39" t="s">
        <v>523</v>
      </c>
      <c r="G2782" s="30" t="str">
        <f t="shared" si="48"/>
        <v/>
      </c>
      <c r="H2782" s="31"/>
      <c r="I2782" s="27"/>
      <c r="J2782" s="141">
        <v>0</v>
      </c>
    </row>
    <row r="2783" spans="1:10" ht="15.75" hidden="1" thickBot="1" x14ac:dyDescent="0.3">
      <c r="A2783" s="226"/>
      <c r="B2783" s="244"/>
      <c r="C2783" s="32" t="s">
        <v>801</v>
      </c>
      <c r="D2783" s="32" t="s">
        <v>995</v>
      </c>
      <c r="E2783" s="33">
        <v>1</v>
      </c>
      <c r="F2783" s="30">
        <v>169.8125</v>
      </c>
      <c r="G2783" s="30">
        <f t="shared" si="48"/>
        <v>169.8125</v>
      </c>
      <c r="H2783" s="35">
        <f>SUM(G2783:G2789)</f>
        <v>281.72709800000001</v>
      </c>
      <c r="I2783" s="36"/>
      <c r="J2783" s="141">
        <v>0</v>
      </c>
    </row>
    <row r="2784" spans="1:10" ht="39" hidden="1" thickBot="1" x14ac:dyDescent="0.3">
      <c r="A2784" s="226"/>
      <c r="B2784" s="244"/>
      <c r="C2784" s="32" t="s">
        <v>3257</v>
      </c>
      <c r="D2784" s="32" t="s">
        <v>280</v>
      </c>
      <c r="E2784" s="33">
        <v>1.913</v>
      </c>
      <c r="F2784" s="30">
        <v>0.38949999999999996</v>
      </c>
      <c r="G2784" s="30">
        <f t="shared" si="48"/>
        <v>0.74511349999999998</v>
      </c>
      <c r="H2784" s="31"/>
      <c r="I2784" s="27"/>
      <c r="J2784" s="141">
        <v>0</v>
      </c>
    </row>
    <row r="2785" spans="1:10" ht="15.75" hidden="1" thickBot="1" x14ac:dyDescent="0.3">
      <c r="A2785" s="226"/>
      <c r="B2785" s="244"/>
      <c r="C2785" s="32" t="s">
        <v>837</v>
      </c>
      <c r="D2785" s="32" t="s">
        <v>901</v>
      </c>
      <c r="E2785" s="33">
        <v>0.83899999999999997</v>
      </c>
      <c r="F2785" s="30">
        <v>41.192</v>
      </c>
      <c r="G2785" s="30">
        <f t="shared" si="48"/>
        <v>34.560088</v>
      </c>
      <c r="H2785" s="31"/>
      <c r="I2785" s="27"/>
      <c r="J2785" s="141">
        <v>0</v>
      </c>
    </row>
    <row r="2786" spans="1:10" ht="26.25" hidden="1" thickBot="1" x14ac:dyDescent="0.3">
      <c r="A2786" s="226"/>
      <c r="B2786" s="244"/>
      <c r="C2786" s="32" t="s">
        <v>3326</v>
      </c>
      <c r="D2786" s="32" t="s">
        <v>480</v>
      </c>
      <c r="E2786" s="33">
        <v>2.605</v>
      </c>
      <c r="F2786" s="30">
        <v>2.5554999999999999</v>
      </c>
      <c r="G2786" s="30">
        <f t="shared" si="48"/>
        <v>6.6570774999999998</v>
      </c>
      <c r="H2786" s="31"/>
      <c r="I2786" s="27"/>
      <c r="J2786" s="141">
        <v>0</v>
      </c>
    </row>
    <row r="2787" spans="1:10" ht="15.75" hidden="1" thickBot="1" x14ac:dyDescent="0.3">
      <c r="A2787" s="226"/>
      <c r="B2787" s="244"/>
      <c r="C2787" s="32" t="s">
        <v>1130</v>
      </c>
      <c r="D2787" s="32" t="s">
        <v>280</v>
      </c>
      <c r="E2787" s="33">
        <v>0.34599999999999997</v>
      </c>
      <c r="F2787" s="30">
        <v>23.693000000000001</v>
      </c>
      <c r="G2787" s="30">
        <f t="shared" si="48"/>
        <v>8.1977779999999996</v>
      </c>
      <c r="H2787" s="31"/>
      <c r="I2787" s="27"/>
      <c r="J2787" s="141">
        <v>0</v>
      </c>
    </row>
    <row r="2788" spans="1:10" ht="15.75" hidden="1" thickBot="1" x14ac:dyDescent="0.3">
      <c r="A2788" s="226"/>
      <c r="B2788" s="244"/>
      <c r="C2788" s="32" t="s">
        <v>706</v>
      </c>
      <c r="D2788" s="32" t="s">
        <v>705</v>
      </c>
      <c r="E2788" s="33">
        <v>1.4690000000000001</v>
      </c>
      <c r="F2788" s="30">
        <v>18.420500000000001</v>
      </c>
      <c r="G2788" s="30">
        <f t="shared" si="48"/>
        <v>27.059714500000002</v>
      </c>
      <c r="H2788" s="31"/>
      <c r="I2788" s="27"/>
      <c r="J2788" s="141">
        <v>0</v>
      </c>
    </row>
    <row r="2789" spans="1:10" ht="15.75" hidden="1" thickBot="1" x14ac:dyDescent="0.3">
      <c r="A2789" s="226"/>
      <c r="B2789" s="244"/>
      <c r="C2789" s="32" t="s">
        <v>3244</v>
      </c>
      <c r="D2789" s="32" t="s">
        <v>705</v>
      </c>
      <c r="E2789" s="33">
        <v>1.5109999999999999</v>
      </c>
      <c r="F2789" s="30">
        <v>22.961500000000001</v>
      </c>
      <c r="G2789" s="30">
        <f t="shared" si="48"/>
        <v>34.694826499999998</v>
      </c>
      <c r="H2789" s="31"/>
      <c r="I2789" s="27"/>
      <c r="J2789" s="141">
        <v>0</v>
      </c>
    </row>
    <row r="2790" spans="1:10" ht="15.75" hidden="1" thickBot="1" x14ac:dyDescent="0.3">
      <c r="A2790" s="227"/>
      <c r="B2790" s="230"/>
      <c r="C2790" s="32"/>
      <c r="D2790" s="32"/>
      <c r="E2790" s="33"/>
      <c r="F2790" s="27" t="s">
        <v>523</v>
      </c>
      <c r="G2790" s="30" t="str">
        <f t="shared" si="48"/>
        <v/>
      </c>
      <c r="H2790" s="31"/>
      <c r="I2790" s="27"/>
      <c r="J2790" s="141">
        <v>0</v>
      </c>
    </row>
    <row r="2791" spans="1:10" ht="15.75" hidden="1" thickBot="1" x14ac:dyDescent="0.3">
      <c r="A2791" s="225" t="s">
        <v>800</v>
      </c>
      <c r="B2791" s="228" t="str">
        <f>INDEX(Orçamentária!A:B,MATCH(Composições!A2791,Orçamentária!A:A,0),2)</f>
        <v>Vidro liso comum transparente 5mm</v>
      </c>
      <c r="C2791" s="37"/>
      <c r="D2791" s="22" t="str">
        <f>TRIM(INDEX(Orçamentária!C:C,MATCH(Composições!A2791,Orçamentária!A:A,0),1))</f>
        <v>m2</v>
      </c>
      <c r="E2791" s="23"/>
      <c r="F2791" s="38" t="s">
        <v>523</v>
      </c>
      <c r="G2791" s="24" t="str">
        <f t="shared" si="48"/>
        <v/>
      </c>
      <c r="H2791" s="25"/>
      <c r="I2791" s="26"/>
      <c r="J2791" s="141">
        <v>0</v>
      </c>
    </row>
    <row r="2792" spans="1:10" ht="15.75" hidden="1" thickBot="1" x14ac:dyDescent="0.3">
      <c r="A2792" s="226"/>
      <c r="B2792" s="244"/>
      <c r="C2792" s="28"/>
      <c r="D2792" s="28"/>
      <c r="E2792" s="29"/>
      <c r="F2792" s="39" t="s">
        <v>523</v>
      </c>
      <c r="G2792" s="30" t="str">
        <f t="shared" si="48"/>
        <v/>
      </c>
      <c r="H2792" s="31"/>
      <c r="I2792" s="27"/>
      <c r="J2792" s="141">
        <v>0</v>
      </c>
    </row>
    <row r="2793" spans="1:10" ht="15.75" hidden="1" thickBot="1" x14ac:dyDescent="0.3">
      <c r="A2793" s="226"/>
      <c r="B2793" s="244"/>
      <c r="C2793" s="32" t="s">
        <v>68</v>
      </c>
      <c r="D2793" s="43" t="s">
        <v>12</v>
      </c>
      <c r="E2793" s="33">
        <v>1</v>
      </c>
      <c r="F2793" s="30">
        <v>22.961500000000001</v>
      </c>
      <c r="G2793" s="30">
        <f t="shared" si="48"/>
        <v>22.961500000000001</v>
      </c>
      <c r="H2793" s="35">
        <f>SUM(G2793:G2795)</f>
        <v>144.5615</v>
      </c>
      <c r="I2793" s="36"/>
      <c r="J2793" s="141">
        <v>0</v>
      </c>
    </row>
    <row r="2794" spans="1:10" ht="15.75" hidden="1" thickBot="1" x14ac:dyDescent="0.3">
      <c r="A2794" s="226"/>
      <c r="B2794" s="244"/>
      <c r="C2794" s="32" t="s">
        <v>289</v>
      </c>
      <c r="D2794" s="43" t="s">
        <v>797</v>
      </c>
      <c r="E2794" s="33">
        <v>2</v>
      </c>
      <c r="F2794" s="27">
        <v>5.9754999999999994</v>
      </c>
      <c r="G2794" s="30">
        <f t="shared" si="48"/>
        <v>11.950999999999999</v>
      </c>
      <c r="H2794" s="31"/>
      <c r="I2794" s="27"/>
      <c r="J2794" s="141">
        <v>0</v>
      </c>
    </row>
    <row r="2795" spans="1:10" ht="15.75" hidden="1" thickBot="1" x14ac:dyDescent="0.3">
      <c r="A2795" s="226"/>
      <c r="B2795" s="244"/>
      <c r="C2795" s="32" t="s">
        <v>799</v>
      </c>
      <c r="D2795" s="32" t="s">
        <v>95</v>
      </c>
      <c r="E2795" s="33">
        <v>1</v>
      </c>
      <c r="F2795" s="27">
        <v>109.649</v>
      </c>
      <c r="G2795" s="30">
        <f t="shared" si="48"/>
        <v>109.649</v>
      </c>
      <c r="H2795" s="31"/>
      <c r="I2795" s="27"/>
      <c r="J2795" s="141">
        <v>0</v>
      </c>
    </row>
    <row r="2796" spans="1:10" ht="15.75" hidden="1" thickBot="1" x14ac:dyDescent="0.3">
      <c r="A2796" s="227"/>
      <c r="B2796" s="230"/>
      <c r="C2796" s="32"/>
      <c r="D2796" s="32"/>
      <c r="E2796" s="33"/>
      <c r="F2796" s="27" t="s">
        <v>523</v>
      </c>
      <c r="G2796" s="30" t="str">
        <f t="shared" si="48"/>
        <v/>
      </c>
      <c r="H2796" s="31"/>
      <c r="I2796" s="27"/>
      <c r="J2796" s="141">
        <v>0</v>
      </c>
    </row>
    <row r="2797" spans="1:10" ht="15.75" hidden="1" thickBot="1" x14ac:dyDescent="0.3">
      <c r="A2797" s="225" t="s">
        <v>2710</v>
      </c>
      <c r="B2797" s="228" t="str">
        <f>INDEX(Orçamentária!A:B,MATCH(Composições!A2797,Orçamentária!A:A,0),2)</f>
        <v>Corte em vidro ou espelho reaproveitado</v>
      </c>
      <c r="C2797" s="37"/>
      <c r="D2797" s="22" t="str">
        <f>TRIM(INDEX(Orçamentária!C:C,MATCH(Composições!A2797,Orçamentária!A:A,0),1))</f>
        <v>m</v>
      </c>
      <c r="E2797" s="23"/>
      <c r="F2797" s="38" t="s">
        <v>523</v>
      </c>
      <c r="G2797" s="24" t="str">
        <f t="shared" si="48"/>
        <v/>
      </c>
      <c r="H2797" s="25"/>
      <c r="I2797" s="26"/>
      <c r="J2797" s="141">
        <v>0</v>
      </c>
    </row>
    <row r="2798" spans="1:10" ht="15.75" hidden="1" thickBot="1" x14ac:dyDescent="0.3">
      <c r="A2798" s="226"/>
      <c r="B2798" s="244"/>
      <c r="C2798" s="28"/>
      <c r="D2798" s="28"/>
      <c r="E2798" s="29"/>
      <c r="F2798" s="39" t="s">
        <v>523</v>
      </c>
      <c r="G2798" s="30" t="str">
        <f t="shared" si="48"/>
        <v/>
      </c>
      <c r="H2798" s="31"/>
      <c r="I2798" s="27"/>
      <c r="J2798" s="141">
        <v>0</v>
      </c>
    </row>
    <row r="2799" spans="1:10" ht="15.75" hidden="1" thickBot="1" x14ac:dyDescent="0.3">
      <c r="A2799" s="226"/>
      <c r="B2799" s="244"/>
      <c r="C2799" s="32" t="s">
        <v>68</v>
      </c>
      <c r="D2799" s="43" t="s">
        <v>12</v>
      </c>
      <c r="E2799" s="33">
        <v>0.5</v>
      </c>
      <c r="F2799" s="27">
        <v>22.961500000000001</v>
      </c>
      <c r="G2799" s="30">
        <f t="shared" si="48"/>
        <v>11.48075</v>
      </c>
      <c r="H2799" s="35">
        <f>SUM(G2799:G2800)</f>
        <v>20.691000000000003</v>
      </c>
      <c r="I2799" s="36"/>
      <c r="J2799" s="141">
        <v>0</v>
      </c>
    </row>
    <row r="2800" spans="1:10" ht="15.75" hidden="1" thickBot="1" x14ac:dyDescent="0.3">
      <c r="A2800" s="226"/>
      <c r="B2800" s="244"/>
      <c r="C2800" s="32" t="s">
        <v>23</v>
      </c>
      <c r="D2800" s="43" t="s">
        <v>12</v>
      </c>
      <c r="E2800" s="33">
        <v>0.5</v>
      </c>
      <c r="F2800" s="27">
        <v>18.420500000000001</v>
      </c>
      <c r="G2800" s="30">
        <f t="shared" si="48"/>
        <v>9.2102500000000003</v>
      </c>
      <c r="H2800" s="31"/>
      <c r="I2800" s="27"/>
      <c r="J2800" s="141">
        <v>0</v>
      </c>
    </row>
    <row r="2801" spans="1:10" ht="15.75" hidden="1" thickBot="1" x14ac:dyDescent="0.3">
      <c r="A2801" s="227"/>
      <c r="B2801" s="230"/>
      <c r="C2801" s="32"/>
      <c r="D2801" s="32"/>
      <c r="E2801" s="33"/>
      <c r="F2801" s="27" t="s">
        <v>523</v>
      </c>
      <c r="G2801" s="30" t="str">
        <f t="shared" si="48"/>
        <v/>
      </c>
      <c r="H2801" s="31"/>
      <c r="I2801" s="27"/>
      <c r="J2801" s="141">
        <v>0</v>
      </c>
    </row>
    <row r="2802" spans="1:10" ht="15.75" hidden="1" thickBot="1" x14ac:dyDescent="0.3">
      <c r="A2802" s="225" t="s">
        <v>2712</v>
      </c>
      <c r="B2802" s="228" t="str">
        <f>INDEX(Orçamentária!A:B,MATCH(Composições!A2802,Orçamentária!A:A,0),2)</f>
        <v>Lapidação de vidro / espelho reaproveitado</v>
      </c>
      <c r="C2802" s="37"/>
      <c r="D2802" s="22" t="str">
        <f>TRIM(INDEX(Orçamentária!C:C,MATCH(Composições!A2802,Orçamentária!A:A,0),1))</f>
        <v>m</v>
      </c>
      <c r="E2802" s="23"/>
      <c r="F2802" s="38" t="s">
        <v>523</v>
      </c>
      <c r="G2802" s="24" t="str">
        <f t="shared" si="48"/>
        <v/>
      </c>
      <c r="H2802" s="25"/>
      <c r="I2802" s="26"/>
      <c r="J2802" s="141">
        <v>0</v>
      </c>
    </row>
    <row r="2803" spans="1:10" ht="15.75" hidden="1" thickBot="1" x14ac:dyDescent="0.3">
      <c r="A2803" s="226"/>
      <c r="B2803" s="244"/>
      <c r="C2803" s="28"/>
      <c r="D2803" s="28"/>
      <c r="E2803" s="29"/>
      <c r="F2803" s="39" t="s">
        <v>523</v>
      </c>
      <c r="G2803" s="30" t="str">
        <f t="shared" si="48"/>
        <v/>
      </c>
      <c r="H2803" s="31"/>
      <c r="I2803" s="27"/>
      <c r="J2803" s="141">
        <v>0</v>
      </c>
    </row>
    <row r="2804" spans="1:10" ht="15.75" hidden="1" thickBot="1" x14ac:dyDescent="0.3">
      <c r="A2804" s="226"/>
      <c r="B2804" s="244"/>
      <c r="C2804" s="32" t="s">
        <v>68</v>
      </c>
      <c r="D2804" s="43" t="s">
        <v>12</v>
      </c>
      <c r="E2804" s="33">
        <v>0.75</v>
      </c>
      <c r="F2804" s="27">
        <v>22.961500000000001</v>
      </c>
      <c r="G2804" s="30">
        <f t="shared" si="48"/>
        <v>17.221125000000001</v>
      </c>
      <c r="H2804" s="35">
        <f>SUM(G2804:G2805)</f>
        <v>31.0365</v>
      </c>
      <c r="I2804" s="36"/>
      <c r="J2804" s="141">
        <v>0</v>
      </c>
    </row>
    <row r="2805" spans="1:10" ht="15.75" hidden="1" thickBot="1" x14ac:dyDescent="0.3">
      <c r="A2805" s="226"/>
      <c r="B2805" s="244"/>
      <c r="C2805" s="32" t="s">
        <v>23</v>
      </c>
      <c r="D2805" s="43" t="s">
        <v>12</v>
      </c>
      <c r="E2805" s="33">
        <v>0.75</v>
      </c>
      <c r="F2805" s="27">
        <v>18.420500000000001</v>
      </c>
      <c r="G2805" s="30">
        <f t="shared" si="48"/>
        <v>13.815375</v>
      </c>
      <c r="H2805" s="31"/>
      <c r="I2805" s="27"/>
      <c r="J2805" s="141">
        <v>0</v>
      </c>
    </row>
    <row r="2806" spans="1:10" ht="15.75" hidden="1" thickBot="1" x14ac:dyDescent="0.3">
      <c r="A2806" s="227"/>
      <c r="B2806" s="230"/>
      <c r="C2806" s="32"/>
      <c r="D2806" s="32"/>
      <c r="E2806" s="33"/>
      <c r="F2806" s="27" t="s">
        <v>523</v>
      </c>
      <c r="G2806" s="30" t="str">
        <f t="shared" si="48"/>
        <v/>
      </c>
      <c r="H2806" s="31"/>
      <c r="I2806" s="27"/>
      <c r="J2806" s="141">
        <v>0</v>
      </c>
    </row>
    <row r="2807" spans="1:10" ht="15.75" hidden="1" thickBot="1" x14ac:dyDescent="0.3">
      <c r="A2807" s="225" t="s">
        <v>802</v>
      </c>
      <c r="B2807" s="228" t="str">
        <f>INDEX(Orçamentária!A:B,MATCH(Composições!A2807,Orçamentária!A:A,0),2)</f>
        <v>Vidro temperado incolor com 10 mm de espessura</v>
      </c>
      <c r="C2807" s="37"/>
      <c r="D2807" s="22" t="str">
        <f>TRIM(INDEX(Orçamentária!C:C,MATCH(Composições!A2807,Orçamentária!A:A,0),1))</f>
        <v>m2</v>
      </c>
      <c r="E2807" s="23"/>
      <c r="F2807" s="38" t="s">
        <v>523</v>
      </c>
      <c r="G2807" s="24" t="str">
        <f t="shared" si="48"/>
        <v/>
      </c>
      <c r="H2807" s="25"/>
      <c r="I2807" s="26"/>
      <c r="J2807" s="141">
        <v>0</v>
      </c>
    </row>
    <row r="2808" spans="1:10" ht="15.75" hidden="1" thickBot="1" x14ac:dyDescent="0.3">
      <c r="A2808" s="226"/>
      <c r="B2808" s="244"/>
      <c r="C2808" s="28"/>
      <c r="D2808" s="28"/>
      <c r="E2808" s="29"/>
      <c r="F2808" s="39" t="s">
        <v>523</v>
      </c>
      <c r="G2808" s="30" t="str">
        <f t="shared" si="48"/>
        <v/>
      </c>
      <c r="H2808" s="31"/>
      <c r="I2808" s="27"/>
      <c r="J2808" s="141">
        <v>0</v>
      </c>
    </row>
    <row r="2809" spans="1:10" ht="15.75" hidden="1" thickBot="1" x14ac:dyDescent="0.3">
      <c r="A2809" s="226"/>
      <c r="B2809" s="244"/>
      <c r="C2809" s="32" t="s">
        <v>803</v>
      </c>
      <c r="D2809" s="32" t="s">
        <v>995</v>
      </c>
      <c r="E2809" s="33">
        <v>1</v>
      </c>
      <c r="F2809" s="30">
        <v>220.45699999999999</v>
      </c>
      <c r="G2809" s="30">
        <f t="shared" si="48"/>
        <v>220.45699999999999</v>
      </c>
      <c r="H2809" s="35">
        <f>SUM(G2809:G2815)</f>
        <v>323.13057750000002</v>
      </c>
      <c r="I2809" s="36"/>
      <c r="J2809" s="141">
        <v>0</v>
      </c>
    </row>
    <row r="2810" spans="1:10" ht="39" hidden="1" thickBot="1" x14ac:dyDescent="0.3">
      <c r="A2810" s="226"/>
      <c r="B2810" s="244"/>
      <c r="C2810" s="32" t="s">
        <v>3257</v>
      </c>
      <c r="D2810" s="32" t="s">
        <v>280</v>
      </c>
      <c r="E2810" s="33">
        <v>1.7050000000000001</v>
      </c>
      <c r="F2810" s="30">
        <v>0.38949999999999996</v>
      </c>
      <c r="G2810" s="30">
        <f t="shared" si="48"/>
        <v>0.66409750000000001</v>
      </c>
      <c r="H2810" s="31"/>
      <c r="I2810" s="27"/>
      <c r="J2810" s="141">
        <v>0</v>
      </c>
    </row>
    <row r="2811" spans="1:10" ht="15.75" hidden="1" thickBot="1" x14ac:dyDescent="0.3">
      <c r="A2811" s="226"/>
      <c r="B2811" s="244"/>
      <c r="C2811" s="32" t="s">
        <v>837</v>
      </c>
      <c r="D2811" s="32" t="s">
        <v>901</v>
      </c>
      <c r="E2811" s="33">
        <v>0.748</v>
      </c>
      <c r="F2811" s="30">
        <v>41.192</v>
      </c>
      <c r="G2811" s="30">
        <f t="shared" si="48"/>
        <v>30.811616000000001</v>
      </c>
      <c r="H2811" s="31"/>
      <c r="I2811" s="27"/>
      <c r="J2811" s="141">
        <v>0</v>
      </c>
    </row>
    <row r="2812" spans="1:10" ht="26.25" hidden="1" thickBot="1" x14ac:dyDescent="0.3">
      <c r="A2812" s="226"/>
      <c r="B2812" s="244"/>
      <c r="C2812" s="32" t="s">
        <v>3326</v>
      </c>
      <c r="D2812" s="32" t="s">
        <v>480</v>
      </c>
      <c r="E2812" s="33">
        <v>2.3220000000000001</v>
      </c>
      <c r="F2812" s="30">
        <v>2.5554999999999999</v>
      </c>
      <c r="G2812" s="30">
        <f t="shared" si="48"/>
        <v>5.9338709999999999</v>
      </c>
      <c r="H2812" s="31"/>
      <c r="I2812" s="27"/>
      <c r="J2812" s="141">
        <v>0</v>
      </c>
    </row>
    <row r="2813" spans="1:10" ht="15.75" hidden="1" thickBot="1" x14ac:dyDescent="0.3">
      <c r="A2813" s="226"/>
      <c r="B2813" s="244"/>
      <c r="C2813" s="32" t="s">
        <v>1130</v>
      </c>
      <c r="D2813" s="32" t="s">
        <v>280</v>
      </c>
      <c r="E2813" s="33">
        <v>0.309</v>
      </c>
      <c r="F2813" s="30">
        <v>23.693000000000001</v>
      </c>
      <c r="G2813" s="30">
        <f t="shared" si="48"/>
        <v>7.3211370000000002</v>
      </c>
      <c r="H2813" s="31"/>
      <c r="I2813" s="27"/>
      <c r="J2813" s="141">
        <v>0</v>
      </c>
    </row>
    <row r="2814" spans="1:10" ht="15.75" hidden="1" thickBot="1" x14ac:dyDescent="0.3">
      <c r="A2814" s="226"/>
      <c r="B2814" s="244"/>
      <c r="C2814" s="32" t="s">
        <v>706</v>
      </c>
      <c r="D2814" s="32" t="s">
        <v>705</v>
      </c>
      <c r="E2814" s="33">
        <v>1.3779999999999999</v>
      </c>
      <c r="F2814" s="27">
        <v>18.420500000000001</v>
      </c>
      <c r="G2814" s="30">
        <f t="shared" si="48"/>
        <v>25.383448999999999</v>
      </c>
      <c r="H2814" s="31"/>
      <c r="I2814" s="27"/>
      <c r="J2814" s="141">
        <v>0</v>
      </c>
    </row>
    <row r="2815" spans="1:10" ht="15.75" hidden="1" thickBot="1" x14ac:dyDescent="0.3">
      <c r="A2815" s="226"/>
      <c r="B2815" s="244"/>
      <c r="C2815" s="32" t="s">
        <v>3244</v>
      </c>
      <c r="D2815" s="32" t="s">
        <v>705</v>
      </c>
      <c r="E2815" s="33">
        <v>1.4179999999999999</v>
      </c>
      <c r="F2815" s="27">
        <v>22.961500000000001</v>
      </c>
      <c r="G2815" s="30">
        <f t="shared" si="48"/>
        <v>32.559407</v>
      </c>
      <c r="H2815" s="31"/>
      <c r="I2815" s="27"/>
      <c r="J2815" s="141">
        <v>0</v>
      </c>
    </row>
    <row r="2816" spans="1:10" ht="15.75" hidden="1" thickBot="1" x14ac:dyDescent="0.3">
      <c r="A2816" s="227"/>
      <c r="B2816" s="230"/>
      <c r="C2816" s="32"/>
      <c r="D2816" s="32"/>
      <c r="E2816" s="33"/>
      <c r="F2816" s="27" t="s">
        <v>523</v>
      </c>
      <c r="G2816" s="30" t="str">
        <f t="shared" si="48"/>
        <v/>
      </c>
      <c r="H2816" s="31"/>
      <c r="I2816" s="27"/>
      <c r="J2816" s="141">
        <v>0</v>
      </c>
    </row>
    <row r="2817" spans="1:10" ht="15.75" hidden="1" thickBot="1" x14ac:dyDescent="0.3">
      <c r="A2817" s="225" t="s">
        <v>804</v>
      </c>
      <c r="B2817" s="228" t="str">
        <f>INDEX(Orçamentária!A:B,MATCH(Composições!A2817,Orçamentária!A:A,0),2)</f>
        <v>Bucha para pivô de dobradiça para vidro temperado</v>
      </c>
      <c r="C2817" s="37"/>
      <c r="D2817" s="22" t="str">
        <f>TRIM(INDEX(Orçamentária!C:C,MATCH(Composições!A2817,Orçamentária!A:A,0),1))</f>
        <v>un</v>
      </c>
      <c r="E2817" s="23"/>
      <c r="F2817" s="38" t="s">
        <v>523</v>
      </c>
      <c r="G2817" s="24" t="str">
        <f t="shared" si="48"/>
        <v/>
      </c>
      <c r="H2817" s="25"/>
      <c r="I2817" s="26"/>
      <c r="J2817" s="141">
        <v>0</v>
      </c>
    </row>
    <row r="2818" spans="1:10" ht="15.75" hidden="1" thickBot="1" x14ac:dyDescent="0.3">
      <c r="A2818" s="226"/>
      <c r="B2818" s="244"/>
      <c r="C2818" s="28"/>
      <c r="D2818" s="28"/>
      <c r="E2818" s="29"/>
      <c r="F2818" s="39" t="s">
        <v>523</v>
      </c>
      <c r="G2818" s="30" t="str">
        <f t="shared" si="48"/>
        <v/>
      </c>
      <c r="H2818" s="31"/>
      <c r="I2818" s="27"/>
      <c r="J2818" s="141">
        <v>0</v>
      </c>
    </row>
    <row r="2819" spans="1:10" ht="15.75" hidden="1" thickBot="1" x14ac:dyDescent="0.3">
      <c r="A2819" s="226"/>
      <c r="B2819" s="244"/>
      <c r="C2819" s="32" t="s">
        <v>68</v>
      </c>
      <c r="D2819" s="32" t="s">
        <v>12</v>
      </c>
      <c r="E2819" s="33">
        <v>0.15</v>
      </c>
      <c r="F2819" s="30">
        <v>22.961500000000001</v>
      </c>
      <c r="G2819" s="30">
        <f t="shared" si="48"/>
        <v>3.4442249999999999</v>
      </c>
      <c r="H2819" s="35">
        <f>SUM(G2819:G2820)</f>
        <v>3.4442249999999999</v>
      </c>
      <c r="I2819" s="36"/>
      <c r="J2819" s="141">
        <v>0</v>
      </c>
    </row>
    <row r="2820" spans="1:10" ht="26.25" hidden="1" thickBot="1" x14ac:dyDescent="0.3">
      <c r="A2820" s="226"/>
      <c r="B2820" s="244"/>
      <c r="C2820" s="32" t="s">
        <v>805</v>
      </c>
      <c r="D2820" s="32" t="s">
        <v>20</v>
      </c>
      <c r="E2820" s="33">
        <v>1</v>
      </c>
      <c r="F2820" s="27">
        <v>0</v>
      </c>
      <c r="G2820" s="30">
        <f t="shared" si="48"/>
        <v>0</v>
      </c>
      <c r="H2820" s="31"/>
      <c r="I2820" s="27"/>
      <c r="J2820" s="141">
        <v>0</v>
      </c>
    </row>
    <row r="2821" spans="1:10" ht="15.75" hidden="1" thickBot="1" x14ac:dyDescent="0.3">
      <c r="A2821" s="227"/>
      <c r="B2821" s="230"/>
      <c r="C2821" s="32"/>
      <c r="D2821" s="32"/>
      <c r="E2821" s="33"/>
      <c r="F2821" s="27" t="s">
        <v>523</v>
      </c>
      <c r="G2821" s="30" t="str">
        <f t="shared" si="48"/>
        <v/>
      </c>
      <c r="H2821" s="31"/>
      <c r="I2821" s="27"/>
      <c r="J2821" s="141">
        <v>0</v>
      </c>
    </row>
    <row r="2822" spans="1:10" ht="15.75" hidden="1" thickBot="1" x14ac:dyDescent="0.3">
      <c r="A2822" s="225" t="s">
        <v>806</v>
      </c>
      <c r="B2822" s="228" t="str">
        <f>INDEX(Orçamentária!A:B,MATCH(Composições!A2822,Orçamentária!A:A,0),2)</f>
        <v>Suporte para bandeira de vidro temperado, com ponto de giro para dobradiça</v>
      </c>
      <c r="C2822" s="37"/>
      <c r="D2822" s="22" t="str">
        <f>TRIM(INDEX(Orçamentária!C:C,MATCH(Composições!A2822,Orçamentária!A:A,0),1))</f>
        <v>un</v>
      </c>
      <c r="E2822" s="23"/>
      <c r="F2822" s="38" t="s">
        <v>523</v>
      </c>
      <c r="G2822" s="24" t="str">
        <f t="shared" ref="G2822:G2885" si="49">IF(ISNUMBER(F2822),E2822*F2822,"")</f>
        <v/>
      </c>
      <c r="H2822" s="25"/>
      <c r="I2822" s="26"/>
      <c r="J2822" s="141">
        <v>0</v>
      </c>
    </row>
    <row r="2823" spans="1:10" ht="15.75" hidden="1" thickBot="1" x14ac:dyDescent="0.3">
      <c r="A2823" s="226"/>
      <c r="B2823" s="244"/>
      <c r="C2823" s="28"/>
      <c r="D2823" s="28"/>
      <c r="E2823" s="29"/>
      <c r="F2823" s="39" t="s">
        <v>523</v>
      </c>
      <c r="G2823" s="30" t="str">
        <f t="shared" si="49"/>
        <v/>
      </c>
      <c r="H2823" s="31"/>
      <c r="I2823" s="27"/>
      <c r="J2823" s="141">
        <v>0</v>
      </c>
    </row>
    <row r="2824" spans="1:10" ht="15.75" hidden="1" thickBot="1" x14ac:dyDescent="0.3">
      <c r="A2824" s="226"/>
      <c r="B2824" s="244"/>
      <c r="C2824" s="32" t="s">
        <v>68</v>
      </c>
      <c r="D2824" s="43" t="s">
        <v>12</v>
      </c>
      <c r="E2824" s="33">
        <v>0.3</v>
      </c>
      <c r="F2824" s="30">
        <v>22.961500000000001</v>
      </c>
      <c r="G2824" s="30">
        <f t="shared" si="49"/>
        <v>6.8884499999999997</v>
      </c>
      <c r="H2824" s="35">
        <f>SUM(G2824:G2825)</f>
        <v>6.8884499999999997</v>
      </c>
      <c r="I2824" s="36"/>
      <c r="J2824" s="141">
        <v>0</v>
      </c>
    </row>
    <row r="2825" spans="1:10" ht="26.25" hidden="1" thickBot="1" x14ac:dyDescent="0.3">
      <c r="A2825" s="226"/>
      <c r="B2825" s="244"/>
      <c r="C2825" s="32" t="s">
        <v>807</v>
      </c>
      <c r="D2825" s="43" t="s">
        <v>20</v>
      </c>
      <c r="E2825" s="33">
        <v>1</v>
      </c>
      <c r="F2825" s="27">
        <v>0</v>
      </c>
      <c r="G2825" s="30">
        <f t="shared" si="49"/>
        <v>0</v>
      </c>
      <c r="H2825" s="31"/>
      <c r="I2825" s="27"/>
      <c r="J2825" s="141">
        <v>0</v>
      </c>
    </row>
    <row r="2826" spans="1:10" ht="15.75" hidden="1" thickBot="1" x14ac:dyDescent="0.3">
      <c r="A2826" s="227"/>
      <c r="B2826" s="230"/>
      <c r="C2826" s="32"/>
      <c r="D2826" s="32"/>
      <c r="E2826" s="33"/>
      <c r="F2826" s="27" t="s">
        <v>523</v>
      </c>
      <c r="G2826" s="30" t="str">
        <f t="shared" si="49"/>
        <v/>
      </c>
      <c r="H2826" s="31"/>
      <c r="I2826" s="27"/>
      <c r="J2826" s="141">
        <v>0</v>
      </c>
    </row>
    <row r="2827" spans="1:10" ht="15.75" hidden="1" thickBot="1" x14ac:dyDescent="0.3">
      <c r="A2827" s="225" t="s">
        <v>808</v>
      </c>
      <c r="B2827" s="228" t="str">
        <f>INDEX(Orçamentária!A:B,MATCH(Composições!A2827,Orçamentária!A:A,0),2)</f>
        <v>Suporte de canto, simples, para vidro temperado</v>
      </c>
      <c r="C2827" s="37"/>
      <c r="D2827" s="22" t="str">
        <f>TRIM(INDEX(Orçamentária!C:C,MATCH(Composições!A2827,Orçamentária!A:A,0),1))</f>
        <v>un</v>
      </c>
      <c r="E2827" s="23"/>
      <c r="F2827" s="38" t="s">
        <v>523</v>
      </c>
      <c r="G2827" s="24" t="str">
        <f t="shared" si="49"/>
        <v/>
      </c>
      <c r="H2827" s="25"/>
      <c r="I2827" s="26"/>
      <c r="J2827" s="141">
        <v>0</v>
      </c>
    </row>
    <row r="2828" spans="1:10" ht="15.75" hidden="1" thickBot="1" x14ac:dyDescent="0.3">
      <c r="A2828" s="226"/>
      <c r="B2828" s="244"/>
      <c r="C2828" s="28"/>
      <c r="D2828" s="28"/>
      <c r="E2828" s="29"/>
      <c r="F2828" s="39" t="s">
        <v>523</v>
      </c>
      <c r="G2828" s="30" t="str">
        <f t="shared" si="49"/>
        <v/>
      </c>
      <c r="H2828" s="31"/>
      <c r="I2828" s="27"/>
      <c r="J2828" s="141">
        <v>0</v>
      </c>
    </row>
    <row r="2829" spans="1:10" ht="15.75" hidden="1" thickBot="1" x14ac:dyDescent="0.3">
      <c r="A2829" s="226"/>
      <c r="B2829" s="244"/>
      <c r="C2829" s="32" t="s">
        <v>68</v>
      </c>
      <c r="D2829" s="32" t="s">
        <v>12</v>
      </c>
      <c r="E2829" s="33">
        <v>0.15</v>
      </c>
      <c r="F2829" s="30">
        <v>22.961500000000001</v>
      </c>
      <c r="G2829" s="30">
        <f t="shared" si="49"/>
        <v>3.4442249999999999</v>
      </c>
      <c r="H2829" s="35">
        <f>SUM(G2829:G2830)</f>
        <v>3.4442249999999999</v>
      </c>
      <c r="I2829" s="36"/>
      <c r="J2829" s="141">
        <v>0</v>
      </c>
    </row>
    <row r="2830" spans="1:10" ht="26.25" hidden="1" thickBot="1" x14ac:dyDescent="0.3">
      <c r="A2830" s="226"/>
      <c r="B2830" s="244"/>
      <c r="C2830" s="32" t="s">
        <v>809</v>
      </c>
      <c r="D2830" s="32" t="s">
        <v>20</v>
      </c>
      <c r="E2830" s="33">
        <v>1</v>
      </c>
      <c r="F2830" s="27">
        <v>0</v>
      </c>
      <c r="G2830" s="30">
        <f t="shared" si="49"/>
        <v>0</v>
      </c>
      <c r="H2830" s="31"/>
      <c r="I2830" s="27"/>
      <c r="J2830" s="141">
        <v>0</v>
      </c>
    </row>
    <row r="2831" spans="1:10" ht="15.75" hidden="1" thickBot="1" x14ac:dyDescent="0.3">
      <c r="A2831" s="227"/>
      <c r="B2831" s="230"/>
      <c r="C2831" s="32"/>
      <c r="D2831" s="32"/>
      <c r="E2831" s="33"/>
      <c r="F2831" s="27" t="s">
        <v>523</v>
      </c>
      <c r="G2831" s="30" t="str">
        <f t="shared" si="49"/>
        <v/>
      </c>
      <c r="H2831" s="31"/>
      <c r="I2831" s="27"/>
      <c r="J2831" s="141">
        <v>0</v>
      </c>
    </row>
    <row r="2832" spans="1:10" ht="15.75" hidden="1" thickBot="1" x14ac:dyDescent="0.3">
      <c r="A2832" s="225" t="s">
        <v>810</v>
      </c>
      <c r="B2832" s="228" t="str">
        <f>INDEX(Orçamentária!A:B,MATCH(Composições!A2832,Orçamentária!A:A,0),2)</f>
        <v>Suporte de união, sem batedor, para dois ou três vidros temperados</v>
      </c>
      <c r="C2832" s="37"/>
      <c r="D2832" s="22" t="str">
        <f>TRIM(INDEX(Orçamentária!C:C,MATCH(Composições!A2832,Orçamentária!A:A,0),1))</f>
        <v>un</v>
      </c>
      <c r="E2832" s="23"/>
      <c r="F2832" s="38" t="s">
        <v>523</v>
      </c>
      <c r="G2832" s="24" t="str">
        <f t="shared" si="49"/>
        <v/>
      </c>
      <c r="H2832" s="25"/>
      <c r="I2832" s="26"/>
      <c r="J2832" s="141">
        <v>0</v>
      </c>
    </row>
    <row r="2833" spans="1:10" ht="15.75" hidden="1" thickBot="1" x14ac:dyDescent="0.3">
      <c r="A2833" s="226"/>
      <c r="B2833" s="244"/>
      <c r="C2833" s="28"/>
      <c r="D2833" s="28"/>
      <c r="E2833" s="29"/>
      <c r="F2833" s="39" t="s">
        <v>523</v>
      </c>
      <c r="G2833" s="30" t="str">
        <f t="shared" si="49"/>
        <v/>
      </c>
      <c r="H2833" s="31"/>
      <c r="I2833" s="27"/>
      <c r="J2833" s="141">
        <v>0</v>
      </c>
    </row>
    <row r="2834" spans="1:10" ht="15.75" hidden="1" thickBot="1" x14ac:dyDescent="0.3">
      <c r="A2834" s="226"/>
      <c r="B2834" s="244"/>
      <c r="C2834" s="32" t="s">
        <v>68</v>
      </c>
      <c r="D2834" s="32" t="s">
        <v>12</v>
      </c>
      <c r="E2834" s="33">
        <v>0.3</v>
      </c>
      <c r="F2834" s="30">
        <v>22.961500000000001</v>
      </c>
      <c r="G2834" s="30">
        <f t="shared" si="49"/>
        <v>6.8884499999999997</v>
      </c>
      <c r="H2834" s="35">
        <f>SUM(G2834:G2835)</f>
        <v>6.8884499999999997</v>
      </c>
      <c r="I2834" s="36"/>
      <c r="J2834" s="141">
        <v>0</v>
      </c>
    </row>
    <row r="2835" spans="1:10" ht="26.25" hidden="1" thickBot="1" x14ac:dyDescent="0.3">
      <c r="A2835" s="226"/>
      <c r="B2835" s="244"/>
      <c r="C2835" s="32" t="s">
        <v>811</v>
      </c>
      <c r="D2835" s="32" t="s">
        <v>20</v>
      </c>
      <c r="E2835" s="33">
        <v>1</v>
      </c>
      <c r="F2835" s="27">
        <v>0</v>
      </c>
      <c r="G2835" s="30">
        <f t="shared" si="49"/>
        <v>0</v>
      </c>
      <c r="H2835" s="31"/>
      <c r="I2835" s="27"/>
      <c r="J2835" s="141">
        <v>0</v>
      </c>
    </row>
    <row r="2836" spans="1:10" ht="15.75" hidden="1" thickBot="1" x14ac:dyDescent="0.3">
      <c r="A2836" s="226"/>
      <c r="B2836" s="244"/>
      <c r="C2836" s="32"/>
      <c r="D2836" s="32"/>
      <c r="E2836" s="33"/>
      <c r="F2836" s="27" t="s">
        <v>523</v>
      </c>
      <c r="G2836" s="30" t="str">
        <f t="shared" si="49"/>
        <v/>
      </c>
      <c r="H2836" s="31"/>
      <c r="I2836" s="27"/>
      <c r="J2836" s="141">
        <v>0</v>
      </c>
    </row>
    <row r="2837" spans="1:10" ht="39.75" hidden="1" thickBot="1" x14ac:dyDescent="0.3">
      <c r="A2837" s="226"/>
      <c r="B2837" s="244"/>
      <c r="C2837" s="135" t="s">
        <v>812</v>
      </c>
      <c r="D2837" s="32"/>
      <c r="E2837" s="33"/>
      <c r="F2837" s="27" t="s">
        <v>523</v>
      </c>
      <c r="G2837" s="30" t="str">
        <f t="shared" si="49"/>
        <v/>
      </c>
      <c r="H2837" s="31"/>
      <c r="I2837" s="27"/>
      <c r="J2837" s="141">
        <v>0</v>
      </c>
    </row>
    <row r="2838" spans="1:10" ht="15.75" hidden="1" thickBot="1" x14ac:dyDescent="0.3">
      <c r="A2838" s="227"/>
      <c r="B2838" s="230"/>
      <c r="C2838" s="32"/>
      <c r="D2838" s="32"/>
      <c r="E2838" s="33"/>
      <c r="F2838" s="27" t="s">
        <v>523</v>
      </c>
      <c r="G2838" s="30" t="str">
        <f t="shared" si="49"/>
        <v/>
      </c>
      <c r="H2838" s="31"/>
      <c r="I2838" s="27"/>
      <c r="J2838" s="141">
        <v>0</v>
      </c>
    </row>
    <row r="2839" spans="1:10" ht="15.75" hidden="1" thickBot="1" x14ac:dyDescent="0.3">
      <c r="A2839" s="225" t="s">
        <v>813</v>
      </c>
      <c r="B2839" s="228" t="str">
        <f>INDEX(Orçamentária!A:B,MATCH(Composições!A2839,Orçamentária!A:A,0),2)</f>
        <v>Botão de correção para vidro temperado</v>
      </c>
      <c r="C2839" s="37"/>
      <c r="D2839" s="22" t="str">
        <f>TRIM(INDEX(Orçamentária!C:C,MATCH(Composições!A2839,Orçamentária!A:A,0),1))</f>
        <v>un</v>
      </c>
      <c r="E2839" s="23"/>
      <c r="F2839" s="38" t="s">
        <v>523</v>
      </c>
      <c r="G2839" s="24" t="str">
        <f t="shared" si="49"/>
        <v/>
      </c>
      <c r="H2839" s="25"/>
      <c r="I2839" s="26"/>
      <c r="J2839" s="141">
        <v>0</v>
      </c>
    </row>
    <row r="2840" spans="1:10" ht="15.75" hidden="1" thickBot="1" x14ac:dyDescent="0.3">
      <c r="A2840" s="226"/>
      <c r="B2840" s="244"/>
      <c r="C2840" s="28"/>
      <c r="D2840" s="28"/>
      <c r="E2840" s="29"/>
      <c r="F2840" s="39" t="s">
        <v>523</v>
      </c>
      <c r="G2840" s="30" t="str">
        <f t="shared" si="49"/>
        <v/>
      </c>
      <c r="H2840" s="31"/>
      <c r="I2840" s="27"/>
      <c r="J2840" s="141">
        <v>0</v>
      </c>
    </row>
    <row r="2841" spans="1:10" ht="15.75" hidden="1" thickBot="1" x14ac:dyDescent="0.3">
      <c r="A2841" s="226"/>
      <c r="B2841" s="244"/>
      <c r="C2841" s="32" t="s">
        <v>68</v>
      </c>
      <c r="D2841" s="32" t="s">
        <v>12</v>
      </c>
      <c r="E2841" s="33">
        <v>0.15</v>
      </c>
      <c r="F2841" s="30">
        <v>22.961500000000001</v>
      </c>
      <c r="G2841" s="30">
        <f t="shared" si="49"/>
        <v>3.4442249999999999</v>
      </c>
      <c r="H2841" s="35">
        <f>SUM(G2841:G2842)</f>
        <v>3.4442249999999999</v>
      </c>
      <c r="I2841" s="36"/>
      <c r="J2841" s="141">
        <v>0</v>
      </c>
    </row>
    <row r="2842" spans="1:10" ht="15.75" hidden="1" thickBot="1" x14ac:dyDescent="0.3">
      <c r="A2842" s="226"/>
      <c r="B2842" s="244"/>
      <c r="C2842" s="32" t="s">
        <v>814</v>
      </c>
      <c r="D2842" s="32" t="s">
        <v>20</v>
      </c>
      <c r="E2842" s="33">
        <v>1</v>
      </c>
      <c r="F2842" s="27">
        <v>0</v>
      </c>
      <c r="G2842" s="30">
        <f t="shared" si="49"/>
        <v>0</v>
      </c>
      <c r="H2842" s="31"/>
      <c r="I2842" s="27"/>
      <c r="J2842" s="141">
        <v>0</v>
      </c>
    </row>
    <row r="2843" spans="1:10" ht="15.75" hidden="1" thickBot="1" x14ac:dyDescent="0.3">
      <c r="A2843" s="227"/>
      <c r="B2843" s="230"/>
      <c r="C2843" s="32"/>
      <c r="D2843" s="32"/>
      <c r="E2843" s="33"/>
      <c r="F2843" s="27" t="s">
        <v>523</v>
      </c>
      <c r="G2843" s="30" t="str">
        <f t="shared" si="49"/>
        <v/>
      </c>
      <c r="H2843" s="31"/>
      <c r="I2843" s="27"/>
      <c r="J2843" s="141">
        <v>0</v>
      </c>
    </row>
    <row r="2844" spans="1:10" ht="15.75" hidden="1" thickBot="1" x14ac:dyDescent="0.3">
      <c r="A2844" s="225" t="s">
        <v>815</v>
      </c>
      <c r="B2844" s="228" t="str">
        <f>INDEX(Orçamentária!A:B,MATCH(Composições!A2844,Orçamentária!A:A,0),2)</f>
        <v>Fechadura bico-de-papagaio, com furo, para vidro temperado</v>
      </c>
      <c r="C2844" s="37"/>
      <c r="D2844" s="22" t="str">
        <f>TRIM(INDEX(Orçamentária!C:C,MATCH(Composições!A2844,Orçamentária!A:A,0),1))</f>
        <v>un</v>
      </c>
      <c r="E2844" s="23"/>
      <c r="F2844" s="38" t="s">
        <v>523</v>
      </c>
      <c r="G2844" s="24" t="str">
        <f t="shared" si="49"/>
        <v/>
      </c>
      <c r="H2844" s="25"/>
      <c r="I2844" s="26"/>
      <c r="J2844" s="141">
        <v>0</v>
      </c>
    </row>
    <row r="2845" spans="1:10" ht="15.75" hidden="1" thickBot="1" x14ac:dyDescent="0.3">
      <c r="A2845" s="226"/>
      <c r="B2845" s="244"/>
      <c r="C2845" s="28"/>
      <c r="D2845" s="28"/>
      <c r="E2845" s="29"/>
      <c r="F2845" s="39" t="s">
        <v>523</v>
      </c>
      <c r="G2845" s="30" t="str">
        <f t="shared" si="49"/>
        <v/>
      </c>
      <c r="H2845" s="31"/>
      <c r="I2845" s="27"/>
      <c r="J2845" s="141">
        <v>0</v>
      </c>
    </row>
    <row r="2846" spans="1:10" ht="15.75" hidden="1" thickBot="1" x14ac:dyDescent="0.3">
      <c r="A2846" s="226"/>
      <c r="B2846" s="244"/>
      <c r="C2846" s="32" t="s">
        <v>68</v>
      </c>
      <c r="D2846" s="32" t="s">
        <v>12</v>
      </c>
      <c r="E2846" s="33">
        <v>0.4</v>
      </c>
      <c r="F2846" s="30">
        <v>22.961500000000001</v>
      </c>
      <c r="G2846" s="30">
        <f t="shared" si="49"/>
        <v>9.1846000000000014</v>
      </c>
      <c r="H2846" s="35">
        <f>SUM(G2846:G2847)</f>
        <v>9.1846000000000014</v>
      </c>
      <c r="I2846" s="36"/>
      <c r="J2846" s="141">
        <v>0</v>
      </c>
    </row>
    <row r="2847" spans="1:10" ht="26.25" hidden="1" thickBot="1" x14ac:dyDescent="0.3">
      <c r="A2847" s="226"/>
      <c r="B2847" s="244"/>
      <c r="C2847" s="32" t="s">
        <v>816</v>
      </c>
      <c r="D2847" s="32" t="s">
        <v>20</v>
      </c>
      <c r="E2847" s="33">
        <v>1</v>
      </c>
      <c r="F2847" s="27" t="s">
        <v>523</v>
      </c>
      <c r="G2847" s="30" t="str">
        <f t="shared" si="49"/>
        <v/>
      </c>
      <c r="H2847" s="31"/>
      <c r="I2847" s="27"/>
      <c r="J2847" s="141">
        <v>0</v>
      </c>
    </row>
    <row r="2848" spans="1:10" ht="15.75" hidden="1" thickBot="1" x14ac:dyDescent="0.3">
      <c r="A2848" s="227"/>
      <c r="B2848" s="230"/>
      <c r="C2848" s="32"/>
      <c r="D2848" s="32"/>
      <c r="E2848" s="33"/>
      <c r="F2848" s="27" t="s">
        <v>523</v>
      </c>
      <c r="G2848" s="30" t="str">
        <f t="shared" si="49"/>
        <v/>
      </c>
      <c r="H2848" s="31"/>
      <c r="I2848" s="27"/>
      <c r="J2848" s="141">
        <v>0</v>
      </c>
    </row>
    <row r="2849" spans="1:10" ht="15.75" hidden="1" thickBot="1" x14ac:dyDescent="0.3">
      <c r="A2849" s="225" t="s">
        <v>817</v>
      </c>
      <c r="B2849" s="228" t="str">
        <f>INDEX(Orçamentária!A:B,MATCH(Composições!A2849,Orçamentária!A:A,0),2)</f>
        <v>Fechadura bico-de-papagaio, com furo, para janela de vidro temperado</v>
      </c>
      <c r="C2849" s="37"/>
      <c r="D2849" s="22" t="str">
        <f>TRIM(INDEX(Orçamentária!C:C,MATCH(Composições!A2849,Orçamentária!A:A,0),1))</f>
        <v>un</v>
      </c>
      <c r="E2849" s="23"/>
      <c r="F2849" s="38" t="s">
        <v>523</v>
      </c>
      <c r="G2849" s="24" t="str">
        <f t="shared" si="49"/>
        <v/>
      </c>
      <c r="H2849" s="25"/>
      <c r="I2849" s="26"/>
      <c r="J2849" s="141">
        <v>0</v>
      </c>
    </row>
    <row r="2850" spans="1:10" ht="15.75" hidden="1" thickBot="1" x14ac:dyDescent="0.3">
      <c r="A2850" s="226"/>
      <c r="B2850" s="244"/>
      <c r="C2850" s="28"/>
      <c r="D2850" s="28"/>
      <c r="E2850" s="29"/>
      <c r="F2850" s="39" t="s">
        <v>523</v>
      </c>
      <c r="G2850" s="30" t="str">
        <f t="shared" si="49"/>
        <v/>
      </c>
      <c r="H2850" s="31"/>
      <c r="I2850" s="27"/>
      <c r="J2850" s="141">
        <v>0</v>
      </c>
    </row>
    <row r="2851" spans="1:10" ht="15.75" hidden="1" thickBot="1" x14ac:dyDescent="0.3">
      <c r="A2851" s="226"/>
      <c r="B2851" s="244"/>
      <c r="C2851" s="32" t="s">
        <v>68</v>
      </c>
      <c r="D2851" s="32" t="s">
        <v>12</v>
      </c>
      <c r="E2851" s="33">
        <v>0.4</v>
      </c>
      <c r="F2851" s="30">
        <v>22.961500000000001</v>
      </c>
      <c r="G2851" s="30">
        <f t="shared" si="49"/>
        <v>9.1846000000000014</v>
      </c>
      <c r="H2851" s="35">
        <f>SUM(G2851:G2852)</f>
        <v>9.1846000000000014</v>
      </c>
      <c r="I2851" s="36"/>
      <c r="J2851" s="141">
        <v>0</v>
      </c>
    </row>
    <row r="2852" spans="1:10" ht="26.25" hidden="1" thickBot="1" x14ac:dyDescent="0.3">
      <c r="A2852" s="226"/>
      <c r="B2852" s="244"/>
      <c r="C2852" s="32" t="s">
        <v>818</v>
      </c>
      <c r="D2852" s="32" t="s">
        <v>20</v>
      </c>
      <c r="E2852" s="33">
        <v>1</v>
      </c>
      <c r="F2852" s="27" t="s">
        <v>523</v>
      </c>
      <c r="G2852" s="30" t="str">
        <f t="shared" si="49"/>
        <v/>
      </c>
      <c r="H2852" s="31"/>
      <c r="I2852" s="27"/>
      <c r="J2852" s="141">
        <v>0</v>
      </c>
    </row>
    <row r="2853" spans="1:10" ht="15.75" hidden="1" thickBot="1" x14ac:dyDescent="0.3">
      <c r="A2853" s="227"/>
      <c r="B2853" s="230"/>
      <c r="C2853" s="32"/>
      <c r="D2853" s="32"/>
      <c r="E2853" s="33"/>
      <c r="F2853" s="27" t="s">
        <v>523</v>
      </c>
      <c r="G2853" s="30" t="str">
        <f t="shared" si="49"/>
        <v/>
      </c>
      <c r="H2853" s="31"/>
      <c r="I2853" s="27"/>
      <c r="J2853" s="141">
        <v>0</v>
      </c>
    </row>
    <row r="2854" spans="1:10" ht="15.75" hidden="1" thickBot="1" x14ac:dyDescent="0.3">
      <c r="A2854" s="225" t="s">
        <v>819</v>
      </c>
      <c r="B2854" s="228" t="str">
        <f>INDEX(Orçamentária!A:B,MATCH(Composições!A2854,Orçamentária!A:A,0),2)</f>
        <v>Fechadura para porta de abrir de vidro temperado</v>
      </c>
      <c r="C2854" s="37"/>
      <c r="D2854" s="22" t="str">
        <f>TRIM(INDEX(Orçamentária!C:C,MATCH(Composições!A2854,Orçamentária!A:A,0),1))</f>
        <v>un</v>
      </c>
      <c r="E2854" s="23"/>
      <c r="F2854" s="38" t="s">
        <v>523</v>
      </c>
      <c r="G2854" s="24" t="str">
        <f t="shared" si="49"/>
        <v/>
      </c>
      <c r="H2854" s="25"/>
      <c r="I2854" s="26"/>
      <c r="J2854" s="141">
        <v>0</v>
      </c>
    </row>
    <row r="2855" spans="1:10" ht="15.75" hidden="1" thickBot="1" x14ac:dyDescent="0.3">
      <c r="A2855" s="226"/>
      <c r="B2855" s="244"/>
      <c r="C2855" s="28"/>
      <c r="D2855" s="28"/>
      <c r="E2855" s="29"/>
      <c r="F2855" s="39" t="s">
        <v>523</v>
      </c>
      <c r="G2855" s="30" t="str">
        <f t="shared" si="49"/>
        <v/>
      </c>
      <c r="H2855" s="31"/>
      <c r="I2855" s="27"/>
      <c r="J2855" s="141">
        <v>0</v>
      </c>
    </row>
    <row r="2856" spans="1:10" ht="15.75" hidden="1" thickBot="1" x14ac:dyDescent="0.3">
      <c r="A2856" s="226"/>
      <c r="B2856" s="244"/>
      <c r="C2856" s="32" t="s">
        <v>68</v>
      </c>
      <c r="D2856" s="32" t="s">
        <v>12</v>
      </c>
      <c r="E2856" s="33">
        <v>0.4</v>
      </c>
      <c r="F2856" s="30">
        <v>22.961500000000001</v>
      </c>
      <c r="G2856" s="30">
        <f t="shared" si="49"/>
        <v>9.1846000000000014</v>
      </c>
      <c r="H2856" s="35">
        <f>SUM(G2856:G2857)</f>
        <v>9.1846000000000014</v>
      </c>
      <c r="I2856" s="36"/>
      <c r="J2856" s="141">
        <v>0</v>
      </c>
    </row>
    <row r="2857" spans="1:10" ht="26.25" hidden="1" thickBot="1" x14ac:dyDescent="0.3">
      <c r="A2857" s="226"/>
      <c r="B2857" s="244"/>
      <c r="C2857" s="32" t="s">
        <v>820</v>
      </c>
      <c r="D2857" s="32" t="s">
        <v>20</v>
      </c>
      <c r="E2857" s="33">
        <v>1</v>
      </c>
      <c r="F2857" s="27" t="s">
        <v>523</v>
      </c>
      <c r="G2857" s="30" t="str">
        <f t="shared" si="49"/>
        <v/>
      </c>
      <c r="H2857" s="31"/>
      <c r="I2857" s="27"/>
      <c r="J2857" s="141">
        <v>0</v>
      </c>
    </row>
    <row r="2858" spans="1:10" ht="15.75" hidden="1" thickBot="1" x14ac:dyDescent="0.3">
      <c r="A2858" s="227"/>
      <c r="B2858" s="230"/>
      <c r="C2858" s="32"/>
      <c r="D2858" s="32"/>
      <c r="E2858" s="33"/>
      <c r="F2858" s="27" t="s">
        <v>523</v>
      </c>
      <c r="G2858" s="30" t="str">
        <f t="shared" si="49"/>
        <v/>
      </c>
      <c r="H2858" s="31"/>
      <c r="I2858" s="27"/>
      <c r="J2858" s="141">
        <v>0</v>
      </c>
    </row>
    <row r="2859" spans="1:10" ht="15.75" hidden="1" thickBot="1" x14ac:dyDescent="0.3">
      <c r="A2859" s="225" t="s">
        <v>821</v>
      </c>
      <c r="B2859" s="228" t="str">
        <f>INDEX(Orçamentária!A:B,MATCH(Composições!A2859,Orçamentária!A:A,0),2)</f>
        <v>Contra fechadura, para alvenaria, para porta com fechadura 1520/9520</v>
      </c>
      <c r="C2859" s="37"/>
      <c r="D2859" s="22" t="str">
        <f>TRIM(INDEX(Orçamentária!C:C,MATCH(Composições!A2859,Orçamentária!A:A,0),1))</f>
        <v>un</v>
      </c>
      <c r="E2859" s="23"/>
      <c r="F2859" s="38" t="s">
        <v>523</v>
      </c>
      <c r="G2859" s="24" t="str">
        <f t="shared" si="49"/>
        <v/>
      </c>
      <c r="H2859" s="25"/>
      <c r="I2859" s="26"/>
      <c r="J2859" s="141">
        <v>0</v>
      </c>
    </row>
    <row r="2860" spans="1:10" ht="15.75" hidden="1" thickBot="1" x14ac:dyDescent="0.3">
      <c r="A2860" s="226"/>
      <c r="B2860" s="244"/>
      <c r="C2860" s="28"/>
      <c r="D2860" s="28"/>
      <c r="E2860" s="29"/>
      <c r="F2860" s="39" t="s">
        <v>523</v>
      </c>
      <c r="G2860" s="30" t="str">
        <f t="shared" si="49"/>
        <v/>
      </c>
      <c r="H2860" s="31"/>
      <c r="I2860" s="27"/>
      <c r="J2860" s="141">
        <v>0</v>
      </c>
    </row>
    <row r="2861" spans="1:10" ht="15.75" hidden="1" thickBot="1" x14ac:dyDescent="0.3">
      <c r="A2861" s="226"/>
      <c r="B2861" s="244"/>
      <c r="C2861" s="32" t="s">
        <v>68</v>
      </c>
      <c r="D2861" s="32" t="s">
        <v>12</v>
      </c>
      <c r="E2861" s="33">
        <v>0.25</v>
      </c>
      <c r="F2861" s="30">
        <v>22.961500000000001</v>
      </c>
      <c r="G2861" s="30">
        <f t="shared" si="49"/>
        <v>5.7403750000000002</v>
      </c>
      <c r="H2861" s="35">
        <f>SUM(G2861:G2862)</f>
        <v>5.7403750000000002</v>
      </c>
      <c r="I2861" s="36"/>
      <c r="J2861" s="141">
        <v>0</v>
      </c>
    </row>
    <row r="2862" spans="1:10" ht="39" hidden="1" thickBot="1" x14ac:dyDescent="0.3">
      <c r="A2862" s="226"/>
      <c r="B2862" s="244"/>
      <c r="C2862" s="32" t="s">
        <v>822</v>
      </c>
      <c r="D2862" s="32" t="s">
        <v>20</v>
      </c>
      <c r="E2862" s="33">
        <v>1</v>
      </c>
      <c r="F2862" s="27" t="s">
        <v>523</v>
      </c>
      <c r="G2862" s="30" t="str">
        <f t="shared" si="49"/>
        <v/>
      </c>
      <c r="H2862" s="31"/>
      <c r="I2862" s="27"/>
      <c r="J2862" s="141">
        <v>0</v>
      </c>
    </row>
    <row r="2863" spans="1:10" ht="15.75" hidden="1" thickBot="1" x14ac:dyDescent="0.3">
      <c r="A2863" s="227"/>
      <c r="B2863" s="230"/>
      <c r="C2863" s="32"/>
      <c r="D2863" s="32"/>
      <c r="E2863" s="33"/>
      <c r="F2863" s="27" t="s">
        <v>523</v>
      </c>
      <c r="G2863" s="30" t="str">
        <f t="shared" si="49"/>
        <v/>
      </c>
      <c r="H2863" s="31"/>
      <c r="I2863" s="27"/>
      <c r="J2863" s="141">
        <v>0</v>
      </c>
    </row>
    <row r="2864" spans="1:10" ht="15.75" hidden="1" thickBot="1" x14ac:dyDescent="0.3">
      <c r="A2864" s="225" t="s">
        <v>823</v>
      </c>
      <c r="B2864" s="228" t="str">
        <f>INDEX(Orçamentária!A:B,MATCH(Composições!A2864,Orçamentária!A:A,0),2)</f>
        <v>Contra fechadura de pressão para porta de vidro temperado</v>
      </c>
      <c r="C2864" s="37"/>
      <c r="D2864" s="22" t="str">
        <f>TRIM(INDEX(Orçamentária!C:C,MATCH(Composições!A2864,Orçamentária!A:A,0),1))</f>
        <v>un</v>
      </c>
      <c r="E2864" s="23"/>
      <c r="F2864" s="38" t="s">
        <v>523</v>
      </c>
      <c r="G2864" s="24" t="str">
        <f t="shared" si="49"/>
        <v/>
      </c>
      <c r="H2864" s="25"/>
      <c r="I2864" s="26"/>
      <c r="J2864" s="141">
        <v>0</v>
      </c>
    </row>
    <row r="2865" spans="1:10" ht="15.75" hidden="1" thickBot="1" x14ac:dyDescent="0.3">
      <c r="A2865" s="226"/>
      <c r="B2865" s="244"/>
      <c r="C2865" s="28"/>
      <c r="D2865" s="28"/>
      <c r="E2865" s="29"/>
      <c r="F2865" s="39" t="s">
        <v>523</v>
      </c>
      <c r="G2865" s="30" t="str">
        <f t="shared" si="49"/>
        <v/>
      </c>
      <c r="H2865" s="31"/>
      <c r="I2865" s="27"/>
      <c r="J2865" s="141">
        <v>0</v>
      </c>
    </row>
    <row r="2866" spans="1:10" ht="15.75" hidden="1" thickBot="1" x14ac:dyDescent="0.3">
      <c r="A2866" s="226"/>
      <c r="B2866" s="244"/>
      <c r="C2866" s="32" t="s">
        <v>68</v>
      </c>
      <c r="D2866" s="32" t="s">
        <v>12</v>
      </c>
      <c r="E2866" s="33">
        <v>0.25</v>
      </c>
      <c r="F2866" s="30">
        <v>22.961500000000001</v>
      </c>
      <c r="G2866" s="30">
        <f t="shared" si="49"/>
        <v>5.7403750000000002</v>
      </c>
      <c r="H2866" s="35">
        <f>SUM(G2866:G2867)</f>
        <v>5.7403750000000002</v>
      </c>
      <c r="I2866" s="36"/>
      <c r="J2866" s="141">
        <v>0</v>
      </c>
    </row>
    <row r="2867" spans="1:10" ht="39" hidden="1" thickBot="1" x14ac:dyDescent="0.3">
      <c r="A2867" s="226"/>
      <c r="B2867" s="244"/>
      <c r="C2867" s="32" t="s">
        <v>824</v>
      </c>
      <c r="D2867" s="32" t="s">
        <v>20</v>
      </c>
      <c r="E2867" s="33">
        <v>1</v>
      </c>
      <c r="F2867" s="27" t="s">
        <v>523</v>
      </c>
      <c r="G2867" s="30" t="str">
        <f t="shared" si="49"/>
        <v/>
      </c>
      <c r="H2867" s="31"/>
      <c r="I2867" s="27"/>
      <c r="J2867" s="141">
        <v>0</v>
      </c>
    </row>
    <row r="2868" spans="1:10" ht="15.75" hidden="1" thickBot="1" x14ac:dyDescent="0.3">
      <c r="A2868" s="227"/>
      <c r="B2868" s="230"/>
      <c r="C2868" s="32"/>
      <c r="D2868" s="32"/>
      <c r="E2868" s="33"/>
      <c r="F2868" s="27" t="s">
        <v>523</v>
      </c>
      <c r="G2868" s="30" t="str">
        <f t="shared" si="49"/>
        <v/>
      </c>
      <c r="H2868" s="31"/>
      <c r="I2868" s="27"/>
      <c r="J2868" s="141">
        <v>0</v>
      </c>
    </row>
    <row r="2869" spans="1:10" ht="15.75" hidden="1" thickBot="1" x14ac:dyDescent="0.3">
      <c r="A2869" s="225" t="s">
        <v>825</v>
      </c>
      <c r="B2869" s="228" t="str">
        <f>INDEX(Orçamentária!A:B,MATCH(Composições!A2869,Orçamentária!A:A,0),2)</f>
        <v>Contra fechadura, com furo, para porta com furo</v>
      </c>
      <c r="C2869" s="37"/>
      <c r="D2869" s="22" t="str">
        <f>TRIM(INDEX(Orçamentária!C:C,MATCH(Composições!A2869,Orçamentária!A:A,0),1))</f>
        <v>un</v>
      </c>
      <c r="E2869" s="23"/>
      <c r="F2869" s="38" t="s">
        <v>523</v>
      </c>
      <c r="G2869" s="24" t="str">
        <f t="shared" si="49"/>
        <v/>
      </c>
      <c r="H2869" s="25"/>
      <c r="I2869" s="26"/>
      <c r="J2869" s="141">
        <v>0</v>
      </c>
    </row>
    <row r="2870" spans="1:10" ht="15.75" hidden="1" thickBot="1" x14ac:dyDescent="0.3">
      <c r="A2870" s="226"/>
      <c r="B2870" s="244"/>
      <c r="C2870" s="28"/>
      <c r="D2870" s="28"/>
      <c r="E2870" s="29"/>
      <c r="F2870" s="39" t="s">
        <v>523</v>
      </c>
      <c r="G2870" s="30" t="str">
        <f t="shared" si="49"/>
        <v/>
      </c>
      <c r="H2870" s="31"/>
      <c r="I2870" s="27"/>
      <c r="J2870" s="141">
        <v>0</v>
      </c>
    </row>
    <row r="2871" spans="1:10" ht="15.75" hidden="1" thickBot="1" x14ac:dyDescent="0.3">
      <c r="A2871" s="226"/>
      <c r="B2871" s="244"/>
      <c r="C2871" s="32" t="s">
        <v>68</v>
      </c>
      <c r="D2871" s="32" t="s">
        <v>12</v>
      </c>
      <c r="E2871" s="33">
        <v>0.25</v>
      </c>
      <c r="F2871" s="30">
        <v>22.961500000000001</v>
      </c>
      <c r="G2871" s="30">
        <f t="shared" si="49"/>
        <v>5.7403750000000002</v>
      </c>
      <c r="H2871" s="35">
        <f>SUM(G2871:G2872)</f>
        <v>5.7403750000000002</v>
      </c>
      <c r="I2871" s="36"/>
      <c r="J2871" s="141">
        <v>0</v>
      </c>
    </row>
    <row r="2872" spans="1:10" ht="39" hidden="1" thickBot="1" x14ac:dyDescent="0.3">
      <c r="A2872" s="226"/>
      <c r="B2872" s="244"/>
      <c r="C2872" s="32" t="s">
        <v>826</v>
      </c>
      <c r="D2872" s="32" t="s">
        <v>20</v>
      </c>
      <c r="E2872" s="33">
        <v>1</v>
      </c>
      <c r="F2872" s="27" t="s">
        <v>523</v>
      </c>
      <c r="G2872" s="30" t="str">
        <f t="shared" si="49"/>
        <v/>
      </c>
      <c r="H2872" s="31"/>
      <c r="I2872" s="27"/>
      <c r="J2872" s="141">
        <v>0</v>
      </c>
    </row>
    <row r="2873" spans="1:10" ht="15.75" hidden="1" thickBot="1" x14ac:dyDescent="0.3">
      <c r="A2873" s="227"/>
      <c r="B2873" s="230"/>
      <c r="C2873" s="32"/>
      <c r="D2873" s="32"/>
      <c r="E2873" s="33"/>
      <c r="F2873" s="27" t="s">
        <v>523</v>
      </c>
      <c r="G2873" s="30" t="str">
        <f t="shared" si="49"/>
        <v/>
      </c>
      <c r="H2873" s="31"/>
      <c r="I2873" s="27"/>
      <c r="J2873" s="141">
        <v>0</v>
      </c>
    </row>
    <row r="2874" spans="1:10" ht="15.75" hidden="1" thickBot="1" x14ac:dyDescent="0.3">
      <c r="A2874" s="225" t="s">
        <v>827</v>
      </c>
      <c r="B2874" s="228" t="str">
        <f>INDEX(Orçamentária!A:B,MATCH(Composições!A2874,Orçamentária!A:A,0),2)</f>
        <v>Trinco inferior, com miolo, para porta de vidro temperado</v>
      </c>
      <c r="C2874" s="37"/>
      <c r="D2874" s="22" t="str">
        <f>TRIM(INDEX(Orçamentária!C:C,MATCH(Composições!A2874,Orçamentária!A:A,0),1))</f>
        <v>un</v>
      </c>
      <c r="E2874" s="23"/>
      <c r="F2874" s="38" t="s">
        <v>523</v>
      </c>
      <c r="G2874" s="24" t="str">
        <f t="shared" si="49"/>
        <v/>
      </c>
      <c r="H2874" s="25"/>
      <c r="I2874" s="26"/>
      <c r="J2874" s="141">
        <v>0</v>
      </c>
    </row>
    <row r="2875" spans="1:10" ht="15.75" hidden="1" thickBot="1" x14ac:dyDescent="0.3">
      <c r="A2875" s="226"/>
      <c r="B2875" s="244"/>
      <c r="C2875" s="28"/>
      <c r="D2875" s="28"/>
      <c r="E2875" s="29"/>
      <c r="F2875" s="39" t="s">
        <v>523</v>
      </c>
      <c r="G2875" s="30" t="str">
        <f t="shared" si="49"/>
        <v/>
      </c>
      <c r="H2875" s="31"/>
      <c r="I2875" s="27"/>
      <c r="J2875" s="141">
        <v>0</v>
      </c>
    </row>
    <row r="2876" spans="1:10" ht="15.75" hidden="1" thickBot="1" x14ac:dyDescent="0.3">
      <c r="A2876" s="226"/>
      <c r="B2876" s="244"/>
      <c r="C2876" s="32" t="s">
        <v>68</v>
      </c>
      <c r="D2876" s="32" t="s">
        <v>12</v>
      </c>
      <c r="E2876" s="33">
        <v>0.25</v>
      </c>
      <c r="F2876" s="30">
        <v>22.961500000000001</v>
      </c>
      <c r="G2876" s="30">
        <f t="shared" si="49"/>
        <v>5.7403750000000002</v>
      </c>
      <c r="H2876" s="35">
        <f>SUM(G2876:G2877)</f>
        <v>5.7403750000000002</v>
      </c>
      <c r="I2876" s="36"/>
      <c r="J2876" s="141">
        <v>0</v>
      </c>
    </row>
    <row r="2877" spans="1:10" ht="26.25" hidden="1" thickBot="1" x14ac:dyDescent="0.3">
      <c r="A2877" s="226"/>
      <c r="B2877" s="244"/>
      <c r="C2877" s="32" t="s">
        <v>828</v>
      </c>
      <c r="D2877" s="32" t="s">
        <v>20</v>
      </c>
      <c r="E2877" s="33">
        <v>1</v>
      </c>
      <c r="F2877" s="27">
        <v>0</v>
      </c>
      <c r="G2877" s="30">
        <f t="shared" si="49"/>
        <v>0</v>
      </c>
      <c r="H2877" s="31"/>
      <c r="I2877" s="27"/>
      <c r="J2877" s="141">
        <v>0</v>
      </c>
    </row>
    <row r="2878" spans="1:10" ht="15.75" hidden="1" thickBot="1" x14ac:dyDescent="0.3">
      <c r="A2878" s="227"/>
      <c r="B2878" s="230"/>
      <c r="C2878" s="32"/>
      <c r="D2878" s="32"/>
      <c r="E2878" s="33"/>
      <c r="F2878" s="27" t="s">
        <v>523</v>
      </c>
      <c r="G2878" s="30" t="str">
        <f t="shared" si="49"/>
        <v/>
      </c>
      <c r="H2878" s="31"/>
      <c r="I2878" s="27"/>
      <c r="J2878" s="141">
        <v>0</v>
      </c>
    </row>
    <row r="2879" spans="1:10" ht="15.75" hidden="1" thickBot="1" x14ac:dyDescent="0.3">
      <c r="A2879" s="225" t="s">
        <v>829</v>
      </c>
      <c r="B2879" s="228" t="str">
        <f>INDEX(Orçamentária!A:B,MATCH(Composições!A2879,Orçamentária!A:A,0),2)</f>
        <v>Mola hidráulica BTS 75R</v>
      </c>
      <c r="C2879" s="37"/>
      <c r="D2879" s="22" t="str">
        <f>TRIM(INDEX(Orçamentária!C:C,MATCH(Composições!A2879,Orçamentária!A:A,0),1))</f>
        <v>un</v>
      </c>
      <c r="E2879" s="23"/>
      <c r="F2879" s="38" t="s">
        <v>523</v>
      </c>
      <c r="G2879" s="24" t="str">
        <f t="shared" si="49"/>
        <v/>
      </c>
      <c r="H2879" s="25"/>
      <c r="I2879" s="26"/>
      <c r="J2879" s="141">
        <v>0</v>
      </c>
    </row>
    <row r="2880" spans="1:10" ht="15.75" hidden="1" thickBot="1" x14ac:dyDescent="0.3">
      <c r="A2880" s="226"/>
      <c r="B2880" s="244"/>
      <c r="C2880" s="28"/>
      <c r="D2880" s="28"/>
      <c r="E2880" s="29"/>
      <c r="F2880" s="39" t="s">
        <v>523</v>
      </c>
      <c r="G2880" s="30" t="str">
        <f t="shared" si="49"/>
        <v/>
      </c>
      <c r="H2880" s="31"/>
      <c r="I2880" s="27"/>
      <c r="J2880" s="141">
        <v>0</v>
      </c>
    </row>
    <row r="2881" spans="1:10" ht="15.75" hidden="1" thickBot="1" x14ac:dyDescent="0.3">
      <c r="A2881" s="226"/>
      <c r="B2881" s="244"/>
      <c r="C2881" s="32" t="s">
        <v>68</v>
      </c>
      <c r="D2881" s="32" t="s">
        <v>12</v>
      </c>
      <c r="E2881" s="33">
        <v>1.8180000000000001</v>
      </c>
      <c r="F2881" s="30">
        <v>22.961500000000001</v>
      </c>
      <c r="G2881" s="30">
        <f t="shared" si="49"/>
        <v>41.744007000000003</v>
      </c>
      <c r="H2881" s="35">
        <f>SUM(G2881:G2884)</f>
        <v>74.2930305</v>
      </c>
      <c r="I2881" s="36"/>
      <c r="J2881" s="141">
        <v>0</v>
      </c>
    </row>
    <row r="2882" spans="1:10" ht="15.75" hidden="1" thickBot="1" x14ac:dyDescent="0.3">
      <c r="A2882" s="226"/>
      <c r="B2882" s="244"/>
      <c r="C2882" s="32" t="s">
        <v>23</v>
      </c>
      <c r="D2882" s="32" t="s">
        <v>12</v>
      </c>
      <c r="E2882" s="33">
        <v>1.7669999999999999</v>
      </c>
      <c r="F2882" s="27">
        <v>18.420500000000001</v>
      </c>
      <c r="G2882" s="30">
        <f t="shared" si="49"/>
        <v>32.549023499999997</v>
      </c>
      <c r="H2882" s="31"/>
      <c r="I2882" s="27"/>
      <c r="J2882" s="141">
        <v>0</v>
      </c>
    </row>
    <row r="2883" spans="1:10" ht="15.75" hidden="1" thickBot="1" x14ac:dyDescent="0.3">
      <c r="A2883" s="226"/>
      <c r="B2883" s="244"/>
      <c r="C2883" s="32" t="s">
        <v>6410</v>
      </c>
      <c r="D2883" s="32" t="s">
        <v>20</v>
      </c>
      <c r="E2883" s="33">
        <v>1</v>
      </c>
      <c r="F2883" s="27" t="s">
        <v>523</v>
      </c>
      <c r="G2883" s="27" t="str">
        <f t="shared" si="49"/>
        <v/>
      </c>
      <c r="H2883" s="31"/>
      <c r="I2883" s="27"/>
      <c r="J2883" s="141">
        <v>0</v>
      </c>
    </row>
    <row r="2884" spans="1:10" ht="39" hidden="1" thickBot="1" x14ac:dyDescent="0.3">
      <c r="A2884" s="226"/>
      <c r="B2884" s="244"/>
      <c r="C2884" s="32" t="s">
        <v>6409</v>
      </c>
      <c r="D2884" s="32" t="s">
        <v>20</v>
      </c>
      <c r="E2884" s="33">
        <v>1</v>
      </c>
      <c r="F2884" s="27" t="s">
        <v>523</v>
      </c>
      <c r="G2884" s="30" t="str">
        <f t="shared" si="49"/>
        <v/>
      </c>
      <c r="H2884" s="31"/>
      <c r="I2884" s="27"/>
      <c r="J2884" s="141">
        <v>0</v>
      </c>
    </row>
    <row r="2885" spans="1:10" ht="15.75" hidden="1" thickBot="1" x14ac:dyDescent="0.3">
      <c r="A2885" s="227"/>
      <c r="B2885" s="230"/>
      <c r="C2885" s="32"/>
      <c r="D2885" s="32"/>
      <c r="E2885" s="33"/>
      <c r="F2885" s="27" t="s">
        <v>523</v>
      </c>
      <c r="G2885" s="30" t="str">
        <f t="shared" si="49"/>
        <v/>
      </c>
      <c r="H2885" s="31"/>
      <c r="I2885" s="27"/>
      <c r="J2885" s="141">
        <v>0</v>
      </c>
    </row>
    <row r="2886" spans="1:10" ht="15.75" hidden="1" thickBot="1" x14ac:dyDescent="0.3">
      <c r="A2886" s="225" t="s">
        <v>830</v>
      </c>
      <c r="B2886" s="228" t="str">
        <f>INDEX(Orçamentária!A:B,MATCH(Composições!A2886,Orçamentária!A:A,0),2)</f>
        <v>Puxador redondo, padrão em poliéster, para porta de vidro temperado</v>
      </c>
      <c r="C2886" s="37"/>
      <c r="D2886" s="22" t="str">
        <f>TRIM(INDEX(Orçamentária!C:C,MATCH(Composições!A2886,Orçamentária!A:A,0),1))</f>
        <v>un</v>
      </c>
      <c r="E2886" s="23"/>
      <c r="F2886" s="38" t="s">
        <v>523</v>
      </c>
      <c r="G2886" s="24" t="str">
        <f t="shared" ref="G2886:G2949" si="50">IF(ISNUMBER(F2886),E2886*F2886,"")</f>
        <v/>
      </c>
      <c r="H2886" s="25"/>
      <c r="I2886" s="26"/>
      <c r="J2886" s="141">
        <v>0</v>
      </c>
    </row>
    <row r="2887" spans="1:10" ht="15.75" hidden="1" thickBot="1" x14ac:dyDescent="0.3">
      <c r="A2887" s="226"/>
      <c r="B2887" s="244"/>
      <c r="C2887" s="28"/>
      <c r="D2887" s="28"/>
      <c r="E2887" s="29"/>
      <c r="F2887" s="39" t="s">
        <v>523</v>
      </c>
      <c r="G2887" s="30" t="str">
        <f t="shared" si="50"/>
        <v/>
      </c>
      <c r="H2887" s="31"/>
      <c r="I2887" s="27"/>
      <c r="J2887" s="141">
        <v>0</v>
      </c>
    </row>
    <row r="2888" spans="1:10" ht="15.75" hidden="1" thickBot="1" x14ac:dyDescent="0.3">
      <c r="A2888" s="226"/>
      <c r="B2888" s="244"/>
      <c r="C2888" s="32" t="s">
        <v>68</v>
      </c>
      <c r="D2888" s="32" t="s">
        <v>12</v>
      </c>
      <c r="E2888" s="33">
        <v>0.2</v>
      </c>
      <c r="F2888" s="30">
        <v>22.961500000000001</v>
      </c>
      <c r="G2888" s="30">
        <f t="shared" si="50"/>
        <v>4.5923000000000007</v>
      </c>
      <c r="H2888" s="35">
        <f>SUM(G2888:G2889)</f>
        <v>4.5923000000000007</v>
      </c>
      <c r="I2888" s="36"/>
      <c r="J2888" s="141">
        <v>0</v>
      </c>
    </row>
    <row r="2889" spans="1:10" ht="39" hidden="1" thickBot="1" x14ac:dyDescent="0.3">
      <c r="A2889" s="226"/>
      <c r="B2889" s="244"/>
      <c r="C2889" s="32" t="s">
        <v>831</v>
      </c>
      <c r="D2889" s="32" t="s">
        <v>20</v>
      </c>
      <c r="E2889" s="33">
        <v>1</v>
      </c>
      <c r="F2889" s="27" t="s">
        <v>523</v>
      </c>
      <c r="G2889" s="30" t="str">
        <f t="shared" si="50"/>
        <v/>
      </c>
      <c r="H2889" s="31"/>
      <c r="I2889" s="27"/>
      <c r="J2889" s="141">
        <v>0</v>
      </c>
    </row>
    <row r="2890" spans="1:10" ht="15.75" hidden="1" thickBot="1" x14ac:dyDescent="0.3">
      <c r="A2890" s="227"/>
      <c r="B2890" s="230"/>
      <c r="C2890" s="32"/>
      <c r="D2890" s="32"/>
      <c r="E2890" s="33"/>
      <c r="F2890" s="27" t="s">
        <v>523</v>
      </c>
      <c r="G2890" s="30" t="str">
        <f t="shared" si="50"/>
        <v/>
      </c>
      <c r="H2890" s="31"/>
      <c r="I2890" s="27"/>
      <c r="J2890" s="141">
        <v>0</v>
      </c>
    </row>
    <row r="2891" spans="1:10" ht="15.75" hidden="1" thickBot="1" x14ac:dyDescent="0.3">
      <c r="A2891" s="225" t="s">
        <v>832</v>
      </c>
      <c r="B2891" s="228" t="str">
        <f>INDEX(Orçamentária!A:B,MATCH(Composições!A2891,Orçamentária!A:A,0),2)</f>
        <v>Puxador em aço inox sob medida – Tipo A</v>
      </c>
      <c r="C2891" s="37"/>
      <c r="D2891" s="22" t="str">
        <f>TRIM(INDEX(Orçamentária!C:C,MATCH(Composições!A2891,Orçamentária!A:A,0),1))</f>
        <v>un</v>
      </c>
      <c r="E2891" s="23"/>
      <c r="F2891" s="38" t="s">
        <v>523</v>
      </c>
      <c r="G2891" s="24" t="str">
        <f t="shared" si="50"/>
        <v/>
      </c>
      <c r="H2891" s="25"/>
      <c r="I2891" s="26"/>
      <c r="J2891" s="141">
        <v>0</v>
      </c>
    </row>
    <row r="2892" spans="1:10" ht="15.75" hidden="1" thickBot="1" x14ac:dyDescent="0.3">
      <c r="A2892" s="226"/>
      <c r="B2892" s="244"/>
      <c r="C2892" s="28"/>
      <c r="D2892" s="28"/>
      <c r="E2892" s="29"/>
      <c r="F2892" s="39" t="s">
        <v>523</v>
      </c>
      <c r="G2892" s="30" t="str">
        <f t="shared" si="50"/>
        <v/>
      </c>
      <c r="H2892" s="31"/>
      <c r="I2892" s="27"/>
      <c r="J2892" s="141">
        <v>0</v>
      </c>
    </row>
    <row r="2893" spans="1:10" ht="15.75" hidden="1" thickBot="1" x14ac:dyDescent="0.3">
      <c r="A2893" s="226"/>
      <c r="B2893" s="244"/>
      <c r="C2893" s="32" t="s">
        <v>68</v>
      </c>
      <c r="D2893" s="43" t="s">
        <v>12</v>
      </c>
      <c r="E2893" s="33">
        <v>0.4</v>
      </c>
      <c r="F2893" s="30">
        <v>22.961500000000001</v>
      </c>
      <c r="G2893" s="30">
        <f t="shared" si="50"/>
        <v>9.1846000000000014</v>
      </c>
      <c r="H2893" s="35">
        <f>SUM(G2893:G2894)</f>
        <v>9.1846000000000014</v>
      </c>
      <c r="I2893" s="36"/>
      <c r="J2893" s="141">
        <v>0</v>
      </c>
    </row>
    <row r="2894" spans="1:10" ht="15.75" hidden="1" thickBot="1" x14ac:dyDescent="0.3">
      <c r="A2894" s="226"/>
      <c r="B2894" s="244"/>
      <c r="C2894" s="32" t="s">
        <v>833</v>
      </c>
      <c r="D2894" s="43" t="s">
        <v>20</v>
      </c>
      <c r="E2894" s="33">
        <v>1</v>
      </c>
      <c r="F2894" s="27" t="s">
        <v>523</v>
      </c>
      <c r="G2894" s="30" t="str">
        <f t="shared" si="50"/>
        <v/>
      </c>
      <c r="H2894" s="31"/>
      <c r="I2894" s="27"/>
      <c r="J2894" s="141">
        <v>0</v>
      </c>
    </row>
    <row r="2895" spans="1:10" ht="15.75" hidden="1" thickBot="1" x14ac:dyDescent="0.3">
      <c r="A2895" s="227"/>
      <c r="B2895" s="230"/>
      <c r="C2895" s="32"/>
      <c r="D2895" s="32"/>
      <c r="E2895" s="33"/>
      <c r="F2895" s="27" t="s">
        <v>523</v>
      </c>
      <c r="G2895" s="30" t="str">
        <f t="shared" si="50"/>
        <v/>
      </c>
      <c r="H2895" s="31"/>
      <c r="I2895" s="27"/>
      <c r="J2895" s="141">
        <v>0</v>
      </c>
    </row>
    <row r="2896" spans="1:10" ht="15.75" hidden="1" thickBot="1" x14ac:dyDescent="0.3">
      <c r="A2896" s="225" t="s">
        <v>834</v>
      </c>
      <c r="B2896" s="228" t="str">
        <f>INDEX(Orçamentária!A:B,MATCH(Composições!A2896,Orçamentária!A:A,0),2)</f>
        <v>Dobradiça superior para porta de vidro temperado</v>
      </c>
      <c r="C2896" s="37"/>
      <c r="D2896" s="22" t="str">
        <f>TRIM(INDEX(Orçamentária!C:C,MATCH(Composições!A2896,Orçamentária!A:A,0),1))</f>
        <v>un</v>
      </c>
      <c r="E2896" s="23"/>
      <c r="F2896" s="38" t="s">
        <v>523</v>
      </c>
      <c r="G2896" s="24" t="str">
        <f t="shared" si="50"/>
        <v/>
      </c>
      <c r="H2896" s="25"/>
      <c r="I2896" s="26"/>
      <c r="J2896" s="141">
        <v>0</v>
      </c>
    </row>
    <row r="2897" spans="1:10" ht="15.75" hidden="1" thickBot="1" x14ac:dyDescent="0.3">
      <c r="A2897" s="226"/>
      <c r="B2897" s="244"/>
      <c r="C2897" s="28"/>
      <c r="D2897" s="28"/>
      <c r="E2897" s="29"/>
      <c r="F2897" s="39" t="s">
        <v>523</v>
      </c>
      <c r="G2897" s="30" t="str">
        <f t="shared" si="50"/>
        <v/>
      </c>
      <c r="H2897" s="31"/>
      <c r="I2897" s="27"/>
      <c r="J2897" s="141">
        <v>0</v>
      </c>
    </row>
    <row r="2898" spans="1:10" ht="15.75" hidden="1" thickBot="1" x14ac:dyDescent="0.3">
      <c r="A2898" s="226"/>
      <c r="B2898" s="244"/>
      <c r="C2898" s="32" t="s">
        <v>68</v>
      </c>
      <c r="D2898" s="32" t="s">
        <v>12</v>
      </c>
      <c r="E2898" s="33">
        <v>0.3</v>
      </c>
      <c r="F2898" s="30">
        <v>22.961500000000001</v>
      </c>
      <c r="G2898" s="30">
        <f t="shared" si="50"/>
        <v>6.8884499999999997</v>
      </c>
      <c r="H2898" s="35">
        <f>SUM(G2898:G2899)</f>
        <v>6.8884499999999997</v>
      </c>
      <c r="I2898" s="36"/>
      <c r="J2898" s="141">
        <v>0</v>
      </c>
    </row>
    <row r="2899" spans="1:10" ht="26.25" hidden="1" thickBot="1" x14ac:dyDescent="0.3">
      <c r="A2899" s="226"/>
      <c r="B2899" s="244"/>
      <c r="C2899" s="32" t="s">
        <v>835</v>
      </c>
      <c r="D2899" s="43" t="s">
        <v>20</v>
      </c>
      <c r="E2899" s="33">
        <v>1</v>
      </c>
      <c r="F2899" s="27">
        <v>0</v>
      </c>
      <c r="G2899" s="30">
        <f t="shared" si="50"/>
        <v>0</v>
      </c>
      <c r="H2899" s="31"/>
      <c r="I2899" s="27"/>
      <c r="J2899" s="141">
        <v>0</v>
      </c>
    </row>
    <row r="2900" spans="1:10" ht="15.75" hidden="1" thickBot="1" x14ac:dyDescent="0.3">
      <c r="A2900" s="227"/>
      <c r="B2900" s="230"/>
      <c r="C2900" s="32"/>
      <c r="D2900" s="32"/>
      <c r="E2900" s="33"/>
      <c r="F2900" s="27" t="s">
        <v>523</v>
      </c>
      <c r="G2900" s="30" t="str">
        <f t="shared" si="50"/>
        <v/>
      </c>
      <c r="H2900" s="31"/>
      <c r="I2900" s="27"/>
      <c r="J2900" s="141">
        <v>0</v>
      </c>
    </row>
    <row r="2901" spans="1:10" ht="15.75" hidden="1" thickBot="1" x14ac:dyDescent="0.3">
      <c r="A2901" s="225" t="s">
        <v>836</v>
      </c>
      <c r="B2901" s="228" t="str">
        <f>INDEX(Orçamentária!A:B,MATCH(Composições!A2901,Orçamentária!A:A,0),2)</f>
        <v>Perfil em alumínio, tipo U - abas iguais - PU 5/8" x 5/8" – espessura 1,58mm</v>
      </c>
      <c r="C2901" s="37"/>
      <c r="D2901" s="22" t="str">
        <f>TRIM(INDEX(Orçamentária!C:C,MATCH(Composições!A2901,Orçamentária!A:A,0),1))</f>
        <v>m</v>
      </c>
      <c r="E2901" s="23"/>
      <c r="F2901" s="38" t="s">
        <v>523</v>
      </c>
      <c r="G2901" s="24" t="str">
        <f t="shared" si="50"/>
        <v/>
      </c>
      <c r="H2901" s="25"/>
      <c r="I2901" s="26"/>
      <c r="J2901" s="141">
        <v>0</v>
      </c>
    </row>
    <row r="2902" spans="1:10" ht="15.75" hidden="1" thickBot="1" x14ac:dyDescent="0.3">
      <c r="A2902" s="226"/>
      <c r="B2902" s="244"/>
      <c r="C2902" s="28"/>
      <c r="D2902" s="28"/>
      <c r="E2902" s="29"/>
      <c r="F2902" s="39" t="s">
        <v>523</v>
      </c>
      <c r="G2902" s="30" t="str">
        <f t="shared" si="50"/>
        <v/>
      </c>
      <c r="H2902" s="31"/>
      <c r="I2902" s="27"/>
      <c r="J2902" s="141">
        <v>0</v>
      </c>
    </row>
    <row r="2903" spans="1:10" ht="15.75" hidden="1" thickBot="1" x14ac:dyDescent="0.3">
      <c r="A2903" s="226"/>
      <c r="B2903" s="244"/>
      <c r="C2903" s="32" t="s">
        <v>68</v>
      </c>
      <c r="D2903" s="32" t="s">
        <v>12</v>
      </c>
      <c r="E2903" s="33">
        <v>0.2</v>
      </c>
      <c r="F2903" s="30">
        <v>22.961500000000001</v>
      </c>
      <c r="G2903" s="30">
        <f t="shared" si="50"/>
        <v>4.5923000000000007</v>
      </c>
      <c r="H2903" s="35">
        <f>SUM(G2903:G2904)</f>
        <v>12.418780000000002</v>
      </c>
      <c r="I2903" s="36"/>
      <c r="J2903" s="141">
        <v>0</v>
      </c>
    </row>
    <row r="2904" spans="1:10" ht="15.75" hidden="1" thickBot="1" x14ac:dyDescent="0.3">
      <c r="A2904" s="226"/>
      <c r="B2904" s="244"/>
      <c r="C2904" s="32" t="s">
        <v>837</v>
      </c>
      <c r="D2904" s="32" t="s">
        <v>42</v>
      </c>
      <c r="E2904" s="33">
        <v>0.19</v>
      </c>
      <c r="F2904" s="27">
        <v>41.192</v>
      </c>
      <c r="G2904" s="30">
        <f t="shared" si="50"/>
        <v>7.8264800000000001</v>
      </c>
      <c r="H2904" s="31"/>
      <c r="I2904" s="27"/>
      <c r="J2904" s="141">
        <v>0</v>
      </c>
    </row>
    <row r="2905" spans="1:10" ht="15.75" hidden="1" thickBot="1" x14ac:dyDescent="0.3">
      <c r="A2905" s="226"/>
      <c r="B2905" s="244"/>
      <c r="C2905" s="32"/>
      <c r="D2905" s="32"/>
      <c r="E2905" s="33"/>
      <c r="F2905" s="27" t="s">
        <v>523</v>
      </c>
      <c r="G2905" s="30" t="str">
        <f t="shared" si="50"/>
        <v/>
      </c>
      <c r="H2905" s="31"/>
      <c r="I2905" s="27"/>
      <c r="J2905" s="141">
        <v>0</v>
      </c>
    </row>
    <row r="2906" spans="1:10" ht="26.25" hidden="1" thickBot="1" x14ac:dyDescent="0.3">
      <c r="A2906" s="226"/>
      <c r="B2906" s="244"/>
      <c r="C2906" s="44" t="s">
        <v>838</v>
      </c>
      <c r="D2906" s="32"/>
      <c r="E2906" s="33"/>
      <c r="F2906" s="27" t="s">
        <v>523</v>
      </c>
      <c r="G2906" s="30" t="str">
        <f t="shared" si="50"/>
        <v/>
      </c>
      <c r="H2906" s="31"/>
      <c r="I2906" s="27"/>
      <c r="J2906" s="141">
        <v>0</v>
      </c>
    </row>
    <row r="2907" spans="1:10" ht="39" hidden="1" thickBot="1" x14ac:dyDescent="0.3">
      <c r="A2907" s="226"/>
      <c r="B2907" s="244"/>
      <c r="C2907" s="48" t="s">
        <v>839</v>
      </c>
      <c r="D2907" s="61"/>
      <c r="E2907" s="33"/>
      <c r="F2907" s="27" t="s">
        <v>523</v>
      </c>
      <c r="G2907" s="30" t="str">
        <f t="shared" si="50"/>
        <v/>
      </c>
      <c r="H2907" s="31"/>
      <c r="I2907" s="27"/>
      <c r="J2907" s="141">
        <v>0</v>
      </c>
    </row>
    <row r="2908" spans="1:10" ht="15.75" hidden="1" thickBot="1" x14ac:dyDescent="0.3">
      <c r="A2908" s="227"/>
      <c r="B2908" s="230"/>
      <c r="C2908" s="32"/>
      <c r="D2908" s="32"/>
      <c r="E2908" s="33"/>
      <c r="F2908" s="27" t="s">
        <v>523</v>
      </c>
      <c r="G2908" s="30" t="str">
        <f t="shared" si="50"/>
        <v/>
      </c>
      <c r="H2908" s="31"/>
      <c r="I2908" s="27"/>
      <c r="J2908" s="141">
        <v>0</v>
      </c>
    </row>
    <row r="2909" spans="1:10" ht="15.75" hidden="1" thickBot="1" x14ac:dyDescent="0.3">
      <c r="A2909" s="225" t="s">
        <v>840</v>
      </c>
      <c r="B2909" s="228" t="str">
        <f>INDEX(Orçamentária!A:B,MATCH(Composições!A2909,Orçamentária!A:A,0),2)</f>
        <v>Trilho superior em alumínio 60mm x 49,5mm, para vidro temperado</v>
      </c>
      <c r="C2909" s="37"/>
      <c r="D2909" s="22" t="str">
        <f>TRIM(INDEX(Orçamentária!C:C,MATCH(Composições!A2909,Orçamentária!A:A,0),1))</f>
        <v>m</v>
      </c>
      <c r="E2909" s="23"/>
      <c r="F2909" s="38" t="s">
        <v>523</v>
      </c>
      <c r="G2909" s="24" t="str">
        <f t="shared" si="50"/>
        <v/>
      </c>
      <c r="H2909" s="25"/>
      <c r="I2909" s="26"/>
      <c r="J2909" s="141">
        <v>0</v>
      </c>
    </row>
    <row r="2910" spans="1:10" ht="15.75" hidden="1" thickBot="1" x14ac:dyDescent="0.3">
      <c r="A2910" s="231"/>
      <c r="B2910" s="244"/>
      <c r="C2910" s="28"/>
      <c r="D2910" s="28"/>
      <c r="E2910" s="29"/>
      <c r="F2910" s="39" t="s">
        <v>523</v>
      </c>
      <c r="G2910" s="30" t="str">
        <f t="shared" si="50"/>
        <v/>
      </c>
      <c r="H2910" s="31"/>
      <c r="I2910" s="27"/>
      <c r="J2910" s="141">
        <v>0</v>
      </c>
    </row>
    <row r="2911" spans="1:10" ht="15.75" hidden="1" thickBot="1" x14ac:dyDescent="0.3">
      <c r="A2911" s="231"/>
      <c r="B2911" s="244"/>
      <c r="C2911" s="32" t="s">
        <v>68</v>
      </c>
      <c r="D2911" s="32" t="s">
        <v>12</v>
      </c>
      <c r="E2911" s="33">
        <v>0.3</v>
      </c>
      <c r="F2911" s="30">
        <v>22.961500000000001</v>
      </c>
      <c r="G2911" s="30">
        <f t="shared" si="50"/>
        <v>6.8884499999999997</v>
      </c>
      <c r="H2911" s="35">
        <f>SUM(G2911:G2912)</f>
        <v>38.729866000000001</v>
      </c>
      <c r="I2911" s="36"/>
      <c r="J2911" s="141">
        <v>0</v>
      </c>
    </row>
    <row r="2912" spans="1:10" ht="15.75" hidden="1" thickBot="1" x14ac:dyDescent="0.3">
      <c r="A2912" s="231"/>
      <c r="B2912" s="244"/>
      <c r="C2912" s="32" t="s">
        <v>837</v>
      </c>
      <c r="D2912" s="43" t="s">
        <v>42</v>
      </c>
      <c r="E2912" s="33">
        <v>0.77300000000000002</v>
      </c>
      <c r="F2912" s="27">
        <v>41.192</v>
      </c>
      <c r="G2912" s="30">
        <f t="shared" si="50"/>
        <v>31.841416000000002</v>
      </c>
      <c r="H2912" s="31"/>
      <c r="I2912" s="27"/>
      <c r="J2912" s="141">
        <v>0</v>
      </c>
    </row>
    <row r="2913" spans="1:10" ht="15.75" hidden="1" thickBot="1" x14ac:dyDescent="0.3">
      <c r="A2913" s="231"/>
      <c r="B2913" s="244"/>
      <c r="C2913" s="32"/>
      <c r="D2913" s="43"/>
      <c r="E2913" s="33"/>
      <c r="F2913" s="27" t="s">
        <v>523</v>
      </c>
      <c r="G2913" s="30" t="str">
        <f t="shared" si="50"/>
        <v/>
      </c>
      <c r="H2913" s="31"/>
      <c r="I2913" s="27"/>
      <c r="J2913" s="141">
        <v>0</v>
      </c>
    </row>
    <row r="2914" spans="1:10" ht="26.25" hidden="1" thickBot="1" x14ac:dyDescent="0.3">
      <c r="A2914" s="231"/>
      <c r="B2914" s="244"/>
      <c r="C2914" s="44" t="s">
        <v>841</v>
      </c>
      <c r="D2914" s="43"/>
      <c r="E2914" s="33"/>
      <c r="F2914" s="27" t="s">
        <v>523</v>
      </c>
      <c r="G2914" s="30" t="str">
        <f t="shared" si="50"/>
        <v/>
      </c>
      <c r="H2914" s="31"/>
      <c r="I2914" s="27"/>
      <c r="J2914" s="141">
        <v>0</v>
      </c>
    </row>
    <row r="2915" spans="1:10" ht="26.25" hidden="1" thickBot="1" x14ac:dyDescent="0.3">
      <c r="A2915" s="231"/>
      <c r="B2915" s="244"/>
      <c r="C2915" s="48" t="s">
        <v>842</v>
      </c>
      <c r="D2915" s="43"/>
      <c r="E2915" s="33"/>
      <c r="F2915" s="27" t="s">
        <v>523</v>
      </c>
      <c r="G2915" s="30" t="str">
        <f t="shared" si="50"/>
        <v/>
      </c>
      <c r="H2915" s="31"/>
      <c r="I2915" s="27"/>
      <c r="J2915" s="141">
        <v>0</v>
      </c>
    </row>
    <row r="2916" spans="1:10" ht="15.75" hidden="1" thickBot="1" x14ac:dyDescent="0.3">
      <c r="A2916" s="232"/>
      <c r="B2916" s="230"/>
      <c r="C2916" s="32"/>
      <c r="D2916" s="32"/>
      <c r="E2916" s="33"/>
      <c r="F2916" s="27" t="s">
        <v>523</v>
      </c>
      <c r="G2916" s="30" t="str">
        <f t="shared" si="50"/>
        <v/>
      </c>
      <c r="H2916" s="31"/>
      <c r="I2916" s="27"/>
      <c r="J2916" s="141">
        <v>0</v>
      </c>
    </row>
    <row r="2917" spans="1:10" ht="15.75" hidden="1" thickBot="1" x14ac:dyDescent="0.3">
      <c r="A2917" s="225" t="s">
        <v>843</v>
      </c>
      <c r="B2917" s="228" t="str">
        <f>INDEX(Orçamentária!A:B,MATCH(Composições!A2917,Orçamentária!A:A,0),2)</f>
        <v>Perfil em alumínio para acabamento de trilho superior</v>
      </c>
      <c r="C2917" s="37"/>
      <c r="D2917" s="22" t="str">
        <f>TRIM(INDEX(Orçamentária!C:C,MATCH(Composições!A2917,Orçamentária!A:A,0),1))</f>
        <v>m</v>
      </c>
      <c r="E2917" s="23"/>
      <c r="F2917" s="38" t="s">
        <v>523</v>
      </c>
      <c r="G2917" s="24" t="str">
        <f t="shared" si="50"/>
        <v/>
      </c>
      <c r="H2917" s="25"/>
      <c r="I2917" s="26"/>
      <c r="J2917" s="141">
        <v>0</v>
      </c>
    </row>
    <row r="2918" spans="1:10" ht="15.75" hidden="1" thickBot="1" x14ac:dyDescent="0.3">
      <c r="A2918" s="231"/>
      <c r="B2918" s="244"/>
      <c r="C2918" s="28"/>
      <c r="D2918" s="28"/>
      <c r="E2918" s="29"/>
      <c r="F2918" s="39" t="s">
        <v>523</v>
      </c>
      <c r="G2918" s="30" t="str">
        <f t="shared" si="50"/>
        <v/>
      </c>
      <c r="H2918" s="31"/>
      <c r="I2918" s="27"/>
      <c r="J2918" s="141">
        <v>0</v>
      </c>
    </row>
    <row r="2919" spans="1:10" ht="15.75" hidden="1" thickBot="1" x14ac:dyDescent="0.3">
      <c r="A2919" s="231"/>
      <c r="B2919" s="244"/>
      <c r="C2919" s="32" t="s">
        <v>68</v>
      </c>
      <c r="D2919" s="32" t="s">
        <v>12</v>
      </c>
      <c r="E2919" s="33">
        <v>0.2</v>
      </c>
      <c r="F2919" s="30">
        <v>22.961500000000001</v>
      </c>
      <c r="G2919" s="30">
        <f t="shared" si="50"/>
        <v>4.5923000000000007</v>
      </c>
      <c r="H2919" s="35">
        <f>SUM(G2919:G2920)</f>
        <v>16.167252000000001</v>
      </c>
      <c r="I2919" s="36"/>
      <c r="J2919" s="141">
        <v>0</v>
      </c>
    </row>
    <row r="2920" spans="1:10" ht="15.75" hidden="1" thickBot="1" x14ac:dyDescent="0.3">
      <c r="A2920" s="231"/>
      <c r="B2920" s="244"/>
      <c r="C2920" s="32" t="s">
        <v>837</v>
      </c>
      <c r="D2920" s="32" t="s">
        <v>42</v>
      </c>
      <c r="E2920" s="33">
        <v>0.28100000000000003</v>
      </c>
      <c r="F2920" s="27">
        <v>41.192</v>
      </c>
      <c r="G2920" s="30">
        <f t="shared" si="50"/>
        <v>11.574952000000001</v>
      </c>
      <c r="H2920" s="31"/>
      <c r="I2920" s="27"/>
      <c r="J2920" s="141">
        <v>0</v>
      </c>
    </row>
    <row r="2921" spans="1:10" ht="15.75" hidden="1" thickBot="1" x14ac:dyDescent="0.3">
      <c r="A2921" s="231"/>
      <c r="B2921" s="244"/>
      <c r="C2921" s="32"/>
      <c r="D2921" s="43"/>
      <c r="E2921" s="33"/>
      <c r="F2921" s="27" t="s">
        <v>523</v>
      </c>
      <c r="G2921" s="30" t="str">
        <f t="shared" si="50"/>
        <v/>
      </c>
      <c r="H2921" s="31"/>
      <c r="I2921" s="27"/>
      <c r="J2921" s="141">
        <v>0</v>
      </c>
    </row>
    <row r="2922" spans="1:10" ht="26.25" hidden="1" thickBot="1" x14ac:dyDescent="0.3">
      <c r="A2922" s="231"/>
      <c r="B2922" s="244"/>
      <c r="C2922" s="44" t="s">
        <v>844</v>
      </c>
      <c r="D2922" s="43"/>
      <c r="E2922" s="33"/>
      <c r="F2922" s="27" t="s">
        <v>523</v>
      </c>
      <c r="G2922" s="30" t="str">
        <f t="shared" si="50"/>
        <v/>
      </c>
      <c r="H2922" s="31"/>
      <c r="I2922" s="27"/>
      <c r="J2922" s="141">
        <v>0</v>
      </c>
    </row>
    <row r="2923" spans="1:10" ht="26.25" hidden="1" thickBot="1" x14ac:dyDescent="0.3">
      <c r="A2923" s="231"/>
      <c r="B2923" s="244"/>
      <c r="C2923" s="48" t="s">
        <v>842</v>
      </c>
      <c r="D2923" s="43"/>
      <c r="E2923" s="33"/>
      <c r="F2923" s="27" t="s">
        <v>523</v>
      </c>
      <c r="G2923" s="30" t="str">
        <f t="shared" si="50"/>
        <v/>
      </c>
      <c r="H2923" s="31"/>
      <c r="I2923" s="27"/>
      <c r="J2923" s="141">
        <v>0</v>
      </c>
    </row>
    <row r="2924" spans="1:10" ht="15.75" hidden="1" thickBot="1" x14ac:dyDescent="0.3">
      <c r="A2924" s="232"/>
      <c r="B2924" s="230"/>
      <c r="C2924" s="32"/>
      <c r="D2924" s="32"/>
      <c r="E2924" s="33"/>
      <c r="F2924" s="27" t="s">
        <v>523</v>
      </c>
      <c r="G2924" s="30" t="str">
        <f t="shared" si="50"/>
        <v/>
      </c>
      <c r="H2924" s="31"/>
      <c r="I2924" s="27"/>
      <c r="J2924" s="141">
        <v>0</v>
      </c>
    </row>
    <row r="2925" spans="1:10" ht="15.75" hidden="1" thickBot="1" x14ac:dyDescent="0.3">
      <c r="A2925" s="225" t="s">
        <v>845</v>
      </c>
      <c r="B2925" s="228" t="str">
        <f>INDEX(Orçamentária!A:B,MATCH(Composições!A2925,Orçamentária!A:A,0),2)</f>
        <v>Perfil guia inferior de alumínio 39,3 mm x 24 mm para vidro temperado 10mm</v>
      </c>
      <c r="C2925" s="37"/>
      <c r="D2925" s="22" t="str">
        <f>TRIM(INDEX(Orçamentária!C:C,MATCH(Composições!A2925,Orçamentária!A:A,0),1))</f>
        <v>m</v>
      </c>
      <c r="E2925" s="23"/>
      <c r="F2925" s="38" t="s">
        <v>523</v>
      </c>
      <c r="G2925" s="24" t="str">
        <f t="shared" si="50"/>
        <v/>
      </c>
      <c r="H2925" s="25"/>
      <c r="I2925" s="26"/>
      <c r="J2925" s="141">
        <v>0</v>
      </c>
    </row>
    <row r="2926" spans="1:10" ht="15.75" hidden="1" thickBot="1" x14ac:dyDescent="0.3">
      <c r="A2926" s="231"/>
      <c r="B2926" s="244"/>
      <c r="C2926" s="28"/>
      <c r="D2926" s="28"/>
      <c r="E2926" s="29"/>
      <c r="F2926" s="39" t="s">
        <v>523</v>
      </c>
      <c r="G2926" s="30" t="str">
        <f t="shared" si="50"/>
        <v/>
      </c>
      <c r="H2926" s="31"/>
      <c r="I2926" s="27"/>
      <c r="J2926" s="141">
        <v>0</v>
      </c>
    </row>
    <row r="2927" spans="1:10" ht="15.75" hidden="1" thickBot="1" x14ac:dyDescent="0.3">
      <c r="A2927" s="231"/>
      <c r="B2927" s="244"/>
      <c r="C2927" s="32" t="s">
        <v>68</v>
      </c>
      <c r="D2927" s="43" t="s">
        <v>12</v>
      </c>
      <c r="E2927" s="33">
        <v>0.3</v>
      </c>
      <c r="F2927" s="30">
        <v>22.961500000000001</v>
      </c>
      <c r="G2927" s="30">
        <f t="shared" si="50"/>
        <v>6.8884499999999997</v>
      </c>
      <c r="H2927" s="35">
        <f>SUM(G2927:G2928)</f>
        <v>25.466041999999998</v>
      </c>
      <c r="I2927" s="36"/>
      <c r="J2927" s="141">
        <v>0</v>
      </c>
    </row>
    <row r="2928" spans="1:10" ht="15.75" hidden="1" thickBot="1" x14ac:dyDescent="0.3">
      <c r="A2928" s="231"/>
      <c r="B2928" s="244"/>
      <c r="C2928" s="32" t="s">
        <v>837</v>
      </c>
      <c r="D2928" s="32" t="s">
        <v>42</v>
      </c>
      <c r="E2928" s="33">
        <v>0.45100000000000001</v>
      </c>
      <c r="F2928" s="27">
        <v>41.192</v>
      </c>
      <c r="G2928" s="30">
        <f t="shared" si="50"/>
        <v>18.577591999999999</v>
      </c>
      <c r="H2928" s="31"/>
      <c r="I2928" s="27"/>
      <c r="J2928" s="141">
        <v>0</v>
      </c>
    </row>
    <row r="2929" spans="1:10" ht="15.75" hidden="1" thickBot="1" x14ac:dyDescent="0.3">
      <c r="A2929" s="231"/>
      <c r="B2929" s="244"/>
      <c r="C2929" s="32"/>
      <c r="D2929" s="43"/>
      <c r="E2929" s="33"/>
      <c r="F2929" s="27" t="s">
        <v>523</v>
      </c>
      <c r="G2929" s="30" t="str">
        <f t="shared" si="50"/>
        <v/>
      </c>
      <c r="H2929" s="31"/>
      <c r="I2929" s="27"/>
      <c r="J2929" s="141">
        <v>0</v>
      </c>
    </row>
    <row r="2930" spans="1:10" ht="26.25" hidden="1" thickBot="1" x14ac:dyDescent="0.3">
      <c r="A2930" s="231"/>
      <c r="B2930" s="244"/>
      <c r="C2930" s="44" t="s">
        <v>844</v>
      </c>
      <c r="D2930" s="43"/>
      <c r="E2930" s="33"/>
      <c r="F2930" s="27" t="s">
        <v>523</v>
      </c>
      <c r="G2930" s="30" t="str">
        <f t="shared" si="50"/>
        <v/>
      </c>
      <c r="H2930" s="31"/>
      <c r="I2930" s="27"/>
      <c r="J2930" s="141">
        <v>0</v>
      </c>
    </row>
    <row r="2931" spans="1:10" ht="26.25" hidden="1" thickBot="1" x14ac:dyDescent="0.3">
      <c r="A2931" s="231"/>
      <c r="B2931" s="244"/>
      <c r="C2931" s="48" t="s">
        <v>842</v>
      </c>
      <c r="D2931" s="43"/>
      <c r="E2931" s="33"/>
      <c r="F2931" s="27" t="s">
        <v>523</v>
      </c>
      <c r="G2931" s="30" t="str">
        <f t="shared" si="50"/>
        <v/>
      </c>
      <c r="H2931" s="31"/>
      <c r="I2931" s="27"/>
      <c r="J2931" s="141">
        <v>0</v>
      </c>
    </row>
    <row r="2932" spans="1:10" ht="15.75" hidden="1" thickBot="1" x14ac:dyDescent="0.3">
      <c r="A2932" s="232"/>
      <c r="B2932" s="230"/>
      <c r="C2932" s="32"/>
      <c r="D2932" s="32"/>
      <c r="E2932" s="33"/>
      <c r="F2932" s="27" t="s">
        <v>523</v>
      </c>
      <c r="G2932" s="30" t="str">
        <f t="shared" si="50"/>
        <v/>
      </c>
      <c r="H2932" s="31"/>
      <c r="I2932" s="27"/>
      <c r="J2932" s="141">
        <v>0</v>
      </c>
    </row>
    <row r="2933" spans="1:10" ht="15.75" hidden="1" thickBot="1" x14ac:dyDescent="0.3">
      <c r="A2933" s="225" t="s">
        <v>846</v>
      </c>
      <c r="B2933" s="228" t="str">
        <f>INDEX(Orçamentária!A:B,MATCH(Composições!A2933,Orçamentária!A:A,0),2)</f>
        <v>Capa do Perfil Guia Inferior “Click”</v>
      </c>
      <c r="C2933" s="37"/>
      <c r="D2933" s="22" t="str">
        <f>TRIM(INDEX(Orçamentária!C:C,MATCH(Composições!A2933,Orçamentária!A:A,0),1))</f>
        <v>m</v>
      </c>
      <c r="E2933" s="23"/>
      <c r="F2933" s="38" t="s">
        <v>523</v>
      </c>
      <c r="G2933" s="24" t="str">
        <f t="shared" si="50"/>
        <v/>
      </c>
      <c r="H2933" s="25"/>
      <c r="I2933" s="26"/>
      <c r="J2933" s="141">
        <v>0</v>
      </c>
    </row>
    <row r="2934" spans="1:10" ht="15.75" hidden="1" thickBot="1" x14ac:dyDescent="0.3">
      <c r="A2934" s="231"/>
      <c r="B2934" s="244"/>
      <c r="C2934" s="28"/>
      <c r="D2934" s="28"/>
      <c r="E2934" s="29"/>
      <c r="F2934" s="39" t="s">
        <v>523</v>
      </c>
      <c r="G2934" s="30" t="str">
        <f t="shared" si="50"/>
        <v/>
      </c>
      <c r="H2934" s="31"/>
      <c r="I2934" s="27"/>
      <c r="J2934" s="141">
        <v>0</v>
      </c>
    </row>
    <row r="2935" spans="1:10" ht="15.75" hidden="1" thickBot="1" x14ac:dyDescent="0.3">
      <c r="A2935" s="231"/>
      <c r="B2935" s="244"/>
      <c r="C2935" s="32" t="s">
        <v>68</v>
      </c>
      <c r="D2935" s="43" t="s">
        <v>12</v>
      </c>
      <c r="E2935" s="33">
        <v>0.15</v>
      </c>
      <c r="F2935" s="30">
        <v>22.961500000000001</v>
      </c>
      <c r="G2935" s="30">
        <f t="shared" si="50"/>
        <v>3.4442249999999999</v>
      </c>
      <c r="H2935" s="35">
        <f>SUM(G2935:G2936)</f>
        <v>7.9753450000000008</v>
      </c>
      <c r="I2935" s="36"/>
      <c r="J2935" s="141">
        <v>0</v>
      </c>
    </row>
    <row r="2936" spans="1:10" ht="15.75" hidden="1" thickBot="1" x14ac:dyDescent="0.3">
      <c r="A2936" s="231"/>
      <c r="B2936" s="244"/>
      <c r="C2936" s="32" t="s">
        <v>837</v>
      </c>
      <c r="D2936" s="43" t="s">
        <v>42</v>
      </c>
      <c r="E2936" s="33">
        <v>0.11</v>
      </c>
      <c r="F2936" s="27">
        <v>41.192</v>
      </c>
      <c r="G2936" s="30">
        <f t="shared" si="50"/>
        <v>4.5311200000000005</v>
      </c>
      <c r="H2936" s="31"/>
      <c r="I2936" s="27"/>
      <c r="J2936" s="141">
        <v>0</v>
      </c>
    </row>
    <row r="2937" spans="1:10" ht="15.75" hidden="1" thickBot="1" x14ac:dyDescent="0.3">
      <c r="A2937" s="231"/>
      <c r="B2937" s="244"/>
      <c r="C2937" s="32"/>
      <c r="D2937" s="43"/>
      <c r="E2937" s="33"/>
      <c r="F2937" s="27" t="s">
        <v>523</v>
      </c>
      <c r="G2937" s="30" t="str">
        <f t="shared" si="50"/>
        <v/>
      </c>
      <c r="H2937" s="31"/>
      <c r="I2937" s="27"/>
      <c r="J2937" s="141">
        <v>0</v>
      </c>
    </row>
    <row r="2938" spans="1:10" ht="26.25" hidden="1" thickBot="1" x14ac:dyDescent="0.3">
      <c r="A2938" s="231"/>
      <c r="B2938" s="244"/>
      <c r="C2938" s="44" t="s">
        <v>847</v>
      </c>
      <c r="D2938" s="43"/>
      <c r="E2938" s="33"/>
      <c r="F2938" s="27" t="s">
        <v>523</v>
      </c>
      <c r="G2938" s="30" t="str">
        <f t="shared" si="50"/>
        <v/>
      </c>
      <c r="H2938" s="31"/>
      <c r="I2938" s="27"/>
      <c r="J2938" s="141">
        <v>0</v>
      </c>
    </row>
    <row r="2939" spans="1:10" ht="26.25" hidden="1" thickBot="1" x14ac:dyDescent="0.3">
      <c r="A2939" s="231"/>
      <c r="B2939" s="244"/>
      <c r="C2939" s="48" t="s">
        <v>842</v>
      </c>
      <c r="D2939" s="43"/>
      <c r="E2939" s="33"/>
      <c r="F2939" s="27" t="s">
        <v>523</v>
      </c>
      <c r="G2939" s="30" t="str">
        <f t="shared" si="50"/>
        <v/>
      </c>
      <c r="H2939" s="31"/>
      <c r="I2939" s="27"/>
      <c r="J2939" s="141">
        <v>0</v>
      </c>
    </row>
    <row r="2940" spans="1:10" ht="15.75" hidden="1" thickBot="1" x14ac:dyDescent="0.3">
      <c r="A2940" s="232"/>
      <c r="B2940" s="230"/>
      <c r="C2940" s="32"/>
      <c r="D2940" s="32"/>
      <c r="E2940" s="33"/>
      <c r="F2940" s="27" t="s">
        <v>523</v>
      </c>
      <c r="G2940" s="30" t="str">
        <f t="shared" si="50"/>
        <v/>
      </c>
      <c r="H2940" s="31"/>
      <c r="I2940" s="27"/>
      <c r="J2940" s="141">
        <v>0</v>
      </c>
    </row>
    <row r="2941" spans="1:10" ht="15.75" hidden="1" thickBot="1" x14ac:dyDescent="0.3">
      <c r="A2941" s="225" t="s">
        <v>848</v>
      </c>
      <c r="B2941" s="228" t="str">
        <f>INDEX(Orçamentária!A:B,MATCH(Composições!A2941,Orçamentária!A:A,0),2)</f>
        <v>Dobradiça inferior para porta de vidro temperado</v>
      </c>
      <c r="C2941" s="37"/>
      <c r="D2941" s="22" t="str">
        <f>TRIM(INDEX(Orçamentária!C:C,MATCH(Composições!A2941,Orçamentária!A:A,0),1))</f>
        <v>un</v>
      </c>
      <c r="E2941" s="23"/>
      <c r="F2941" s="38" t="s">
        <v>523</v>
      </c>
      <c r="G2941" s="24" t="str">
        <f t="shared" si="50"/>
        <v/>
      </c>
      <c r="H2941" s="25"/>
      <c r="I2941" s="26"/>
      <c r="J2941" s="141">
        <v>0</v>
      </c>
    </row>
    <row r="2942" spans="1:10" ht="15.75" hidden="1" thickBot="1" x14ac:dyDescent="0.3">
      <c r="A2942" s="226"/>
      <c r="B2942" s="244"/>
      <c r="C2942" s="28"/>
      <c r="D2942" s="28"/>
      <c r="E2942" s="29"/>
      <c r="F2942" s="39" t="s">
        <v>523</v>
      </c>
      <c r="G2942" s="30" t="str">
        <f t="shared" si="50"/>
        <v/>
      </c>
      <c r="H2942" s="31"/>
      <c r="I2942" s="27"/>
      <c r="J2942" s="141">
        <v>0</v>
      </c>
    </row>
    <row r="2943" spans="1:10" ht="15.75" hidden="1" thickBot="1" x14ac:dyDescent="0.3">
      <c r="A2943" s="226"/>
      <c r="B2943" s="244"/>
      <c r="C2943" s="32" t="s">
        <v>68</v>
      </c>
      <c r="D2943" s="43" t="s">
        <v>12</v>
      </c>
      <c r="E2943" s="33">
        <v>0.3</v>
      </c>
      <c r="F2943" s="30">
        <v>22.961500000000001</v>
      </c>
      <c r="G2943" s="30">
        <f t="shared" si="50"/>
        <v>6.8884499999999997</v>
      </c>
      <c r="H2943" s="35">
        <f>SUM(G2943:G2944)</f>
        <v>6.8884499999999997</v>
      </c>
      <c r="I2943" s="36"/>
      <c r="J2943" s="141">
        <v>0</v>
      </c>
    </row>
    <row r="2944" spans="1:10" ht="26.25" hidden="1" thickBot="1" x14ac:dyDescent="0.3">
      <c r="A2944" s="226"/>
      <c r="B2944" s="244"/>
      <c r="C2944" s="32" t="s">
        <v>849</v>
      </c>
      <c r="D2944" s="32" t="s">
        <v>20</v>
      </c>
      <c r="E2944" s="33">
        <v>1</v>
      </c>
      <c r="F2944" s="27">
        <v>0</v>
      </c>
      <c r="G2944" s="30">
        <f t="shared" si="50"/>
        <v>0</v>
      </c>
      <c r="H2944" s="31"/>
      <c r="I2944" s="27"/>
      <c r="J2944" s="141">
        <v>0</v>
      </c>
    </row>
    <row r="2945" spans="1:10" ht="15.75" hidden="1" thickBot="1" x14ac:dyDescent="0.3">
      <c r="A2945" s="227"/>
      <c r="B2945" s="230"/>
      <c r="C2945" s="32"/>
      <c r="D2945" s="32"/>
      <c r="E2945" s="33"/>
      <c r="F2945" s="27" t="s">
        <v>523</v>
      </c>
      <c r="G2945" s="30" t="str">
        <f t="shared" si="50"/>
        <v/>
      </c>
      <c r="H2945" s="31"/>
      <c r="I2945" s="27"/>
      <c r="J2945" s="141">
        <v>0</v>
      </c>
    </row>
    <row r="2946" spans="1:10" ht="15.75" hidden="1" thickBot="1" x14ac:dyDescent="0.3">
      <c r="A2946" s="225" t="s">
        <v>850</v>
      </c>
      <c r="B2946" s="228" t="str">
        <f>INDEX(Orçamentária!A:B,MATCH(Composições!A2946,Orçamentária!A:A,0),2)</f>
        <v>Escova de vedação para vidro temperado</v>
      </c>
      <c r="C2946" s="37"/>
      <c r="D2946" s="22" t="str">
        <f>TRIM(INDEX(Orçamentária!C:C,MATCH(Composições!A2946,Orçamentária!A:A,0),1))</f>
        <v>m</v>
      </c>
      <c r="E2946" s="23"/>
      <c r="F2946" s="38" t="s">
        <v>523</v>
      </c>
      <c r="G2946" s="24" t="str">
        <f t="shared" si="50"/>
        <v/>
      </c>
      <c r="H2946" s="25"/>
      <c r="I2946" s="26"/>
      <c r="J2946" s="141">
        <v>0</v>
      </c>
    </row>
    <row r="2947" spans="1:10" ht="15.75" hidden="1" thickBot="1" x14ac:dyDescent="0.3">
      <c r="A2947" s="226"/>
      <c r="B2947" s="244"/>
      <c r="C2947" s="28"/>
      <c r="D2947" s="28"/>
      <c r="E2947" s="29"/>
      <c r="F2947" s="39" t="s">
        <v>523</v>
      </c>
      <c r="G2947" s="30" t="str">
        <f t="shared" si="50"/>
        <v/>
      </c>
      <c r="H2947" s="31"/>
      <c r="I2947" s="27"/>
      <c r="J2947" s="141">
        <v>0</v>
      </c>
    </row>
    <row r="2948" spans="1:10" ht="15.75" hidden="1" thickBot="1" x14ac:dyDescent="0.3">
      <c r="A2948" s="226"/>
      <c r="B2948" s="244"/>
      <c r="C2948" s="32" t="s">
        <v>68</v>
      </c>
      <c r="D2948" s="43" t="s">
        <v>12</v>
      </c>
      <c r="E2948" s="33">
        <v>0.3</v>
      </c>
      <c r="F2948" s="30">
        <v>22.961500000000001</v>
      </c>
      <c r="G2948" s="30">
        <f t="shared" si="50"/>
        <v>6.8884499999999997</v>
      </c>
      <c r="H2948" s="35">
        <f>SUM(G2948:G2949)</f>
        <v>6.8884499999999997</v>
      </c>
      <c r="I2948" s="36"/>
      <c r="J2948" s="141">
        <v>0</v>
      </c>
    </row>
    <row r="2949" spans="1:10" ht="51.75" hidden="1" thickBot="1" x14ac:dyDescent="0.3">
      <c r="A2949" s="226"/>
      <c r="B2949" s="244"/>
      <c r="C2949" s="32" t="s">
        <v>851</v>
      </c>
      <c r="D2949" s="32" t="s">
        <v>20</v>
      </c>
      <c r="E2949" s="33">
        <v>1</v>
      </c>
      <c r="F2949" s="27" t="s">
        <v>523</v>
      </c>
      <c r="G2949" s="30" t="str">
        <f t="shared" si="50"/>
        <v/>
      </c>
      <c r="H2949" s="31"/>
      <c r="I2949" s="27"/>
      <c r="J2949" s="141">
        <v>0</v>
      </c>
    </row>
    <row r="2950" spans="1:10" ht="15.75" hidden="1" thickBot="1" x14ac:dyDescent="0.3">
      <c r="A2950" s="227"/>
      <c r="B2950" s="230"/>
      <c r="C2950" s="32"/>
      <c r="D2950" s="32"/>
      <c r="E2950" s="33"/>
      <c r="F2950" s="27" t="s">
        <v>523</v>
      </c>
      <c r="G2950" s="30" t="str">
        <f t="shared" ref="G2950:G3013" si="51">IF(ISNUMBER(F2950),E2950*F2950,"")</f>
        <v/>
      </c>
      <c r="H2950" s="31"/>
      <c r="I2950" s="27"/>
      <c r="J2950" s="141">
        <v>0</v>
      </c>
    </row>
    <row r="2951" spans="1:10" ht="15.75" hidden="1" thickBot="1" x14ac:dyDescent="0.3">
      <c r="A2951" s="225" t="s">
        <v>852</v>
      </c>
      <c r="B2951" s="228" t="str">
        <f>INDEX(Orçamentária!A:B,MATCH(Composições!A2951,Orçamentária!A:A,0),2)</f>
        <v>Roldana simples para porta de correr em vidro temperado</v>
      </c>
      <c r="C2951" s="37"/>
      <c r="D2951" s="22" t="str">
        <f>TRIM(INDEX(Orçamentária!C:C,MATCH(Composições!A2951,Orçamentária!A:A,0),1))</f>
        <v>un</v>
      </c>
      <c r="E2951" s="23"/>
      <c r="F2951" s="38" t="s">
        <v>523</v>
      </c>
      <c r="G2951" s="24" t="str">
        <f t="shared" si="51"/>
        <v/>
      </c>
      <c r="H2951" s="25"/>
      <c r="I2951" s="26"/>
      <c r="J2951" s="141">
        <v>0</v>
      </c>
    </row>
    <row r="2952" spans="1:10" ht="15.75" hidden="1" thickBot="1" x14ac:dyDescent="0.3">
      <c r="A2952" s="226"/>
      <c r="B2952" s="244"/>
      <c r="C2952" s="28"/>
      <c r="D2952" s="28"/>
      <c r="E2952" s="29"/>
      <c r="F2952" s="39" t="s">
        <v>523</v>
      </c>
      <c r="G2952" s="30" t="str">
        <f t="shared" si="51"/>
        <v/>
      </c>
      <c r="H2952" s="31"/>
      <c r="I2952" s="27"/>
      <c r="J2952" s="141">
        <v>0</v>
      </c>
    </row>
    <row r="2953" spans="1:10" ht="15.75" hidden="1" thickBot="1" x14ac:dyDescent="0.3">
      <c r="A2953" s="226"/>
      <c r="B2953" s="244"/>
      <c r="C2953" s="32" t="s">
        <v>68</v>
      </c>
      <c r="D2953" s="32" t="s">
        <v>12</v>
      </c>
      <c r="E2953" s="33">
        <v>0.15</v>
      </c>
      <c r="F2953" s="30">
        <v>22.961500000000001</v>
      </c>
      <c r="G2953" s="30">
        <f t="shared" si="51"/>
        <v>3.4442249999999999</v>
      </c>
      <c r="H2953" s="35">
        <f>SUM(G2953:G2954)</f>
        <v>3.4442249999999999</v>
      </c>
      <c r="I2953" s="36"/>
      <c r="J2953" s="141">
        <v>0</v>
      </c>
    </row>
    <row r="2954" spans="1:10" ht="26.25" hidden="1" thickBot="1" x14ac:dyDescent="0.3">
      <c r="A2954" s="226"/>
      <c r="B2954" s="244"/>
      <c r="C2954" s="32" t="s">
        <v>853</v>
      </c>
      <c r="D2954" s="32" t="s">
        <v>20</v>
      </c>
      <c r="E2954" s="33">
        <v>1</v>
      </c>
      <c r="F2954" s="27" t="s">
        <v>523</v>
      </c>
      <c r="G2954" s="30" t="str">
        <f t="shared" si="51"/>
        <v/>
      </c>
      <c r="H2954" s="31"/>
      <c r="I2954" s="27"/>
      <c r="J2954" s="141">
        <v>0</v>
      </c>
    </row>
    <row r="2955" spans="1:10" ht="15.75" hidden="1" thickBot="1" x14ac:dyDescent="0.3">
      <c r="A2955" s="227"/>
      <c r="B2955" s="230"/>
      <c r="C2955" s="32"/>
      <c r="D2955" s="32"/>
      <c r="E2955" s="33"/>
      <c r="F2955" s="27" t="s">
        <v>523</v>
      </c>
      <c r="G2955" s="30" t="str">
        <f t="shared" si="51"/>
        <v/>
      </c>
      <c r="H2955" s="31"/>
      <c r="I2955" s="27"/>
      <c r="J2955" s="141">
        <v>0</v>
      </c>
    </row>
    <row r="2956" spans="1:10" ht="15.75" hidden="1" thickBot="1" x14ac:dyDescent="0.3">
      <c r="A2956" s="225" t="s">
        <v>854</v>
      </c>
      <c r="B2956" s="228" t="str">
        <f>INDEX(Orçamentária!A:B,MATCH(Composições!A2956,Orçamentária!A:A,0),2)</f>
        <v>Roldana dupla para porta de correr em vidro temperado</v>
      </c>
      <c r="C2956" s="37"/>
      <c r="D2956" s="22" t="str">
        <f>TRIM(INDEX(Orçamentária!C:C,MATCH(Composições!A2956,Orçamentária!A:A,0),1))</f>
        <v>un</v>
      </c>
      <c r="E2956" s="23"/>
      <c r="F2956" s="38" t="s">
        <v>523</v>
      </c>
      <c r="G2956" s="24" t="str">
        <f t="shared" si="51"/>
        <v/>
      </c>
      <c r="H2956" s="25"/>
      <c r="I2956" s="26"/>
      <c r="J2956" s="141">
        <v>0</v>
      </c>
    </row>
    <row r="2957" spans="1:10" ht="15.75" hidden="1" thickBot="1" x14ac:dyDescent="0.3">
      <c r="A2957" s="226"/>
      <c r="B2957" s="244"/>
      <c r="C2957" s="28"/>
      <c r="D2957" s="28"/>
      <c r="E2957" s="29"/>
      <c r="F2957" s="39" t="s">
        <v>523</v>
      </c>
      <c r="G2957" s="30" t="str">
        <f t="shared" si="51"/>
        <v/>
      </c>
      <c r="H2957" s="31"/>
      <c r="I2957" s="27"/>
      <c r="J2957" s="141">
        <v>0</v>
      </c>
    </row>
    <row r="2958" spans="1:10" ht="15.75" hidden="1" thickBot="1" x14ac:dyDescent="0.3">
      <c r="A2958" s="226"/>
      <c r="B2958" s="244"/>
      <c r="C2958" s="32" t="s">
        <v>68</v>
      </c>
      <c r="D2958" s="32" t="s">
        <v>12</v>
      </c>
      <c r="E2958" s="33">
        <v>0.15</v>
      </c>
      <c r="F2958" s="30">
        <v>22.961500000000001</v>
      </c>
      <c r="G2958" s="30">
        <f t="shared" si="51"/>
        <v>3.4442249999999999</v>
      </c>
      <c r="H2958" s="35">
        <f>SUM(G2958:G2959)</f>
        <v>3.4442249999999999</v>
      </c>
      <c r="I2958" s="36"/>
      <c r="J2958" s="141">
        <v>0</v>
      </c>
    </row>
    <row r="2959" spans="1:10" ht="26.25" hidden="1" thickBot="1" x14ac:dyDescent="0.3">
      <c r="A2959" s="226"/>
      <c r="B2959" s="244"/>
      <c r="C2959" s="32" t="s">
        <v>855</v>
      </c>
      <c r="D2959" s="32" t="s">
        <v>20</v>
      </c>
      <c r="E2959" s="33">
        <v>1</v>
      </c>
      <c r="F2959" s="27" t="s">
        <v>523</v>
      </c>
      <c r="G2959" s="30" t="str">
        <f t="shared" si="51"/>
        <v/>
      </c>
      <c r="H2959" s="31"/>
      <c r="I2959" s="27"/>
      <c r="J2959" s="141">
        <v>0</v>
      </c>
    </row>
    <row r="2960" spans="1:10" ht="15.75" hidden="1" thickBot="1" x14ac:dyDescent="0.3">
      <c r="A2960" s="227"/>
      <c r="B2960" s="230"/>
      <c r="C2960" s="32"/>
      <c r="D2960" s="32"/>
      <c r="E2960" s="33"/>
      <c r="F2960" s="27" t="s">
        <v>523</v>
      </c>
      <c r="G2960" s="30" t="str">
        <f t="shared" si="51"/>
        <v/>
      </c>
      <c r="H2960" s="31"/>
      <c r="I2960" s="27"/>
      <c r="J2960" s="141">
        <v>0</v>
      </c>
    </row>
    <row r="2961" spans="1:10" ht="15.75" hidden="1" thickBot="1" x14ac:dyDescent="0.3">
      <c r="A2961" s="225" t="s">
        <v>856</v>
      </c>
      <c r="B2961" s="228" t="str">
        <f>INDEX(Orçamentária!A:B,MATCH(Composições!A2961,Orçamentária!A:A,0),2)</f>
        <v>Capuchinho para trinco para vidro temperado</v>
      </c>
      <c r="C2961" s="37"/>
      <c r="D2961" s="22" t="str">
        <f>TRIM(INDEX(Orçamentária!C:C,MATCH(Composições!A2961,Orçamentária!A:A,0),1))</f>
        <v>un</v>
      </c>
      <c r="E2961" s="23"/>
      <c r="F2961" s="38" t="s">
        <v>523</v>
      </c>
      <c r="G2961" s="24" t="str">
        <f t="shared" si="51"/>
        <v/>
      </c>
      <c r="H2961" s="25"/>
      <c r="I2961" s="26"/>
      <c r="J2961" s="141">
        <v>0</v>
      </c>
    </row>
    <row r="2962" spans="1:10" ht="15.75" hidden="1" thickBot="1" x14ac:dyDescent="0.3">
      <c r="A2962" s="226"/>
      <c r="B2962" s="244"/>
      <c r="C2962" s="28"/>
      <c r="D2962" s="28"/>
      <c r="E2962" s="29"/>
      <c r="F2962" s="39" t="s">
        <v>523</v>
      </c>
      <c r="G2962" s="30" t="str">
        <f t="shared" si="51"/>
        <v/>
      </c>
      <c r="H2962" s="31"/>
      <c r="I2962" s="27"/>
      <c r="J2962" s="141">
        <v>0</v>
      </c>
    </row>
    <row r="2963" spans="1:10" ht="15.75" hidden="1" thickBot="1" x14ac:dyDescent="0.3">
      <c r="A2963" s="226"/>
      <c r="B2963" s="244"/>
      <c r="C2963" s="32" t="s">
        <v>68</v>
      </c>
      <c r="D2963" s="32" t="s">
        <v>12</v>
      </c>
      <c r="E2963" s="33">
        <v>0.1</v>
      </c>
      <c r="F2963" s="30">
        <v>22.961500000000001</v>
      </c>
      <c r="G2963" s="30">
        <f t="shared" si="51"/>
        <v>2.2961500000000004</v>
      </c>
      <c r="H2963" s="35">
        <f>SUM(G2963:G2964)</f>
        <v>2.2961500000000004</v>
      </c>
      <c r="I2963" s="36"/>
      <c r="J2963" s="141">
        <v>0</v>
      </c>
    </row>
    <row r="2964" spans="1:10" ht="39" hidden="1" thickBot="1" x14ac:dyDescent="0.3">
      <c r="A2964" s="226"/>
      <c r="B2964" s="244"/>
      <c r="C2964" s="32" t="s">
        <v>857</v>
      </c>
      <c r="D2964" s="32" t="s">
        <v>20</v>
      </c>
      <c r="E2964" s="33">
        <v>1</v>
      </c>
      <c r="F2964" s="27">
        <v>0</v>
      </c>
      <c r="G2964" s="30">
        <f t="shared" si="51"/>
        <v>0</v>
      </c>
      <c r="H2964" s="31"/>
      <c r="I2964" s="27"/>
      <c r="J2964" s="141">
        <v>0</v>
      </c>
    </row>
    <row r="2965" spans="1:10" ht="15.75" hidden="1" thickBot="1" x14ac:dyDescent="0.3">
      <c r="A2965" s="227"/>
      <c r="B2965" s="230"/>
      <c r="C2965" s="32"/>
      <c r="D2965" s="32"/>
      <c r="E2965" s="33"/>
      <c r="F2965" s="27" t="s">
        <v>523</v>
      </c>
      <c r="G2965" s="30" t="str">
        <f t="shared" si="51"/>
        <v/>
      </c>
      <c r="H2965" s="31"/>
      <c r="I2965" s="27"/>
      <c r="J2965" s="141">
        <v>0</v>
      </c>
    </row>
    <row r="2966" spans="1:10" ht="15.75" hidden="1" thickBot="1" x14ac:dyDescent="0.3">
      <c r="A2966" s="225" t="s">
        <v>858</v>
      </c>
      <c r="B2966" s="228" t="str">
        <f>INDEX(Orçamentária!A:B,MATCH(Composições!A2966,Orçamentária!A:A,0),2)</f>
        <v>Facão simples para lateral e bandeira de vidro temperado</v>
      </c>
      <c r="C2966" s="37"/>
      <c r="D2966" s="22" t="str">
        <f>TRIM(INDEX(Orçamentária!C:C,MATCH(Composições!A2966,Orçamentária!A:A,0),1))</f>
        <v>un</v>
      </c>
      <c r="E2966" s="23"/>
      <c r="F2966" s="38" t="s">
        <v>523</v>
      </c>
      <c r="G2966" s="24" t="str">
        <f t="shared" si="51"/>
        <v/>
      </c>
      <c r="H2966" s="25"/>
      <c r="I2966" s="26"/>
      <c r="J2966" s="141">
        <v>0</v>
      </c>
    </row>
    <row r="2967" spans="1:10" ht="15.75" hidden="1" thickBot="1" x14ac:dyDescent="0.3">
      <c r="A2967" s="226"/>
      <c r="B2967" s="244"/>
      <c r="C2967" s="28"/>
      <c r="D2967" s="28"/>
      <c r="E2967" s="29"/>
      <c r="F2967" s="39" t="s">
        <v>523</v>
      </c>
      <c r="G2967" s="30" t="str">
        <f t="shared" si="51"/>
        <v/>
      </c>
      <c r="H2967" s="31"/>
      <c r="I2967" s="27"/>
      <c r="J2967" s="141">
        <v>0</v>
      </c>
    </row>
    <row r="2968" spans="1:10" ht="15.75" hidden="1" thickBot="1" x14ac:dyDescent="0.3">
      <c r="A2968" s="226"/>
      <c r="B2968" s="244"/>
      <c r="C2968" s="32" t="s">
        <v>68</v>
      </c>
      <c r="D2968" s="32" t="s">
        <v>12</v>
      </c>
      <c r="E2968" s="33">
        <v>0.4</v>
      </c>
      <c r="F2968" s="30">
        <v>22.961500000000001</v>
      </c>
      <c r="G2968" s="30">
        <f t="shared" si="51"/>
        <v>9.1846000000000014</v>
      </c>
      <c r="H2968" s="35">
        <f>SUM(G2968:G2969)</f>
        <v>9.1846000000000014</v>
      </c>
      <c r="I2968" s="36"/>
      <c r="J2968" s="141">
        <v>0</v>
      </c>
    </row>
    <row r="2969" spans="1:10" ht="39" hidden="1" thickBot="1" x14ac:dyDescent="0.3">
      <c r="A2969" s="226"/>
      <c r="B2969" s="244"/>
      <c r="C2969" s="32" t="s">
        <v>859</v>
      </c>
      <c r="D2969" s="32" t="s">
        <v>20</v>
      </c>
      <c r="E2969" s="33">
        <v>1</v>
      </c>
      <c r="F2969" s="27">
        <v>0</v>
      </c>
      <c r="G2969" s="30">
        <f t="shared" si="51"/>
        <v>0</v>
      </c>
      <c r="H2969" s="31"/>
      <c r="I2969" s="27"/>
      <c r="J2969" s="141">
        <v>0</v>
      </c>
    </row>
    <row r="2970" spans="1:10" ht="15.75" hidden="1" thickBot="1" x14ac:dyDescent="0.3">
      <c r="A2970" s="227"/>
      <c r="B2970" s="230"/>
      <c r="C2970" s="32"/>
      <c r="D2970" s="32"/>
      <c r="E2970" s="33"/>
      <c r="F2970" s="27" t="s">
        <v>523</v>
      </c>
      <c r="G2970" s="30" t="str">
        <f t="shared" si="51"/>
        <v/>
      </c>
      <c r="H2970" s="31"/>
      <c r="I2970" s="27"/>
      <c r="J2970" s="141">
        <v>0</v>
      </c>
    </row>
    <row r="2971" spans="1:10" ht="15.75" hidden="1" thickBot="1" x14ac:dyDescent="0.3">
      <c r="A2971" s="225" t="s">
        <v>860</v>
      </c>
      <c r="B2971" s="228" t="str">
        <f>INDEX(Orçamentária!A:B,MATCH(Composições!A2971,Orçamentária!A:A,0),2)</f>
        <v>Fechadura de pressão para porta de abrir em vidro temperado</v>
      </c>
      <c r="C2971" s="37"/>
      <c r="D2971" s="22" t="str">
        <f>TRIM(INDEX(Orçamentária!C:C,MATCH(Composições!A2971,Orçamentária!A:A,0),1))</f>
        <v>un</v>
      </c>
      <c r="E2971" s="23"/>
      <c r="F2971" s="38" t="s">
        <v>523</v>
      </c>
      <c r="G2971" s="24" t="str">
        <f t="shared" si="51"/>
        <v/>
      </c>
      <c r="H2971" s="25"/>
      <c r="I2971" s="26"/>
      <c r="J2971" s="141">
        <v>0</v>
      </c>
    </row>
    <row r="2972" spans="1:10" ht="15.75" hidden="1" thickBot="1" x14ac:dyDescent="0.3">
      <c r="A2972" s="226"/>
      <c r="B2972" s="244"/>
      <c r="C2972" s="28"/>
      <c r="D2972" s="28"/>
      <c r="E2972" s="29"/>
      <c r="F2972" s="39" t="s">
        <v>523</v>
      </c>
      <c r="G2972" s="30" t="str">
        <f t="shared" si="51"/>
        <v/>
      </c>
      <c r="H2972" s="31"/>
      <c r="I2972" s="27"/>
      <c r="J2972" s="141">
        <v>0</v>
      </c>
    </row>
    <row r="2973" spans="1:10" ht="15.75" hidden="1" thickBot="1" x14ac:dyDescent="0.3">
      <c r="A2973" s="226"/>
      <c r="B2973" s="244"/>
      <c r="C2973" s="32" t="s">
        <v>68</v>
      </c>
      <c r="D2973" s="32" t="s">
        <v>12</v>
      </c>
      <c r="E2973" s="33">
        <v>0.4</v>
      </c>
      <c r="F2973" s="30">
        <v>22.961500000000001</v>
      </c>
      <c r="G2973" s="30">
        <f t="shared" si="51"/>
        <v>9.1846000000000014</v>
      </c>
      <c r="H2973" s="35">
        <f>SUM(G2973:G2974)</f>
        <v>9.1846000000000014</v>
      </c>
      <c r="I2973" s="36"/>
      <c r="J2973" s="141">
        <v>0</v>
      </c>
    </row>
    <row r="2974" spans="1:10" ht="39" hidden="1" thickBot="1" x14ac:dyDescent="0.3">
      <c r="A2974" s="226"/>
      <c r="B2974" s="244"/>
      <c r="C2974" s="32" t="s">
        <v>861</v>
      </c>
      <c r="D2974" s="32" t="s">
        <v>20</v>
      </c>
      <c r="E2974" s="33">
        <v>1</v>
      </c>
      <c r="F2974" s="27" t="s">
        <v>523</v>
      </c>
      <c r="G2974" s="30" t="str">
        <f t="shared" si="51"/>
        <v/>
      </c>
      <c r="H2974" s="31"/>
      <c r="I2974" s="27"/>
      <c r="J2974" s="141">
        <v>0</v>
      </c>
    </row>
    <row r="2975" spans="1:10" ht="15.75" hidden="1" thickBot="1" x14ac:dyDescent="0.3">
      <c r="A2975" s="227"/>
      <c r="B2975" s="230"/>
      <c r="C2975" s="32"/>
      <c r="D2975" s="32"/>
      <c r="E2975" s="33"/>
      <c r="F2975" s="27" t="s">
        <v>523</v>
      </c>
      <c r="G2975" s="30" t="str">
        <f t="shared" si="51"/>
        <v/>
      </c>
      <c r="H2975" s="31"/>
      <c r="I2975" s="27"/>
      <c r="J2975" s="141">
        <v>0</v>
      </c>
    </row>
    <row r="2976" spans="1:10" ht="15.75" hidden="1" thickBot="1" x14ac:dyDescent="0.3">
      <c r="A2976" s="225" t="s">
        <v>862</v>
      </c>
      <c r="B2976" s="228" t="str">
        <f>INDEX(Orçamentária!A:B,MATCH(Composições!A2976,Orçamentária!A:A,0),2)</f>
        <v>Suporte de união, com miolo, para vidro temperado</v>
      </c>
      <c r="C2976" s="37"/>
      <c r="D2976" s="22" t="str">
        <f>TRIM(INDEX(Orçamentária!C:C,MATCH(Composições!A2976,Orçamentária!A:A,0),1))</f>
        <v>un</v>
      </c>
      <c r="E2976" s="23"/>
      <c r="F2976" s="38" t="s">
        <v>523</v>
      </c>
      <c r="G2976" s="24" t="str">
        <f t="shared" si="51"/>
        <v/>
      </c>
      <c r="H2976" s="25"/>
      <c r="I2976" s="26"/>
      <c r="J2976" s="141">
        <v>0</v>
      </c>
    </row>
    <row r="2977" spans="1:10" ht="15.75" hidden="1" thickBot="1" x14ac:dyDescent="0.3">
      <c r="A2977" s="226"/>
      <c r="B2977" s="244"/>
      <c r="C2977" s="28"/>
      <c r="D2977" s="28"/>
      <c r="E2977" s="29"/>
      <c r="F2977" s="39" t="s">
        <v>523</v>
      </c>
      <c r="G2977" s="30" t="str">
        <f t="shared" si="51"/>
        <v/>
      </c>
      <c r="H2977" s="31"/>
      <c r="I2977" s="27"/>
      <c r="J2977" s="141">
        <v>0</v>
      </c>
    </row>
    <row r="2978" spans="1:10" ht="15.75" hidden="1" thickBot="1" x14ac:dyDescent="0.3">
      <c r="A2978" s="226"/>
      <c r="B2978" s="244"/>
      <c r="C2978" s="32" t="s">
        <v>68</v>
      </c>
      <c r="D2978" s="32" t="s">
        <v>12</v>
      </c>
      <c r="E2978" s="33">
        <v>0.3</v>
      </c>
      <c r="F2978" s="30">
        <v>22.961500000000001</v>
      </c>
      <c r="G2978" s="30">
        <f t="shared" si="51"/>
        <v>6.8884499999999997</v>
      </c>
      <c r="H2978" s="35">
        <f>SUM(G2978:G2979)</f>
        <v>6.8884499999999997</v>
      </c>
      <c r="I2978" s="36"/>
      <c r="J2978" s="141">
        <v>0</v>
      </c>
    </row>
    <row r="2979" spans="1:10" ht="26.25" hidden="1" thickBot="1" x14ac:dyDescent="0.3">
      <c r="A2979" s="226"/>
      <c r="B2979" s="244"/>
      <c r="C2979" s="32" t="s">
        <v>863</v>
      </c>
      <c r="D2979" s="32" t="s">
        <v>20</v>
      </c>
      <c r="E2979" s="33">
        <v>1</v>
      </c>
      <c r="F2979" s="27">
        <v>0</v>
      </c>
      <c r="G2979" s="30">
        <f t="shared" si="51"/>
        <v>0</v>
      </c>
      <c r="H2979" s="31"/>
      <c r="I2979" s="27"/>
      <c r="J2979" s="141">
        <v>0</v>
      </c>
    </row>
    <row r="2980" spans="1:10" ht="15.75" hidden="1" thickBot="1" x14ac:dyDescent="0.3">
      <c r="A2980" s="227"/>
      <c r="B2980" s="230"/>
      <c r="C2980" s="32"/>
      <c r="D2980" s="32"/>
      <c r="E2980" s="33"/>
      <c r="F2980" s="27" t="s">
        <v>523</v>
      </c>
      <c r="G2980" s="30" t="str">
        <f t="shared" si="51"/>
        <v/>
      </c>
      <c r="H2980" s="31"/>
      <c r="I2980" s="27"/>
      <c r="J2980" s="141">
        <v>0</v>
      </c>
    </row>
    <row r="2981" spans="1:10" ht="15.75" hidden="1" thickBot="1" x14ac:dyDescent="0.3">
      <c r="A2981" s="225" t="s">
        <v>864</v>
      </c>
      <c r="B2981" s="228" t="str">
        <f>INDEX(Orçamentária!A:B,MATCH(Composições!A2981,Orçamentária!A:A,0),2)</f>
        <v>Suporte para basculante e pivotante de vidro temperado</v>
      </c>
      <c r="C2981" s="37"/>
      <c r="D2981" s="22" t="str">
        <f>TRIM(INDEX(Orçamentária!C:C,MATCH(Composições!A2981,Orçamentária!A:A,0),1))</f>
        <v>un</v>
      </c>
      <c r="E2981" s="23"/>
      <c r="F2981" s="38" t="s">
        <v>523</v>
      </c>
      <c r="G2981" s="24" t="str">
        <f t="shared" si="51"/>
        <v/>
      </c>
      <c r="H2981" s="25"/>
      <c r="I2981" s="26"/>
      <c r="J2981" s="141">
        <v>0</v>
      </c>
    </row>
    <row r="2982" spans="1:10" ht="15.75" hidden="1" thickBot="1" x14ac:dyDescent="0.3">
      <c r="A2982" s="226"/>
      <c r="B2982" s="244"/>
      <c r="C2982" s="28"/>
      <c r="D2982" s="28"/>
      <c r="E2982" s="29"/>
      <c r="F2982" s="39" t="s">
        <v>523</v>
      </c>
      <c r="G2982" s="30" t="str">
        <f t="shared" si="51"/>
        <v/>
      </c>
      <c r="H2982" s="31"/>
      <c r="I2982" s="27"/>
      <c r="J2982" s="141">
        <v>0</v>
      </c>
    </row>
    <row r="2983" spans="1:10" ht="15.75" hidden="1" thickBot="1" x14ac:dyDescent="0.3">
      <c r="A2983" s="226"/>
      <c r="B2983" s="244"/>
      <c r="C2983" s="32" t="s">
        <v>68</v>
      </c>
      <c r="D2983" s="32" t="s">
        <v>12</v>
      </c>
      <c r="E2983" s="33">
        <v>0.2</v>
      </c>
      <c r="F2983" s="30">
        <v>22.961500000000001</v>
      </c>
      <c r="G2983" s="30">
        <f t="shared" si="51"/>
        <v>4.5923000000000007</v>
      </c>
      <c r="H2983" s="35">
        <f>SUM(G2983:G2984)</f>
        <v>4.5923000000000007</v>
      </c>
      <c r="I2983" s="36"/>
      <c r="J2983" s="141">
        <v>0</v>
      </c>
    </row>
    <row r="2984" spans="1:10" ht="26.25" hidden="1" thickBot="1" x14ac:dyDescent="0.3">
      <c r="A2984" s="226"/>
      <c r="B2984" s="244"/>
      <c r="C2984" s="32" t="s">
        <v>865</v>
      </c>
      <c r="D2984" s="32" t="s">
        <v>20</v>
      </c>
      <c r="E2984" s="33">
        <v>1</v>
      </c>
      <c r="F2984" s="27">
        <v>0</v>
      </c>
      <c r="G2984" s="30">
        <f t="shared" si="51"/>
        <v>0</v>
      </c>
      <c r="H2984" s="31"/>
      <c r="I2984" s="27"/>
      <c r="J2984" s="141">
        <v>0</v>
      </c>
    </row>
    <row r="2985" spans="1:10" ht="15.75" hidden="1" thickBot="1" x14ac:dyDescent="0.3">
      <c r="A2985" s="227"/>
      <c r="B2985" s="230"/>
      <c r="C2985" s="32"/>
      <c r="D2985" s="32"/>
      <c r="E2985" s="33"/>
      <c r="F2985" s="27" t="s">
        <v>523</v>
      </c>
      <c r="G2985" s="30" t="str">
        <f t="shared" si="51"/>
        <v/>
      </c>
      <c r="H2985" s="31"/>
      <c r="I2985" s="27"/>
      <c r="J2985" s="141">
        <v>0</v>
      </c>
    </row>
    <row r="2986" spans="1:10" ht="15.75" hidden="1" thickBot="1" x14ac:dyDescent="0.3">
      <c r="A2986" s="225" t="s">
        <v>866</v>
      </c>
      <c r="B2986" s="228" t="str">
        <f>INDEX(Orçamentária!A:B,MATCH(Composições!A2986,Orçamentária!A:A,0),2)</f>
        <v>Trinco central para basculante em vidro temperado</v>
      </c>
      <c r="C2986" s="37"/>
      <c r="D2986" s="22" t="str">
        <f>TRIM(INDEX(Orçamentária!C:C,MATCH(Composições!A2986,Orçamentária!A:A,0),1))</f>
        <v>un</v>
      </c>
      <c r="E2986" s="23"/>
      <c r="F2986" s="38" t="s">
        <v>523</v>
      </c>
      <c r="G2986" s="24" t="str">
        <f t="shared" si="51"/>
        <v/>
      </c>
      <c r="H2986" s="25"/>
      <c r="I2986" s="26"/>
      <c r="J2986" s="141">
        <v>0</v>
      </c>
    </row>
    <row r="2987" spans="1:10" ht="15.75" hidden="1" thickBot="1" x14ac:dyDescent="0.3">
      <c r="A2987" s="226"/>
      <c r="B2987" s="244"/>
      <c r="C2987" s="28"/>
      <c r="D2987" s="28"/>
      <c r="E2987" s="29"/>
      <c r="F2987" s="39" t="s">
        <v>523</v>
      </c>
      <c r="G2987" s="30" t="str">
        <f t="shared" si="51"/>
        <v/>
      </c>
      <c r="H2987" s="31"/>
      <c r="I2987" s="27"/>
      <c r="J2987" s="141">
        <v>0</v>
      </c>
    </row>
    <row r="2988" spans="1:10" ht="15.75" hidden="1" thickBot="1" x14ac:dyDescent="0.3">
      <c r="A2988" s="226"/>
      <c r="B2988" s="244"/>
      <c r="C2988" s="32" t="s">
        <v>68</v>
      </c>
      <c r="D2988" s="32" t="s">
        <v>12</v>
      </c>
      <c r="E2988" s="33">
        <v>0.2</v>
      </c>
      <c r="F2988" s="30">
        <v>22.961500000000001</v>
      </c>
      <c r="G2988" s="30">
        <f t="shared" si="51"/>
        <v>4.5923000000000007</v>
      </c>
      <c r="H2988" s="35">
        <f>SUM(G2988:G2989)</f>
        <v>4.5923000000000007</v>
      </c>
      <c r="I2988" s="36"/>
      <c r="J2988" s="141">
        <v>0</v>
      </c>
    </row>
    <row r="2989" spans="1:10" ht="26.25" hidden="1" thickBot="1" x14ac:dyDescent="0.3">
      <c r="A2989" s="226"/>
      <c r="B2989" s="244"/>
      <c r="C2989" s="32" t="s">
        <v>867</v>
      </c>
      <c r="D2989" s="43" t="s">
        <v>20</v>
      </c>
      <c r="E2989" s="33">
        <v>1</v>
      </c>
      <c r="F2989" s="27">
        <v>0</v>
      </c>
      <c r="G2989" s="30">
        <f t="shared" si="51"/>
        <v>0</v>
      </c>
      <c r="H2989" s="31"/>
      <c r="I2989" s="27"/>
      <c r="J2989" s="141">
        <v>0</v>
      </c>
    </row>
    <row r="2990" spans="1:10" ht="15.75" hidden="1" thickBot="1" x14ac:dyDescent="0.3">
      <c r="A2990" s="227"/>
      <c r="B2990" s="230"/>
      <c r="C2990" s="32"/>
      <c r="D2990" s="32"/>
      <c r="E2990" s="33"/>
      <c r="F2990" s="27" t="s">
        <v>523</v>
      </c>
      <c r="G2990" s="30" t="str">
        <f t="shared" si="51"/>
        <v/>
      </c>
      <c r="H2990" s="31"/>
      <c r="I2990" s="27"/>
      <c r="J2990" s="141">
        <v>0</v>
      </c>
    </row>
    <row r="2991" spans="1:10" ht="15.75" hidden="1" thickBot="1" x14ac:dyDescent="0.3">
      <c r="A2991" s="225" t="s">
        <v>868</v>
      </c>
      <c r="B2991" s="228" t="str">
        <f>INDEX(Orçamentária!A:B,MATCH(Composições!A2991,Orçamentária!A:A,0),2)</f>
        <v>Vidro laminado incolor de 8mm de espessura</v>
      </c>
      <c r="C2991" s="37"/>
      <c r="D2991" s="22" t="str">
        <f>TRIM(INDEX(Orçamentária!C:C,MATCH(Composições!A2991,Orçamentária!A:A,0),1))</f>
        <v>m2</v>
      </c>
      <c r="E2991" s="23"/>
      <c r="F2991" s="38" t="s">
        <v>523</v>
      </c>
      <c r="G2991" s="24" t="str">
        <f t="shared" si="51"/>
        <v/>
      </c>
      <c r="H2991" s="25"/>
      <c r="I2991" s="26"/>
      <c r="J2991" s="141">
        <v>0</v>
      </c>
    </row>
    <row r="2992" spans="1:10" ht="15.75" hidden="1" thickBot="1" x14ac:dyDescent="0.3">
      <c r="A2992" s="226"/>
      <c r="B2992" s="244"/>
      <c r="C2992" s="28"/>
      <c r="D2992" s="28"/>
      <c r="E2992" s="29"/>
      <c r="F2992" s="39" t="s">
        <v>523</v>
      </c>
      <c r="G2992" s="30" t="str">
        <f t="shared" si="51"/>
        <v/>
      </c>
      <c r="H2992" s="31"/>
      <c r="I2992" s="27"/>
      <c r="J2992" s="141">
        <v>0</v>
      </c>
    </row>
    <row r="2993" spans="1:10" ht="39" hidden="1" thickBot="1" x14ac:dyDescent="0.3">
      <c r="A2993" s="226"/>
      <c r="B2993" s="244"/>
      <c r="C2993" s="32" t="s">
        <v>3257</v>
      </c>
      <c r="D2993" s="43" t="s">
        <v>280</v>
      </c>
      <c r="E2993" s="33">
        <v>2.1960000000000002</v>
      </c>
      <c r="F2993" s="30">
        <v>0.38949999999999996</v>
      </c>
      <c r="G2993" s="30">
        <f t="shared" si="51"/>
        <v>0.85534199999999994</v>
      </c>
      <c r="H2993" s="35">
        <f>SUM(G2993:G2999)</f>
        <v>611.59243450000008</v>
      </c>
      <c r="I2993" s="36"/>
      <c r="J2993" s="141">
        <v>0</v>
      </c>
    </row>
    <row r="2994" spans="1:10" ht="26.25" hidden="1" thickBot="1" x14ac:dyDescent="0.3">
      <c r="A2994" s="226"/>
      <c r="B2994" s="244"/>
      <c r="C2994" s="32" t="s">
        <v>1186</v>
      </c>
      <c r="D2994" s="43" t="s">
        <v>480</v>
      </c>
      <c r="E2994" s="33">
        <v>3.4159999999999999</v>
      </c>
      <c r="F2994" s="30">
        <v>13.299999999999999</v>
      </c>
      <c r="G2994" s="30">
        <f t="shared" si="51"/>
        <v>45.432799999999993</v>
      </c>
      <c r="H2994" s="31"/>
      <c r="I2994" s="27"/>
      <c r="J2994" s="141">
        <v>0</v>
      </c>
    </row>
    <row r="2995" spans="1:10" ht="15.75" hidden="1" thickBot="1" x14ac:dyDescent="0.3">
      <c r="A2995" s="226"/>
      <c r="B2995" s="244"/>
      <c r="C2995" s="32" t="s">
        <v>837</v>
      </c>
      <c r="D2995" s="43" t="s">
        <v>901</v>
      </c>
      <c r="E2995" s="33">
        <v>0.96399999999999997</v>
      </c>
      <c r="F2995" s="27">
        <v>41.192</v>
      </c>
      <c r="G2995" s="30">
        <f t="shared" si="51"/>
        <v>39.709088000000001</v>
      </c>
      <c r="H2995" s="31"/>
      <c r="I2995" s="27"/>
      <c r="J2995" s="141">
        <v>0</v>
      </c>
    </row>
    <row r="2996" spans="1:10" ht="26.25" hidden="1" thickBot="1" x14ac:dyDescent="0.3">
      <c r="A2996" s="226"/>
      <c r="B2996" s="244"/>
      <c r="C2996" s="32" t="s">
        <v>1187</v>
      </c>
      <c r="D2996" s="43" t="s">
        <v>995</v>
      </c>
      <c r="E2996" s="33">
        <v>1</v>
      </c>
      <c r="F2996" s="27">
        <v>449.8725</v>
      </c>
      <c r="G2996" s="30">
        <f t="shared" si="51"/>
        <v>449.8725</v>
      </c>
      <c r="H2996" s="31"/>
      <c r="I2996" s="27"/>
      <c r="J2996" s="141">
        <v>0</v>
      </c>
    </row>
    <row r="2997" spans="1:10" ht="26.25" hidden="1" thickBot="1" x14ac:dyDescent="0.3">
      <c r="A2997" s="226"/>
      <c r="B2997" s="244"/>
      <c r="C2997" s="32" t="s">
        <v>3326</v>
      </c>
      <c r="D2997" s="43" t="s">
        <v>480</v>
      </c>
      <c r="E2997" s="33">
        <v>2.992</v>
      </c>
      <c r="F2997" s="27">
        <v>2.5554999999999999</v>
      </c>
      <c r="G2997" s="30">
        <f t="shared" si="51"/>
        <v>7.6460559999999997</v>
      </c>
      <c r="H2997" s="31"/>
      <c r="I2997" s="27"/>
      <c r="J2997" s="141">
        <v>0</v>
      </c>
    </row>
    <row r="2998" spans="1:10" ht="15.75" hidden="1" thickBot="1" x14ac:dyDescent="0.3">
      <c r="A2998" s="226"/>
      <c r="B2998" s="244"/>
      <c r="C2998" s="32" t="s">
        <v>706</v>
      </c>
      <c r="D2998" s="43" t="s">
        <v>705</v>
      </c>
      <c r="E2998" s="33">
        <v>1.619</v>
      </c>
      <c r="F2998" s="27">
        <v>18.420500000000001</v>
      </c>
      <c r="G2998" s="30">
        <f t="shared" si="51"/>
        <v>29.822789500000003</v>
      </c>
      <c r="H2998" s="31"/>
      <c r="I2998" s="27"/>
      <c r="J2998" s="141">
        <v>0</v>
      </c>
    </row>
    <row r="2999" spans="1:10" ht="15.75" hidden="1" thickBot="1" x14ac:dyDescent="0.3">
      <c r="A2999" s="226"/>
      <c r="B2999" s="244"/>
      <c r="C2999" s="32" t="s">
        <v>3244</v>
      </c>
      <c r="D2999" s="43" t="s">
        <v>705</v>
      </c>
      <c r="E2999" s="33">
        <v>1.6659999999999999</v>
      </c>
      <c r="F2999" s="27">
        <v>22.961500000000001</v>
      </c>
      <c r="G2999" s="30">
        <f t="shared" si="51"/>
        <v>38.253858999999999</v>
      </c>
      <c r="H2999" s="31"/>
      <c r="I2999" s="27"/>
      <c r="J2999" s="141">
        <v>0</v>
      </c>
    </row>
    <row r="3000" spans="1:10" ht="15.75" hidden="1" thickBot="1" x14ac:dyDescent="0.3">
      <c r="A3000" s="227"/>
      <c r="B3000" s="230"/>
      <c r="C3000" s="32"/>
      <c r="D3000" s="32"/>
      <c r="E3000" s="33"/>
      <c r="F3000" s="27" t="s">
        <v>523</v>
      </c>
      <c r="G3000" s="30" t="str">
        <f t="shared" si="51"/>
        <v/>
      </c>
      <c r="H3000" s="31"/>
      <c r="I3000" s="27"/>
      <c r="J3000" s="141">
        <v>0</v>
      </c>
    </row>
    <row r="3001" spans="1:10" ht="15.75" hidden="1" thickBot="1" x14ac:dyDescent="0.3">
      <c r="A3001" s="225" t="s">
        <v>870</v>
      </c>
      <c r="B3001" s="228" t="str">
        <f>INDEX(Orçamentária!A:B,MATCH(Composições!A3001,Orçamentária!A:A,0),2)</f>
        <v>Dobradiça automática vidro/alvenaria para box de vidro temperado</v>
      </c>
      <c r="C3001" s="37"/>
      <c r="D3001" s="22" t="str">
        <f>TRIM(INDEX(Orçamentária!C:C,MATCH(Composições!A3001,Orçamentária!A:A,0),1))</f>
        <v>un</v>
      </c>
      <c r="E3001" s="23"/>
      <c r="F3001" s="38" t="s">
        <v>523</v>
      </c>
      <c r="G3001" s="24" t="str">
        <f t="shared" si="51"/>
        <v/>
      </c>
      <c r="H3001" s="25"/>
      <c r="I3001" s="26"/>
      <c r="J3001" s="141">
        <v>0</v>
      </c>
    </row>
    <row r="3002" spans="1:10" ht="15.75" hidden="1" thickBot="1" x14ac:dyDescent="0.3">
      <c r="A3002" s="226"/>
      <c r="B3002" s="244"/>
      <c r="C3002" s="28"/>
      <c r="D3002" s="28"/>
      <c r="E3002" s="29"/>
      <c r="F3002" s="39" t="s">
        <v>523</v>
      </c>
      <c r="G3002" s="30" t="str">
        <f t="shared" si="51"/>
        <v/>
      </c>
      <c r="H3002" s="31"/>
      <c r="I3002" s="27"/>
      <c r="J3002" s="141">
        <v>0</v>
      </c>
    </row>
    <row r="3003" spans="1:10" ht="15.75" hidden="1" thickBot="1" x14ac:dyDescent="0.3">
      <c r="A3003" s="226"/>
      <c r="B3003" s="244"/>
      <c r="C3003" s="32" t="s">
        <v>68</v>
      </c>
      <c r="D3003" s="32" t="s">
        <v>12</v>
      </c>
      <c r="E3003" s="33">
        <v>0.2</v>
      </c>
      <c r="F3003" s="30">
        <v>22.961500000000001</v>
      </c>
      <c r="G3003" s="30">
        <f t="shared" si="51"/>
        <v>4.5923000000000007</v>
      </c>
      <c r="H3003" s="35">
        <f>SUM(G3003:G3004)</f>
        <v>4.5923000000000007</v>
      </c>
      <c r="I3003" s="36"/>
      <c r="J3003" s="141">
        <v>0</v>
      </c>
    </row>
    <row r="3004" spans="1:10" ht="26.25" hidden="1" thickBot="1" x14ac:dyDescent="0.3">
      <c r="A3004" s="226"/>
      <c r="B3004" s="244"/>
      <c r="C3004" s="32" t="s">
        <v>871</v>
      </c>
      <c r="D3004" s="32" t="s">
        <v>20</v>
      </c>
      <c r="E3004" s="33">
        <v>1</v>
      </c>
      <c r="F3004" s="27" t="s">
        <v>523</v>
      </c>
      <c r="G3004" s="30" t="str">
        <f t="shared" si="51"/>
        <v/>
      </c>
      <c r="H3004" s="31"/>
      <c r="I3004" s="27"/>
      <c r="J3004" s="141">
        <v>0</v>
      </c>
    </row>
    <row r="3005" spans="1:10" ht="15.75" hidden="1" thickBot="1" x14ac:dyDescent="0.3">
      <c r="A3005" s="227"/>
      <c r="B3005" s="230"/>
      <c r="C3005" s="32"/>
      <c r="D3005" s="32"/>
      <c r="E3005" s="33"/>
      <c r="F3005" s="27" t="s">
        <v>523</v>
      </c>
      <c r="G3005" s="30" t="str">
        <f t="shared" si="51"/>
        <v/>
      </c>
      <c r="H3005" s="31"/>
      <c r="I3005" s="27"/>
      <c r="J3005" s="141">
        <v>0</v>
      </c>
    </row>
    <row r="3006" spans="1:10" ht="15.75" hidden="1" thickBot="1" x14ac:dyDescent="0.3">
      <c r="A3006" s="225" t="s">
        <v>872</v>
      </c>
      <c r="B3006" s="228" t="str">
        <f>INDEX(Orçamentária!A:B,MATCH(Composições!A3006,Orçamentária!A:A,0),2)</f>
        <v>Dobradiça horizontal para vidro basculante com trinco</v>
      </c>
      <c r="C3006" s="37"/>
      <c r="D3006" s="22" t="str">
        <f>TRIM(INDEX(Orçamentária!C:C,MATCH(Composições!A3006,Orçamentária!A:A,0),1))</f>
        <v>un</v>
      </c>
      <c r="E3006" s="23"/>
      <c r="F3006" s="38" t="s">
        <v>523</v>
      </c>
      <c r="G3006" s="24" t="str">
        <f t="shared" si="51"/>
        <v/>
      </c>
      <c r="H3006" s="25"/>
      <c r="I3006" s="26"/>
      <c r="J3006" s="141">
        <v>0</v>
      </c>
    </row>
    <row r="3007" spans="1:10" ht="15.75" hidden="1" thickBot="1" x14ac:dyDescent="0.3">
      <c r="A3007" s="226"/>
      <c r="B3007" s="244"/>
      <c r="C3007" s="28"/>
      <c r="D3007" s="28"/>
      <c r="E3007" s="29"/>
      <c r="F3007" s="39" t="s">
        <v>523</v>
      </c>
      <c r="G3007" s="30" t="str">
        <f t="shared" si="51"/>
        <v/>
      </c>
      <c r="H3007" s="31"/>
      <c r="I3007" s="27"/>
      <c r="J3007" s="141">
        <v>0</v>
      </c>
    </row>
    <row r="3008" spans="1:10" ht="15.75" hidden="1" thickBot="1" x14ac:dyDescent="0.3">
      <c r="A3008" s="226"/>
      <c r="B3008" s="244"/>
      <c r="C3008" s="32" t="s">
        <v>68</v>
      </c>
      <c r="D3008" s="32" t="s">
        <v>12</v>
      </c>
      <c r="E3008" s="33">
        <v>0.2</v>
      </c>
      <c r="F3008" s="30">
        <v>22.961500000000001</v>
      </c>
      <c r="G3008" s="30">
        <f t="shared" si="51"/>
        <v>4.5923000000000007</v>
      </c>
      <c r="H3008" s="35">
        <f>SUM(G3008:G3009)</f>
        <v>4.5923000000000007</v>
      </c>
      <c r="I3008" s="36"/>
      <c r="J3008" s="141">
        <v>0</v>
      </c>
    </row>
    <row r="3009" spans="1:10" ht="39" hidden="1" thickBot="1" x14ac:dyDescent="0.3">
      <c r="A3009" s="226"/>
      <c r="B3009" s="244"/>
      <c r="C3009" s="32" t="s">
        <v>873</v>
      </c>
      <c r="D3009" s="32" t="s">
        <v>20</v>
      </c>
      <c r="E3009" s="33">
        <v>1</v>
      </c>
      <c r="F3009" s="27" t="s">
        <v>523</v>
      </c>
      <c r="G3009" s="30" t="str">
        <f t="shared" si="51"/>
        <v/>
      </c>
      <c r="H3009" s="31"/>
      <c r="I3009" s="27"/>
      <c r="J3009" s="141">
        <v>0</v>
      </c>
    </row>
    <row r="3010" spans="1:10" ht="15.75" hidden="1" thickBot="1" x14ac:dyDescent="0.3">
      <c r="A3010" s="227"/>
      <c r="B3010" s="230"/>
      <c r="C3010" s="32"/>
      <c r="D3010" s="32"/>
      <c r="E3010" s="33"/>
      <c r="F3010" s="27" t="s">
        <v>523</v>
      </c>
      <c r="G3010" s="30" t="str">
        <f t="shared" si="51"/>
        <v/>
      </c>
      <c r="H3010" s="31"/>
      <c r="I3010" s="27"/>
      <c r="J3010" s="141">
        <v>0</v>
      </c>
    </row>
    <row r="3011" spans="1:10" ht="15.75" hidden="1" thickBot="1" x14ac:dyDescent="0.3">
      <c r="A3011" s="225" t="s">
        <v>874</v>
      </c>
      <c r="B3011" s="228" t="str">
        <f>INDEX(Orçamentária!A:B,MATCH(Composições!A3011,Orçamentária!A:A,0),2)</f>
        <v>Dobradiça horizontal para vidro basculante</v>
      </c>
      <c r="C3011" s="37"/>
      <c r="D3011" s="22" t="str">
        <f>TRIM(INDEX(Orçamentária!C:C,MATCH(Composições!A3011,Orçamentária!A:A,0),1))</f>
        <v>un</v>
      </c>
      <c r="E3011" s="23"/>
      <c r="F3011" s="38" t="s">
        <v>523</v>
      </c>
      <c r="G3011" s="24" t="str">
        <f t="shared" si="51"/>
        <v/>
      </c>
      <c r="H3011" s="25"/>
      <c r="I3011" s="26"/>
      <c r="J3011" s="141">
        <v>0</v>
      </c>
    </row>
    <row r="3012" spans="1:10" ht="15.75" hidden="1" thickBot="1" x14ac:dyDescent="0.3">
      <c r="A3012" s="226"/>
      <c r="B3012" s="244"/>
      <c r="C3012" s="28"/>
      <c r="D3012" s="28"/>
      <c r="E3012" s="29"/>
      <c r="F3012" s="39" t="s">
        <v>523</v>
      </c>
      <c r="G3012" s="30" t="str">
        <f t="shared" si="51"/>
        <v/>
      </c>
      <c r="H3012" s="31"/>
      <c r="I3012" s="27"/>
      <c r="J3012" s="141">
        <v>0</v>
      </c>
    </row>
    <row r="3013" spans="1:10" ht="15.75" hidden="1" thickBot="1" x14ac:dyDescent="0.3">
      <c r="A3013" s="226"/>
      <c r="B3013" s="244"/>
      <c r="C3013" s="32" t="s">
        <v>68</v>
      </c>
      <c r="D3013" s="32" t="s">
        <v>12</v>
      </c>
      <c r="E3013" s="33">
        <v>0.2</v>
      </c>
      <c r="F3013" s="30">
        <v>22.961500000000001</v>
      </c>
      <c r="G3013" s="30">
        <f t="shared" si="51"/>
        <v>4.5923000000000007</v>
      </c>
      <c r="H3013" s="35">
        <f>SUM(G3013:G3014)</f>
        <v>4.5923000000000007</v>
      </c>
      <c r="I3013" s="36"/>
      <c r="J3013" s="141">
        <v>0</v>
      </c>
    </row>
    <row r="3014" spans="1:10" ht="26.25" hidden="1" thickBot="1" x14ac:dyDescent="0.3">
      <c r="A3014" s="226"/>
      <c r="B3014" s="244"/>
      <c r="C3014" s="32" t="s">
        <v>875</v>
      </c>
      <c r="D3014" s="32" t="s">
        <v>20</v>
      </c>
      <c r="E3014" s="33">
        <v>1</v>
      </c>
      <c r="F3014" s="27" t="s">
        <v>523</v>
      </c>
      <c r="G3014" s="30" t="str">
        <f t="shared" ref="G3014:G3077" si="52">IF(ISNUMBER(F3014),E3014*F3014,"")</f>
        <v/>
      </c>
      <c r="H3014" s="31"/>
      <c r="I3014" s="27"/>
      <c r="J3014" s="141">
        <v>0</v>
      </c>
    </row>
    <row r="3015" spans="1:10" ht="15.75" hidden="1" thickBot="1" x14ac:dyDescent="0.3">
      <c r="A3015" s="227"/>
      <c r="B3015" s="230"/>
      <c r="C3015" s="32"/>
      <c r="D3015" s="32"/>
      <c r="E3015" s="33"/>
      <c r="F3015" s="27" t="s">
        <v>523</v>
      </c>
      <c r="G3015" s="30" t="str">
        <f t="shared" si="52"/>
        <v/>
      </c>
      <c r="H3015" s="31"/>
      <c r="I3015" s="27"/>
      <c r="J3015" s="141">
        <v>0</v>
      </c>
    </row>
    <row r="3016" spans="1:10" ht="15.75" hidden="1" thickBot="1" x14ac:dyDescent="0.3">
      <c r="A3016" s="225" t="s">
        <v>876</v>
      </c>
      <c r="B3016" s="228" t="str">
        <f>INDEX(Orçamentária!A:B,MATCH(Composições!A3016,Orçamentária!A:A,0),2)</f>
        <v>Fechadura elétrica para porta de vidro temperado</v>
      </c>
      <c r="C3016" s="37"/>
      <c r="D3016" s="22" t="str">
        <f>TRIM(INDEX(Orçamentária!C:C,MATCH(Composições!A3016,Orçamentária!A:A,0),1))</f>
        <v>un</v>
      </c>
      <c r="E3016" s="23"/>
      <c r="F3016" s="38" t="s">
        <v>523</v>
      </c>
      <c r="G3016" s="24" t="str">
        <f t="shared" si="52"/>
        <v/>
      </c>
      <c r="H3016" s="25"/>
      <c r="I3016" s="26"/>
      <c r="J3016" s="141">
        <v>0</v>
      </c>
    </row>
    <row r="3017" spans="1:10" ht="15.75" hidden="1" thickBot="1" x14ac:dyDescent="0.3">
      <c r="A3017" s="226"/>
      <c r="B3017" s="244"/>
      <c r="C3017" s="28"/>
      <c r="D3017" s="28"/>
      <c r="E3017" s="29"/>
      <c r="F3017" s="39" t="s">
        <v>523</v>
      </c>
      <c r="G3017" s="30" t="str">
        <f t="shared" si="52"/>
        <v/>
      </c>
      <c r="H3017" s="31"/>
      <c r="I3017" s="27"/>
      <c r="J3017" s="141">
        <v>0</v>
      </c>
    </row>
    <row r="3018" spans="1:10" ht="15.75" hidden="1" thickBot="1" x14ac:dyDescent="0.3">
      <c r="A3018" s="226"/>
      <c r="B3018" s="244"/>
      <c r="C3018" s="32" t="s">
        <v>68</v>
      </c>
      <c r="D3018" s="32" t="s">
        <v>12</v>
      </c>
      <c r="E3018" s="33">
        <v>1.5</v>
      </c>
      <c r="F3018" s="30">
        <v>22.961500000000001</v>
      </c>
      <c r="G3018" s="30">
        <f t="shared" si="52"/>
        <v>34.442250000000001</v>
      </c>
      <c r="H3018" s="35">
        <f>SUM(G3018:G3019)</f>
        <v>34.442250000000001</v>
      </c>
      <c r="I3018" s="36"/>
      <c r="J3018" s="141">
        <v>0</v>
      </c>
    </row>
    <row r="3019" spans="1:10" ht="51.75" hidden="1" thickBot="1" x14ac:dyDescent="0.3">
      <c r="A3019" s="226"/>
      <c r="B3019" s="244"/>
      <c r="C3019" s="136" t="s">
        <v>877</v>
      </c>
      <c r="D3019" s="32" t="s">
        <v>20</v>
      </c>
      <c r="E3019" s="33">
        <v>1</v>
      </c>
      <c r="F3019" s="27" t="s">
        <v>523</v>
      </c>
      <c r="G3019" s="30" t="str">
        <f t="shared" si="52"/>
        <v/>
      </c>
      <c r="H3019" s="31"/>
      <c r="I3019" s="27"/>
      <c r="J3019" s="141">
        <v>0</v>
      </c>
    </row>
    <row r="3020" spans="1:10" ht="15.75" hidden="1" thickBot="1" x14ac:dyDescent="0.3">
      <c r="A3020" s="227"/>
      <c r="B3020" s="230"/>
      <c r="C3020" s="32"/>
      <c r="D3020" s="32"/>
      <c r="E3020" s="33"/>
      <c r="F3020" s="27" t="s">
        <v>523</v>
      </c>
      <c r="G3020" s="30" t="str">
        <f t="shared" si="52"/>
        <v/>
      </c>
      <c r="H3020" s="31"/>
      <c r="I3020" s="27"/>
      <c r="J3020" s="141">
        <v>0</v>
      </c>
    </row>
    <row r="3021" spans="1:10" ht="15.75" hidden="1" thickBot="1" x14ac:dyDescent="0.3">
      <c r="A3021" s="225" t="s">
        <v>878</v>
      </c>
      <c r="B3021" s="228" t="str">
        <f>INDEX(Orçamentária!A:B,MATCH(Composições!A3021,Orçamentária!A:A,0),2)</f>
        <v>Porteiro eletrônico</v>
      </c>
      <c r="C3021" s="37"/>
      <c r="D3021" s="22" t="str">
        <f>TRIM(INDEX(Orçamentária!C:C,MATCH(Composições!A3021,Orçamentária!A:A,0),1))</f>
        <v>un</v>
      </c>
      <c r="E3021" s="23"/>
      <c r="F3021" s="38" t="s">
        <v>523</v>
      </c>
      <c r="G3021" s="24" t="str">
        <f t="shared" si="52"/>
        <v/>
      </c>
      <c r="H3021" s="25"/>
      <c r="I3021" s="26"/>
      <c r="J3021" s="141">
        <v>0</v>
      </c>
    </row>
    <row r="3022" spans="1:10" ht="15.75" hidden="1" thickBot="1" x14ac:dyDescent="0.3">
      <c r="A3022" s="226"/>
      <c r="B3022" s="244"/>
      <c r="C3022" s="28"/>
      <c r="D3022" s="28"/>
      <c r="E3022" s="29"/>
      <c r="F3022" s="39" t="s">
        <v>523</v>
      </c>
      <c r="G3022" s="30" t="str">
        <f t="shared" si="52"/>
        <v/>
      </c>
      <c r="H3022" s="31"/>
      <c r="I3022" s="27"/>
      <c r="J3022" s="141">
        <v>0</v>
      </c>
    </row>
    <row r="3023" spans="1:10" ht="15.75" hidden="1" thickBot="1" x14ac:dyDescent="0.3">
      <c r="A3023" s="226"/>
      <c r="B3023" s="244"/>
      <c r="C3023" s="32" t="s">
        <v>68</v>
      </c>
      <c r="D3023" s="32" t="s">
        <v>12</v>
      </c>
      <c r="E3023" s="33">
        <v>1.5</v>
      </c>
      <c r="F3023" s="30">
        <v>22.961500000000001</v>
      </c>
      <c r="G3023" s="30">
        <f t="shared" si="52"/>
        <v>34.442250000000001</v>
      </c>
      <c r="H3023" s="35">
        <f>SUM(G3023:G3024)</f>
        <v>34.442250000000001</v>
      </c>
      <c r="I3023" s="36"/>
      <c r="J3023" s="141">
        <v>0</v>
      </c>
    </row>
    <row r="3024" spans="1:10" ht="15.75" hidden="1" thickBot="1" x14ac:dyDescent="0.3">
      <c r="A3024" s="226"/>
      <c r="B3024" s="244"/>
      <c r="C3024" s="32" t="s">
        <v>879</v>
      </c>
      <c r="D3024" s="32" t="s">
        <v>20</v>
      </c>
      <c r="E3024" s="33">
        <v>1</v>
      </c>
      <c r="F3024" s="27" t="s">
        <v>523</v>
      </c>
      <c r="G3024" s="30" t="str">
        <f t="shared" si="52"/>
        <v/>
      </c>
      <c r="H3024" s="31"/>
      <c r="I3024" s="27"/>
      <c r="J3024" s="141">
        <v>0</v>
      </c>
    </row>
    <row r="3025" spans="1:10" ht="15.75" hidden="1" thickBot="1" x14ac:dyDescent="0.3">
      <c r="A3025" s="227"/>
      <c r="B3025" s="230"/>
      <c r="C3025" s="32"/>
      <c r="D3025" s="32"/>
      <c r="E3025" s="33"/>
      <c r="F3025" s="27" t="s">
        <v>523</v>
      </c>
      <c r="G3025" s="30" t="str">
        <f t="shared" si="52"/>
        <v/>
      </c>
      <c r="H3025" s="31"/>
      <c r="I3025" s="27"/>
      <c r="J3025" s="141">
        <v>0</v>
      </c>
    </row>
    <row r="3026" spans="1:10" ht="15.75" hidden="1" thickBot="1" x14ac:dyDescent="0.3">
      <c r="A3026" s="225" t="s">
        <v>880</v>
      </c>
      <c r="B3026" s="228" t="str">
        <f>INDEX(Orçamentária!A:B,MATCH(Composições!A3026,Orçamentária!A:A,0),2)</f>
        <v>Acionador fixo</v>
      </c>
      <c r="C3026" s="37"/>
      <c r="D3026" s="22" t="str">
        <f>TRIM(INDEX(Orçamentária!C:C,MATCH(Composições!A3026,Orçamentária!A:A,0),1))</f>
        <v>un</v>
      </c>
      <c r="E3026" s="23"/>
      <c r="F3026" s="38" t="s">
        <v>523</v>
      </c>
      <c r="G3026" s="24" t="str">
        <f t="shared" si="52"/>
        <v/>
      </c>
      <c r="H3026" s="25"/>
      <c r="I3026" s="26"/>
      <c r="J3026" s="141">
        <v>0</v>
      </c>
    </row>
    <row r="3027" spans="1:10" ht="15.75" hidden="1" thickBot="1" x14ac:dyDescent="0.3">
      <c r="A3027" s="226"/>
      <c r="B3027" s="244"/>
      <c r="C3027" s="28"/>
      <c r="D3027" s="28"/>
      <c r="E3027" s="29"/>
      <c r="F3027" s="39" t="s">
        <v>523</v>
      </c>
      <c r="G3027" s="30" t="str">
        <f t="shared" si="52"/>
        <v/>
      </c>
      <c r="H3027" s="31"/>
      <c r="I3027" s="27"/>
      <c r="J3027" s="141">
        <v>0</v>
      </c>
    </row>
    <row r="3028" spans="1:10" ht="15.75" hidden="1" thickBot="1" x14ac:dyDescent="0.3">
      <c r="A3028" s="226"/>
      <c r="B3028" s="244"/>
      <c r="C3028" s="32" t="s">
        <v>68</v>
      </c>
      <c r="D3028" s="32" t="s">
        <v>12</v>
      </c>
      <c r="E3028" s="33">
        <v>1</v>
      </c>
      <c r="F3028" s="30">
        <v>22.961500000000001</v>
      </c>
      <c r="G3028" s="30">
        <f t="shared" si="52"/>
        <v>22.961500000000001</v>
      </c>
      <c r="H3028" s="35">
        <f>SUM(G3028:G3029)</f>
        <v>22.961500000000001</v>
      </c>
      <c r="I3028" s="36"/>
      <c r="J3028" s="141">
        <v>0</v>
      </c>
    </row>
    <row r="3029" spans="1:10" ht="26.25" hidden="1" thickBot="1" x14ac:dyDescent="0.3">
      <c r="A3029" s="226"/>
      <c r="B3029" s="244"/>
      <c r="C3029" s="32" t="s">
        <v>881</v>
      </c>
      <c r="D3029" s="32" t="s">
        <v>20</v>
      </c>
      <c r="E3029" s="33">
        <v>1</v>
      </c>
      <c r="F3029" s="27" t="s">
        <v>523</v>
      </c>
      <c r="G3029" s="30" t="str">
        <f t="shared" si="52"/>
        <v/>
      </c>
      <c r="H3029" s="31"/>
      <c r="I3029" s="27"/>
      <c r="J3029" s="141">
        <v>0</v>
      </c>
    </row>
    <row r="3030" spans="1:10" ht="15.75" hidden="1" thickBot="1" x14ac:dyDescent="0.3">
      <c r="A3030" s="227"/>
      <c r="B3030" s="230"/>
      <c r="C3030" s="32"/>
      <c r="D3030" s="32"/>
      <c r="E3030" s="33"/>
      <c r="F3030" s="27" t="s">
        <v>523</v>
      </c>
      <c r="G3030" s="30" t="str">
        <f t="shared" si="52"/>
        <v/>
      </c>
      <c r="H3030" s="31"/>
      <c r="I3030" s="27"/>
      <c r="J3030" s="141">
        <v>0</v>
      </c>
    </row>
    <row r="3031" spans="1:10" ht="15.75" hidden="1" thickBot="1" x14ac:dyDescent="0.3">
      <c r="A3031" s="225" t="s">
        <v>882</v>
      </c>
      <c r="B3031" s="228" t="str">
        <f>INDEX(Orçamentária!A:B,MATCH(Composições!A3031,Orçamentária!A:A,0),2)</f>
        <v>Mini chapinha para trinco basculante</v>
      </c>
      <c r="C3031" s="37"/>
      <c r="D3031" s="22" t="str">
        <f>TRIM(INDEX(Orçamentária!C:C,MATCH(Composições!A3031,Orçamentária!A:A,0),1))</f>
        <v>un</v>
      </c>
      <c r="E3031" s="23"/>
      <c r="F3031" s="38" t="s">
        <v>523</v>
      </c>
      <c r="G3031" s="24" t="str">
        <f t="shared" si="52"/>
        <v/>
      </c>
      <c r="H3031" s="25"/>
      <c r="I3031" s="26"/>
      <c r="J3031" s="141">
        <v>0</v>
      </c>
    </row>
    <row r="3032" spans="1:10" ht="15.75" hidden="1" thickBot="1" x14ac:dyDescent="0.3">
      <c r="A3032" s="226"/>
      <c r="B3032" s="244"/>
      <c r="C3032" s="28"/>
      <c r="D3032" s="28"/>
      <c r="E3032" s="29"/>
      <c r="F3032" s="39" t="s">
        <v>523</v>
      </c>
      <c r="G3032" s="30" t="str">
        <f t="shared" si="52"/>
        <v/>
      </c>
      <c r="H3032" s="31"/>
      <c r="I3032" s="27"/>
      <c r="J3032" s="141">
        <v>0</v>
      </c>
    </row>
    <row r="3033" spans="1:10" ht="15.75" hidden="1" thickBot="1" x14ac:dyDescent="0.3">
      <c r="A3033" s="226"/>
      <c r="B3033" s="244"/>
      <c r="C3033" s="32" t="s">
        <v>68</v>
      </c>
      <c r="D3033" s="32" t="s">
        <v>12</v>
      </c>
      <c r="E3033" s="33">
        <v>0.1</v>
      </c>
      <c r="F3033" s="30">
        <v>22.961500000000001</v>
      </c>
      <c r="G3033" s="30">
        <f t="shared" si="52"/>
        <v>2.2961500000000004</v>
      </c>
      <c r="H3033" s="35">
        <f>SUM(G3033:G3034)</f>
        <v>2.2961500000000004</v>
      </c>
      <c r="I3033" s="36"/>
      <c r="J3033" s="141">
        <v>0</v>
      </c>
    </row>
    <row r="3034" spans="1:10" ht="26.25" hidden="1" thickBot="1" x14ac:dyDescent="0.3">
      <c r="A3034" s="226"/>
      <c r="B3034" s="244"/>
      <c r="C3034" s="32" t="s">
        <v>883</v>
      </c>
      <c r="D3034" s="32" t="s">
        <v>20</v>
      </c>
      <c r="E3034" s="33">
        <v>1</v>
      </c>
      <c r="F3034" s="27" t="s">
        <v>523</v>
      </c>
      <c r="G3034" s="30" t="str">
        <f t="shared" si="52"/>
        <v/>
      </c>
      <c r="H3034" s="31"/>
      <c r="I3034" s="27"/>
      <c r="J3034" s="141">
        <v>0</v>
      </c>
    </row>
    <row r="3035" spans="1:10" ht="15.75" hidden="1" thickBot="1" x14ac:dyDescent="0.3">
      <c r="A3035" s="227"/>
      <c r="B3035" s="230"/>
      <c r="C3035" s="32"/>
      <c r="D3035" s="32"/>
      <c r="E3035" s="33"/>
      <c r="F3035" s="27" t="s">
        <v>523</v>
      </c>
      <c r="G3035" s="30" t="str">
        <f t="shared" si="52"/>
        <v/>
      </c>
      <c r="H3035" s="31"/>
      <c r="I3035" s="27"/>
      <c r="J3035" s="141">
        <v>0</v>
      </c>
    </row>
    <row r="3036" spans="1:10" ht="15.75" hidden="1" thickBot="1" x14ac:dyDescent="0.3">
      <c r="A3036" s="225" t="s">
        <v>884</v>
      </c>
      <c r="B3036" s="228" t="str">
        <f>INDEX(Orçamentária!A:B,MATCH(Composições!A3036,Orçamentária!A:A,0),2)</f>
        <v>Puxador metálico - diâmetro de 22mm a 25mm</v>
      </c>
      <c r="C3036" s="37"/>
      <c r="D3036" s="22" t="str">
        <f>TRIM(INDEX(Orçamentária!C:C,MATCH(Composições!A3036,Orçamentária!A:A,0),1))</f>
        <v>un</v>
      </c>
      <c r="E3036" s="23"/>
      <c r="F3036" s="38" t="s">
        <v>523</v>
      </c>
      <c r="G3036" s="24" t="str">
        <f t="shared" si="52"/>
        <v/>
      </c>
      <c r="H3036" s="25"/>
      <c r="I3036" s="26"/>
      <c r="J3036" s="141">
        <v>0</v>
      </c>
    </row>
    <row r="3037" spans="1:10" ht="15.75" hidden="1" thickBot="1" x14ac:dyDescent="0.3">
      <c r="A3037" s="226"/>
      <c r="B3037" s="244"/>
      <c r="C3037" s="28"/>
      <c r="D3037" s="28"/>
      <c r="E3037" s="29"/>
      <c r="F3037" s="39" t="s">
        <v>523</v>
      </c>
      <c r="G3037" s="30" t="str">
        <f t="shared" si="52"/>
        <v/>
      </c>
      <c r="H3037" s="31"/>
      <c r="I3037" s="27"/>
      <c r="J3037" s="141">
        <v>0</v>
      </c>
    </row>
    <row r="3038" spans="1:10" ht="15.75" hidden="1" thickBot="1" x14ac:dyDescent="0.3">
      <c r="A3038" s="226"/>
      <c r="B3038" s="244"/>
      <c r="C3038" s="32" t="s">
        <v>68</v>
      </c>
      <c r="D3038" s="32" t="s">
        <v>12</v>
      </c>
      <c r="E3038" s="33">
        <v>0.2</v>
      </c>
      <c r="F3038" s="30">
        <v>22.961500000000001</v>
      </c>
      <c r="G3038" s="30">
        <f t="shared" si="52"/>
        <v>4.5923000000000007</v>
      </c>
      <c r="H3038" s="35">
        <f>SUM(G3038:G3039)</f>
        <v>4.5923000000000007</v>
      </c>
      <c r="I3038" s="36"/>
      <c r="J3038" s="141">
        <v>0</v>
      </c>
    </row>
    <row r="3039" spans="1:10" ht="26.25" hidden="1" thickBot="1" x14ac:dyDescent="0.3">
      <c r="A3039" s="226"/>
      <c r="B3039" s="244"/>
      <c r="C3039" s="32" t="s">
        <v>885</v>
      </c>
      <c r="D3039" s="32" t="s">
        <v>20</v>
      </c>
      <c r="E3039" s="33">
        <v>1</v>
      </c>
      <c r="F3039" s="27" t="s">
        <v>523</v>
      </c>
      <c r="G3039" s="30" t="str">
        <f t="shared" si="52"/>
        <v/>
      </c>
      <c r="H3039" s="31"/>
      <c r="I3039" s="27"/>
      <c r="J3039" s="141">
        <v>0</v>
      </c>
    </row>
    <row r="3040" spans="1:10" ht="15.75" hidden="1" thickBot="1" x14ac:dyDescent="0.3">
      <c r="A3040" s="227"/>
      <c r="B3040" s="230"/>
      <c r="C3040" s="32"/>
      <c r="D3040" s="32"/>
      <c r="E3040" s="33"/>
      <c r="F3040" s="27" t="s">
        <v>523</v>
      </c>
      <c r="G3040" s="30" t="str">
        <f t="shared" si="52"/>
        <v/>
      </c>
      <c r="H3040" s="31"/>
      <c r="I3040" s="27"/>
      <c r="J3040" s="141">
        <v>0</v>
      </c>
    </row>
    <row r="3041" spans="1:10" ht="15.75" hidden="1" thickBot="1" x14ac:dyDescent="0.3">
      <c r="A3041" s="225" t="s">
        <v>886</v>
      </c>
      <c r="B3041" s="228" t="str">
        <f>INDEX(Orçamentária!A:B,MATCH(Composições!A3041,Orçamentária!A:A,0),2)</f>
        <v>Trinco sem miolo para vidro temperado</v>
      </c>
      <c r="C3041" s="37"/>
      <c r="D3041" s="22" t="str">
        <f>TRIM(INDEX(Orçamentária!C:C,MATCH(Composições!A3041,Orçamentária!A:A,0),1))</f>
        <v>un</v>
      </c>
      <c r="E3041" s="23"/>
      <c r="F3041" s="38" t="s">
        <v>523</v>
      </c>
      <c r="G3041" s="24" t="str">
        <f t="shared" si="52"/>
        <v/>
      </c>
      <c r="H3041" s="25"/>
      <c r="I3041" s="26"/>
      <c r="J3041" s="141">
        <v>0</v>
      </c>
    </row>
    <row r="3042" spans="1:10" ht="15.75" hidden="1" thickBot="1" x14ac:dyDescent="0.3">
      <c r="A3042" s="226"/>
      <c r="B3042" s="244"/>
      <c r="C3042" s="28"/>
      <c r="D3042" s="28"/>
      <c r="E3042" s="29"/>
      <c r="F3042" s="39" t="s">
        <v>523</v>
      </c>
      <c r="G3042" s="30" t="str">
        <f t="shared" si="52"/>
        <v/>
      </c>
      <c r="H3042" s="31"/>
      <c r="I3042" s="27"/>
      <c r="J3042" s="141">
        <v>0</v>
      </c>
    </row>
    <row r="3043" spans="1:10" ht="15.75" hidden="1" thickBot="1" x14ac:dyDescent="0.3">
      <c r="A3043" s="226"/>
      <c r="B3043" s="244"/>
      <c r="C3043" s="32" t="s">
        <v>68</v>
      </c>
      <c r="D3043" s="32" t="s">
        <v>12</v>
      </c>
      <c r="E3043" s="33">
        <v>0.2</v>
      </c>
      <c r="F3043" s="30">
        <v>22.961500000000001</v>
      </c>
      <c r="G3043" s="30">
        <f t="shared" si="52"/>
        <v>4.5923000000000007</v>
      </c>
      <c r="H3043" s="35">
        <f>SUM(G3043:G3044)</f>
        <v>4.5923000000000007</v>
      </c>
      <c r="I3043" s="36"/>
      <c r="J3043" s="141">
        <v>0</v>
      </c>
    </row>
    <row r="3044" spans="1:10" ht="39" hidden="1" thickBot="1" x14ac:dyDescent="0.3">
      <c r="A3044" s="226"/>
      <c r="B3044" s="244"/>
      <c r="C3044" s="32" t="s">
        <v>887</v>
      </c>
      <c r="D3044" s="32" t="s">
        <v>20</v>
      </c>
      <c r="E3044" s="33">
        <v>1</v>
      </c>
      <c r="F3044" s="27" t="s">
        <v>523</v>
      </c>
      <c r="G3044" s="30" t="str">
        <f t="shared" si="52"/>
        <v/>
      </c>
      <c r="H3044" s="31"/>
      <c r="I3044" s="27"/>
      <c r="J3044" s="141">
        <v>0</v>
      </c>
    </row>
    <row r="3045" spans="1:10" ht="15.75" hidden="1" thickBot="1" x14ac:dyDescent="0.3">
      <c r="A3045" s="227"/>
      <c r="B3045" s="230"/>
      <c r="C3045" s="32"/>
      <c r="D3045" s="32"/>
      <c r="E3045" s="33"/>
      <c r="F3045" s="27" t="s">
        <v>523</v>
      </c>
      <c r="G3045" s="30" t="str">
        <f t="shared" si="52"/>
        <v/>
      </c>
      <c r="H3045" s="31"/>
      <c r="I3045" s="27"/>
      <c r="J3045" s="141">
        <v>0</v>
      </c>
    </row>
    <row r="3046" spans="1:10" ht="15.75" hidden="1" thickBot="1" x14ac:dyDescent="0.3">
      <c r="A3046" s="225" t="s">
        <v>888</v>
      </c>
      <c r="B3046" s="228" t="str">
        <f>INDEX(Orçamentária!A:B,MATCH(Composições!A3046,Orçamentária!A:A,0),2)</f>
        <v>Tubo de alumínio quadrado 50x50</v>
      </c>
      <c r="C3046" s="37"/>
      <c r="D3046" s="22" t="str">
        <f>TRIM(INDEX(Orçamentária!C:C,MATCH(Composições!A3046,Orçamentária!A:A,0),1))</f>
        <v>m</v>
      </c>
      <c r="E3046" s="23"/>
      <c r="F3046" s="38" t="s">
        <v>523</v>
      </c>
      <c r="G3046" s="24" t="str">
        <f t="shared" si="52"/>
        <v/>
      </c>
      <c r="H3046" s="25"/>
      <c r="I3046" s="26"/>
      <c r="J3046" s="141">
        <v>0</v>
      </c>
    </row>
    <row r="3047" spans="1:10" ht="15.75" hidden="1" thickBot="1" x14ac:dyDescent="0.3">
      <c r="A3047" s="231"/>
      <c r="B3047" s="244"/>
      <c r="C3047" s="28"/>
      <c r="D3047" s="28"/>
      <c r="E3047" s="29"/>
      <c r="F3047" s="39" t="s">
        <v>523</v>
      </c>
      <c r="G3047" s="30" t="str">
        <f t="shared" si="52"/>
        <v/>
      </c>
      <c r="H3047" s="31"/>
      <c r="I3047" s="27"/>
      <c r="J3047" s="141">
        <v>0</v>
      </c>
    </row>
    <row r="3048" spans="1:10" ht="15.75" hidden="1" thickBot="1" x14ac:dyDescent="0.3">
      <c r="A3048" s="231"/>
      <c r="B3048" s="244"/>
      <c r="C3048" s="32" t="s">
        <v>68</v>
      </c>
      <c r="D3048" s="32" t="s">
        <v>12</v>
      </c>
      <c r="E3048" s="33">
        <v>0.25</v>
      </c>
      <c r="F3048" s="30">
        <v>22.961500000000001</v>
      </c>
      <c r="G3048" s="30">
        <f t="shared" si="52"/>
        <v>5.7403750000000002</v>
      </c>
      <c r="H3048" s="35">
        <f>SUM(G3048:G3049)</f>
        <v>40.877150999999998</v>
      </c>
      <c r="I3048" s="36"/>
      <c r="J3048" s="141">
        <v>0</v>
      </c>
    </row>
    <row r="3049" spans="1:10" ht="15.75" hidden="1" thickBot="1" x14ac:dyDescent="0.3">
      <c r="A3049" s="231"/>
      <c r="B3049" s="244"/>
      <c r="C3049" s="32" t="s">
        <v>837</v>
      </c>
      <c r="D3049" s="32" t="s">
        <v>42</v>
      </c>
      <c r="E3049" s="33">
        <v>0.85299999999999998</v>
      </c>
      <c r="F3049" s="27">
        <v>41.192</v>
      </c>
      <c r="G3049" s="30">
        <f t="shared" si="52"/>
        <v>35.136775999999998</v>
      </c>
      <c r="H3049" s="31"/>
      <c r="I3049" s="27"/>
      <c r="J3049" s="141">
        <v>0</v>
      </c>
    </row>
    <row r="3050" spans="1:10" ht="15.75" hidden="1" thickBot="1" x14ac:dyDescent="0.3">
      <c r="A3050" s="231"/>
      <c r="B3050" s="244"/>
      <c r="C3050" s="32"/>
      <c r="D3050" s="43"/>
      <c r="E3050" s="33"/>
      <c r="F3050" s="27" t="s">
        <v>523</v>
      </c>
      <c r="G3050" s="30" t="str">
        <f t="shared" si="52"/>
        <v/>
      </c>
      <c r="H3050" s="31"/>
      <c r="I3050" s="27"/>
      <c r="J3050" s="141">
        <v>0</v>
      </c>
    </row>
    <row r="3051" spans="1:10" ht="26.25" hidden="1" thickBot="1" x14ac:dyDescent="0.3">
      <c r="A3051" s="231"/>
      <c r="B3051" s="244"/>
      <c r="C3051" s="44" t="s">
        <v>889</v>
      </c>
      <c r="D3051" s="43"/>
      <c r="E3051" s="33"/>
      <c r="F3051" s="27" t="s">
        <v>523</v>
      </c>
      <c r="G3051" s="30" t="str">
        <f t="shared" si="52"/>
        <v/>
      </c>
      <c r="H3051" s="31"/>
      <c r="I3051" s="27"/>
      <c r="J3051" s="141">
        <v>0</v>
      </c>
    </row>
    <row r="3052" spans="1:10" ht="26.25" hidden="1" thickBot="1" x14ac:dyDescent="0.3">
      <c r="A3052" s="231"/>
      <c r="B3052" s="244"/>
      <c r="C3052" s="48" t="s">
        <v>842</v>
      </c>
      <c r="D3052" s="43"/>
      <c r="E3052" s="33"/>
      <c r="F3052" s="27" t="s">
        <v>523</v>
      </c>
      <c r="G3052" s="30" t="str">
        <f t="shared" si="52"/>
        <v/>
      </c>
      <c r="H3052" s="31"/>
      <c r="I3052" s="27"/>
      <c r="J3052" s="141">
        <v>0</v>
      </c>
    </row>
    <row r="3053" spans="1:10" ht="15.75" hidden="1" thickBot="1" x14ac:dyDescent="0.3">
      <c r="A3053" s="232"/>
      <c r="B3053" s="230"/>
      <c r="C3053" s="32"/>
      <c r="D3053" s="32"/>
      <c r="E3053" s="33"/>
      <c r="F3053" s="27" t="s">
        <v>523</v>
      </c>
      <c r="G3053" s="30" t="str">
        <f t="shared" si="52"/>
        <v/>
      </c>
      <c r="H3053" s="31"/>
      <c r="I3053" s="27"/>
      <c r="J3053" s="141">
        <v>0</v>
      </c>
    </row>
    <row r="3054" spans="1:10" ht="15.75" hidden="1" thickBot="1" x14ac:dyDescent="0.3">
      <c r="A3054" s="225" t="s">
        <v>890</v>
      </c>
      <c r="B3054" s="228" t="str">
        <f>INDEX(Orçamentária!A:B,MATCH(Composições!A3054,Orçamentária!A:A,0),2)</f>
        <v>Veda fresta adesivo “E” branco</v>
      </c>
      <c r="C3054" s="37"/>
      <c r="D3054" s="22" t="str">
        <f>TRIM(INDEX(Orçamentária!C:C,MATCH(Composições!A3054,Orçamentária!A:A,0),1))</f>
        <v>m</v>
      </c>
      <c r="E3054" s="23"/>
      <c r="F3054" s="38" t="s">
        <v>523</v>
      </c>
      <c r="G3054" s="24" t="str">
        <f t="shared" si="52"/>
        <v/>
      </c>
      <c r="H3054" s="25"/>
      <c r="I3054" s="26"/>
      <c r="J3054" s="141">
        <v>0</v>
      </c>
    </row>
    <row r="3055" spans="1:10" ht="15.75" hidden="1" thickBot="1" x14ac:dyDescent="0.3">
      <c r="A3055" s="226"/>
      <c r="B3055" s="244"/>
      <c r="C3055" s="28"/>
      <c r="D3055" s="28"/>
      <c r="E3055" s="29"/>
      <c r="F3055" s="39" t="s">
        <v>523</v>
      </c>
      <c r="G3055" s="30" t="str">
        <f t="shared" si="52"/>
        <v/>
      </c>
      <c r="H3055" s="31"/>
      <c r="I3055" s="27"/>
      <c r="J3055" s="141">
        <v>0</v>
      </c>
    </row>
    <row r="3056" spans="1:10" ht="15.75" hidden="1" thickBot="1" x14ac:dyDescent="0.3">
      <c r="A3056" s="226"/>
      <c r="B3056" s="244"/>
      <c r="C3056" s="32" t="s">
        <v>68</v>
      </c>
      <c r="D3056" s="32" t="s">
        <v>12</v>
      </c>
      <c r="E3056" s="33">
        <v>0.2</v>
      </c>
      <c r="F3056" s="30">
        <v>22.961500000000001</v>
      </c>
      <c r="G3056" s="30">
        <f t="shared" si="52"/>
        <v>4.5923000000000007</v>
      </c>
      <c r="H3056" s="35">
        <f>SUM(G3056:G3057)</f>
        <v>4.5923000000000007</v>
      </c>
      <c r="I3056" s="36"/>
      <c r="J3056" s="141">
        <v>0</v>
      </c>
    </row>
    <row r="3057" spans="1:10" ht="26.25" hidden="1" thickBot="1" x14ac:dyDescent="0.3">
      <c r="A3057" s="226"/>
      <c r="B3057" s="244"/>
      <c r="C3057" s="32" t="s">
        <v>891</v>
      </c>
      <c r="D3057" s="32" t="s">
        <v>93</v>
      </c>
      <c r="E3057" s="33">
        <v>0.11899999999999999</v>
      </c>
      <c r="F3057" s="27" t="s">
        <v>523</v>
      </c>
      <c r="G3057" s="30" t="str">
        <f t="shared" si="52"/>
        <v/>
      </c>
      <c r="H3057" s="31"/>
      <c r="I3057" s="27"/>
      <c r="J3057" s="141">
        <v>0</v>
      </c>
    </row>
    <row r="3058" spans="1:10" ht="15.75" hidden="1" thickBot="1" x14ac:dyDescent="0.3">
      <c r="A3058" s="227"/>
      <c r="B3058" s="230"/>
      <c r="C3058" s="32"/>
      <c r="D3058" s="32"/>
      <c r="E3058" s="33"/>
      <c r="F3058" s="27" t="s">
        <v>523</v>
      </c>
      <c r="G3058" s="30" t="str">
        <f t="shared" si="52"/>
        <v/>
      </c>
      <c r="H3058" s="31"/>
      <c r="I3058" s="27"/>
      <c r="J3058" s="141">
        <v>0</v>
      </c>
    </row>
    <row r="3059" spans="1:10" ht="15.75" hidden="1" thickBot="1" x14ac:dyDescent="0.3">
      <c r="A3059" s="225" t="s">
        <v>892</v>
      </c>
      <c r="B3059" s="228" t="str">
        <f>INDEX(Orçamentária!A:B,MATCH(Composições!A3059,Orçamentária!A:A,0),2)</f>
        <v>Vedapress 10mm</v>
      </c>
      <c r="C3059" s="37"/>
      <c r="D3059" s="22" t="str">
        <f>TRIM(INDEX(Orçamentária!C:C,MATCH(Composições!A3059,Orçamentária!A:A,0),1))</f>
        <v>m</v>
      </c>
      <c r="E3059" s="23"/>
      <c r="F3059" s="38" t="s">
        <v>523</v>
      </c>
      <c r="G3059" s="24" t="str">
        <f t="shared" si="52"/>
        <v/>
      </c>
      <c r="H3059" s="25"/>
      <c r="I3059" s="26"/>
      <c r="J3059" s="141">
        <v>0</v>
      </c>
    </row>
    <row r="3060" spans="1:10" ht="15.75" hidden="1" thickBot="1" x14ac:dyDescent="0.3">
      <c r="A3060" s="231"/>
      <c r="B3060" s="244"/>
      <c r="C3060" s="28"/>
      <c r="D3060" s="28"/>
      <c r="E3060" s="29"/>
      <c r="F3060" s="39" t="s">
        <v>523</v>
      </c>
      <c r="G3060" s="30" t="str">
        <f t="shared" si="52"/>
        <v/>
      </c>
      <c r="H3060" s="31"/>
      <c r="I3060" s="27"/>
      <c r="J3060" s="141">
        <v>0</v>
      </c>
    </row>
    <row r="3061" spans="1:10" ht="15.75" hidden="1" thickBot="1" x14ac:dyDescent="0.3">
      <c r="A3061" s="231"/>
      <c r="B3061" s="244"/>
      <c r="C3061" s="32" t="s">
        <v>68</v>
      </c>
      <c r="D3061" s="32" t="s">
        <v>12</v>
      </c>
      <c r="E3061" s="33">
        <v>0.3</v>
      </c>
      <c r="F3061" s="30">
        <v>22.961500000000001</v>
      </c>
      <c r="G3061" s="30">
        <f t="shared" si="52"/>
        <v>6.8884499999999997</v>
      </c>
      <c r="H3061" s="35">
        <f>SUM(G3061:G3062)</f>
        <v>11.790298</v>
      </c>
      <c r="I3061" s="36"/>
      <c r="J3061" s="141">
        <v>0</v>
      </c>
    </row>
    <row r="3062" spans="1:10" ht="15.75" hidden="1" thickBot="1" x14ac:dyDescent="0.3">
      <c r="A3062" s="231"/>
      <c r="B3062" s="244"/>
      <c r="C3062" s="32" t="s">
        <v>837</v>
      </c>
      <c r="D3062" s="32" t="s">
        <v>42</v>
      </c>
      <c r="E3062" s="33">
        <v>0.11899999999999999</v>
      </c>
      <c r="F3062" s="27">
        <v>41.192</v>
      </c>
      <c r="G3062" s="30">
        <f t="shared" si="52"/>
        <v>4.9018480000000002</v>
      </c>
      <c r="H3062" s="31"/>
      <c r="I3062" s="27"/>
      <c r="J3062" s="141">
        <v>0</v>
      </c>
    </row>
    <row r="3063" spans="1:10" ht="15.75" hidden="1" thickBot="1" x14ac:dyDescent="0.3">
      <c r="A3063" s="231"/>
      <c r="B3063" s="244"/>
      <c r="C3063" s="32"/>
      <c r="D3063" s="32"/>
      <c r="E3063" s="33"/>
      <c r="F3063" s="27" t="s">
        <v>523</v>
      </c>
      <c r="G3063" s="30" t="str">
        <f t="shared" si="52"/>
        <v/>
      </c>
      <c r="H3063" s="31"/>
      <c r="I3063" s="27"/>
      <c r="J3063" s="141">
        <v>0</v>
      </c>
    </row>
    <row r="3064" spans="1:10" ht="39" hidden="1" thickBot="1" x14ac:dyDescent="0.3">
      <c r="A3064" s="231"/>
      <c r="B3064" s="244"/>
      <c r="C3064" s="44" t="s">
        <v>893</v>
      </c>
      <c r="D3064" s="32"/>
      <c r="E3064" s="33"/>
      <c r="F3064" s="27" t="s">
        <v>523</v>
      </c>
      <c r="G3064" s="30" t="str">
        <f t="shared" si="52"/>
        <v/>
      </c>
      <c r="H3064" s="31"/>
      <c r="I3064" s="27"/>
      <c r="J3064" s="141">
        <v>0</v>
      </c>
    </row>
    <row r="3065" spans="1:10" ht="15.75" hidden="1" thickBot="1" x14ac:dyDescent="0.3">
      <c r="A3065" s="231"/>
      <c r="B3065" s="244"/>
      <c r="C3065" s="48" t="s">
        <v>894</v>
      </c>
      <c r="D3065" s="32"/>
      <c r="E3065" s="33"/>
      <c r="F3065" s="27" t="s">
        <v>523</v>
      </c>
      <c r="G3065" s="30" t="str">
        <f t="shared" si="52"/>
        <v/>
      </c>
      <c r="H3065" s="31"/>
      <c r="I3065" s="27"/>
      <c r="J3065" s="141">
        <v>0</v>
      </c>
    </row>
    <row r="3066" spans="1:10" ht="15.75" hidden="1" thickBot="1" x14ac:dyDescent="0.3">
      <c r="A3066" s="232"/>
      <c r="B3066" s="230"/>
      <c r="C3066" s="32"/>
      <c r="D3066" s="32"/>
      <c r="E3066" s="33"/>
      <c r="F3066" s="27" t="s">
        <v>523</v>
      </c>
      <c r="G3066" s="30" t="str">
        <f t="shared" si="52"/>
        <v/>
      </c>
      <c r="H3066" s="31"/>
      <c r="I3066" s="27"/>
      <c r="J3066" s="141">
        <v>0</v>
      </c>
    </row>
    <row r="3067" spans="1:10" ht="15.75" hidden="1" thickBot="1" x14ac:dyDescent="0.3">
      <c r="A3067" s="225" t="s">
        <v>895</v>
      </c>
      <c r="B3067" s="228" t="str">
        <f>INDEX(Orçamentária!A:B,MATCH(Composições!A3067,Orçamentária!A:A,0),2)</f>
        <v>Regulagem de ferragens</v>
      </c>
      <c r="C3067" s="37"/>
      <c r="D3067" s="22" t="str">
        <f>TRIM(INDEX(Orçamentária!C:C,MATCH(Composições!A3067,Orçamentária!A:A,0),1))</f>
        <v>un</v>
      </c>
      <c r="E3067" s="23"/>
      <c r="F3067" s="38" t="s">
        <v>523</v>
      </c>
      <c r="G3067" s="24" t="str">
        <f t="shared" si="52"/>
        <v/>
      </c>
      <c r="H3067" s="25"/>
      <c r="I3067" s="26"/>
      <c r="J3067" s="141">
        <v>0</v>
      </c>
    </row>
    <row r="3068" spans="1:10" ht="15.75" hidden="1" thickBot="1" x14ac:dyDescent="0.3">
      <c r="A3068" s="226"/>
      <c r="B3068" s="244"/>
      <c r="C3068" s="28"/>
      <c r="D3068" s="28"/>
      <c r="E3068" s="29"/>
      <c r="F3068" s="39" t="s">
        <v>523</v>
      </c>
      <c r="G3068" s="30" t="str">
        <f t="shared" si="52"/>
        <v/>
      </c>
      <c r="H3068" s="31"/>
      <c r="I3068" s="27"/>
      <c r="J3068" s="141">
        <v>0</v>
      </c>
    </row>
    <row r="3069" spans="1:10" ht="15.75" hidden="1" thickBot="1" x14ac:dyDescent="0.3">
      <c r="A3069" s="226"/>
      <c r="B3069" s="244"/>
      <c r="C3069" s="32" t="s">
        <v>68</v>
      </c>
      <c r="D3069" s="43" t="s">
        <v>12</v>
      </c>
      <c r="E3069" s="33">
        <v>1.5</v>
      </c>
      <c r="F3069" s="30">
        <v>22.961500000000001</v>
      </c>
      <c r="G3069" s="30">
        <f t="shared" si="52"/>
        <v>34.442250000000001</v>
      </c>
      <c r="H3069" s="35">
        <f>SUM(G3069:G3069)</f>
        <v>34.442250000000001</v>
      </c>
      <c r="I3069" s="36"/>
      <c r="J3069" s="141">
        <v>0</v>
      </c>
    </row>
    <row r="3070" spans="1:10" ht="15.75" hidden="1" thickBot="1" x14ac:dyDescent="0.3">
      <c r="A3070" s="227"/>
      <c r="B3070" s="230"/>
      <c r="C3070" s="32"/>
      <c r="D3070" s="32"/>
      <c r="E3070" s="33"/>
      <c r="F3070" s="27" t="s">
        <v>523</v>
      </c>
      <c r="G3070" s="30" t="str">
        <f t="shared" si="52"/>
        <v/>
      </c>
      <c r="H3070" s="31"/>
      <c r="I3070" s="27"/>
      <c r="J3070" s="141">
        <v>0</v>
      </c>
    </row>
    <row r="3071" spans="1:10" ht="15.75" hidden="1" thickBot="1" x14ac:dyDescent="0.3">
      <c r="A3071" s="225" t="s">
        <v>896</v>
      </c>
      <c r="B3071" s="228" t="str">
        <f>INDEX(Orçamentária!A:B,MATCH(Composições!A3071,Orçamentária!A:A,0),2)</f>
        <v>Vidro fumê / bronze temperado 10mm</v>
      </c>
      <c r="C3071" s="37"/>
      <c r="D3071" s="22" t="str">
        <f>TRIM(INDEX(Orçamentária!C:C,MATCH(Composições!A3071,Orçamentária!A:A,0),1))</f>
        <v>m2</v>
      </c>
      <c r="E3071" s="23"/>
      <c r="F3071" s="38" t="s">
        <v>523</v>
      </c>
      <c r="G3071" s="24" t="str">
        <f t="shared" si="52"/>
        <v/>
      </c>
      <c r="H3071" s="25"/>
      <c r="I3071" s="26"/>
      <c r="J3071" s="141">
        <v>0</v>
      </c>
    </row>
    <row r="3072" spans="1:10" ht="15.75" hidden="1" thickBot="1" x14ac:dyDescent="0.3">
      <c r="A3072" s="226"/>
      <c r="B3072" s="244"/>
      <c r="C3072" s="28"/>
      <c r="D3072" s="28"/>
      <c r="E3072" s="29"/>
      <c r="F3072" s="39" t="s">
        <v>523</v>
      </c>
      <c r="G3072" s="30" t="str">
        <f t="shared" si="52"/>
        <v/>
      </c>
      <c r="H3072" s="31"/>
      <c r="I3072" s="27"/>
      <c r="J3072" s="141">
        <v>0</v>
      </c>
    </row>
    <row r="3073" spans="1:10" ht="15.75" hidden="1" thickBot="1" x14ac:dyDescent="0.3">
      <c r="A3073" s="226"/>
      <c r="B3073" s="244"/>
      <c r="C3073" s="32" t="s">
        <v>68</v>
      </c>
      <c r="D3073" s="32" t="s">
        <v>12</v>
      </c>
      <c r="E3073" s="33">
        <v>0.47899999999999998</v>
      </c>
      <c r="F3073" s="30">
        <v>22.961500000000001</v>
      </c>
      <c r="G3073" s="30">
        <f t="shared" si="52"/>
        <v>10.9985585</v>
      </c>
      <c r="H3073" s="35">
        <f>SUM(G3073:G3077)</f>
        <v>91.196209499999995</v>
      </c>
      <c r="I3073" s="36"/>
      <c r="J3073" s="141">
        <v>0</v>
      </c>
    </row>
    <row r="3074" spans="1:10" ht="15.75" hidden="1" thickBot="1" x14ac:dyDescent="0.3">
      <c r="A3074" s="226"/>
      <c r="B3074" s="244"/>
      <c r="C3074" s="32" t="s">
        <v>23</v>
      </c>
      <c r="D3074" s="32" t="s">
        <v>12</v>
      </c>
      <c r="E3074" s="33">
        <v>0.46600000000000003</v>
      </c>
      <c r="F3074" s="30">
        <v>18.420500000000001</v>
      </c>
      <c r="G3074" s="30">
        <f t="shared" si="52"/>
        <v>8.5839530000000011</v>
      </c>
      <c r="H3074" s="31"/>
      <c r="I3074" s="27"/>
      <c r="J3074" s="141">
        <v>0</v>
      </c>
    </row>
    <row r="3075" spans="1:10" ht="26.25" hidden="1" thickBot="1" x14ac:dyDescent="0.3">
      <c r="A3075" s="226"/>
      <c r="B3075" s="244"/>
      <c r="C3075" s="32" t="s">
        <v>1186</v>
      </c>
      <c r="D3075" s="32" t="s">
        <v>480</v>
      </c>
      <c r="E3075" s="33">
        <v>4.609</v>
      </c>
      <c r="F3075" s="27">
        <v>13.299999999999999</v>
      </c>
      <c r="G3075" s="30">
        <f t="shared" si="52"/>
        <v>61.299699999999994</v>
      </c>
      <c r="H3075" s="31"/>
      <c r="I3075" s="27"/>
      <c r="J3075" s="141">
        <v>0</v>
      </c>
    </row>
    <row r="3076" spans="1:10" ht="26.25" hidden="1" thickBot="1" x14ac:dyDescent="0.3">
      <c r="A3076" s="226"/>
      <c r="B3076" s="244"/>
      <c r="C3076" s="32" t="s">
        <v>3326</v>
      </c>
      <c r="D3076" s="32" t="s">
        <v>93</v>
      </c>
      <c r="E3076" s="33">
        <v>4.0359999999999996</v>
      </c>
      <c r="F3076" s="27">
        <v>2.5554999999999999</v>
      </c>
      <c r="G3076" s="30">
        <f t="shared" si="52"/>
        <v>10.313997999999998</v>
      </c>
      <c r="H3076" s="31"/>
      <c r="I3076" s="27"/>
      <c r="J3076" s="141">
        <v>0</v>
      </c>
    </row>
    <row r="3077" spans="1:10" ht="15.75" hidden="1" thickBot="1" x14ac:dyDescent="0.3">
      <c r="A3077" s="226"/>
      <c r="B3077" s="244"/>
      <c r="C3077" s="32" t="s">
        <v>897</v>
      </c>
      <c r="D3077" s="32" t="s">
        <v>95</v>
      </c>
      <c r="E3077" s="33">
        <v>1</v>
      </c>
      <c r="F3077" s="27" t="s">
        <v>523</v>
      </c>
      <c r="G3077" s="30" t="str">
        <f t="shared" si="52"/>
        <v/>
      </c>
      <c r="H3077" s="31"/>
      <c r="I3077" s="27"/>
      <c r="J3077" s="141">
        <v>0</v>
      </c>
    </row>
    <row r="3078" spans="1:10" ht="15.75" hidden="1" thickBot="1" x14ac:dyDescent="0.3">
      <c r="A3078" s="227"/>
      <c r="B3078" s="230"/>
      <c r="C3078" s="32"/>
      <c r="D3078" s="32"/>
      <c r="E3078" s="33"/>
      <c r="F3078" s="27" t="s">
        <v>523</v>
      </c>
      <c r="G3078" s="30" t="str">
        <f t="shared" ref="G3078:G3141" si="53">IF(ISNUMBER(F3078),E3078*F3078,"")</f>
        <v/>
      </c>
      <c r="H3078" s="31"/>
      <c r="I3078" s="27"/>
      <c r="J3078" s="141">
        <v>0</v>
      </c>
    </row>
    <row r="3079" spans="1:10" ht="15.75" hidden="1" thickBot="1" x14ac:dyDescent="0.3">
      <c r="A3079" s="225" t="s">
        <v>898</v>
      </c>
      <c r="B3079" s="228" t="str">
        <f>INDEX(Orçamentária!A:B,MATCH(Composições!A3079,Orçamentária!A:A,0),2)</f>
        <v>Puxador em aço inox sob medida – Tipo B</v>
      </c>
      <c r="C3079" s="37"/>
      <c r="D3079" s="22" t="str">
        <f>TRIM(INDEX(Orçamentária!C:C,MATCH(Composições!A3079,Orçamentária!A:A,0),1))</f>
        <v>un</v>
      </c>
      <c r="E3079" s="23"/>
      <c r="F3079" s="38" t="s">
        <v>523</v>
      </c>
      <c r="G3079" s="24" t="str">
        <f t="shared" si="53"/>
        <v/>
      </c>
      <c r="H3079" s="25"/>
      <c r="I3079" s="26"/>
      <c r="J3079" s="141">
        <v>0</v>
      </c>
    </row>
    <row r="3080" spans="1:10" ht="15.75" hidden="1" thickBot="1" x14ac:dyDescent="0.3">
      <c r="A3080" s="226"/>
      <c r="B3080" s="244"/>
      <c r="C3080" s="28"/>
      <c r="D3080" s="28"/>
      <c r="E3080" s="29"/>
      <c r="F3080" s="39" t="s">
        <v>523</v>
      </c>
      <c r="G3080" s="30" t="str">
        <f t="shared" si="53"/>
        <v/>
      </c>
      <c r="H3080" s="31"/>
      <c r="I3080" s="27"/>
      <c r="J3080" s="141">
        <v>0</v>
      </c>
    </row>
    <row r="3081" spans="1:10" ht="15.75" hidden="1" thickBot="1" x14ac:dyDescent="0.3">
      <c r="A3081" s="226"/>
      <c r="B3081" s="244"/>
      <c r="C3081" s="32" t="s">
        <v>68</v>
      </c>
      <c r="D3081" s="43" t="s">
        <v>12</v>
      </c>
      <c r="E3081" s="33">
        <v>0.4</v>
      </c>
      <c r="F3081" s="30">
        <v>22.961500000000001</v>
      </c>
      <c r="G3081" s="30">
        <f t="shared" si="53"/>
        <v>9.1846000000000014</v>
      </c>
      <c r="H3081" s="35">
        <f>SUM(G3081:G3082)</f>
        <v>9.1846000000000014</v>
      </c>
      <c r="I3081" s="36"/>
      <c r="J3081" s="141">
        <v>0</v>
      </c>
    </row>
    <row r="3082" spans="1:10" ht="15.75" hidden="1" thickBot="1" x14ac:dyDescent="0.3">
      <c r="A3082" s="226"/>
      <c r="B3082" s="244"/>
      <c r="C3082" s="32" t="s">
        <v>899</v>
      </c>
      <c r="D3082" s="43" t="s">
        <v>20</v>
      </c>
      <c r="E3082" s="33">
        <v>1</v>
      </c>
      <c r="F3082" s="27" t="s">
        <v>523</v>
      </c>
      <c r="G3082" s="30" t="str">
        <f t="shared" si="53"/>
        <v/>
      </c>
      <c r="H3082" s="31"/>
      <c r="I3082" s="27"/>
      <c r="J3082" s="141">
        <v>0</v>
      </c>
    </row>
    <row r="3083" spans="1:10" ht="15.75" hidden="1" thickBot="1" x14ac:dyDescent="0.3">
      <c r="A3083" s="227"/>
      <c r="B3083" s="230"/>
      <c r="C3083" s="32"/>
      <c r="D3083" s="32"/>
      <c r="E3083" s="33"/>
      <c r="F3083" s="27" t="s">
        <v>523</v>
      </c>
      <c r="G3083" s="30" t="str">
        <f t="shared" si="53"/>
        <v/>
      </c>
      <c r="H3083" s="31"/>
      <c r="I3083" s="27"/>
      <c r="J3083" s="141">
        <v>0</v>
      </c>
    </row>
    <row r="3084" spans="1:10" ht="15.75" hidden="1" thickBot="1" x14ac:dyDescent="0.3">
      <c r="A3084" s="225" t="s">
        <v>900</v>
      </c>
      <c r="B3084" s="228" t="str">
        <f>INDEX(Orçamentária!A:B,MATCH(Composições!A3084,Orçamentária!A:A,0),2)</f>
        <v>Armação de aço CA-50 bitolas de 5,0mm a 8,00mm</v>
      </c>
      <c r="C3084" s="37"/>
      <c r="D3084" s="22" t="str">
        <f>TRIM(INDEX(Orçamentária!C:C,MATCH(Composições!A3084,Orçamentária!A:A,0),1))</f>
        <v>kg</v>
      </c>
      <c r="E3084" s="23"/>
      <c r="F3084" s="38" t="s">
        <v>523</v>
      </c>
      <c r="G3084" s="24" t="str">
        <f t="shared" si="53"/>
        <v/>
      </c>
      <c r="H3084" s="25"/>
      <c r="I3084" s="26"/>
      <c r="J3084" s="141">
        <v>0</v>
      </c>
    </row>
    <row r="3085" spans="1:10" ht="15.75" hidden="1" thickBot="1" x14ac:dyDescent="0.3">
      <c r="A3085" s="226"/>
      <c r="B3085" s="244"/>
      <c r="C3085" s="28"/>
      <c r="D3085" s="28"/>
      <c r="E3085" s="29"/>
      <c r="F3085" s="39" t="s">
        <v>523</v>
      </c>
      <c r="G3085" s="30" t="str">
        <f t="shared" si="53"/>
        <v/>
      </c>
      <c r="H3085" s="31"/>
      <c r="I3085" s="27"/>
      <c r="J3085" s="141">
        <v>0</v>
      </c>
    </row>
    <row r="3086" spans="1:10" ht="26.25" hidden="1" thickBot="1" x14ac:dyDescent="0.3">
      <c r="A3086" s="226"/>
      <c r="B3086" s="244"/>
      <c r="C3086" s="32" t="s">
        <v>3513</v>
      </c>
      <c r="D3086" s="43" t="s">
        <v>901</v>
      </c>
      <c r="E3086" s="33">
        <v>2.5000000000000001E-2</v>
      </c>
      <c r="F3086" s="27">
        <v>22.61</v>
      </c>
      <c r="G3086" s="30">
        <f t="shared" si="53"/>
        <v>0.56525000000000003</v>
      </c>
      <c r="H3086" s="35">
        <f>SUM(G3086:G3090)</f>
        <v>4.2674617499999998</v>
      </c>
      <c r="I3086" s="36"/>
      <c r="J3086" s="141">
        <v>0</v>
      </c>
    </row>
    <row r="3087" spans="1:10" ht="39" hidden="1" thickBot="1" x14ac:dyDescent="0.3">
      <c r="A3087" s="226"/>
      <c r="B3087" s="244"/>
      <c r="C3087" s="32" t="s">
        <v>902</v>
      </c>
      <c r="D3087" s="43" t="s">
        <v>280</v>
      </c>
      <c r="E3087" s="33">
        <v>0.74299999999999999</v>
      </c>
      <c r="F3087" s="27">
        <v>0.20899999999999999</v>
      </c>
      <c r="G3087" s="30">
        <f t="shared" si="53"/>
        <v>0.15528699999999998</v>
      </c>
      <c r="H3087" s="31"/>
      <c r="I3087" s="27"/>
      <c r="J3087" s="141">
        <v>0</v>
      </c>
    </row>
    <row r="3088" spans="1:10" ht="15.75" hidden="1" thickBot="1" x14ac:dyDescent="0.3">
      <c r="A3088" s="226"/>
      <c r="B3088" s="244"/>
      <c r="C3088" s="32" t="s">
        <v>903</v>
      </c>
      <c r="D3088" s="43" t="s">
        <v>705</v>
      </c>
      <c r="E3088" s="33">
        <v>2.0899999999999998E-2</v>
      </c>
      <c r="F3088" s="27">
        <v>18.3825</v>
      </c>
      <c r="G3088" s="30">
        <f t="shared" si="53"/>
        <v>0.38419424999999996</v>
      </c>
      <c r="H3088" s="31"/>
      <c r="I3088" s="27"/>
      <c r="J3088" s="141">
        <v>0</v>
      </c>
    </row>
    <row r="3089" spans="1:10" ht="15.75" hidden="1" thickBot="1" x14ac:dyDescent="0.3">
      <c r="A3089" s="226"/>
      <c r="B3089" s="244"/>
      <c r="C3089" s="32" t="s">
        <v>904</v>
      </c>
      <c r="D3089" s="32" t="s">
        <v>705</v>
      </c>
      <c r="E3089" s="33">
        <v>0.1278</v>
      </c>
      <c r="F3089" s="27">
        <v>24.747499999999999</v>
      </c>
      <c r="G3089" s="30">
        <f t="shared" si="53"/>
        <v>3.1627304999999999</v>
      </c>
      <c r="H3089" s="31"/>
      <c r="I3089" s="27"/>
      <c r="J3089" s="141">
        <v>0</v>
      </c>
    </row>
    <row r="3090" spans="1:10" ht="26.25" hidden="1" thickBot="1" x14ac:dyDescent="0.3">
      <c r="A3090" s="226"/>
      <c r="B3090" s="244"/>
      <c r="C3090" s="32" t="s">
        <v>905</v>
      </c>
      <c r="D3090" s="32" t="s">
        <v>901</v>
      </c>
      <c r="E3090" s="33">
        <v>1</v>
      </c>
      <c r="F3090" s="27" t="s">
        <v>523</v>
      </c>
      <c r="G3090" s="30" t="str">
        <f t="shared" si="53"/>
        <v/>
      </c>
      <c r="H3090" s="31"/>
      <c r="I3090" s="27"/>
      <c r="J3090" s="141">
        <v>0</v>
      </c>
    </row>
    <row r="3091" spans="1:10" ht="15.75" hidden="1" thickBot="1" x14ac:dyDescent="0.3">
      <c r="A3091" s="227"/>
      <c r="B3091" s="230"/>
      <c r="C3091" s="32"/>
      <c r="D3091" s="32"/>
      <c r="E3091" s="33"/>
      <c r="F3091" s="27" t="s">
        <v>523</v>
      </c>
      <c r="G3091" s="30" t="str">
        <f t="shared" si="53"/>
        <v/>
      </c>
      <c r="H3091" s="31"/>
      <c r="I3091" s="27"/>
      <c r="J3091" s="141">
        <v>0</v>
      </c>
    </row>
    <row r="3092" spans="1:10" ht="15.75" hidden="1" thickBot="1" x14ac:dyDescent="0.3">
      <c r="A3092" s="225" t="s">
        <v>906</v>
      </c>
      <c r="B3092" s="228" t="str">
        <f>INDEX(Orçamentária!A:B,MATCH(Composições!A3092,Orçamentária!A:A,0),2)</f>
        <v>Pivô para dobradiça inferior (Montagem com a 1103-TQ)</v>
      </c>
      <c r="C3092" s="37"/>
      <c r="D3092" s="22" t="str">
        <f>TRIM(INDEX(Orçamentária!C:C,MATCH(Composições!A3092,Orçamentária!A:A,0),1))</f>
        <v>un</v>
      </c>
      <c r="E3092" s="23"/>
      <c r="F3092" s="38" t="s">
        <v>523</v>
      </c>
      <c r="G3092" s="24" t="str">
        <f t="shared" si="53"/>
        <v/>
      </c>
      <c r="H3092" s="25"/>
      <c r="I3092" s="26"/>
      <c r="J3092" s="141">
        <v>0</v>
      </c>
    </row>
    <row r="3093" spans="1:10" ht="15.75" hidden="1" thickBot="1" x14ac:dyDescent="0.3">
      <c r="A3093" s="226"/>
      <c r="B3093" s="244"/>
      <c r="C3093" s="28"/>
      <c r="D3093" s="28"/>
      <c r="E3093" s="29"/>
      <c r="F3093" s="39" t="s">
        <v>523</v>
      </c>
      <c r="G3093" s="30" t="str">
        <f t="shared" si="53"/>
        <v/>
      </c>
      <c r="H3093" s="31"/>
      <c r="I3093" s="27"/>
      <c r="J3093" s="141">
        <v>0</v>
      </c>
    </row>
    <row r="3094" spans="1:10" ht="15.75" hidden="1" thickBot="1" x14ac:dyDescent="0.3">
      <c r="A3094" s="226"/>
      <c r="B3094" s="244"/>
      <c r="C3094" s="32" t="s">
        <v>68</v>
      </c>
      <c r="D3094" s="32" t="s">
        <v>12</v>
      </c>
      <c r="E3094" s="33">
        <v>0.2</v>
      </c>
      <c r="F3094" s="30">
        <v>22.961500000000001</v>
      </c>
      <c r="G3094" s="30">
        <f t="shared" si="53"/>
        <v>4.5923000000000007</v>
      </c>
      <c r="H3094" s="35">
        <f>SUM(G3094:G3095)</f>
        <v>4.5923000000000007</v>
      </c>
      <c r="I3094" s="36"/>
      <c r="J3094" s="141">
        <v>0</v>
      </c>
    </row>
    <row r="3095" spans="1:10" ht="26.25" hidden="1" thickBot="1" x14ac:dyDescent="0.3">
      <c r="A3095" s="226"/>
      <c r="B3095" s="244"/>
      <c r="C3095" s="32" t="s">
        <v>907</v>
      </c>
      <c r="D3095" s="32" t="s">
        <v>20</v>
      </c>
      <c r="E3095" s="33">
        <v>1</v>
      </c>
      <c r="F3095" s="27" t="s">
        <v>523</v>
      </c>
      <c r="G3095" s="30" t="str">
        <f t="shared" si="53"/>
        <v/>
      </c>
      <c r="H3095" s="31"/>
      <c r="I3095" s="27"/>
      <c r="J3095" s="141">
        <v>0</v>
      </c>
    </row>
    <row r="3096" spans="1:10" ht="15.75" hidden="1" thickBot="1" x14ac:dyDescent="0.3">
      <c r="A3096" s="227"/>
      <c r="B3096" s="230"/>
      <c r="C3096" s="32"/>
      <c r="D3096" s="32"/>
      <c r="E3096" s="33"/>
      <c r="F3096" s="27" t="s">
        <v>523</v>
      </c>
      <c r="G3096" s="30" t="str">
        <f t="shared" si="53"/>
        <v/>
      </c>
      <c r="H3096" s="31"/>
      <c r="I3096" s="27"/>
      <c r="J3096" s="141">
        <v>0</v>
      </c>
    </row>
    <row r="3097" spans="1:10" ht="15.75" hidden="1" thickBot="1" x14ac:dyDescent="0.3">
      <c r="A3097" s="225" t="s">
        <v>908</v>
      </c>
      <c r="B3097" s="228" t="str">
        <f>INDEX(Orçamentária!A:B,MATCH(Composições!A3097,Orçamentária!A:A,0),2)</f>
        <v>Dobradiça direita inferior excêntrica</v>
      </c>
      <c r="C3097" s="37"/>
      <c r="D3097" s="22" t="str">
        <f>TRIM(INDEX(Orçamentária!C:C,MATCH(Composições!A3097,Orçamentária!A:A,0),1))</f>
        <v>un</v>
      </c>
      <c r="E3097" s="23"/>
      <c r="F3097" s="38" t="s">
        <v>523</v>
      </c>
      <c r="G3097" s="24" t="str">
        <f t="shared" si="53"/>
        <v/>
      </c>
      <c r="H3097" s="25"/>
      <c r="I3097" s="26"/>
      <c r="J3097" s="141">
        <v>0</v>
      </c>
    </row>
    <row r="3098" spans="1:10" ht="15.75" hidden="1" thickBot="1" x14ac:dyDescent="0.3">
      <c r="A3098" s="226"/>
      <c r="B3098" s="244"/>
      <c r="C3098" s="28"/>
      <c r="D3098" s="28"/>
      <c r="E3098" s="29"/>
      <c r="F3098" s="39" t="s">
        <v>523</v>
      </c>
      <c r="G3098" s="30" t="str">
        <f t="shared" si="53"/>
        <v/>
      </c>
      <c r="H3098" s="31"/>
      <c r="I3098" s="27"/>
      <c r="J3098" s="141">
        <v>0</v>
      </c>
    </row>
    <row r="3099" spans="1:10" ht="15.75" hidden="1" thickBot="1" x14ac:dyDescent="0.3">
      <c r="A3099" s="226"/>
      <c r="B3099" s="244"/>
      <c r="C3099" s="32" t="s">
        <v>68</v>
      </c>
      <c r="D3099" s="32" t="s">
        <v>12</v>
      </c>
      <c r="E3099" s="33">
        <v>0.3</v>
      </c>
      <c r="F3099" s="30">
        <v>22.961500000000001</v>
      </c>
      <c r="G3099" s="30">
        <f t="shared" si="53"/>
        <v>6.8884499999999997</v>
      </c>
      <c r="H3099" s="35">
        <f>SUM(G3099:G3100)</f>
        <v>6.8884499999999997</v>
      </c>
      <c r="I3099" s="36"/>
      <c r="J3099" s="141">
        <v>0</v>
      </c>
    </row>
    <row r="3100" spans="1:10" ht="39" hidden="1" thickBot="1" x14ac:dyDescent="0.3">
      <c r="A3100" s="226"/>
      <c r="B3100" s="244"/>
      <c r="C3100" s="32" t="s">
        <v>909</v>
      </c>
      <c r="D3100" s="32" t="s">
        <v>20</v>
      </c>
      <c r="E3100" s="33">
        <v>1</v>
      </c>
      <c r="F3100" s="27" t="s">
        <v>523</v>
      </c>
      <c r="G3100" s="30" t="str">
        <f t="shared" si="53"/>
        <v/>
      </c>
      <c r="H3100" s="31"/>
      <c r="I3100" s="27"/>
      <c r="J3100" s="141">
        <v>0</v>
      </c>
    </row>
    <row r="3101" spans="1:10" ht="15.75" hidden="1" thickBot="1" x14ac:dyDescent="0.3">
      <c r="A3101" s="227"/>
      <c r="B3101" s="230"/>
      <c r="C3101" s="32"/>
      <c r="D3101" s="32"/>
      <c r="E3101" s="33"/>
      <c r="F3101" s="27" t="s">
        <v>523</v>
      </c>
      <c r="G3101" s="30" t="str">
        <f t="shared" si="53"/>
        <v/>
      </c>
      <c r="H3101" s="31"/>
      <c r="I3101" s="27"/>
      <c r="J3101" s="141">
        <v>0</v>
      </c>
    </row>
    <row r="3102" spans="1:10" ht="15.75" hidden="1" thickBot="1" x14ac:dyDescent="0.3">
      <c r="A3102" s="225" t="s">
        <v>910</v>
      </c>
      <c r="B3102" s="228" t="str">
        <f>INDEX(Orçamentária!A:B,MATCH(Composições!A3102,Orçamentária!A:A,0),2)</f>
        <v>Dobradiça esquerda inferior excêntrica</v>
      </c>
      <c r="C3102" s="37"/>
      <c r="D3102" s="22" t="str">
        <f>TRIM(INDEX(Orçamentária!C:C,MATCH(Composições!A3102,Orçamentária!A:A,0),1))</f>
        <v>un</v>
      </c>
      <c r="E3102" s="23"/>
      <c r="F3102" s="38" t="s">
        <v>523</v>
      </c>
      <c r="G3102" s="24" t="str">
        <f t="shared" si="53"/>
        <v/>
      </c>
      <c r="H3102" s="25"/>
      <c r="I3102" s="26"/>
      <c r="J3102" s="141">
        <v>0</v>
      </c>
    </row>
    <row r="3103" spans="1:10" ht="15.75" hidden="1" thickBot="1" x14ac:dyDescent="0.3">
      <c r="A3103" s="226"/>
      <c r="B3103" s="244"/>
      <c r="C3103" s="28"/>
      <c r="D3103" s="28"/>
      <c r="E3103" s="29"/>
      <c r="F3103" s="39" t="s">
        <v>523</v>
      </c>
      <c r="G3103" s="30" t="str">
        <f t="shared" si="53"/>
        <v/>
      </c>
      <c r="H3103" s="31"/>
      <c r="I3103" s="27"/>
      <c r="J3103" s="141">
        <v>0</v>
      </c>
    </row>
    <row r="3104" spans="1:10" ht="15.75" hidden="1" thickBot="1" x14ac:dyDescent="0.3">
      <c r="A3104" s="226"/>
      <c r="B3104" s="244"/>
      <c r="C3104" s="32" t="s">
        <v>68</v>
      </c>
      <c r="D3104" s="32" t="s">
        <v>12</v>
      </c>
      <c r="E3104" s="33">
        <v>0.3</v>
      </c>
      <c r="F3104" s="30">
        <v>22.961500000000001</v>
      </c>
      <c r="G3104" s="30">
        <f t="shared" si="53"/>
        <v>6.8884499999999997</v>
      </c>
      <c r="H3104" s="35">
        <f>SUM(G3104:G3105)</f>
        <v>6.8884499999999997</v>
      </c>
      <c r="I3104" s="36"/>
      <c r="J3104" s="141">
        <v>0</v>
      </c>
    </row>
    <row r="3105" spans="1:10" ht="39" hidden="1" thickBot="1" x14ac:dyDescent="0.3">
      <c r="A3105" s="226"/>
      <c r="B3105" s="244"/>
      <c r="C3105" s="32" t="s">
        <v>911</v>
      </c>
      <c r="D3105" s="32" t="s">
        <v>20</v>
      </c>
      <c r="E3105" s="33">
        <v>1</v>
      </c>
      <c r="F3105" s="27" t="s">
        <v>523</v>
      </c>
      <c r="G3105" s="30" t="str">
        <f t="shared" si="53"/>
        <v/>
      </c>
      <c r="H3105" s="31"/>
      <c r="I3105" s="27"/>
      <c r="J3105" s="141">
        <v>0</v>
      </c>
    </row>
    <row r="3106" spans="1:10" ht="15.75" hidden="1" thickBot="1" x14ac:dyDescent="0.3">
      <c r="A3106" s="227"/>
      <c r="B3106" s="230"/>
      <c r="C3106" s="32"/>
      <c r="D3106" s="32"/>
      <c r="E3106" s="33"/>
      <c r="F3106" s="27" t="s">
        <v>523</v>
      </c>
      <c r="G3106" s="30" t="str">
        <f t="shared" si="53"/>
        <v/>
      </c>
      <c r="H3106" s="31"/>
      <c r="I3106" s="27"/>
      <c r="J3106" s="141">
        <v>0</v>
      </c>
    </row>
    <row r="3107" spans="1:10" ht="15.75" hidden="1" thickBot="1" x14ac:dyDescent="0.3">
      <c r="A3107" s="225" t="s">
        <v>912</v>
      </c>
      <c r="B3107" s="228" t="str">
        <f>INDEX(Orçamentária!A:B,MATCH(Composições!A3107,Orçamentária!A:A,0),2)</f>
        <v>Dobradiça pivotante inferior com trinco</v>
      </c>
      <c r="C3107" s="37"/>
      <c r="D3107" s="22" t="str">
        <f>TRIM(INDEX(Orçamentária!C:C,MATCH(Composições!A3107,Orçamentária!A:A,0),1))</f>
        <v>un</v>
      </c>
      <c r="E3107" s="23"/>
      <c r="F3107" s="38" t="s">
        <v>523</v>
      </c>
      <c r="G3107" s="24" t="str">
        <f t="shared" si="53"/>
        <v/>
      </c>
      <c r="H3107" s="25"/>
      <c r="I3107" s="26"/>
      <c r="J3107" s="141">
        <v>0</v>
      </c>
    </row>
    <row r="3108" spans="1:10" ht="15.75" hidden="1" thickBot="1" x14ac:dyDescent="0.3">
      <c r="A3108" s="226"/>
      <c r="B3108" s="244"/>
      <c r="C3108" s="28"/>
      <c r="D3108" s="28"/>
      <c r="E3108" s="29"/>
      <c r="F3108" s="39" t="s">
        <v>523</v>
      </c>
      <c r="G3108" s="30" t="str">
        <f t="shared" si="53"/>
        <v/>
      </c>
      <c r="H3108" s="31"/>
      <c r="I3108" s="27"/>
      <c r="J3108" s="141">
        <v>0</v>
      </c>
    </row>
    <row r="3109" spans="1:10" ht="15.75" hidden="1" thickBot="1" x14ac:dyDescent="0.3">
      <c r="A3109" s="226"/>
      <c r="B3109" s="244"/>
      <c r="C3109" s="32" t="s">
        <v>68</v>
      </c>
      <c r="D3109" s="32" t="s">
        <v>12</v>
      </c>
      <c r="E3109" s="33">
        <v>0.3</v>
      </c>
      <c r="F3109" s="30">
        <v>22.961500000000001</v>
      </c>
      <c r="G3109" s="30">
        <f t="shared" si="53"/>
        <v>6.8884499999999997</v>
      </c>
      <c r="H3109" s="35">
        <f>SUM(G3109:G3110)</f>
        <v>6.8884499999999997</v>
      </c>
      <c r="I3109" s="36"/>
      <c r="J3109" s="141">
        <v>0</v>
      </c>
    </row>
    <row r="3110" spans="1:10" ht="26.25" hidden="1" thickBot="1" x14ac:dyDescent="0.3">
      <c r="A3110" s="226"/>
      <c r="B3110" s="244"/>
      <c r="C3110" s="32" t="s">
        <v>913</v>
      </c>
      <c r="D3110" s="32" t="s">
        <v>20</v>
      </c>
      <c r="E3110" s="33">
        <v>1</v>
      </c>
      <c r="F3110" s="27" t="s">
        <v>523</v>
      </c>
      <c r="G3110" s="30" t="str">
        <f t="shared" si="53"/>
        <v/>
      </c>
      <c r="H3110" s="31"/>
      <c r="I3110" s="27"/>
      <c r="J3110" s="141">
        <v>0</v>
      </c>
    </row>
    <row r="3111" spans="1:10" ht="15.75" hidden="1" thickBot="1" x14ac:dyDescent="0.3">
      <c r="A3111" s="227"/>
      <c r="B3111" s="230"/>
      <c r="C3111" s="32"/>
      <c r="D3111" s="32"/>
      <c r="E3111" s="33"/>
      <c r="F3111" s="27" t="s">
        <v>523</v>
      </c>
      <c r="G3111" s="30" t="str">
        <f t="shared" si="53"/>
        <v/>
      </c>
      <c r="H3111" s="31"/>
      <c r="I3111" s="27"/>
      <c r="J3111" s="141">
        <v>0</v>
      </c>
    </row>
    <row r="3112" spans="1:10" ht="15.75" hidden="1" thickBot="1" x14ac:dyDescent="0.3">
      <c r="A3112" s="225" t="s">
        <v>914</v>
      </c>
      <c r="B3112" s="228" t="str">
        <f>INDEX(Orçamentária!A:B,MATCH(Composições!A3112,Orçamentária!A:A,0),2)</f>
        <v>Carrinho para porta de correr 1 roldana e 2 furos</v>
      </c>
      <c r="C3112" s="37"/>
      <c r="D3112" s="22" t="str">
        <f>TRIM(INDEX(Orçamentária!C:C,MATCH(Composições!A3112,Orçamentária!A:A,0),1))</f>
        <v>un</v>
      </c>
      <c r="E3112" s="23"/>
      <c r="F3112" s="38" t="s">
        <v>523</v>
      </c>
      <c r="G3112" s="24" t="str">
        <f t="shared" si="53"/>
        <v/>
      </c>
      <c r="H3112" s="25"/>
      <c r="I3112" s="26"/>
      <c r="J3112" s="141">
        <v>0</v>
      </c>
    </row>
    <row r="3113" spans="1:10" ht="15.75" hidden="1" thickBot="1" x14ac:dyDescent="0.3">
      <c r="A3113" s="226"/>
      <c r="B3113" s="244"/>
      <c r="C3113" s="28"/>
      <c r="D3113" s="28"/>
      <c r="E3113" s="29"/>
      <c r="F3113" s="39" t="s">
        <v>523</v>
      </c>
      <c r="G3113" s="30" t="str">
        <f t="shared" si="53"/>
        <v/>
      </c>
      <c r="H3113" s="31"/>
      <c r="I3113" s="27"/>
      <c r="J3113" s="141">
        <v>0</v>
      </c>
    </row>
    <row r="3114" spans="1:10" ht="15.75" hidden="1" thickBot="1" x14ac:dyDescent="0.3">
      <c r="A3114" s="226"/>
      <c r="B3114" s="244"/>
      <c r="C3114" s="32" t="s">
        <v>68</v>
      </c>
      <c r="D3114" s="32" t="s">
        <v>12</v>
      </c>
      <c r="E3114" s="33">
        <v>0.15</v>
      </c>
      <c r="F3114" s="30">
        <v>22.961500000000001</v>
      </c>
      <c r="G3114" s="30">
        <f t="shared" si="53"/>
        <v>3.4442249999999999</v>
      </c>
      <c r="H3114" s="35">
        <f>SUM(G3114:G3115)</f>
        <v>3.4442249999999999</v>
      </c>
      <c r="I3114" s="36"/>
      <c r="J3114" s="141">
        <v>0</v>
      </c>
    </row>
    <row r="3115" spans="1:10" ht="26.25" hidden="1" thickBot="1" x14ac:dyDescent="0.3">
      <c r="A3115" s="226"/>
      <c r="B3115" s="244"/>
      <c r="C3115" s="32" t="s">
        <v>915</v>
      </c>
      <c r="D3115" s="32" t="s">
        <v>20</v>
      </c>
      <c r="E3115" s="33">
        <v>1</v>
      </c>
      <c r="F3115" s="27" t="s">
        <v>523</v>
      </c>
      <c r="G3115" s="30" t="str">
        <f t="shared" si="53"/>
        <v/>
      </c>
      <c r="H3115" s="31"/>
      <c r="I3115" s="27"/>
      <c r="J3115" s="141">
        <v>0</v>
      </c>
    </row>
    <row r="3116" spans="1:10" ht="15.75" hidden="1" thickBot="1" x14ac:dyDescent="0.3">
      <c r="A3116" s="227"/>
      <c r="B3116" s="230"/>
      <c r="C3116" s="32"/>
      <c r="D3116" s="32"/>
      <c r="E3116" s="33"/>
      <c r="F3116" s="27" t="s">
        <v>523</v>
      </c>
      <c r="G3116" s="30" t="str">
        <f t="shared" si="53"/>
        <v/>
      </c>
      <c r="H3116" s="31"/>
      <c r="I3116" s="27"/>
      <c r="J3116" s="141">
        <v>0</v>
      </c>
    </row>
    <row r="3117" spans="1:10" ht="15.75" hidden="1" thickBot="1" x14ac:dyDescent="0.3">
      <c r="A3117" s="225" t="s">
        <v>916</v>
      </c>
      <c r="B3117" s="228" t="str">
        <f>INDEX(Orçamentária!A:B,MATCH(Composições!A3117,Orçamentária!A:A,0),2)</f>
        <v>Carrinho para porta de correr 2 roldanas e 2 furos</v>
      </c>
      <c r="C3117" s="37"/>
      <c r="D3117" s="22" t="str">
        <f>TRIM(INDEX(Orçamentária!C:C,MATCH(Composições!A3117,Orçamentária!A:A,0),1))</f>
        <v>un</v>
      </c>
      <c r="E3117" s="23"/>
      <c r="F3117" s="38" t="s">
        <v>523</v>
      </c>
      <c r="G3117" s="24" t="str">
        <f t="shared" si="53"/>
        <v/>
      </c>
      <c r="H3117" s="25"/>
      <c r="I3117" s="26"/>
      <c r="J3117" s="141">
        <v>0</v>
      </c>
    </row>
    <row r="3118" spans="1:10" ht="15.75" hidden="1" thickBot="1" x14ac:dyDescent="0.3">
      <c r="A3118" s="226"/>
      <c r="B3118" s="244"/>
      <c r="C3118" s="28"/>
      <c r="D3118" s="28"/>
      <c r="E3118" s="29"/>
      <c r="F3118" s="39" t="s">
        <v>523</v>
      </c>
      <c r="G3118" s="30" t="str">
        <f t="shared" si="53"/>
        <v/>
      </c>
      <c r="H3118" s="31"/>
      <c r="I3118" s="27"/>
      <c r="J3118" s="141">
        <v>0</v>
      </c>
    </row>
    <row r="3119" spans="1:10" ht="15.75" hidden="1" thickBot="1" x14ac:dyDescent="0.3">
      <c r="A3119" s="226"/>
      <c r="B3119" s="244"/>
      <c r="C3119" s="32" t="s">
        <v>68</v>
      </c>
      <c r="D3119" s="32" t="s">
        <v>12</v>
      </c>
      <c r="E3119" s="33">
        <v>0.15</v>
      </c>
      <c r="F3119" s="30">
        <v>22.961500000000001</v>
      </c>
      <c r="G3119" s="30">
        <f t="shared" si="53"/>
        <v>3.4442249999999999</v>
      </c>
      <c r="H3119" s="35">
        <f>SUM(G3119:G3120)</f>
        <v>3.4442249999999999</v>
      </c>
      <c r="I3119" s="36"/>
      <c r="J3119" s="141">
        <v>0</v>
      </c>
    </row>
    <row r="3120" spans="1:10" ht="26.25" hidden="1" thickBot="1" x14ac:dyDescent="0.3">
      <c r="A3120" s="226"/>
      <c r="B3120" s="244"/>
      <c r="C3120" s="32" t="s">
        <v>917</v>
      </c>
      <c r="D3120" s="32" t="s">
        <v>20</v>
      </c>
      <c r="E3120" s="33">
        <v>1</v>
      </c>
      <c r="F3120" s="27" t="s">
        <v>523</v>
      </c>
      <c r="G3120" s="30" t="str">
        <f t="shared" si="53"/>
        <v/>
      </c>
      <c r="H3120" s="31"/>
      <c r="I3120" s="27"/>
      <c r="J3120" s="141">
        <v>0</v>
      </c>
    </row>
    <row r="3121" spans="1:10" ht="15.75" hidden="1" thickBot="1" x14ac:dyDescent="0.3">
      <c r="A3121" s="227"/>
      <c r="B3121" s="230"/>
      <c r="C3121" s="32"/>
      <c r="D3121" s="32"/>
      <c r="E3121" s="33"/>
      <c r="F3121" s="27" t="s">
        <v>523</v>
      </c>
      <c r="G3121" s="30" t="str">
        <f t="shared" si="53"/>
        <v/>
      </c>
      <c r="H3121" s="31"/>
      <c r="I3121" s="27"/>
      <c r="J3121" s="141">
        <v>0</v>
      </c>
    </row>
    <row r="3122" spans="1:10" ht="15.75" hidden="1" thickBot="1" x14ac:dyDescent="0.3">
      <c r="A3122" s="225" t="s">
        <v>918</v>
      </c>
      <c r="B3122" s="228" t="str">
        <f>INDEX(Orçamentária!A:B,MATCH(Composições!A3122,Orçamentária!A:A,0),2)</f>
        <v>Carrinho para porta de correr com roldana côncava</v>
      </c>
      <c r="C3122" s="37"/>
      <c r="D3122" s="22" t="str">
        <f>TRIM(INDEX(Orçamentária!C:C,MATCH(Composições!A3122,Orçamentária!A:A,0),1))</f>
        <v>un</v>
      </c>
      <c r="E3122" s="23"/>
      <c r="F3122" s="38" t="s">
        <v>523</v>
      </c>
      <c r="G3122" s="24" t="str">
        <f t="shared" si="53"/>
        <v/>
      </c>
      <c r="H3122" s="25"/>
      <c r="I3122" s="26"/>
      <c r="J3122" s="141">
        <v>0</v>
      </c>
    </row>
    <row r="3123" spans="1:10" ht="15.75" hidden="1" thickBot="1" x14ac:dyDescent="0.3">
      <c r="A3123" s="226"/>
      <c r="B3123" s="244"/>
      <c r="C3123" s="28"/>
      <c r="D3123" s="28"/>
      <c r="E3123" s="29"/>
      <c r="F3123" s="39" t="s">
        <v>523</v>
      </c>
      <c r="G3123" s="30" t="str">
        <f t="shared" si="53"/>
        <v/>
      </c>
      <c r="H3123" s="31"/>
      <c r="I3123" s="27"/>
      <c r="J3123" s="141">
        <v>0</v>
      </c>
    </row>
    <row r="3124" spans="1:10" ht="15.75" hidden="1" thickBot="1" x14ac:dyDescent="0.3">
      <c r="A3124" s="226"/>
      <c r="B3124" s="244"/>
      <c r="C3124" s="32" t="s">
        <v>68</v>
      </c>
      <c r="D3124" s="32" t="s">
        <v>12</v>
      </c>
      <c r="E3124" s="33">
        <v>0.15</v>
      </c>
      <c r="F3124" s="30">
        <v>22.961500000000001</v>
      </c>
      <c r="G3124" s="30">
        <f t="shared" si="53"/>
        <v>3.4442249999999999</v>
      </c>
      <c r="H3124" s="35">
        <f>SUM(G3124:G3125)</f>
        <v>3.4442249999999999</v>
      </c>
      <c r="I3124" s="36"/>
      <c r="J3124" s="141">
        <v>0</v>
      </c>
    </row>
    <row r="3125" spans="1:10" ht="26.25" hidden="1" thickBot="1" x14ac:dyDescent="0.3">
      <c r="A3125" s="226"/>
      <c r="B3125" s="244"/>
      <c r="C3125" s="32" t="s">
        <v>919</v>
      </c>
      <c r="D3125" s="32" t="s">
        <v>20</v>
      </c>
      <c r="E3125" s="33">
        <v>1</v>
      </c>
      <c r="F3125" s="27" t="s">
        <v>523</v>
      </c>
      <c r="G3125" s="30" t="str">
        <f t="shared" si="53"/>
        <v/>
      </c>
      <c r="H3125" s="31"/>
      <c r="I3125" s="27"/>
      <c r="J3125" s="141">
        <v>0</v>
      </c>
    </row>
    <row r="3126" spans="1:10" ht="15.75" hidden="1" thickBot="1" x14ac:dyDescent="0.3">
      <c r="A3126" s="227"/>
      <c r="B3126" s="230"/>
      <c r="C3126" s="32"/>
      <c r="D3126" s="32"/>
      <c r="E3126" s="33"/>
      <c r="F3126" s="27" t="s">
        <v>523</v>
      </c>
      <c r="G3126" s="30" t="str">
        <f t="shared" si="53"/>
        <v/>
      </c>
      <c r="H3126" s="31"/>
      <c r="I3126" s="27"/>
      <c r="J3126" s="141">
        <v>0</v>
      </c>
    </row>
    <row r="3127" spans="1:10" ht="15.75" hidden="1" thickBot="1" x14ac:dyDescent="0.3">
      <c r="A3127" s="225" t="s">
        <v>920</v>
      </c>
      <c r="B3127" s="228" t="str">
        <f>INDEX(Orçamentária!A:B,MATCH(Composições!A3127,Orçamentária!A:A,0),2)</f>
        <v>Guia de nylon para porta de correr</v>
      </c>
      <c r="C3127" s="37"/>
      <c r="D3127" s="22" t="str">
        <f>TRIM(INDEX(Orçamentária!C:C,MATCH(Composições!A3127,Orçamentária!A:A,0),1))</f>
        <v>un</v>
      </c>
      <c r="E3127" s="23"/>
      <c r="F3127" s="38" t="s">
        <v>523</v>
      </c>
      <c r="G3127" s="24" t="str">
        <f t="shared" si="53"/>
        <v/>
      </c>
      <c r="H3127" s="25"/>
      <c r="I3127" s="26"/>
      <c r="J3127" s="141">
        <v>0</v>
      </c>
    </row>
    <row r="3128" spans="1:10" ht="15.75" hidden="1" thickBot="1" x14ac:dyDescent="0.3">
      <c r="A3128" s="226"/>
      <c r="B3128" s="244"/>
      <c r="C3128" s="28"/>
      <c r="D3128" s="28"/>
      <c r="E3128" s="29"/>
      <c r="F3128" s="39" t="s">
        <v>523</v>
      </c>
      <c r="G3128" s="30" t="str">
        <f t="shared" si="53"/>
        <v/>
      </c>
      <c r="H3128" s="31"/>
      <c r="I3128" s="27"/>
      <c r="J3128" s="141">
        <v>0</v>
      </c>
    </row>
    <row r="3129" spans="1:10" ht="15.75" hidden="1" thickBot="1" x14ac:dyDescent="0.3">
      <c r="A3129" s="226"/>
      <c r="B3129" s="244"/>
      <c r="C3129" s="32" t="s">
        <v>68</v>
      </c>
      <c r="D3129" s="32" t="s">
        <v>12</v>
      </c>
      <c r="E3129" s="33">
        <v>0.15</v>
      </c>
      <c r="F3129" s="30">
        <v>22.961500000000001</v>
      </c>
      <c r="G3129" s="30">
        <f t="shared" si="53"/>
        <v>3.4442249999999999</v>
      </c>
      <c r="H3129" s="35">
        <f>SUM(G3129:G3130)</f>
        <v>3.4442249999999999</v>
      </c>
      <c r="I3129" s="36"/>
      <c r="J3129" s="141">
        <v>0</v>
      </c>
    </row>
    <row r="3130" spans="1:10" ht="15.75" hidden="1" thickBot="1" x14ac:dyDescent="0.3">
      <c r="A3130" s="226"/>
      <c r="B3130" s="244"/>
      <c r="C3130" s="32" t="s">
        <v>921</v>
      </c>
      <c r="D3130" s="32" t="s">
        <v>20</v>
      </c>
      <c r="E3130" s="33">
        <v>1</v>
      </c>
      <c r="F3130" s="27" t="s">
        <v>523</v>
      </c>
      <c r="G3130" s="30" t="str">
        <f t="shared" si="53"/>
        <v/>
      </c>
      <c r="H3130" s="31"/>
      <c r="I3130" s="27"/>
      <c r="J3130" s="141">
        <v>0</v>
      </c>
    </row>
    <row r="3131" spans="1:10" ht="15.75" hidden="1" thickBot="1" x14ac:dyDescent="0.3">
      <c r="A3131" s="227"/>
      <c r="B3131" s="230"/>
      <c r="C3131" s="32"/>
      <c r="D3131" s="32"/>
      <c r="E3131" s="33"/>
      <c r="F3131" s="27" t="s">
        <v>523</v>
      </c>
      <c r="G3131" s="30" t="str">
        <f t="shared" si="53"/>
        <v/>
      </c>
      <c r="H3131" s="31"/>
      <c r="I3131" s="27"/>
      <c r="J3131" s="141">
        <v>0</v>
      </c>
    </row>
    <row r="3132" spans="1:10" ht="15.75" hidden="1" thickBot="1" x14ac:dyDescent="0.3">
      <c r="A3132" s="225" t="s">
        <v>922</v>
      </c>
      <c r="B3132" s="228" t="str">
        <f>INDEX(Orçamentária!A:B,MATCH(Composições!A3132,Orçamentária!A:A,0),2)</f>
        <v>Puxador H tubular em aço inox, comprimento 45cm, para portas de vidro temperado</v>
      </c>
      <c r="C3132" s="37"/>
      <c r="D3132" s="22" t="str">
        <f>TRIM(INDEX(Orçamentária!C:C,MATCH(Composições!A3132,Orçamentária!A:A,0),1))</f>
        <v>un</v>
      </c>
      <c r="E3132" s="23"/>
      <c r="F3132" s="38" t="s">
        <v>523</v>
      </c>
      <c r="G3132" s="24" t="str">
        <f t="shared" si="53"/>
        <v/>
      </c>
      <c r="H3132" s="25"/>
      <c r="I3132" s="26"/>
      <c r="J3132" s="141">
        <v>0</v>
      </c>
    </row>
    <row r="3133" spans="1:10" ht="15.75" hidden="1" thickBot="1" x14ac:dyDescent="0.3">
      <c r="A3133" s="226"/>
      <c r="B3133" s="244"/>
      <c r="C3133" s="28"/>
      <c r="D3133" s="28"/>
      <c r="E3133" s="29"/>
      <c r="F3133" s="39" t="s">
        <v>523</v>
      </c>
      <c r="G3133" s="30" t="str">
        <f t="shared" si="53"/>
        <v/>
      </c>
      <c r="H3133" s="31"/>
      <c r="I3133" s="27"/>
      <c r="J3133" s="141">
        <v>0</v>
      </c>
    </row>
    <row r="3134" spans="1:10" ht="15.75" hidden="1" thickBot="1" x14ac:dyDescent="0.3">
      <c r="A3134" s="226"/>
      <c r="B3134" s="244"/>
      <c r="C3134" s="32" t="s">
        <v>68</v>
      </c>
      <c r="D3134" s="32" t="s">
        <v>12</v>
      </c>
      <c r="E3134" s="33">
        <v>0.4</v>
      </c>
      <c r="F3134" s="30">
        <v>22.961500000000001</v>
      </c>
      <c r="G3134" s="30">
        <f t="shared" si="53"/>
        <v>9.1846000000000014</v>
      </c>
      <c r="H3134" s="35">
        <f>SUM(G3134:G3135)</f>
        <v>9.1846000000000014</v>
      </c>
      <c r="I3134" s="36"/>
      <c r="J3134" s="141">
        <v>0</v>
      </c>
    </row>
    <row r="3135" spans="1:10" ht="39" hidden="1" thickBot="1" x14ac:dyDescent="0.3">
      <c r="A3135" s="226"/>
      <c r="B3135" s="244"/>
      <c r="C3135" s="32" t="s">
        <v>923</v>
      </c>
      <c r="D3135" s="32" t="s">
        <v>20</v>
      </c>
      <c r="E3135" s="33">
        <v>1</v>
      </c>
      <c r="F3135" s="27" t="s">
        <v>523</v>
      </c>
      <c r="G3135" s="30" t="str">
        <f t="shared" si="53"/>
        <v/>
      </c>
      <c r="H3135" s="31"/>
      <c r="I3135" s="27"/>
      <c r="J3135" s="141">
        <v>0</v>
      </c>
    </row>
    <row r="3136" spans="1:10" ht="15.75" hidden="1" thickBot="1" x14ac:dyDescent="0.3">
      <c r="A3136" s="227"/>
      <c r="B3136" s="230"/>
      <c r="C3136" s="32"/>
      <c r="D3136" s="32"/>
      <c r="E3136" s="33"/>
      <c r="F3136" s="27" t="s">
        <v>523</v>
      </c>
      <c r="G3136" s="30" t="str">
        <f t="shared" si="53"/>
        <v/>
      </c>
      <c r="H3136" s="31"/>
      <c r="I3136" s="27"/>
      <c r="J3136" s="141">
        <v>0</v>
      </c>
    </row>
    <row r="3137" spans="1:10" ht="15.75" hidden="1" thickBot="1" x14ac:dyDescent="0.3">
      <c r="A3137" s="225" t="s">
        <v>924</v>
      </c>
      <c r="B3137" s="228" t="str">
        <f>INDEX(Orçamentária!A:B,MATCH(Composições!A3137,Orçamentária!A:A,0),2)</f>
        <v>Transporte de vidros</v>
      </c>
      <c r="C3137" s="37"/>
      <c r="D3137" s="22" t="str">
        <f>TRIM(INDEX(Orçamentária!C:C,MATCH(Composições!A3137,Orçamentária!A:A,0),1))</f>
        <v>m2 x km</v>
      </c>
      <c r="E3137" s="23"/>
      <c r="F3137" s="38" t="s">
        <v>523</v>
      </c>
      <c r="G3137" s="24" t="str">
        <f t="shared" si="53"/>
        <v/>
      </c>
      <c r="H3137" s="25"/>
      <c r="I3137" s="26"/>
      <c r="J3137" s="141">
        <v>0</v>
      </c>
    </row>
    <row r="3138" spans="1:10" ht="15.75" hidden="1" thickBot="1" x14ac:dyDescent="0.3">
      <c r="A3138" s="231"/>
      <c r="B3138" s="244"/>
      <c r="C3138" s="28"/>
      <c r="D3138" s="28"/>
      <c r="E3138" s="29"/>
      <c r="F3138" s="39" t="s">
        <v>523</v>
      </c>
      <c r="G3138" s="30" t="str">
        <f t="shared" si="53"/>
        <v/>
      </c>
      <c r="H3138" s="31"/>
      <c r="I3138" s="27"/>
      <c r="J3138" s="141">
        <v>0</v>
      </c>
    </row>
    <row r="3139" spans="1:10" ht="15.75" hidden="1" thickBot="1" x14ac:dyDescent="0.3">
      <c r="A3139" s="231"/>
      <c r="B3139" s="244"/>
      <c r="C3139" s="32" t="s">
        <v>23</v>
      </c>
      <c r="D3139" s="32" t="s">
        <v>12</v>
      </c>
      <c r="E3139" s="33">
        <v>2.9209999999999998</v>
      </c>
      <c r="F3139" s="30">
        <v>18.420500000000001</v>
      </c>
      <c r="G3139" s="30">
        <f t="shared" si="53"/>
        <v>53.8062805</v>
      </c>
      <c r="H3139" s="35">
        <f>SUM(G3139:G3139)</f>
        <v>53.8062805</v>
      </c>
      <c r="I3139" s="36"/>
      <c r="J3139" s="141">
        <v>0</v>
      </c>
    </row>
    <row r="3140" spans="1:10" ht="15.75" hidden="1" thickBot="1" x14ac:dyDescent="0.3">
      <c r="A3140" s="231"/>
      <c r="B3140" s="244"/>
      <c r="C3140" s="32"/>
      <c r="D3140" s="32"/>
      <c r="E3140" s="33"/>
      <c r="F3140" s="27" t="s">
        <v>523</v>
      </c>
      <c r="G3140" s="30" t="str">
        <f t="shared" si="53"/>
        <v/>
      </c>
      <c r="H3140" s="31"/>
      <c r="I3140" s="27"/>
      <c r="J3140" s="141">
        <v>0</v>
      </c>
    </row>
    <row r="3141" spans="1:10" ht="15.75" hidden="1" thickBot="1" x14ac:dyDescent="0.3">
      <c r="A3141" s="231"/>
      <c r="B3141" s="244"/>
      <c r="C3141" s="48" t="s">
        <v>894</v>
      </c>
      <c r="D3141" s="32"/>
      <c r="E3141" s="33"/>
      <c r="F3141" s="27" t="s">
        <v>523</v>
      </c>
      <c r="G3141" s="30" t="str">
        <f t="shared" si="53"/>
        <v/>
      </c>
      <c r="H3141" s="31"/>
      <c r="I3141" s="27"/>
      <c r="J3141" s="141">
        <v>0</v>
      </c>
    </row>
    <row r="3142" spans="1:10" ht="15.75" hidden="1" thickBot="1" x14ac:dyDescent="0.3">
      <c r="A3142" s="232"/>
      <c r="B3142" s="230"/>
      <c r="C3142" s="32"/>
      <c r="D3142" s="32"/>
      <c r="E3142" s="33"/>
      <c r="F3142" s="27" t="s">
        <v>523</v>
      </c>
      <c r="G3142" s="30" t="str">
        <f t="shared" ref="G3142:G3181" si="54">IF(ISNUMBER(F3142),E3142*F3142,"")</f>
        <v/>
      </c>
      <c r="H3142" s="31"/>
      <c r="I3142" s="27"/>
      <c r="J3142" s="141">
        <v>0</v>
      </c>
    </row>
    <row r="3143" spans="1:10" ht="15.75" hidden="1" thickBot="1" x14ac:dyDescent="0.3">
      <c r="A3143" s="225" t="s">
        <v>925</v>
      </c>
      <c r="B3143" s="228" t="str">
        <f>INDEX(Orçamentária!A:B,MATCH(Composições!A3143,Orçamentária!A:A,0),2)</f>
        <v>Vidro fantasia 4mm (canelado, martelado, pontilhado e mini-boreal)</v>
      </c>
      <c r="C3143" s="37"/>
      <c r="D3143" s="22" t="str">
        <f>TRIM(INDEX(Orçamentária!C:C,MATCH(Composições!A3143,Orçamentária!A:A,0),1))</f>
        <v>m2</v>
      </c>
      <c r="E3143" s="23"/>
      <c r="F3143" s="38" t="s">
        <v>523</v>
      </c>
      <c r="G3143" s="24" t="str">
        <f t="shared" si="54"/>
        <v/>
      </c>
      <c r="H3143" s="25"/>
      <c r="I3143" s="26"/>
      <c r="J3143" s="141">
        <v>0</v>
      </c>
    </row>
    <row r="3144" spans="1:10" ht="15.75" hidden="1" thickBot="1" x14ac:dyDescent="0.3">
      <c r="A3144" s="226"/>
      <c r="B3144" s="244"/>
      <c r="C3144" s="28"/>
      <c r="D3144" s="28"/>
      <c r="E3144" s="29"/>
      <c r="F3144" s="39" t="s">
        <v>523</v>
      </c>
      <c r="G3144" s="30" t="str">
        <f t="shared" si="54"/>
        <v/>
      </c>
      <c r="H3144" s="31"/>
      <c r="I3144" s="27"/>
      <c r="J3144" s="141">
        <v>0</v>
      </c>
    </row>
    <row r="3145" spans="1:10" ht="15.75" hidden="1" thickBot="1" x14ac:dyDescent="0.3">
      <c r="A3145" s="226"/>
      <c r="B3145" s="244"/>
      <c r="C3145" s="32" t="s">
        <v>68</v>
      </c>
      <c r="D3145" s="32" t="s">
        <v>12</v>
      </c>
      <c r="E3145" s="33">
        <v>1.5</v>
      </c>
      <c r="F3145" s="30">
        <v>22.961500000000001</v>
      </c>
      <c r="G3145" s="30">
        <f t="shared" si="54"/>
        <v>34.442250000000001</v>
      </c>
      <c r="H3145" s="35">
        <f>SUM(G3145:G3147)</f>
        <v>131.18074999999999</v>
      </c>
      <c r="I3145" s="36"/>
      <c r="J3145" s="141">
        <v>0</v>
      </c>
    </row>
    <row r="3146" spans="1:10" ht="15.75" hidden="1" thickBot="1" x14ac:dyDescent="0.3">
      <c r="A3146" s="226"/>
      <c r="B3146" s="244"/>
      <c r="C3146" s="32" t="s">
        <v>23</v>
      </c>
      <c r="D3146" s="32" t="s">
        <v>12</v>
      </c>
      <c r="E3146" s="33">
        <v>1</v>
      </c>
      <c r="F3146" s="30">
        <v>18.420500000000001</v>
      </c>
      <c r="G3146" s="30">
        <f t="shared" si="54"/>
        <v>18.420500000000001</v>
      </c>
      <c r="H3146" s="31"/>
      <c r="I3146" s="27"/>
      <c r="J3146" s="141">
        <v>0</v>
      </c>
    </row>
    <row r="3147" spans="1:10" ht="15.75" hidden="1" thickBot="1" x14ac:dyDescent="0.3">
      <c r="A3147" s="226"/>
      <c r="B3147" s="244"/>
      <c r="C3147" s="32" t="s">
        <v>926</v>
      </c>
      <c r="D3147" s="32" t="s">
        <v>95</v>
      </c>
      <c r="E3147" s="33">
        <v>1</v>
      </c>
      <c r="F3147" s="27">
        <v>78.317999999999998</v>
      </c>
      <c r="G3147" s="30">
        <f t="shared" si="54"/>
        <v>78.317999999999998</v>
      </c>
      <c r="H3147" s="31"/>
      <c r="I3147" s="27"/>
      <c r="J3147" s="141">
        <v>0</v>
      </c>
    </row>
    <row r="3148" spans="1:10" ht="15.75" hidden="1" thickBot="1" x14ac:dyDescent="0.3">
      <c r="A3148" s="227"/>
      <c r="B3148" s="230"/>
      <c r="C3148" s="32"/>
      <c r="D3148" s="32"/>
      <c r="E3148" s="33"/>
      <c r="F3148" s="27" t="s">
        <v>523</v>
      </c>
      <c r="G3148" s="30" t="str">
        <f t="shared" si="54"/>
        <v/>
      </c>
      <c r="H3148" s="31"/>
      <c r="I3148" s="27"/>
      <c r="J3148" s="141">
        <v>0</v>
      </c>
    </row>
    <row r="3149" spans="1:10" ht="15.75" hidden="1" thickBot="1" x14ac:dyDescent="0.3">
      <c r="A3149" s="225" t="s">
        <v>927</v>
      </c>
      <c r="B3149" s="228" t="str">
        <f>INDEX(Orçamentária!A:B,MATCH(Composições!A3149,Orçamentária!A:A,0),2)</f>
        <v>Vidro fumê/bronze 5mm</v>
      </c>
      <c r="C3149" s="37"/>
      <c r="D3149" s="22" t="str">
        <f>TRIM(INDEX(Orçamentária!C:C,MATCH(Composições!A3149,Orçamentária!A:A,0),1))</f>
        <v>m2</v>
      </c>
      <c r="E3149" s="23"/>
      <c r="F3149" s="38" t="s">
        <v>523</v>
      </c>
      <c r="G3149" s="24" t="str">
        <f t="shared" si="54"/>
        <v/>
      </c>
      <c r="H3149" s="25"/>
      <c r="I3149" s="26"/>
      <c r="J3149" s="141">
        <v>0</v>
      </c>
    </row>
    <row r="3150" spans="1:10" ht="15.75" hidden="1" thickBot="1" x14ac:dyDescent="0.3">
      <c r="A3150" s="226"/>
      <c r="B3150" s="244"/>
      <c r="C3150" s="28"/>
      <c r="D3150" s="28"/>
      <c r="E3150" s="29"/>
      <c r="F3150" s="39" t="s">
        <v>523</v>
      </c>
      <c r="G3150" s="30" t="str">
        <f t="shared" si="54"/>
        <v/>
      </c>
      <c r="H3150" s="31"/>
      <c r="I3150" s="27"/>
      <c r="J3150" s="141">
        <v>0</v>
      </c>
    </row>
    <row r="3151" spans="1:10" ht="15.75" hidden="1" thickBot="1" x14ac:dyDescent="0.3">
      <c r="A3151" s="226"/>
      <c r="B3151" s="244"/>
      <c r="C3151" s="32" t="s">
        <v>68</v>
      </c>
      <c r="D3151" s="32" t="s">
        <v>12</v>
      </c>
      <c r="E3151" s="33">
        <v>1.5</v>
      </c>
      <c r="F3151" s="30">
        <v>22.961500000000001</v>
      </c>
      <c r="G3151" s="30">
        <f t="shared" si="54"/>
        <v>34.442250000000001</v>
      </c>
      <c r="H3151" s="35">
        <f>SUM(G3151:G3153)</f>
        <v>188.12375</v>
      </c>
      <c r="I3151" s="36"/>
      <c r="J3151" s="141">
        <v>0</v>
      </c>
    </row>
    <row r="3152" spans="1:10" ht="15.75" hidden="1" thickBot="1" x14ac:dyDescent="0.3">
      <c r="A3152" s="226"/>
      <c r="B3152" s="244"/>
      <c r="C3152" s="32" t="s">
        <v>23</v>
      </c>
      <c r="D3152" s="32" t="s">
        <v>12</v>
      </c>
      <c r="E3152" s="33">
        <v>1</v>
      </c>
      <c r="F3152" s="30">
        <v>18.420500000000001</v>
      </c>
      <c r="G3152" s="30">
        <f t="shared" si="54"/>
        <v>18.420500000000001</v>
      </c>
      <c r="H3152" s="31"/>
      <c r="I3152" s="27"/>
      <c r="J3152" s="141">
        <v>0</v>
      </c>
    </row>
    <row r="3153" spans="1:10" ht="15.75" hidden="1" thickBot="1" x14ac:dyDescent="0.3">
      <c r="A3153" s="226"/>
      <c r="B3153" s="244"/>
      <c r="C3153" s="32" t="s">
        <v>928</v>
      </c>
      <c r="D3153" s="32" t="s">
        <v>95</v>
      </c>
      <c r="E3153" s="33">
        <v>1</v>
      </c>
      <c r="F3153" s="27">
        <v>135.261</v>
      </c>
      <c r="G3153" s="30">
        <f t="shared" si="54"/>
        <v>135.261</v>
      </c>
      <c r="H3153" s="31"/>
      <c r="I3153" s="27"/>
      <c r="J3153" s="141">
        <v>0</v>
      </c>
    </row>
    <row r="3154" spans="1:10" ht="15.75" hidden="1" thickBot="1" x14ac:dyDescent="0.3">
      <c r="A3154" s="227"/>
      <c r="B3154" s="230"/>
      <c r="C3154" s="32"/>
      <c r="D3154" s="32"/>
      <c r="E3154" s="33"/>
      <c r="F3154" s="27" t="s">
        <v>523</v>
      </c>
      <c r="G3154" s="30" t="str">
        <f t="shared" si="54"/>
        <v/>
      </c>
      <c r="H3154" s="31"/>
      <c r="I3154" s="27"/>
      <c r="J3154" s="141">
        <v>0</v>
      </c>
    </row>
    <row r="3155" spans="1:10" ht="15.75" hidden="1" thickBot="1" x14ac:dyDescent="0.3">
      <c r="A3155" s="225" t="s">
        <v>929</v>
      </c>
      <c r="B3155" s="228" t="str">
        <f>INDEX(Orçamentária!A:B,MATCH(Composições!A3155,Orçamentária!A:A,0),2)</f>
        <v>Recuperação de massa em esquadria metálica</v>
      </c>
      <c r="C3155" s="37"/>
      <c r="D3155" s="22" t="str">
        <f>TRIM(INDEX(Orçamentária!C:C,MATCH(Composições!A3155,Orçamentária!A:A,0),1))</f>
        <v>m</v>
      </c>
      <c r="E3155" s="23"/>
      <c r="F3155" s="38" t="s">
        <v>523</v>
      </c>
      <c r="G3155" s="24" t="str">
        <f t="shared" si="54"/>
        <v/>
      </c>
      <c r="H3155" s="25"/>
      <c r="I3155" s="26"/>
      <c r="J3155" s="141">
        <v>0</v>
      </c>
    </row>
    <row r="3156" spans="1:10" ht="15.75" hidden="1" thickBot="1" x14ac:dyDescent="0.3">
      <c r="A3156" s="226"/>
      <c r="B3156" s="244"/>
      <c r="C3156" s="28"/>
      <c r="D3156" s="28"/>
      <c r="E3156" s="29"/>
      <c r="F3156" s="39" t="s">
        <v>523</v>
      </c>
      <c r="G3156" s="30" t="str">
        <f t="shared" si="54"/>
        <v/>
      </c>
      <c r="H3156" s="31"/>
      <c r="I3156" s="27"/>
      <c r="J3156" s="141">
        <v>0</v>
      </c>
    </row>
    <row r="3157" spans="1:10" ht="15.75" hidden="1" thickBot="1" x14ac:dyDescent="0.3">
      <c r="A3157" s="226"/>
      <c r="B3157" s="244"/>
      <c r="C3157" s="32" t="s">
        <v>68</v>
      </c>
      <c r="D3157" s="46" t="s">
        <v>12</v>
      </c>
      <c r="E3157" s="33">
        <v>0.5</v>
      </c>
      <c r="F3157" s="30">
        <v>22.961500000000001</v>
      </c>
      <c r="G3157" s="30">
        <f t="shared" si="54"/>
        <v>11.48075</v>
      </c>
      <c r="H3157" s="35">
        <f>SUM(G3157:G3159)</f>
        <v>28.036875000000002</v>
      </c>
      <c r="I3157" s="36"/>
      <c r="J3157" s="141">
        <v>0</v>
      </c>
    </row>
    <row r="3158" spans="1:10" ht="15.75" hidden="1" thickBot="1" x14ac:dyDescent="0.3">
      <c r="A3158" s="226"/>
      <c r="B3158" s="244"/>
      <c r="C3158" s="32" t="s">
        <v>23</v>
      </c>
      <c r="D3158" s="32" t="s">
        <v>12</v>
      </c>
      <c r="E3158" s="33">
        <v>0.25</v>
      </c>
      <c r="F3158" s="30">
        <v>18.420500000000001</v>
      </c>
      <c r="G3158" s="30">
        <f t="shared" si="54"/>
        <v>4.6051250000000001</v>
      </c>
      <c r="H3158" s="31"/>
      <c r="I3158" s="27"/>
      <c r="J3158" s="141">
        <v>0</v>
      </c>
    </row>
    <row r="3159" spans="1:10" ht="15.75" hidden="1" thickBot="1" x14ac:dyDescent="0.3">
      <c r="A3159" s="226"/>
      <c r="B3159" s="244"/>
      <c r="C3159" s="32" t="s">
        <v>289</v>
      </c>
      <c r="D3159" s="32" t="s">
        <v>797</v>
      </c>
      <c r="E3159" s="33">
        <v>2</v>
      </c>
      <c r="F3159" s="27">
        <v>5.9754999999999994</v>
      </c>
      <c r="G3159" s="30">
        <f t="shared" si="54"/>
        <v>11.950999999999999</v>
      </c>
      <c r="H3159" s="31"/>
      <c r="I3159" s="27"/>
      <c r="J3159" s="141">
        <v>0</v>
      </c>
    </row>
    <row r="3160" spans="1:10" ht="15.75" hidden="1" thickBot="1" x14ac:dyDescent="0.3">
      <c r="A3160" s="227"/>
      <c r="B3160" s="230"/>
      <c r="C3160" s="32"/>
      <c r="D3160" s="32"/>
      <c r="E3160" s="33"/>
      <c r="F3160" s="27" t="s">
        <v>523</v>
      </c>
      <c r="G3160" s="30" t="str">
        <f t="shared" si="54"/>
        <v/>
      </c>
      <c r="H3160" s="31"/>
      <c r="I3160" s="27"/>
      <c r="J3160" s="141">
        <v>0</v>
      </c>
    </row>
    <row r="3161" spans="1:10" ht="15.75" hidden="1" thickBot="1" x14ac:dyDescent="0.3">
      <c r="A3161" s="225" t="s">
        <v>930</v>
      </c>
      <c r="B3161" s="228" t="str">
        <f>INDEX(Orçamentária!A:B,MATCH(Composições!A3161,Orçamentária!A:A,0),2)</f>
        <v>Instalação de espelho reaproveitado</v>
      </c>
      <c r="C3161" s="37"/>
      <c r="D3161" s="22" t="str">
        <f>TRIM(INDEX(Orçamentária!C:C,MATCH(Composições!A3161,Orçamentária!A:A,0),1))</f>
        <v>m2</v>
      </c>
      <c r="E3161" s="23"/>
      <c r="F3161" s="38" t="s">
        <v>523</v>
      </c>
      <c r="G3161" s="24" t="str">
        <f t="shared" si="54"/>
        <v/>
      </c>
      <c r="H3161" s="25"/>
      <c r="I3161" s="26"/>
      <c r="J3161" s="141">
        <v>0</v>
      </c>
    </row>
    <row r="3162" spans="1:10" ht="15.75" hidden="1" thickBot="1" x14ac:dyDescent="0.3">
      <c r="A3162" s="226"/>
      <c r="B3162" s="244"/>
      <c r="C3162" s="28"/>
      <c r="D3162" s="28"/>
      <c r="E3162" s="29"/>
      <c r="F3162" s="39" t="s">
        <v>523</v>
      </c>
      <c r="G3162" s="30" t="str">
        <f t="shared" si="54"/>
        <v/>
      </c>
      <c r="H3162" s="31"/>
      <c r="I3162" s="27"/>
      <c r="J3162" s="141">
        <v>0</v>
      </c>
    </row>
    <row r="3163" spans="1:10" ht="15.75" hidden="1" thickBot="1" x14ac:dyDescent="0.3">
      <c r="A3163" s="226"/>
      <c r="B3163" s="244"/>
      <c r="C3163" s="32" t="s">
        <v>23</v>
      </c>
      <c r="D3163" s="32" t="s">
        <v>12</v>
      </c>
      <c r="E3163" s="33">
        <v>1</v>
      </c>
      <c r="F3163" s="30">
        <v>18.420500000000001</v>
      </c>
      <c r="G3163" s="30">
        <f t="shared" si="54"/>
        <v>18.420500000000001</v>
      </c>
      <c r="H3163" s="35">
        <f>SUM(G3163:G3164)</f>
        <v>52.862750000000005</v>
      </c>
      <c r="I3163" s="36"/>
      <c r="J3163" s="141">
        <v>0</v>
      </c>
    </row>
    <row r="3164" spans="1:10" ht="15.75" hidden="1" thickBot="1" x14ac:dyDescent="0.3">
      <c r="A3164" s="226"/>
      <c r="B3164" s="244"/>
      <c r="C3164" s="32" t="s">
        <v>68</v>
      </c>
      <c r="D3164" s="32" t="s">
        <v>12</v>
      </c>
      <c r="E3164" s="33">
        <v>1.5</v>
      </c>
      <c r="F3164" s="30">
        <v>22.961500000000001</v>
      </c>
      <c r="G3164" s="30">
        <f t="shared" si="54"/>
        <v>34.442250000000001</v>
      </c>
      <c r="H3164" s="31"/>
      <c r="I3164" s="27"/>
      <c r="J3164" s="141">
        <v>0</v>
      </c>
    </row>
    <row r="3165" spans="1:10" ht="15.75" hidden="1" thickBot="1" x14ac:dyDescent="0.3">
      <c r="A3165" s="227"/>
      <c r="B3165" s="230"/>
      <c r="C3165" s="32"/>
      <c r="D3165" s="32"/>
      <c r="E3165" s="33"/>
      <c r="F3165" s="27" t="s">
        <v>523</v>
      </c>
      <c r="G3165" s="30" t="str">
        <f t="shared" si="54"/>
        <v/>
      </c>
      <c r="H3165" s="31"/>
      <c r="I3165" s="27"/>
      <c r="J3165" s="141">
        <v>0</v>
      </c>
    </row>
    <row r="3166" spans="1:10" ht="15.75" hidden="1" thickBot="1" x14ac:dyDescent="0.3">
      <c r="A3166" s="225" t="s">
        <v>932</v>
      </c>
      <c r="B3166" s="228" t="str">
        <f>INDEX(Orçamentária!A:B,MATCH(Composições!A3166,Orçamentária!A:A,0),2)</f>
        <v>Espelho fumê/bronze 4mm lapidado</v>
      </c>
      <c r="C3166" s="37"/>
      <c r="D3166" s="22" t="str">
        <f>TRIM(INDEX(Orçamentária!C:C,MATCH(Composições!A3166,Orçamentária!A:A,0),1))</f>
        <v>m2</v>
      </c>
      <c r="E3166" s="23"/>
      <c r="F3166" s="38" t="s">
        <v>523</v>
      </c>
      <c r="G3166" s="24" t="str">
        <f t="shared" si="54"/>
        <v/>
      </c>
      <c r="H3166" s="25"/>
      <c r="I3166" s="26"/>
      <c r="J3166" s="141">
        <v>0</v>
      </c>
    </row>
    <row r="3167" spans="1:10" ht="15.75" hidden="1" thickBot="1" x14ac:dyDescent="0.3">
      <c r="A3167" s="226"/>
      <c r="B3167" s="244"/>
      <c r="C3167" s="28"/>
      <c r="D3167" s="28"/>
      <c r="E3167" s="29"/>
      <c r="F3167" s="39" t="s">
        <v>523</v>
      </c>
      <c r="G3167" s="30" t="str">
        <f t="shared" si="54"/>
        <v/>
      </c>
      <c r="H3167" s="31"/>
      <c r="I3167" s="27"/>
      <c r="J3167" s="141">
        <v>0</v>
      </c>
    </row>
    <row r="3168" spans="1:10" ht="15.75" hidden="1" thickBot="1" x14ac:dyDescent="0.3">
      <c r="A3168" s="226"/>
      <c r="B3168" s="244"/>
      <c r="C3168" s="32" t="s">
        <v>933</v>
      </c>
      <c r="D3168" s="43" t="s">
        <v>95</v>
      </c>
      <c r="E3168" s="33">
        <v>1</v>
      </c>
      <c r="F3168" s="30" t="s">
        <v>523</v>
      </c>
      <c r="G3168" s="30" t="str">
        <f t="shared" si="54"/>
        <v/>
      </c>
      <c r="H3168" s="35">
        <f>SUM(G3168:G3170)</f>
        <v>52.862750000000005</v>
      </c>
      <c r="I3168" s="36"/>
      <c r="J3168" s="141">
        <v>0</v>
      </c>
    </row>
    <row r="3169" spans="1:10" ht="15.75" hidden="1" thickBot="1" x14ac:dyDescent="0.3">
      <c r="A3169" s="226"/>
      <c r="B3169" s="244"/>
      <c r="C3169" s="32" t="s">
        <v>23</v>
      </c>
      <c r="D3169" s="43" t="s">
        <v>12</v>
      </c>
      <c r="E3169" s="33">
        <v>1</v>
      </c>
      <c r="F3169" s="27">
        <v>18.420500000000001</v>
      </c>
      <c r="G3169" s="30">
        <f t="shared" si="54"/>
        <v>18.420500000000001</v>
      </c>
      <c r="H3169" s="31"/>
      <c r="I3169" s="27"/>
      <c r="J3169" s="141">
        <v>0</v>
      </c>
    </row>
    <row r="3170" spans="1:10" ht="15.75" hidden="1" thickBot="1" x14ac:dyDescent="0.3">
      <c r="A3170" s="226"/>
      <c r="B3170" s="244"/>
      <c r="C3170" s="32" t="s">
        <v>68</v>
      </c>
      <c r="D3170" s="43" t="s">
        <v>12</v>
      </c>
      <c r="E3170" s="33">
        <v>1.5</v>
      </c>
      <c r="F3170" s="27">
        <v>22.961500000000001</v>
      </c>
      <c r="G3170" s="30">
        <f t="shared" si="54"/>
        <v>34.442250000000001</v>
      </c>
      <c r="H3170" s="31"/>
      <c r="I3170" s="27"/>
      <c r="J3170" s="141">
        <v>0</v>
      </c>
    </row>
    <row r="3171" spans="1:10" ht="15.75" hidden="1" thickBot="1" x14ac:dyDescent="0.3">
      <c r="A3171" s="227"/>
      <c r="B3171" s="230"/>
      <c r="C3171" s="32"/>
      <c r="D3171" s="32"/>
      <c r="E3171" s="33"/>
      <c r="F3171" s="27" t="s">
        <v>523</v>
      </c>
      <c r="G3171" s="30" t="str">
        <f t="shared" si="54"/>
        <v/>
      </c>
      <c r="H3171" s="31"/>
      <c r="I3171" s="27"/>
      <c r="J3171" s="141">
        <v>0</v>
      </c>
    </row>
    <row r="3172" spans="1:10" ht="15.75" hidden="1" thickBot="1" x14ac:dyDescent="0.3">
      <c r="A3172" s="225" t="s">
        <v>934</v>
      </c>
      <c r="B3172" s="228" t="str">
        <f>INDEX(Orçamentária!A:B,MATCH(Composições!A3172,Orçamentária!A:A,0),2)</f>
        <v>Finesson (parafuso de fixação francês)</v>
      </c>
      <c r="C3172" s="37"/>
      <c r="D3172" s="22" t="str">
        <f>TRIM(INDEX(Orçamentária!C:C,MATCH(Composições!A3172,Orçamentária!A:A,0),1))</f>
        <v>un</v>
      </c>
      <c r="E3172" s="23"/>
      <c r="F3172" s="38" t="s">
        <v>523</v>
      </c>
      <c r="G3172" s="24" t="str">
        <f t="shared" si="54"/>
        <v/>
      </c>
      <c r="H3172" s="25"/>
      <c r="I3172" s="26"/>
      <c r="J3172" s="141">
        <v>0</v>
      </c>
    </row>
    <row r="3173" spans="1:10" ht="15.75" hidden="1" thickBot="1" x14ac:dyDescent="0.3">
      <c r="A3173" s="226"/>
      <c r="B3173" s="244"/>
      <c r="C3173" s="28"/>
      <c r="D3173" s="28"/>
      <c r="E3173" s="29"/>
      <c r="F3173" s="39" t="s">
        <v>523</v>
      </c>
      <c r="G3173" s="30" t="str">
        <f t="shared" si="54"/>
        <v/>
      </c>
      <c r="H3173" s="31"/>
      <c r="I3173" s="27"/>
      <c r="J3173" s="141">
        <v>0</v>
      </c>
    </row>
    <row r="3174" spans="1:10" ht="15.75" hidden="1" thickBot="1" x14ac:dyDescent="0.3">
      <c r="A3174" s="226"/>
      <c r="B3174" s="244"/>
      <c r="C3174" s="32" t="s">
        <v>68</v>
      </c>
      <c r="D3174" s="32" t="s">
        <v>12</v>
      </c>
      <c r="E3174" s="33">
        <v>0.1</v>
      </c>
      <c r="F3174" s="30">
        <v>22.961500000000001</v>
      </c>
      <c r="G3174" s="30">
        <f t="shared" si="54"/>
        <v>2.2961500000000004</v>
      </c>
      <c r="H3174" s="35">
        <f>SUM(G3174:G3175)</f>
        <v>7.9201499999999996</v>
      </c>
      <c r="I3174" s="36"/>
      <c r="J3174" s="141">
        <v>0</v>
      </c>
    </row>
    <row r="3175" spans="1:10" ht="26.25" hidden="1" thickBot="1" x14ac:dyDescent="0.3">
      <c r="A3175" s="226"/>
      <c r="B3175" s="244"/>
      <c r="C3175" s="32" t="s">
        <v>931</v>
      </c>
      <c r="D3175" s="32" t="s">
        <v>20</v>
      </c>
      <c r="E3175" s="33">
        <v>1</v>
      </c>
      <c r="F3175" s="27">
        <v>5.6239999999999997</v>
      </c>
      <c r="G3175" s="30">
        <f t="shared" si="54"/>
        <v>5.6239999999999997</v>
      </c>
      <c r="H3175" s="31"/>
      <c r="I3175" s="27"/>
      <c r="J3175" s="141">
        <v>0</v>
      </c>
    </row>
    <row r="3176" spans="1:10" ht="15.75" hidden="1" thickBot="1" x14ac:dyDescent="0.3">
      <c r="A3176" s="227"/>
      <c r="B3176" s="230"/>
      <c r="C3176" s="32"/>
      <c r="D3176" s="32"/>
      <c r="E3176" s="33"/>
      <c r="F3176" s="27" t="s">
        <v>523</v>
      </c>
      <c r="G3176" s="30" t="str">
        <f t="shared" si="54"/>
        <v/>
      </c>
      <c r="H3176" s="31"/>
      <c r="I3176" s="27"/>
      <c r="J3176" s="141">
        <v>0</v>
      </c>
    </row>
    <row r="3177" spans="1:10" ht="15.75" hidden="1" thickBot="1" x14ac:dyDescent="0.3">
      <c r="A3177" s="225" t="s">
        <v>935</v>
      </c>
      <c r="B3177" s="228" t="str">
        <f>INDEX(Orçamentária!A:B,MATCH(Composições!A3177,Orçamentária!A:A,0),2)</f>
        <v>Graute industrializado, 50 MPa ≤ fck ≤ 60 MPa</v>
      </c>
      <c r="C3177" s="37"/>
      <c r="D3177" s="22" t="str">
        <f>TRIM(INDEX(Orçamentária!C:C,MATCH(Composições!A3177,Orçamentária!A:A,0),1))</f>
        <v>m3</v>
      </c>
      <c r="E3177" s="23"/>
      <c r="F3177" s="38" t="s">
        <v>523</v>
      </c>
      <c r="G3177" s="24" t="str">
        <f t="shared" si="54"/>
        <v/>
      </c>
      <c r="H3177" s="25"/>
      <c r="I3177" s="26"/>
      <c r="J3177" s="141">
        <v>0</v>
      </c>
    </row>
    <row r="3178" spans="1:10" ht="15.75" hidden="1" thickBot="1" x14ac:dyDescent="0.3">
      <c r="A3178" s="226"/>
      <c r="B3178" s="244"/>
      <c r="C3178" s="28"/>
      <c r="D3178" s="28"/>
      <c r="E3178" s="29"/>
      <c r="F3178" s="39" t="s">
        <v>523</v>
      </c>
      <c r="G3178" s="30" t="str">
        <f t="shared" si="54"/>
        <v/>
      </c>
      <c r="H3178" s="31"/>
      <c r="I3178" s="27"/>
      <c r="J3178" s="141">
        <v>0</v>
      </c>
    </row>
    <row r="3179" spans="1:10" ht="15.75" hidden="1" thickBot="1" x14ac:dyDescent="0.3">
      <c r="A3179" s="226"/>
      <c r="B3179" s="244"/>
      <c r="C3179" s="32" t="s">
        <v>713</v>
      </c>
      <c r="D3179" s="43" t="s">
        <v>705</v>
      </c>
      <c r="E3179" s="33">
        <v>4.8468999999999998</v>
      </c>
      <c r="F3179" s="27">
        <v>24.889999999999997</v>
      </c>
      <c r="G3179" s="30">
        <f t="shared" si="54"/>
        <v>120.63934099999997</v>
      </c>
      <c r="H3179" s="35">
        <f>SUM(G3179:G3181)</f>
        <v>4046.6615026499999</v>
      </c>
      <c r="I3179" s="36"/>
      <c r="J3179" s="141">
        <v>0</v>
      </c>
    </row>
    <row r="3180" spans="1:10" ht="15.75" hidden="1" thickBot="1" x14ac:dyDescent="0.3">
      <c r="A3180" s="226"/>
      <c r="B3180" s="244"/>
      <c r="C3180" s="32" t="s">
        <v>706</v>
      </c>
      <c r="D3180" s="43" t="s">
        <v>705</v>
      </c>
      <c r="E3180" s="33">
        <v>3.2313000000000001</v>
      </c>
      <c r="F3180" s="27">
        <v>18.420500000000001</v>
      </c>
      <c r="G3180" s="30">
        <f t="shared" si="54"/>
        <v>59.522161650000001</v>
      </c>
      <c r="H3180" s="31"/>
      <c r="I3180" s="27"/>
      <c r="J3180" s="141">
        <v>0</v>
      </c>
    </row>
    <row r="3181" spans="1:10" ht="15.75" hidden="1" thickBot="1" x14ac:dyDescent="0.3">
      <c r="A3181" s="226"/>
      <c r="B3181" s="244"/>
      <c r="C3181" s="32" t="s">
        <v>936</v>
      </c>
      <c r="D3181" s="43" t="s">
        <v>901</v>
      </c>
      <c r="E3181" s="33">
        <v>2200</v>
      </c>
      <c r="F3181" s="27">
        <v>1.7575000000000001</v>
      </c>
      <c r="G3181" s="30">
        <f t="shared" si="54"/>
        <v>3866.5</v>
      </c>
      <c r="H3181" s="31"/>
      <c r="I3181" s="27"/>
      <c r="J3181" s="141">
        <v>0</v>
      </c>
    </row>
    <row r="3182" spans="1:10" ht="15.75" hidden="1" thickBot="1" x14ac:dyDescent="0.3">
      <c r="A3182" s="226"/>
      <c r="B3182" s="244"/>
      <c r="C3182" s="32"/>
      <c r="D3182" s="43"/>
      <c r="E3182" s="33"/>
      <c r="F3182" s="27" t="s">
        <v>523</v>
      </c>
      <c r="G3182" s="30"/>
      <c r="H3182" s="31"/>
      <c r="I3182" s="27"/>
      <c r="J3182" s="141">
        <v>0</v>
      </c>
    </row>
    <row r="3183" spans="1:10" ht="26.25" hidden="1" thickBot="1" x14ac:dyDescent="0.3">
      <c r="A3183" s="226"/>
      <c r="B3183" s="244"/>
      <c r="C3183" s="44" t="s">
        <v>6715</v>
      </c>
      <c r="D3183" s="43"/>
      <c r="E3183" s="33"/>
      <c r="F3183" s="27" t="s">
        <v>523</v>
      </c>
      <c r="G3183" s="30"/>
      <c r="H3183" s="31"/>
      <c r="I3183" s="27"/>
      <c r="J3183" s="141">
        <v>0</v>
      </c>
    </row>
    <row r="3184" spans="1:10" ht="30.75" hidden="1" thickBot="1" x14ac:dyDescent="0.3">
      <c r="A3184" s="226"/>
      <c r="B3184" s="244"/>
      <c r="C3184" s="160" t="s">
        <v>6716</v>
      </c>
      <c r="D3184" s="43"/>
      <c r="E3184" s="33"/>
      <c r="F3184" s="27" t="s">
        <v>523</v>
      </c>
      <c r="G3184" s="30"/>
      <c r="H3184" s="31"/>
      <c r="I3184" s="27"/>
      <c r="J3184" s="141">
        <v>0</v>
      </c>
    </row>
    <row r="3185" spans="1:10" ht="15.75" hidden="1" thickBot="1" x14ac:dyDescent="0.3">
      <c r="A3185" s="227"/>
      <c r="B3185" s="230"/>
      <c r="C3185" s="32"/>
      <c r="D3185" s="32"/>
      <c r="E3185" s="33"/>
      <c r="F3185" s="27" t="s">
        <v>523</v>
      </c>
      <c r="G3185" s="30" t="str">
        <f t="shared" ref="G3185:G3248" si="55">IF(ISNUMBER(F3185),E3185*F3185,"")</f>
        <v/>
      </c>
      <c r="H3185" s="31"/>
      <c r="I3185" s="27"/>
      <c r="J3185" s="141">
        <v>0</v>
      </c>
    </row>
    <row r="3186" spans="1:10" ht="15.75" hidden="1" thickBot="1" x14ac:dyDescent="0.3">
      <c r="A3186" s="225" t="s">
        <v>937</v>
      </c>
      <c r="B3186" s="228" t="str">
        <f>INDEX(Orçamentária!A:B,MATCH(Composições!A3186,Orçamentária!A:A,0),2)</f>
        <v>Armação de aço CA-50 bitolas de 10,0 mm a 12,5 mm</v>
      </c>
      <c r="C3186" s="37"/>
      <c r="D3186" s="22" t="str">
        <f>TRIM(INDEX(Orçamentária!C:C,MATCH(Composições!A3186,Orçamentária!A:A,0),1))</f>
        <v>kg</v>
      </c>
      <c r="E3186" s="23"/>
      <c r="F3186" s="38" t="s">
        <v>523</v>
      </c>
      <c r="G3186" s="24" t="str">
        <f t="shared" si="55"/>
        <v/>
      </c>
      <c r="H3186" s="25"/>
      <c r="I3186" s="26"/>
      <c r="J3186" s="141">
        <v>0</v>
      </c>
    </row>
    <row r="3187" spans="1:10" ht="15.75" hidden="1" thickBot="1" x14ac:dyDescent="0.3">
      <c r="A3187" s="226"/>
      <c r="B3187" s="244"/>
      <c r="C3187" s="28"/>
      <c r="D3187" s="28"/>
      <c r="E3187" s="29"/>
      <c r="F3187" s="39" t="s">
        <v>523</v>
      </c>
      <c r="G3187" s="30" t="str">
        <f t="shared" si="55"/>
        <v/>
      </c>
      <c r="H3187" s="31"/>
      <c r="I3187" s="27"/>
      <c r="J3187" s="141">
        <v>0</v>
      </c>
    </row>
    <row r="3188" spans="1:10" ht="26.25" hidden="1" thickBot="1" x14ac:dyDescent="0.3">
      <c r="A3188" s="226"/>
      <c r="B3188" s="244"/>
      <c r="C3188" s="32" t="s">
        <v>3513</v>
      </c>
      <c r="D3188" s="43" t="s">
        <v>901</v>
      </c>
      <c r="E3188" s="33">
        <v>2.5000000000000001E-2</v>
      </c>
      <c r="F3188" s="27">
        <v>22.61</v>
      </c>
      <c r="G3188" s="30">
        <f t="shared" si="55"/>
        <v>0.56525000000000003</v>
      </c>
      <c r="H3188" s="35">
        <f>SUM(G3188:G3192)</f>
        <v>2.5788890000000002</v>
      </c>
      <c r="I3188" s="36"/>
      <c r="J3188" s="141">
        <v>0</v>
      </c>
    </row>
    <row r="3189" spans="1:10" ht="39" hidden="1" thickBot="1" x14ac:dyDescent="0.3">
      <c r="A3189" s="226"/>
      <c r="B3189" s="244"/>
      <c r="C3189" s="32" t="s">
        <v>902</v>
      </c>
      <c r="D3189" s="43" t="s">
        <v>280</v>
      </c>
      <c r="E3189" s="33">
        <v>0.36699999999999999</v>
      </c>
      <c r="F3189" s="27">
        <v>0.20899999999999999</v>
      </c>
      <c r="G3189" s="30">
        <f t="shared" si="55"/>
        <v>7.6702999999999993E-2</v>
      </c>
      <c r="H3189" s="31"/>
      <c r="I3189" s="27"/>
      <c r="J3189" s="141">
        <v>0</v>
      </c>
    </row>
    <row r="3190" spans="1:10" ht="15.75" hidden="1" thickBot="1" x14ac:dyDescent="0.3">
      <c r="A3190" s="226"/>
      <c r="B3190" s="244"/>
      <c r="C3190" s="32" t="s">
        <v>903</v>
      </c>
      <c r="D3190" s="43" t="s">
        <v>705</v>
      </c>
      <c r="E3190" s="33">
        <v>1.14E-2</v>
      </c>
      <c r="F3190" s="27">
        <v>18.3825</v>
      </c>
      <c r="G3190" s="30">
        <f t="shared" si="55"/>
        <v>0.20956050000000001</v>
      </c>
      <c r="H3190" s="31"/>
      <c r="I3190" s="27"/>
      <c r="J3190" s="141">
        <v>0</v>
      </c>
    </row>
    <row r="3191" spans="1:10" ht="15.75" hidden="1" thickBot="1" x14ac:dyDescent="0.3">
      <c r="A3191" s="226"/>
      <c r="B3191" s="244"/>
      <c r="C3191" s="32" t="s">
        <v>904</v>
      </c>
      <c r="D3191" s="43" t="s">
        <v>705</v>
      </c>
      <c r="E3191" s="33">
        <v>6.9800000000000001E-2</v>
      </c>
      <c r="F3191" s="27">
        <v>24.747499999999999</v>
      </c>
      <c r="G3191" s="30">
        <f t="shared" si="55"/>
        <v>1.7273755</v>
      </c>
      <c r="H3191" s="31"/>
      <c r="I3191" s="27"/>
      <c r="J3191" s="141">
        <v>0</v>
      </c>
    </row>
    <row r="3192" spans="1:10" ht="26.25" hidden="1" thickBot="1" x14ac:dyDescent="0.3">
      <c r="A3192" s="226"/>
      <c r="B3192" s="244"/>
      <c r="C3192" s="32" t="s">
        <v>938</v>
      </c>
      <c r="D3192" s="43" t="s">
        <v>901</v>
      </c>
      <c r="E3192" s="33">
        <v>1</v>
      </c>
      <c r="F3192" s="27" t="s">
        <v>523</v>
      </c>
      <c r="G3192" s="30" t="str">
        <f t="shared" si="55"/>
        <v/>
      </c>
      <c r="H3192" s="31"/>
      <c r="I3192" s="27"/>
      <c r="J3192" s="141">
        <v>0</v>
      </c>
    </row>
    <row r="3193" spans="1:10" ht="15.75" hidden="1" thickBot="1" x14ac:dyDescent="0.3">
      <c r="A3193" s="227"/>
      <c r="B3193" s="230"/>
      <c r="C3193" s="32"/>
      <c r="D3193" s="32"/>
      <c r="E3193" s="33"/>
      <c r="F3193" s="27" t="s">
        <v>523</v>
      </c>
      <c r="G3193" s="30" t="str">
        <f t="shared" si="55"/>
        <v/>
      </c>
      <c r="H3193" s="31"/>
      <c r="I3193" s="27"/>
      <c r="J3193" s="141">
        <v>0</v>
      </c>
    </row>
    <row r="3194" spans="1:10" ht="15.75" hidden="1" thickBot="1" x14ac:dyDescent="0.3">
      <c r="A3194" s="225" t="s">
        <v>939</v>
      </c>
      <c r="B3194" s="228" t="str">
        <f>INDEX(Orçamentária!A:B,MATCH(Composições!A3194,Orçamentária!A:A,0),2)</f>
        <v>Armação de aço CA-50 bitolas de 16,0 mm a 25,0 mm</v>
      </c>
      <c r="C3194" s="37"/>
      <c r="D3194" s="22" t="str">
        <f>TRIM(INDEX(Orçamentária!C:C,MATCH(Composições!A3194,Orçamentária!A:A,0),1))</f>
        <v>kg</v>
      </c>
      <c r="E3194" s="23"/>
      <c r="F3194" s="38" t="s">
        <v>523</v>
      </c>
      <c r="G3194" s="24" t="str">
        <f t="shared" si="55"/>
        <v/>
      </c>
      <c r="H3194" s="25"/>
      <c r="I3194" s="26"/>
      <c r="J3194" s="141">
        <v>0</v>
      </c>
    </row>
    <row r="3195" spans="1:10" ht="15.75" hidden="1" thickBot="1" x14ac:dyDescent="0.3">
      <c r="A3195" s="226"/>
      <c r="B3195" s="244"/>
      <c r="C3195" s="28"/>
      <c r="D3195" s="28"/>
      <c r="E3195" s="29"/>
      <c r="F3195" s="39" t="s">
        <v>523</v>
      </c>
      <c r="G3195" s="30" t="str">
        <f t="shared" si="55"/>
        <v/>
      </c>
      <c r="H3195" s="31"/>
      <c r="I3195" s="27"/>
      <c r="J3195" s="141">
        <v>0</v>
      </c>
    </row>
    <row r="3196" spans="1:10" ht="26.25" hidden="1" thickBot="1" x14ac:dyDescent="0.3">
      <c r="A3196" s="226"/>
      <c r="B3196" s="244"/>
      <c r="C3196" s="32" t="s">
        <v>3513</v>
      </c>
      <c r="D3196" s="43" t="s">
        <v>901</v>
      </c>
      <c r="E3196" s="33">
        <v>2.5000000000000001E-2</v>
      </c>
      <c r="F3196" s="27">
        <v>22.61</v>
      </c>
      <c r="G3196" s="30">
        <f t="shared" si="55"/>
        <v>0.56525000000000003</v>
      </c>
      <c r="H3196" s="35">
        <f>SUM(G3196:G3200)</f>
        <v>1.4547397499999999</v>
      </c>
      <c r="I3196" s="36"/>
      <c r="J3196" s="141">
        <v>0</v>
      </c>
    </row>
    <row r="3197" spans="1:10" ht="39" hidden="1" thickBot="1" x14ac:dyDescent="0.3">
      <c r="A3197" s="226"/>
      <c r="B3197" s="244"/>
      <c r="C3197" s="32" t="s">
        <v>902</v>
      </c>
      <c r="D3197" s="43" t="s">
        <v>280</v>
      </c>
      <c r="E3197" s="33">
        <v>0.113</v>
      </c>
      <c r="F3197" s="27">
        <v>0.20899999999999999</v>
      </c>
      <c r="G3197" s="30">
        <f t="shared" si="55"/>
        <v>2.3616999999999999E-2</v>
      </c>
      <c r="H3197" s="31"/>
      <c r="I3197" s="27"/>
      <c r="J3197" s="141">
        <v>0</v>
      </c>
    </row>
    <row r="3198" spans="1:10" ht="15.75" hidden="1" thickBot="1" x14ac:dyDescent="0.3">
      <c r="A3198" s="226"/>
      <c r="B3198" s="244"/>
      <c r="C3198" s="32" t="s">
        <v>903</v>
      </c>
      <c r="D3198" s="43" t="s">
        <v>705</v>
      </c>
      <c r="E3198" s="33">
        <v>5.1000000000000004E-3</v>
      </c>
      <c r="F3198" s="27">
        <v>18.3825</v>
      </c>
      <c r="G3198" s="30">
        <f t="shared" si="55"/>
        <v>9.3750750000000008E-2</v>
      </c>
      <c r="H3198" s="31"/>
      <c r="I3198" s="27"/>
      <c r="J3198" s="141">
        <v>0</v>
      </c>
    </row>
    <row r="3199" spans="1:10" ht="15.75" hidden="1" thickBot="1" x14ac:dyDescent="0.3">
      <c r="A3199" s="226"/>
      <c r="B3199" s="244"/>
      <c r="C3199" s="32" t="s">
        <v>904</v>
      </c>
      <c r="D3199" s="43" t="s">
        <v>705</v>
      </c>
      <c r="E3199" s="33">
        <v>3.1199999999999999E-2</v>
      </c>
      <c r="F3199" s="27">
        <v>24.747499999999999</v>
      </c>
      <c r="G3199" s="30">
        <f t="shared" si="55"/>
        <v>0.77212199999999998</v>
      </c>
      <c r="H3199" s="31"/>
      <c r="I3199" s="27"/>
      <c r="J3199" s="141">
        <v>0</v>
      </c>
    </row>
    <row r="3200" spans="1:10" ht="26.25" hidden="1" thickBot="1" x14ac:dyDescent="0.3">
      <c r="A3200" s="226"/>
      <c r="B3200" s="244"/>
      <c r="C3200" s="32" t="s">
        <v>940</v>
      </c>
      <c r="D3200" s="43" t="s">
        <v>901</v>
      </c>
      <c r="E3200" s="33">
        <v>1</v>
      </c>
      <c r="F3200" s="27" t="s">
        <v>523</v>
      </c>
      <c r="G3200" s="30" t="str">
        <f t="shared" si="55"/>
        <v/>
      </c>
      <c r="H3200" s="31"/>
      <c r="I3200" s="27"/>
      <c r="J3200" s="141">
        <v>0</v>
      </c>
    </row>
    <row r="3201" spans="1:10" ht="15.75" hidden="1" thickBot="1" x14ac:dyDescent="0.3">
      <c r="A3201" s="227"/>
      <c r="B3201" s="230"/>
      <c r="C3201" s="32"/>
      <c r="D3201" s="32"/>
      <c r="E3201" s="33"/>
      <c r="F3201" s="27" t="s">
        <v>523</v>
      </c>
      <c r="G3201" s="30" t="str">
        <f t="shared" si="55"/>
        <v/>
      </c>
      <c r="H3201" s="31"/>
      <c r="I3201" s="27"/>
      <c r="J3201" s="141">
        <v>0</v>
      </c>
    </row>
    <row r="3202" spans="1:10" ht="15.75" hidden="1" thickBot="1" x14ac:dyDescent="0.3">
      <c r="A3202" s="225" t="s">
        <v>941</v>
      </c>
      <c r="B3202" s="228" t="str">
        <f>INDEX(Orçamentária!A:B,MATCH(Composições!A3202,Orçamentária!A:A,0),2)</f>
        <v>Remoção de mola hidráulica de piso</v>
      </c>
      <c r="C3202" s="37"/>
      <c r="D3202" s="22" t="str">
        <f>TRIM(INDEX(Orçamentária!C:C,MATCH(Composições!A3202,Orçamentária!A:A,0),1))</f>
        <v>un</v>
      </c>
      <c r="E3202" s="23"/>
      <c r="F3202" s="38" t="s">
        <v>523</v>
      </c>
      <c r="G3202" s="24" t="str">
        <f t="shared" si="55"/>
        <v/>
      </c>
      <c r="H3202" s="25"/>
      <c r="I3202" s="26"/>
      <c r="J3202" s="141">
        <v>0</v>
      </c>
    </row>
    <row r="3203" spans="1:10" ht="15.75" hidden="1" thickBot="1" x14ac:dyDescent="0.3">
      <c r="A3203" s="226"/>
      <c r="B3203" s="244"/>
      <c r="C3203" s="137"/>
      <c r="D3203" s="28"/>
      <c r="E3203" s="29"/>
      <c r="F3203" s="39" t="s">
        <v>523</v>
      </c>
      <c r="G3203" s="30" t="str">
        <f t="shared" si="55"/>
        <v/>
      </c>
      <c r="H3203" s="31"/>
      <c r="I3203" s="27"/>
      <c r="J3203" s="141">
        <v>0</v>
      </c>
    </row>
    <row r="3204" spans="1:10" ht="15.75" hidden="1" thickBot="1" x14ac:dyDescent="0.3">
      <c r="A3204" s="226"/>
      <c r="B3204" s="244"/>
      <c r="C3204" s="32" t="s">
        <v>23</v>
      </c>
      <c r="D3204" s="43" t="s">
        <v>12</v>
      </c>
      <c r="E3204" s="33">
        <v>0.55000000000000004</v>
      </c>
      <c r="F3204" s="27">
        <v>18.420500000000001</v>
      </c>
      <c r="G3204" s="30">
        <f t="shared" si="55"/>
        <v>10.131275</v>
      </c>
      <c r="H3204" s="35">
        <f>SUM(G3204:G3205)</f>
        <v>22.760100000000001</v>
      </c>
      <c r="I3204" s="36"/>
      <c r="J3204" s="141">
        <v>0</v>
      </c>
    </row>
    <row r="3205" spans="1:10" ht="15.75" hidden="1" thickBot="1" x14ac:dyDescent="0.3">
      <c r="A3205" s="226"/>
      <c r="B3205" s="244"/>
      <c r="C3205" s="32" t="s">
        <v>68</v>
      </c>
      <c r="D3205" s="43" t="s">
        <v>12</v>
      </c>
      <c r="E3205" s="33">
        <v>0.55000000000000004</v>
      </c>
      <c r="F3205" s="27">
        <v>22.961500000000001</v>
      </c>
      <c r="G3205" s="30">
        <f t="shared" si="55"/>
        <v>12.628825000000001</v>
      </c>
      <c r="H3205" s="31"/>
      <c r="I3205" s="27"/>
      <c r="J3205" s="141">
        <v>0</v>
      </c>
    </row>
    <row r="3206" spans="1:10" ht="15.75" hidden="1" thickBot="1" x14ac:dyDescent="0.3">
      <c r="A3206" s="227"/>
      <c r="B3206" s="230"/>
      <c r="C3206" s="32"/>
      <c r="D3206" s="32"/>
      <c r="E3206" s="33"/>
      <c r="F3206" s="27" t="s">
        <v>523</v>
      </c>
      <c r="G3206" s="30" t="str">
        <f t="shared" si="55"/>
        <v/>
      </c>
      <c r="H3206" s="31"/>
      <c r="I3206" s="27"/>
      <c r="J3206" s="141">
        <v>0</v>
      </c>
    </row>
    <row r="3207" spans="1:10" ht="15.75" hidden="1" thickBot="1" x14ac:dyDescent="0.3">
      <c r="A3207" s="225" t="s">
        <v>942</v>
      </c>
      <c r="B3207" s="228" t="str">
        <f>INDEX(Orçamentária!A:B,MATCH(Composições!A3207,Orçamentária!A:A,0),2)</f>
        <v>Escavação manual de valas</v>
      </c>
      <c r="C3207" s="37"/>
      <c r="D3207" s="22" t="str">
        <f>TRIM(INDEX(Orçamentária!C:C,MATCH(Composições!A3207,Orçamentária!A:A,0),1))</f>
        <v>m3</v>
      </c>
      <c r="E3207" s="23"/>
      <c r="F3207" s="38" t="s">
        <v>523</v>
      </c>
      <c r="G3207" s="24" t="str">
        <f t="shared" si="55"/>
        <v/>
      </c>
      <c r="H3207" s="25"/>
      <c r="I3207" s="26"/>
      <c r="J3207" s="141">
        <v>0</v>
      </c>
    </row>
    <row r="3208" spans="1:10" ht="15.75" hidden="1" thickBot="1" x14ac:dyDescent="0.3">
      <c r="A3208" s="226"/>
      <c r="B3208" s="244"/>
      <c r="C3208" s="28"/>
      <c r="D3208" s="28"/>
      <c r="E3208" s="29"/>
      <c r="F3208" s="39" t="s">
        <v>523</v>
      </c>
      <c r="G3208" s="30" t="str">
        <f t="shared" si="55"/>
        <v/>
      </c>
      <c r="H3208" s="31"/>
      <c r="I3208" s="27"/>
      <c r="J3208" s="141">
        <v>0</v>
      </c>
    </row>
    <row r="3209" spans="1:10" ht="15.75" hidden="1" thickBot="1" x14ac:dyDescent="0.3">
      <c r="A3209" s="226"/>
      <c r="B3209" s="244"/>
      <c r="C3209" s="32" t="s">
        <v>23</v>
      </c>
      <c r="D3209" s="43" t="s">
        <v>12</v>
      </c>
      <c r="E3209" s="33">
        <v>3.956</v>
      </c>
      <c r="F3209" s="27">
        <v>18.420500000000001</v>
      </c>
      <c r="G3209" s="30">
        <f t="shared" si="55"/>
        <v>72.871498000000003</v>
      </c>
      <c r="H3209" s="35">
        <f>SUM(G3209:G3209)</f>
        <v>72.871498000000003</v>
      </c>
      <c r="I3209" s="36"/>
      <c r="J3209" s="141">
        <v>0</v>
      </c>
    </row>
    <row r="3210" spans="1:10" ht="15.75" hidden="1" thickBot="1" x14ac:dyDescent="0.3">
      <c r="A3210" s="227"/>
      <c r="B3210" s="230"/>
      <c r="C3210" s="32"/>
      <c r="D3210" s="32"/>
      <c r="E3210" s="33"/>
      <c r="F3210" s="27" t="s">
        <v>523</v>
      </c>
      <c r="G3210" s="30" t="str">
        <f t="shared" si="55"/>
        <v/>
      </c>
      <c r="H3210" s="31"/>
      <c r="I3210" s="27"/>
      <c r="J3210" s="141">
        <v>0</v>
      </c>
    </row>
    <row r="3211" spans="1:10" ht="15.75" hidden="1" thickBot="1" x14ac:dyDescent="0.3">
      <c r="A3211" s="225" t="s">
        <v>943</v>
      </c>
      <c r="B3211" s="228" t="str">
        <f>INDEX(Orçamentária!A:B,MATCH(Composições!A3211,Orçamentária!A:A,0),2)</f>
        <v>Reaterro de vala com compactação mecanizada</v>
      </c>
      <c r="C3211" s="37"/>
      <c r="D3211" s="22" t="str">
        <f>TRIM(INDEX(Orçamentária!C:C,MATCH(Composições!A3211,Orçamentária!A:A,0),1))</f>
        <v>m3</v>
      </c>
      <c r="E3211" s="23"/>
      <c r="F3211" s="38" t="s">
        <v>523</v>
      </c>
      <c r="G3211" s="24" t="str">
        <f t="shared" si="55"/>
        <v/>
      </c>
      <c r="H3211" s="25"/>
      <c r="I3211" s="26"/>
      <c r="J3211" s="141">
        <v>0</v>
      </c>
    </row>
    <row r="3212" spans="1:10" ht="15.75" hidden="1" thickBot="1" x14ac:dyDescent="0.3">
      <c r="A3212" s="226"/>
      <c r="B3212" s="244"/>
      <c r="C3212" s="28"/>
      <c r="D3212" s="28"/>
      <c r="E3212" s="29"/>
      <c r="F3212" s="39" t="s">
        <v>523</v>
      </c>
      <c r="G3212" s="30" t="str">
        <f t="shared" si="55"/>
        <v/>
      </c>
      <c r="H3212" s="31"/>
      <c r="I3212" s="27"/>
      <c r="J3212" s="141">
        <v>0</v>
      </c>
    </row>
    <row r="3213" spans="1:10" ht="15.75" hidden="1" thickBot="1" x14ac:dyDescent="0.3">
      <c r="A3213" s="226"/>
      <c r="B3213" s="244"/>
      <c r="C3213" s="32" t="s">
        <v>706</v>
      </c>
      <c r="D3213" s="43" t="s">
        <v>705</v>
      </c>
      <c r="E3213" s="33">
        <v>0.65</v>
      </c>
      <c r="F3213" s="27">
        <v>18.420500000000001</v>
      </c>
      <c r="G3213" s="30">
        <f t="shared" si="55"/>
        <v>11.973325000000001</v>
      </c>
      <c r="H3213" s="35">
        <f>SUM(G3213:G3216)</f>
        <v>27.083293500000003</v>
      </c>
      <c r="I3213" s="36"/>
      <c r="J3213" s="141">
        <v>0</v>
      </c>
    </row>
    <row r="3214" spans="1:10" ht="26.25" hidden="1" thickBot="1" x14ac:dyDescent="0.3">
      <c r="A3214" s="226"/>
      <c r="B3214" s="244"/>
      <c r="C3214" s="32" t="s">
        <v>944</v>
      </c>
      <c r="D3214" s="43" t="s">
        <v>945</v>
      </c>
      <c r="E3214" s="33">
        <v>0.27400000000000002</v>
      </c>
      <c r="F3214" s="27">
        <v>28.404999999999998</v>
      </c>
      <c r="G3214" s="30">
        <f t="shared" si="55"/>
        <v>7.7829699999999997</v>
      </c>
      <c r="H3214" s="31"/>
      <c r="I3214" s="27"/>
      <c r="J3214" s="141">
        <v>0</v>
      </c>
    </row>
    <row r="3215" spans="1:10" ht="26.25" hidden="1" thickBot="1" x14ac:dyDescent="0.3">
      <c r="A3215" s="226"/>
      <c r="B3215" s="244"/>
      <c r="C3215" s="32" t="s">
        <v>946</v>
      </c>
      <c r="D3215" s="43" t="s">
        <v>947</v>
      </c>
      <c r="E3215" s="33">
        <v>0.254</v>
      </c>
      <c r="F3215" s="27">
        <v>20.1875</v>
      </c>
      <c r="G3215" s="30">
        <f t="shared" si="55"/>
        <v>5.1276250000000001</v>
      </c>
      <c r="H3215" s="31"/>
      <c r="I3215" s="27"/>
      <c r="J3215" s="141">
        <v>0</v>
      </c>
    </row>
    <row r="3216" spans="1:10" ht="26.25" hidden="1" thickBot="1" x14ac:dyDescent="0.3">
      <c r="A3216" s="226"/>
      <c r="B3216" s="244"/>
      <c r="C3216" s="32" t="s">
        <v>948</v>
      </c>
      <c r="D3216" s="32" t="s">
        <v>120</v>
      </c>
      <c r="E3216" s="33">
        <v>1</v>
      </c>
      <c r="F3216" s="27">
        <v>2.1993735000000001</v>
      </c>
      <c r="G3216" s="30">
        <f t="shared" si="55"/>
        <v>2.1993735000000001</v>
      </c>
      <c r="H3216" s="31"/>
      <c r="I3216" s="27"/>
      <c r="J3216" s="141">
        <v>0</v>
      </c>
    </row>
    <row r="3217" spans="1:10" ht="15.75" hidden="1" thickBot="1" x14ac:dyDescent="0.3">
      <c r="A3217" s="227"/>
      <c r="B3217" s="230"/>
      <c r="C3217" s="32"/>
      <c r="D3217" s="32"/>
      <c r="E3217" s="33"/>
      <c r="F3217" s="27" t="s">
        <v>523</v>
      </c>
      <c r="G3217" s="30" t="str">
        <f t="shared" si="55"/>
        <v/>
      </c>
      <c r="H3217" s="31"/>
      <c r="I3217" s="27"/>
      <c r="J3217" s="141">
        <v>0</v>
      </c>
    </row>
    <row r="3218" spans="1:10" ht="15.75" hidden="1" thickBot="1" x14ac:dyDescent="0.3">
      <c r="A3218" s="225" t="s">
        <v>949</v>
      </c>
      <c r="B3218" s="228" t="str">
        <f>INDEX(Orçamentária!A:B,MATCH(Composições!A3218,Orçamentária!A:A,0),2)</f>
        <v>Aterro de vala com compactação mecanizada</v>
      </c>
      <c r="C3218" s="37"/>
      <c r="D3218" s="22" t="str">
        <f>TRIM(INDEX(Orçamentária!C:C,MATCH(Composições!A3218,Orçamentária!A:A,0),1))</f>
        <v>m3</v>
      </c>
      <c r="E3218" s="23"/>
      <c r="F3218" s="38" t="s">
        <v>523</v>
      </c>
      <c r="G3218" s="24" t="str">
        <f t="shared" si="55"/>
        <v/>
      </c>
      <c r="H3218" s="25"/>
      <c r="I3218" s="26"/>
      <c r="J3218" s="141">
        <v>0</v>
      </c>
    </row>
    <row r="3219" spans="1:10" ht="15.75" hidden="1" thickBot="1" x14ac:dyDescent="0.3">
      <c r="A3219" s="226"/>
      <c r="B3219" s="244"/>
      <c r="C3219" s="28"/>
      <c r="D3219" s="28"/>
      <c r="E3219" s="29"/>
      <c r="F3219" s="39" t="s">
        <v>523</v>
      </c>
      <c r="G3219" s="30" t="str">
        <f t="shared" si="55"/>
        <v/>
      </c>
      <c r="H3219" s="31"/>
      <c r="I3219" s="27"/>
      <c r="J3219" s="141">
        <v>0</v>
      </c>
    </row>
    <row r="3220" spans="1:10" ht="51.75" hidden="1" thickBot="1" x14ac:dyDescent="0.3">
      <c r="A3220" s="226"/>
      <c r="B3220" s="244"/>
      <c r="C3220" s="32" t="s">
        <v>950</v>
      </c>
      <c r="D3220" s="43" t="s">
        <v>945</v>
      </c>
      <c r="E3220" s="33">
        <v>6.0000000000000001E-3</v>
      </c>
      <c r="F3220" s="27">
        <v>312.83499999999998</v>
      </c>
      <c r="G3220" s="30">
        <f t="shared" si="55"/>
        <v>1.8770099999999998</v>
      </c>
      <c r="H3220" s="35">
        <f>SUM(G3220:G3227)</f>
        <v>188.85962475000002</v>
      </c>
      <c r="I3220" s="36"/>
      <c r="J3220" s="141">
        <v>0</v>
      </c>
    </row>
    <row r="3221" spans="1:10" ht="51.75" hidden="1" thickBot="1" x14ac:dyDescent="0.3">
      <c r="A3221" s="226"/>
      <c r="B3221" s="244"/>
      <c r="C3221" s="32" t="s">
        <v>951</v>
      </c>
      <c r="D3221" s="43" t="s">
        <v>947</v>
      </c>
      <c r="E3221" s="33">
        <v>3.0000000000000001E-3</v>
      </c>
      <c r="F3221" s="27">
        <v>52.192999999999998</v>
      </c>
      <c r="G3221" s="30">
        <f t="shared" si="55"/>
        <v>0.156579</v>
      </c>
      <c r="H3221" s="31"/>
      <c r="I3221" s="27"/>
      <c r="J3221" s="141">
        <v>0</v>
      </c>
    </row>
    <row r="3222" spans="1:10" ht="26.25" hidden="1" thickBot="1" x14ac:dyDescent="0.3">
      <c r="A3222" s="226"/>
      <c r="B3222" s="244"/>
      <c r="C3222" s="32" t="s">
        <v>952</v>
      </c>
      <c r="D3222" s="43" t="s">
        <v>120</v>
      </c>
      <c r="E3222" s="33">
        <v>1.25</v>
      </c>
      <c r="F3222" s="27">
        <v>69.378500000000003</v>
      </c>
      <c r="G3222" s="30">
        <f t="shared" si="55"/>
        <v>86.72312500000001</v>
      </c>
      <c r="H3222" s="31"/>
      <c r="I3222" s="27"/>
      <c r="J3222" s="141">
        <v>0</v>
      </c>
    </row>
    <row r="3223" spans="1:10" ht="15.75" hidden="1" thickBot="1" x14ac:dyDescent="0.3">
      <c r="A3223" s="226"/>
      <c r="B3223" s="244"/>
      <c r="C3223" s="32" t="s">
        <v>706</v>
      </c>
      <c r="D3223" s="32" t="s">
        <v>705</v>
      </c>
      <c r="E3223" s="33">
        <v>0.65900000000000003</v>
      </c>
      <c r="F3223" s="27">
        <v>18.420500000000001</v>
      </c>
      <c r="G3223" s="30">
        <f t="shared" si="55"/>
        <v>12.139109500000002</v>
      </c>
      <c r="H3223" s="31"/>
      <c r="I3223" s="27"/>
      <c r="J3223" s="141">
        <v>0</v>
      </c>
    </row>
    <row r="3224" spans="1:10" ht="26.25" hidden="1" thickBot="1" x14ac:dyDescent="0.3">
      <c r="A3224" s="226"/>
      <c r="B3224" s="244"/>
      <c r="C3224" s="32" t="s">
        <v>944</v>
      </c>
      <c r="D3224" s="32" t="s">
        <v>945</v>
      </c>
      <c r="E3224" s="33">
        <v>0.27400000000000002</v>
      </c>
      <c r="F3224" s="27">
        <v>28.404999999999998</v>
      </c>
      <c r="G3224" s="30">
        <f t="shared" si="55"/>
        <v>7.7829699999999997</v>
      </c>
      <c r="H3224" s="31"/>
      <c r="I3224" s="27"/>
      <c r="J3224" s="141">
        <v>0</v>
      </c>
    </row>
    <row r="3225" spans="1:10" ht="26.25" hidden="1" thickBot="1" x14ac:dyDescent="0.3">
      <c r="A3225" s="226"/>
      <c r="B3225" s="244"/>
      <c r="C3225" s="32" t="s">
        <v>946</v>
      </c>
      <c r="D3225" s="32" t="s">
        <v>947</v>
      </c>
      <c r="E3225" s="33">
        <v>0.254</v>
      </c>
      <c r="F3225" s="27">
        <v>20.1875</v>
      </c>
      <c r="G3225" s="30">
        <f t="shared" si="55"/>
        <v>5.1276250000000001</v>
      </c>
      <c r="H3225" s="31"/>
      <c r="I3225" s="27"/>
      <c r="J3225" s="141">
        <v>0</v>
      </c>
    </row>
    <row r="3226" spans="1:10" ht="51.75" hidden="1" thickBot="1" x14ac:dyDescent="0.3">
      <c r="A3226" s="226"/>
      <c r="B3226" s="244"/>
      <c r="C3226" s="32" t="s">
        <v>3532</v>
      </c>
      <c r="D3226" s="32" t="s">
        <v>109</v>
      </c>
      <c r="E3226" s="33">
        <f>E3222*1</f>
        <v>1.25</v>
      </c>
      <c r="F3226" s="30">
        <v>7.6983819999999996</v>
      </c>
      <c r="G3226" s="30">
        <f t="shared" si="55"/>
        <v>9.6229774999999993</v>
      </c>
      <c r="H3226" s="31"/>
      <c r="I3226" s="27"/>
      <c r="J3226" s="141">
        <v>0</v>
      </c>
    </row>
    <row r="3227" spans="1:10" ht="39" hidden="1" thickBot="1" x14ac:dyDescent="0.3">
      <c r="A3227" s="226"/>
      <c r="B3227" s="244"/>
      <c r="C3227" s="32" t="s">
        <v>121</v>
      </c>
      <c r="D3227" s="43" t="s">
        <v>122</v>
      </c>
      <c r="E3227" s="33">
        <f>E3222*20</f>
        <v>25</v>
      </c>
      <c r="F3227" s="30">
        <v>2.6172091499999994</v>
      </c>
      <c r="G3227" s="30">
        <f t="shared" si="55"/>
        <v>65.430228749999984</v>
      </c>
      <c r="H3227" s="31"/>
      <c r="I3227" s="27"/>
      <c r="J3227" s="141">
        <v>0</v>
      </c>
    </row>
    <row r="3228" spans="1:10" ht="15.75" hidden="1" thickBot="1" x14ac:dyDescent="0.3">
      <c r="A3228" s="226"/>
      <c r="B3228" s="244"/>
      <c r="C3228" s="47"/>
      <c r="D3228" s="43"/>
      <c r="E3228" s="33"/>
      <c r="F3228" s="30" t="s">
        <v>523</v>
      </c>
      <c r="G3228" s="30" t="str">
        <f t="shared" si="55"/>
        <v/>
      </c>
      <c r="H3228" s="31"/>
      <c r="I3228" s="27"/>
      <c r="J3228" s="141">
        <v>0</v>
      </c>
    </row>
    <row r="3229" spans="1:10" ht="26.25" hidden="1" thickBot="1" x14ac:dyDescent="0.3">
      <c r="A3229" s="226"/>
      <c r="B3229" s="244"/>
      <c r="C3229" s="44" t="s">
        <v>953</v>
      </c>
      <c r="D3229" s="43"/>
      <c r="E3229" s="33"/>
      <c r="F3229" s="30" t="s">
        <v>523</v>
      </c>
      <c r="G3229" s="30" t="str">
        <f t="shared" si="55"/>
        <v/>
      </c>
      <c r="H3229" s="31"/>
      <c r="I3229" s="27"/>
      <c r="J3229" s="141">
        <v>0</v>
      </c>
    </row>
    <row r="3230" spans="1:10" ht="15.75" hidden="1" thickBot="1" x14ac:dyDescent="0.3">
      <c r="A3230" s="227"/>
      <c r="B3230" s="230"/>
      <c r="C3230" s="32"/>
      <c r="D3230" s="32"/>
      <c r="E3230" s="33"/>
      <c r="F3230" s="27" t="s">
        <v>523</v>
      </c>
      <c r="G3230" s="27" t="str">
        <f t="shared" si="55"/>
        <v/>
      </c>
      <c r="H3230" s="31"/>
      <c r="I3230" s="27"/>
      <c r="J3230" s="141">
        <v>0</v>
      </c>
    </row>
    <row r="3231" spans="1:10" ht="15.75" hidden="1" thickBot="1" x14ac:dyDescent="0.3">
      <c r="A3231" s="225" t="s">
        <v>954</v>
      </c>
      <c r="B3231" s="228" t="str">
        <f>INDEX(Orçamentária!A:B,MATCH(Composições!A3231,Orçamentária!A:A,0),2)</f>
        <v>Tubo de cobre classe "E" 22 mm</v>
      </c>
      <c r="C3231" s="37"/>
      <c r="D3231" s="22" t="str">
        <f>TRIM(INDEX(Orçamentária!C:C,MATCH(Composições!A3231,Orçamentária!A:A,0),1))</f>
        <v>m</v>
      </c>
      <c r="E3231" s="23"/>
      <c r="F3231" s="38" t="s">
        <v>523</v>
      </c>
      <c r="G3231" s="24" t="str">
        <f t="shared" si="55"/>
        <v/>
      </c>
      <c r="H3231" s="25"/>
      <c r="I3231" s="26"/>
      <c r="J3231" s="141">
        <v>0</v>
      </c>
    </row>
    <row r="3232" spans="1:10" ht="15.75" hidden="1" thickBot="1" x14ac:dyDescent="0.3">
      <c r="A3232" s="226"/>
      <c r="B3232" s="244"/>
      <c r="C3232" s="28"/>
      <c r="D3232" s="28"/>
      <c r="E3232" s="29"/>
      <c r="F3232" s="39" t="s">
        <v>523</v>
      </c>
      <c r="G3232" s="30" t="str">
        <f t="shared" si="55"/>
        <v/>
      </c>
      <c r="H3232" s="31"/>
      <c r="I3232" s="27"/>
      <c r="J3232" s="141">
        <v>0</v>
      </c>
    </row>
    <row r="3233" spans="1:10" ht="26.25" hidden="1" thickBot="1" x14ac:dyDescent="0.3">
      <c r="A3233" s="226"/>
      <c r="B3233" s="244"/>
      <c r="C3233" s="32" t="s">
        <v>955</v>
      </c>
      <c r="D3233" s="32" t="s">
        <v>480</v>
      </c>
      <c r="E3233" s="33">
        <v>1.0210999999999999</v>
      </c>
      <c r="F3233" s="27">
        <v>53.7605</v>
      </c>
      <c r="G3233" s="30">
        <f t="shared" si="55"/>
        <v>54.894846549999997</v>
      </c>
      <c r="H3233" s="35">
        <f>SUM(G3233:G3235)</f>
        <v>61.143870549999995</v>
      </c>
      <c r="I3233" s="36"/>
      <c r="J3233" s="141">
        <v>0</v>
      </c>
    </row>
    <row r="3234" spans="1:10" ht="26.25" hidden="1" thickBot="1" x14ac:dyDescent="0.3">
      <c r="A3234" s="226"/>
      <c r="B3234" s="244"/>
      <c r="C3234" s="32" t="s">
        <v>956</v>
      </c>
      <c r="D3234" s="43" t="s">
        <v>705</v>
      </c>
      <c r="E3234" s="33">
        <v>0.14399999999999999</v>
      </c>
      <c r="F3234" s="27">
        <v>19.094999999999999</v>
      </c>
      <c r="G3234" s="30">
        <f t="shared" si="55"/>
        <v>2.7496799999999997</v>
      </c>
      <c r="H3234" s="31"/>
      <c r="I3234" s="27"/>
      <c r="J3234" s="141">
        <v>0</v>
      </c>
    </row>
    <row r="3235" spans="1:10" ht="26.25" hidden="1" thickBot="1" x14ac:dyDescent="0.3">
      <c r="A3235" s="226"/>
      <c r="B3235" s="244"/>
      <c r="C3235" s="32" t="s">
        <v>957</v>
      </c>
      <c r="D3235" s="43" t="s">
        <v>705</v>
      </c>
      <c r="E3235" s="33">
        <v>0.14399999999999999</v>
      </c>
      <c r="F3235" s="27">
        <v>24.300999999999998</v>
      </c>
      <c r="G3235" s="30">
        <f t="shared" si="55"/>
        <v>3.4993439999999993</v>
      </c>
      <c r="H3235" s="31"/>
      <c r="I3235" s="27"/>
      <c r="J3235" s="141">
        <v>0</v>
      </c>
    </row>
    <row r="3236" spans="1:10" ht="15.75" hidden="1" thickBot="1" x14ac:dyDescent="0.3">
      <c r="A3236" s="227"/>
      <c r="B3236" s="230"/>
      <c r="C3236" s="32"/>
      <c r="D3236" s="32"/>
      <c r="E3236" s="33"/>
      <c r="F3236" s="27" t="s">
        <v>523</v>
      </c>
      <c r="G3236" s="30" t="str">
        <f t="shared" si="55"/>
        <v/>
      </c>
      <c r="H3236" s="31"/>
      <c r="I3236" s="27"/>
      <c r="J3236" s="141">
        <v>0</v>
      </c>
    </row>
    <row r="3237" spans="1:10" ht="15.75" hidden="1" thickBot="1" x14ac:dyDescent="0.3">
      <c r="A3237" s="225" t="s">
        <v>958</v>
      </c>
      <c r="B3237" s="228" t="str">
        <f>INDEX(Orçamentária!A:B,MATCH(Composições!A3237,Orçamentária!A:A,0),2)</f>
        <v>Tubo de cobre classe "E" 28 mm</v>
      </c>
      <c r="C3237" s="37"/>
      <c r="D3237" s="22" t="str">
        <f>TRIM(INDEX(Orçamentária!C:C,MATCH(Composições!A3237,Orçamentária!A:A,0),1))</f>
        <v>m</v>
      </c>
      <c r="E3237" s="23"/>
      <c r="F3237" s="38" t="s">
        <v>523</v>
      </c>
      <c r="G3237" s="24" t="str">
        <f t="shared" si="55"/>
        <v/>
      </c>
      <c r="H3237" s="25"/>
      <c r="I3237" s="26"/>
      <c r="J3237" s="141">
        <v>0</v>
      </c>
    </row>
    <row r="3238" spans="1:10" ht="15.75" hidden="1" thickBot="1" x14ac:dyDescent="0.3">
      <c r="A3238" s="226"/>
      <c r="B3238" s="244"/>
      <c r="C3238" s="28"/>
      <c r="D3238" s="28"/>
      <c r="E3238" s="29"/>
      <c r="F3238" s="39" t="s">
        <v>523</v>
      </c>
      <c r="G3238" s="30" t="str">
        <f t="shared" si="55"/>
        <v/>
      </c>
      <c r="H3238" s="31"/>
      <c r="I3238" s="27"/>
      <c r="J3238" s="141">
        <v>0</v>
      </c>
    </row>
    <row r="3239" spans="1:10" ht="26.25" hidden="1" thickBot="1" x14ac:dyDescent="0.3">
      <c r="A3239" s="226"/>
      <c r="B3239" s="244"/>
      <c r="C3239" s="32" t="s">
        <v>959</v>
      </c>
      <c r="D3239" s="32" t="s">
        <v>480</v>
      </c>
      <c r="E3239" s="33">
        <v>1.0210999999999999</v>
      </c>
      <c r="F3239" s="27">
        <v>68.238500000000002</v>
      </c>
      <c r="G3239" s="30">
        <f t="shared" si="55"/>
        <v>69.678332349999991</v>
      </c>
      <c r="H3239" s="35">
        <f>SUM(G3239:G3241)</f>
        <v>76.621692349999989</v>
      </c>
      <c r="I3239" s="36"/>
      <c r="J3239" s="141">
        <v>0</v>
      </c>
    </row>
    <row r="3240" spans="1:10" ht="26.25" hidden="1" thickBot="1" x14ac:dyDescent="0.3">
      <c r="A3240" s="226"/>
      <c r="B3240" s="244"/>
      <c r="C3240" s="32" t="s">
        <v>956</v>
      </c>
      <c r="D3240" s="43" t="s">
        <v>705</v>
      </c>
      <c r="E3240" s="33">
        <v>0.16</v>
      </c>
      <c r="F3240" s="27">
        <v>19.094999999999999</v>
      </c>
      <c r="G3240" s="30">
        <f t="shared" si="55"/>
        <v>3.0551999999999997</v>
      </c>
      <c r="H3240" s="31"/>
      <c r="I3240" s="27"/>
      <c r="J3240" s="141">
        <v>0</v>
      </c>
    </row>
    <row r="3241" spans="1:10" ht="26.25" hidden="1" thickBot="1" x14ac:dyDescent="0.3">
      <c r="A3241" s="226"/>
      <c r="B3241" s="244"/>
      <c r="C3241" s="32" t="s">
        <v>957</v>
      </c>
      <c r="D3241" s="43" t="s">
        <v>705</v>
      </c>
      <c r="E3241" s="33">
        <v>0.16</v>
      </c>
      <c r="F3241" s="27">
        <v>24.300999999999998</v>
      </c>
      <c r="G3241" s="30">
        <f t="shared" si="55"/>
        <v>3.8881599999999996</v>
      </c>
      <c r="H3241" s="31"/>
      <c r="I3241" s="27"/>
      <c r="J3241" s="141">
        <v>0</v>
      </c>
    </row>
    <row r="3242" spans="1:10" ht="15.75" hidden="1" thickBot="1" x14ac:dyDescent="0.3">
      <c r="A3242" s="227"/>
      <c r="B3242" s="230"/>
      <c r="C3242" s="32"/>
      <c r="D3242" s="32"/>
      <c r="E3242" s="33"/>
      <c r="F3242" s="27" t="s">
        <v>523</v>
      </c>
      <c r="G3242" s="30" t="str">
        <f t="shared" si="55"/>
        <v/>
      </c>
      <c r="H3242" s="31"/>
      <c r="I3242" s="27"/>
      <c r="J3242" s="141">
        <v>0</v>
      </c>
    </row>
    <row r="3243" spans="1:10" ht="15.75" hidden="1" thickBot="1" x14ac:dyDescent="0.3">
      <c r="A3243" s="225" t="s">
        <v>960</v>
      </c>
      <c r="B3243" s="228" t="str">
        <f>INDEX(Orçamentária!A:B,MATCH(Composições!A3243,Orçamentária!A:A,0),2)</f>
        <v>Tubo de cobre classe "E" 42 mm</v>
      </c>
      <c r="C3243" s="37"/>
      <c r="D3243" s="22" t="str">
        <f>TRIM(INDEX(Orçamentária!C:C,MATCH(Composições!A3243,Orçamentária!A:A,0),1))</f>
        <v>m</v>
      </c>
      <c r="E3243" s="23"/>
      <c r="F3243" s="38" t="s">
        <v>523</v>
      </c>
      <c r="G3243" s="24" t="str">
        <f t="shared" si="55"/>
        <v/>
      </c>
      <c r="H3243" s="25"/>
      <c r="I3243" s="26"/>
      <c r="J3243" s="141">
        <v>0</v>
      </c>
    </row>
    <row r="3244" spans="1:10" ht="15.75" hidden="1" thickBot="1" x14ac:dyDescent="0.3">
      <c r="A3244" s="226"/>
      <c r="B3244" s="244"/>
      <c r="C3244" s="28"/>
      <c r="D3244" s="28"/>
      <c r="E3244" s="29"/>
      <c r="F3244" s="39" t="s">
        <v>523</v>
      </c>
      <c r="G3244" s="30" t="str">
        <f t="shared" si="55"/>
        <v/>
      </c>
      <c r="H3244" s="31"/>
      <c r="I3244" s="27"/>
      <c r="J3244" s="141">
        <v>0</v>
      </c>
    </row>
    <row r="3245" spans="1:10" ht="26.25" hidden="1" thickBot="1" x14ac:dyDescent="0.3">
      <c r="A3245" s="226"/>
      <c r="B3245" s="244"/>
      <c r="C3245" s="32" t="s">
        <v>961</v>
      </c>
      <c r="D3245" s="43" t="s">
        <v>480</v>
      </c>
      <c r="E3245" s="33">
        <v>1.0210999999999999</v>
      </c>
      <c r="F3245" s="27">
        <v>133.80749999999998</v>
      </c>
      <c r="G3245" s="30">
        <f t="shared" si="55"/>
        <v>136.63083824999995</v>
      </c>
      <c r="H3245" s="35">
        <f>SUM(G3245:G3247)</f>
        <v>139.92893424999997</v>
      </c>
      <c r="I3245" s="36"/>
      <c r="J3245" s="141">
        <v>0</v>
      </c>
    </row>
    <row r="3246" spans="1:10" ht="26.25" hidden="1" thickBot="1" x14ac:dyDescent="0.3">
      <c r="A3246" s="226"/>
      <c r="B3246" s="244"/>
      <c r="C3246" s="32" t="s">
        <v>956</v>
      </c>
      <c r="D3246" s="43" t="s">
        <v>705</v>
      </c>
      <c r="E3246" s="33">
        <v>7.5999999999999998E-2</v>
      </c>
      <c r="F3246" s="27">
        <v>19.094999999999999</v>
      </c>
      <c r="G3246" s="30">
        <f t="shared" si="55"/>
        <v>1.45122</v>
      </c>
      <c r="H3246" s="31"/>
      <c r="I3246" s="27"/>
      <c r="J3246" s="141">
        <v>0</v>
      </c>
    </row>
    <row r="3247" spans="1:10" ht="26.25" hidden="1" thickBot="1" x14ac:dyDescent="0.3">
      <c r="A3247" s="226"/>
      <c r="B3247" s="244"/>
      <c r="C3247" s="32" t="s">
        <v>957</v>
      </c>
      <c r="D3247" s="43" t="s">
        <v>705</v>
      </c>
      <c r="E3247" s="33">
        <v>7.5999999999999998E-2</v>
      </c>
      <c r="F3247" s="27">
        <v>24.300999999999998</v>
      </c>
      <c r="G3247" s="30">
        <f t="shared" si="55"/>
        <v>1.8468759999999997</v>
      </c>
      <c r="H3247" s="31"/>
      <c r="I3247" s="27"/>
      <c r="J3247" s="141">
        <v>0</v>
      </c>
    </row>
    <row r="3248" spans="1:10" ht="15.75" hidden="1" thickBot="1" x14ac:dyDescent="0.3">
      <c r="A3248" s="227"/>
      <c r="B3248" s="230"/>
      <c r="C3248" s="32"/>
      <c r="D3248" s="32"/>
      <c r="E3248" s="33"/>
      <c r="F3248" s="27" t="s">
        <v>523</v>
      </c>
      <c r="G3248" s="30" t="str">
        <f t="shared" si="55"/>
        <v/>
      </c>
      <c r="H3248" s="31"/>
      <c r="I3248" s="27"/>
      <c r="J3248" s="141">
        <v>0</v>
      </c>
    </row>
    <row r="3249" spans="1:10" ht="15.75" hidden="1" thickBot="1" x14ac:dyDescent="0.3">
      <c r="A3249" s="225" t="s">
        <v>962</v>
      </c>
      <c r="B3249" s="228" t="str">
        <f>INDEX(Orçamentária!A:B,MATCH(Composições!A3249,Orçamentária!A:A,0),2)</f>
        <v>Bacia conforto (h=44 cm) – Linha Acessibilidade</v>
      </c>
      <c r="C3249" s="37"/>
      <c r="D3249" s="22" t="str">
        <f>TRIM(INDEX(Orçamentária!C:C,MATCH(Composições!A3249,Orçamentária!A:A,0),1))</f>
        <v>un</v>
      </c>
      <c r="E3249" s="23"/>
      <c r="F3249" s="38" t="s">
        <v>523</v>
      </c>
      <c r="G3249" s="24" t="str">
        <f t="shared" ref="G3249:G3312" si="56">IF(ISNUMBER(F3249),E3249*F3249,"")</f>
        <v/>
      </c>
      <c r="H3249" s="25"/>
      <c r="I3249" s="26"/>
      <c r="J3249" s="141">
        <v>0</v>
      </c>
    </row>
    <row r="3250" spans="1:10" ht="15.75" hidden="1" thickBot="1" x14ac:dyDescent="0.3">
      <c r="A3250" s="226"/>
      <c r="B3250" s="244"/>
      <c r="C3250" s="28"/>
      <c r="D3250" s="28"/>
      <c r="E3250" s="29"/>
      <c r="F3250" s="39" t="s">
        <v>523</v>
      </c>
      <c r="G3250" s="30" t="str">
        <f t="shared" si="56"/>
        <v/>
      </c>
      <c r="H3250" s="31"/>
      <c r="I3250" s="27"/>
      <c r="J3250" s="141">
        <v>0</v>
      </c>
    </row>
    <row r="3251" spans="1:10" ht="39" hidden="1" thickBot="1" x14ac:dyDescent="0.3">
      <c r="A3251" s="226"/>
      <c r="B3251" s="244"/>
      <c r="C3251" s="32" t="s">
        <v>963</v>
      </c>
      <c r="D3251" s="43" t="s">
        <v>280</v>
      </c>
      <c r="E3251" s="33">
        <v>2</v>
      </c>
      <c r="F3251" s="27">
        <v>20.728999999999999</v>
      </c>
      <c r="G3251" s="30">
        <f t="shared" si="56"/>
        <v>41.457999999999998</v>
      </c>
      <c r="H3251" s="35">
        <f>SUM(G3251:G3257)</f>
        <v>648.14929615000005</v>
      </c>
      <c r="I3251" s="36"/>
      <c r="J3251" s="141">
        <v>0</v>
      </c>
    </row>
    <row r="3252" spans="1:10" ht="26.25" hidden="1" thickBot="1" x14ac:dyDescent="0.3">
      <c r="A3252" s="226"/>
      <c r="B3252" s="244"/>
      <c r="C3252" s="32" t="s">
        <v>6627</v>
      </c>
      <c r="D3252" s="43" t="s">
        <v>280</v>
      </c>
      <c r="E3252" s="33">
        <v>1</v>
      </c>
      <c r="F3252" s="27">
        <v>13.2905</v>
      </c>
      <c r="G3252" s="30">
        <f t="shared" si="56"/>
        <v>13.2905</v>
      </c>
      <c r="H3252" s="31"/>
      <c r="I3252" s="27"/>
      <c r="J3252" s="141">
        <v>0</v>
      </c>
    </row>
    <row r="3253" spans="1:10" ht="26.25" hidden="1" thickBot="1" x14ac:dyDescent="0.3">
      <c r="A3253" s="226"/>
      <c r="B3253" s="244"/>
      <c r="C3253" s="32" t="s">
        <v>6642</v>
      </c>
      <c r="D3253" s="43" t="s">
        <v>280</v>
      </c>
      <c r="E3253" s="33">
        <v>1</v>
      </c>
      <c r="F3253" s="27">
        <v>549.4135</v>
      </c>
      <c r="G3253" s="30">
        <f t="shared" si="56"/>
        <v>549.4135</v>
      </c>
      <c r="H3253" s="31"/>
      <c r="I3253" s="27"/>
      <c r="J3253" s="141">
        <v>0</v>
      </c>
    </row>
    <row r="3254" spans="1:10" ht="15.75" hidden="1" thickBot="1" x14ac:dyDescent="0.3">
      <c r="A3254" s="226"/>
      <c r="B3254" s="244"/>
      <c r="C3254" s="32" t="s">
        <v>3539</v>
      </c>
      <c r="D3254" s="43" t="s">
        <v>901</v>
      </c>
      <c r="E3254" s="33">
        <v>8.8099999999999998E-2</v>
      </c>
      <c r="F3254" s="27">
        <v>64.619</v>
      </c>
      <c r="G3254" s="30">
        <f t="shared" si="56"/>
        <v>5.6929338999999999</v>
      </c>
      <c r="H3254" s="31"/>
      <c r="I3254" s="27"/>
      <c r="J3254" s="141">
        <v>0</v>
      </c>
    </row>
    <row r="3255" spans="1:10" ht="26.25" hidden="1" thickBot="1" x14ac:dyDescent="0.3">
      <c r="A3255" s="226"/>
      <c r="B3255" s="244"/>
      <c r="C3255" s="32" t="s">
        <v>957</v>
      </c>
      <c r="D3255" s="43" t="s">
        <v>705</v>
      </c>
      <c r="E3255" s="33">
        <v>1.1539999999999999</v>
      </c>
      <c r="F3255" s="27">
        <v>24.300999999999998</v>
      </c>
      <c r="G3255" s="30">
        <f t="shared" si="56"/>
        <v>28.043353999999997</v>
      </c>
      <c r="H3255" s="31"/>
      <c r="I3255" s="27"/>
      <c r="J3255" s="141">
        <v>0</v>
      </c>
    </row>
    <row r="3256" spans="1:10" ht="15.75" hidden="1" thickBot="1" x14ac:dyDescent="0.3">
      <c r="A3256" s="226"/>
      <c r="B3256" s="244"/>
      <c r="C3256" s="32" t="s">
        <v>706</v>
      </c>
      <c r="D3256" s="43" t="s">
        <v>705</v>
      </c>
      <c r="E3256" s="33">
        <v>0.55649999999999999</v>
      </c>
      <c r="F3256" s="27">
        <v>18.420500000000001</v>
      </c>
      <c r="G3256" s="30">
        <f t="shared" si="56"/>
        <v>10.25100825</v>
      </c>
      <c r="H3256" s="31"/>
      <c r="I3256" s="27"/>
      <c r="J3256" s="141">
        <v>0</v>
      </c>
    </row>
    <row r="3257" spans="1:10" ht="26.25" hidden="1" thickBot="1" x14ac:dyDescent="0.3">
      <c r="A3257" s="226"/>
      <c r="B3257" s="244"/>
      <c r="C3257" s="32" t="s">
        <v>303</v>
      </c>
      <c r="D3257" s="32" t="s">
        <v>20</v>
      </c>
      <c r="E3257" s="33">
        <v>1</v>
      </c>
      <c r="F3257" s="30" t="s">
        <v>523</v>
      </c>
      <c r="G3257" s="30" t="str">
        <f t="shared" si="56"/>
        <v/>
      </c>
      <c r="H3257" s="31"/>
      <c r="I3257" s="27"/>
      <c r="J3257" s="141">
        <v>0</v>
      </c>
    </row>
    <row r="3258" spans="1:10" ht="15.75" hidden="1" thickBot="1" x14ac:dyDescent="0.3">
      <c r="A3258" s="227"/>
      <c r="B3258" s="230"/>
      <c r="C3258" s="32"/>
      <c r="D3258" s="32"/>
      <c r="E3258" s="33"/>
      <c r="F3258" s="27" t="s">
        <v>523</v>
      </c>
      <c r="G3258" s="30" t="str">
        <f t="shared" si="56"/>
        <v/>
      </c>
      <c r="H3258" s="31"/>
      <c r="I3258" s="27"/>
      <c r="J3258" s="141">
        <v>0</v>
      </c>
    </row>
    <row r="3259" spans="1:10" ht="15.75" hidden="1" thickBot="1" x14ac:dyDescent="0.3">
      <c r="A3259" s="225" t="s">
        <v>964</v>
      </c>
      <c r="B3259" s="228" t="str">
        <f>INDEX(Orçamentária!A:B,MATCH(Composições!A3259,Orçamentária!A:A,0),2)</f>
        <v>Assento para bacia convencional - Linha Acessibilidade</v>
      </c>
      <c r="C3259" s="37"/>
      <c r="D3259" s="22" t="str">
        <f>TRIM(INDEX(Orçamentária!C:C,MATCH(Composições!A3259,Orçamentária!A:A,0),1))</f>
        <v>un</v>
      </c>
      <c r="E3259" s="23"/>
      <c r="F3259" s="38" t="s">
        <v>523</v>
      </c>
      <c r="G3259" s="24" t="str">
        <f t="shared" si="56"/>
        <v/>
      </c>
      <c r="H3259" s="25"/>
      <c r="I3259" s="26"/>
      <c r="J3259" s="141">
        <v>0</v>
      </c>
    </row>
    <row r="3260" spans="1:10" ht="15.75" hidden="1" thickBot="1" x14ac:dyDescent="0.3">
      <c r="A3260" s="226"/>
      <c r="B3260" s="244"/>
      <c r="C3260" s="28"/>
      <c r="D3260" s="28"/>
      <c r="E3260" s="29"/>
      <c r="F3260" s="39" t="s">
        <v>523</v>
      </c>
      <c r="G3260" s="30" t="str">
        <f t="shared" si="56"/>
        <v/>
      </c>
      <c r="H3260" s="31"/>
      <c r="I3260" s="27"/>
      <c r="J3260" s="141">
        <v>0</v>
      </c>
    </row>
    <row r="3261" spans="1:10" ht="26.25" hidden="1" thickBot="1" x14ac:dyDescent="0.3">
      <c r="A3261" s="226"/>
      <c r="B3261" s="244"/>
      <c r="C3261" s="32" t="s">
        <v>965</v>
      </c>
      <c r="D3261" s="43" t="s">
        <v>144</v>
      </c>
      <c r="E3261" s="33">
        <v>1</v>
      </c>
      <c r="F3261" s="27" t="s">
        <v>523</v>
      </c>
      <c r="G3261" s="30" t="str">
        <f t="shared" si="56"/>
        <v/>
      </c>
      <c r="H3261" s="35">
        <f>SUM(G3261:G3262)</f>
        <v>1.8420500000000002</v>
      </c>
      <c r="I3261" s="36"/>
      <c r="J3261" s="141">
        <v>0</v>
      </c>
    </row>
    <row r="3262" spans="1:10" ht="15.75" hidden="1" thickBot="1" x14ac:dyDescent="0.3">
      <c r="A3262" s="226"/>
      <c r="B3262" s="244"/>
      <c r="C3262" s="32" t="s">
        <v>966</v>
      </c>
      <c r="D3262" s="43" t="s">
        <v>12</v>
      </c>
      <c r="E3262" s="33">
        <v>0.1</v>
      </c>
      <c r="F3262" s="27">
        <v>18.420500000000001</v>
      </c>
      <c r="G3262" s="30">
        <f t="shared" si="56"/>
        <v>1.8420500000000002</v>
      </c>
      <c r="H3262" s="31"/>
      <c r="I3262" s="27"/>
      <c r="J3262" s="141">
        <v>0</v>
      </c>
    </row>
    <row r="3263" spans="1:10" ht="15.75" hidden="1" thickBot="1" x14ac:dyDescent="0.3">
      <c r="A3263" s="227"/>
      <c r="B3263" s="230"/>
      <c r="C3263" s="32"/>
      <c r="D3263" s="32"/>
      <c r="E3263" s="33"/>
      <c r="F3263" s="27" t="s">
        <v>523</v>
      </c>
      <c r="G3263" s="30" t="str">
        <f t="shared" si="56"/>
        <v/>
      </c>
      <c r="H3263" s="31"/>
      <c r="I3263" s="27"/>
      <c r="J3263" s="141">
        <v>0</v>
      </c>
    </row>
    <row r="3264" spans="1:10" ht="15.75" hidden="1" thickBot="1" x14ac:dyDescent="0.3">
      <c r="A3264" s="225" t="s">
        <v>967</v>
      </c>
      <c r="B3264" s="228" t="str">
        <f>INDEX(Orçamentária!A:B,MATCH(Composições!A3264,Orçamentária!A:A,0),2)</f>
        <v>Base registro de gaveta 1 1/2”</v>
      </c>
      <c r="C3264" s="37"/>
      <c r="D3264" s="22" t="str">
        <f>TRIM(INDEX(Orçamentária!C:C,MATCH(Composições!A3264,Orçamentária!A:A,0),1))</f>
        <v>un</v>
      </c>
      <c r="E3264" s="23"/>
      <c r="F3264" s="38" t="s">
        <v>523</v>
      </c>
      <c r="G3264" s="24" t="str">
        <f t="shared" si="56"/>
        <v/>
      </c>
      <c r="H3264" s="25"/>
      <c r="I3264" s="26"/>
      <c r="J3264" s="141">
        <v>0</v>
      </c>
    </row>
    <row r="3265" spans="1:10" ht="15.75" hidden="1" thickBot="1" x14ac:dyDescent="0.3">
      <c r="A3265" s="226"/>
      <c r="B3265" s="244"/>
      <c r="C3265" s="28"/>
      <c r="D3265" s="28"/>
      <c r="E3265" s="29"/>
      <c r="F3265" s="39" t="s">
        <v>523</v>
      </c>
      <c r="G3265" s="30" t="str">
        <f t="shared" si="56"/>
        <v/>
      </c>
      <c r="H3265" s="31"/>
      <c r="I3265" s="27"/>
      <c r="J3265" s="141">
        <v>0</v>
      </c>
    </row>
    <row r="3266" spans="1:10" ht="26.25" hidden="1" thickBot="1" x14ac:dyDescent="0.3">
      <c r="A3266" s="226"/>
      <c r="B3266" s="244"/>
      <c r="C3266" s="32" t="s">
        <v>968</v>
      </c>
      <c r="D3266" s="43" t="s">
        <v>144</v>
      </c>
      <c r="E3266" s="33">
        <v>1</v>
      </c>
      <c r="F3266" s="27" t="s">
        <v>523</v>
      </c>
      <c r="G3266" s="30" t="str">
        <f t="shared" si="56"/>
        <v/>
      </c>
      <c r="H3266" s="35">
        <f>SUM(G3266:G3269)</f>
        <v>11.735517199999997</v>
      </c>
      <c r="I3266" s="36"/>
      <c r="J3266" s="141">
        <v>0</v>
      </c>
    </row>
    <row r="3267" spans="1:10" ht="15.75" hidden="1" thickBot="1" x14ac:dyDescent="0.3">
      <c r="A3267" s="226"/>
      <c r="B3267" s="244"/>
      <c r="C3267" s="32" t="s">
        <v>319</v>
      </c>
      <c r="D3267" s="43" t="s">
        <v>280</v>
      </c>
      <c r="E3267" s="33">
        <v>1.9199999999999998E-2</v>
      </c>
      <c r="F3267" s="27">
        <v>16.111999999999998</v>
      </c>
      <c r="G3267" s="30">
        <f t="shared" si="56"/>
        <v>0.30935039999999991</v>
      </c>
      <c r="H3267" s="31"/>
      <c r="I3267" s="27"/>
      <c r="J3267" s="141">
        <v>0</v>
      </c>
    </row>
    <row r="3268" spans="1:10" ht="15.75" hidden="1" thickBot="1" x14ac:dyDescent="0.3">
      <c r="A3268" s="226"/>
      <c r="B3268" s="244"/>
      <c r="C3268" s="32" t="s">
        <v>39</v>
      </c>
      <c r="D3268" s="43" t="s">
        <v>12</v>
      </c>
      <c r="E3268" s="33">
        <v>0.26329999999999998</v>
      </c>
      <c r="F3268" s="27">
        <v>24.300999999999998</v>
      </c>
      <c r="G3268" s="30">
        <f t="shared" si="56"/>
        <v>6.398453299999999</v>
      </c>
      <c r="H3268" s="31"/>
      <c r="I3268" s="27"/>
      <c r="J3268" s="141">
        <v>0</v>
      </c>
    </row>
    <row r="3269" spans="1:10" ht="26.25" hidden="1" thickBot="1" x14ac:dyDescent="0.3">
      <c r="A3269" s="226"/>
      <c r="B3269" s="244"/>
      <c r="C3269" s="32" t="s">
        <v>956</v>
      </c>
      <c r="D3269" s="32" t="s">
        <v>12</v>
      </c>
      <c r="E3269" s="33">
        <v>0.26329999999999998</v>
      </c>
      <c r="F3269" s="27">
        <v>19.094999999999999</v>
      </c>
      <c r="G3269" s="30">
        <f t="shared" si="56"/>
        <v>5.0277134999999991</v>
      </c>
      <c r="H3269" s="31"/>
      <c r="I3269" s="27"/>
      <c r="J3269" s="141">
        <v>0</v>
      </c>
    </row>
    <row r="3270" spans="1:10" ht="15.75" hidden="1" thickBot="1" x14ac:dyDescent="0.3">
      <c r="A3270" s="227"/>
      <c r="B3270" s="230"/>
      <c r="C3270" s="32"/>
      <c r="D3270" s="32"/>
      <c r="E3270" s="33"/>
      <c r="F3270" s="27" t="s">
        <v>523</v>
      </c>
      <c r="G3270" s="30" t="str">
        <f t="shared" si="56"/>
        <v/>
      </c>
      <c r="H3270" s="31"/>
      <c r="I3270" s="27"/>
      <c r="J3270" s="141">
        <v>0</v>
      </c>
    </row>
    <row r="3271" spans="1:10" ht="15.75" hidden="1" thickBot="1" x14ac:dyDescent="0.3">
      <c r="A3271" s="225" t="s">
        <v>969</v>
      </c>
      <c r="B3271" s="228" t="str">
        <f>INDEX(Orçamentária!A:B,MATCH(Composições!A3271,Orçamentária!A:A,0),2)</f>
        <v>Condutor 25 mm²</v>
      </c>
      <c r="C3271" s="37"/>
      <c r="D3271" s="22" t="str">
        <f>TRIM(INDEX(Orçamentária!C:C,MATCH(Composições!A3271,Orçamentária!A:A,0),1))</f>
        <v>m</v>
      </c>
      <c r="E3271" s="23"/>
      <c r="F3271" s="38" t="s">
        <v>523</v>
      </c>
      <c r="G3271" s="24" t="str">
        <f t="shared" si="56"/>
        <v/>
      </c>
      <c r="H3271" s="25"/>
      <c r="I3271" s="26"/>
      <c r="J3271" s="141">
        <v>0</v>
      </c>
    </row>
    <row r="3272" spans="1:10" ht="15.75" hidden="1" thickBot="1" x14ac:dyDescent="0.3">
      <c r="A3272" s="226"/>
      <c r="B3272" s="244"/>
      <c r="C3272" s="28"/>
      <c r="D3272" s="28"/>
      <c r="E3272" s="29"/>
      <c r="F3272" s="39" t="s">
        <v>523</v>
      </c>
      <c r="G3272" s="30" t="str">
        <f t="shared" si="56"/>
        <v/>
      </c>
      <c r="H3272" s="31"/>
      <c r="I3272" s="27"/>
      <c r="J3272" s="141">
        <v>0</v>
      </c>
    </row>
    <row r="3273" spans="1:10" ht="15.75" hidden="1" thickBot="1" x14ac:dyDescent="0.3">
      <c r="A3273" s="226"/>
      <c r="B3273" s="244"/>
      <c r="C3273" s="32" t="s">
        <v>970</v>
      </c>
      <c r="D3273" s="32" t="s">
        <v>93</v>
      </c>
      <c r="E3273" s="33">
        <v>1.0149999999999999</v>
      </c>
      <c r="F3273" s="27">
        <v>0</v>
      </c>
      <c r="G3273" s="30">
        <f t="shared" si="56"/>
        <v>0</v>
      </c>
      <c r="H3273" s="35">
        <f>SUM(G3273:G3276)</f>
        <v>2.8867459999999996</v>
      </c>
      <c r="I3273" s="36"/>
      <c r="J3273" s="141">
        <v>0</v>
      </c>
    </row>
    <row r="3274" spans="1:10" ht="15.75" hidden="1" thickBot="1" x14ac:dyDescent="0.3">
      <c r="A3274" s="226"/>
      <c r="B3274" s="244"/>
      <c r="C3274" s="32" t="s">
        <v>555</v>
      </c>
      <c r="D3274" s="43" t="s">
        <v>280</v>
      </c>
      <c r="E3274" s="33">
        <v>8.9999999999999993E-3</v>
      </c>
      <c r="F3274" s="27">
        <v>3.9139999999999997</v>
      </c>
      <c r="G3274" s="30">
        <f t="shared" si="56"/>
        <v>3.5225999999999993E-2</v>
      </c>
      <c r="H3274" s="31"/>
      <c r="I3274" s="27"/>
      <c r="J3274" s="141">
        <v>0</v>
      </c>
    </row>
    <row r="3275" spans="1:10" ht="15.75" hidden="1" thickBot="1" x14ac:dyDescent="0.3">
      <c r="A3275" s="226"/>
      <c r="B3275" s="244"/>
      <c r="C3275" s="32" t="s">
        <v>74</v>
      </c>
      <c r="D3275" s="32" t="s">
        <v>12</v>
      </c>
      <c r="E3275" s="33">
        <v>6.4000000000000001E-2</v>
      </c>
      <c r="F3275" s="27">
        <v>19.4085</v>
      </c>
      <c r="G3275" s="30">
        <f t="shared" si="56"/>
        <v>1.2421440000000001</v>
      </c>
      <c r="H3275" s="31"/>
      <c r="I3275" s="27"/>
      <c r="J3275" s="141">
        <v>0</v>
      </c>
    </row>
    <row r="3276" spans="1:10" ht="15.75" hidden="1" thickBot="1" x14ac:dyDescent="0.3">
      <c r="A3276" s="226"/>
      <c r="B3276" s="244"/>
      <c r="C3276" s="32" t="s">
        <v>30</v>
      </c>
      <c r="D3276" s="32" t="s">
        <v>12</v>
      </c>
      <c r="E3276" s="33">
        <v>6.4000000000000001E-2</v>
      </c>
      <c r="F3276" s="27">
        <v>25.146499999999996</v>
      </c>
      <c r="G3276" s="30">
        <f t="shared" si="56"/>
        <v>1.6093759999999997</v>
      </c>
      <c r="H3276" s="31"/>
      <c r="I3276" s="27"/>
      <c r="J3276" s="141">
        <v>0</v>
      </c>
    </row>
    <row r="3277" spans="1:10" ht="15.75" hidden="1" thickBot="1" x14ac:dyDescent="0.3">
      <c r="A3277" s="227"/>
      <c r="B3277" s="230"/>
      <c r="C3277" s="32"/>
      <c r="D3277" s="32"/>
      <c r="E3277" s="33"/>
      <c r="F3277" s="27" t="s">
        <v>523</v>
      </c>
      <c r="G3277" s="30" t="str">
        <f t="shared" si="56"/>
        <v/>
      </c>
      <c r="H3277" s="31"/>
      <c r="I3277" s="27"/>
      <c r="J3277" s="141">
        <v>0</v>
      </c>
    </row>
    <row r="3278" spans="1:10" ht="15.75" hidden="1" thickBot="1" x14ac:dyDescent="0.3">
      <c r="A3278" s="225" t="s">
        <v>971</v>
      </c>
      <c r="B3278" s="228" t="str">
        <f>INDEX(Orçamentária!A:B,MATCH(Composições!A3278,Orçamentária!A:A,0),2)</f>
        <v>Condutor 35 mm²</v>
      </c>
      <c r="C3278" s="37"/>
      <c r="D3278" s="22" t="str">
        <f>TRIM(INDEX(Orçamentária!C:C,MATCH(Composições!A3278,Orçamentária!A:A,0),1))</f>
        <v>m</v>
      </c>
      <c r="E3278" s="23"/>
      <c r="F3278" s="38" t="s">
        <v>523</v>
      </c>
      <c r="G3278" s="24" t="str">
        <f t="shared" si="56"/>
        <v/>
      </c>
      <c r="H3278" s="25"/>
      <c r="I3278" s="26"/>
      <c r="J3278" s="141">
        <v>0</v>
      </c>
    </row>
    <row r="3279" spans="1:10" ht="15.75" hidden="1" thickBot="1" x14ac:dyDescent="0.3">
      <c r="A3279" s="226"/>
      <c r="B3279" s="244"/>
      <c r="C3279" s="28"/>
      <c r="D3279" s="28"/>
      <c r="E3279" s="29"/>
      <c r="F3279" s="39" t="s">
        <v>523</v>
      </c>
      <c r="G3279" s="30" t="str">
        <f t="shared" si="56"/>
        <v/>
      </c>
      <c r="H3279" s="31"/>
      <c r="I3279" s="27"/>
      <c r="J3279" s="141">
        <v>0</v>
      </c>
    </row>
    <row r="3280" spans="1:10" ht="15.75" hidden="1" thickBot="1" x14ac:dyDescent="0.3">
      <c r="A3280" s="226"/>
      <c r="B3280" s="244"/>
      <c r="C3280" s="32" t="s">
        <v>972</v>
      </c>
      <c r="D3280" s="32" t="s">
        <v>93</v>
      </c>
      <c r="E3280" s="33">
        <v>1.0149999999999999</v>
      </c>
      <c r="F3280" s="27">
        <v>0</v>
      </c>
      <c r="G3280" s="30">
        <f t="shared" si="56"/>
        <v>0</v>
      </c>
      <c r="H3280" s="35">
        <f>SUM(G3280:G3283)</f>
        <v>3.2877409999999996</v>
      </c>
      <c r="I3280" s="36"/>
      <c r="J3280" s="141">
        <v>0</v>
      </c>
    </row>
    <row r="3281" spans="1:10" ht="15.75" hidden="1" thickBot="1" x14ac:dyDescent="0.3">
      <c r="A3281" s="226"/>
      <c r="B3281" s="244"/>
      <c r="C3281" s="32" t="s">
        <v>555</v>
      </c>
      <c r="D3281" s="43" t="s">
        <v>280</v>
      </c>
      <c r="E3281" s="33">
        <v>8.9999999999999993E-3</v>
      </c>
      <c r="F3281" s="27">
        <v>3.9139999999999997</v>
      </c>
      <c r="G3281" s="30">
        <f t="shared" si="56"/>
        <v>3.5225999999999993E-2</v>
      </c>
      <c r="H3281" s="31"/>
      <c r="I3281" s="27"/>
      <c r="J3281" s="141">
        <v>0</v>
      </c>
    </row>
    <row r="3282" spans="1:10" ht="15.75" hidden="1" thickBot="1" x14ac:dyDescent="0.3">
      <c r="A3282" s="226"/>
      <c r="B3282" s="244"/>
      <c r="C3282" s="32" t="s">
        <v>74</v>
      </c>
      <c r="D3282" s="32" t="s">
        <v>12</v>
      </c>
      <c r="E3282" s="33">
        <v>7.2999999999999995E-2</v>
      </c>
      <c r="F3282" s="27">
        <v>19.4085</v>
      </c>
      <c r="G3282" s="30">
        <f t="shared" si="56"/>
        <v>1.4168204999999998</v>
      </c>
      <c r="H3282" s="31"/>
      <c r="I3282" s="27"/>
      <c r="J3282" s="141">
        <v>0</v>
      </c>
    </row>
    <row r="3283" spans="1:10" ht="15.75" hidden="1" thickBot="1" x14ac:dyDescent="0.3">
      <c r="A3283" s="226"/>
      <c r="B3283" s="244"/>
      <c r="C3283" s="32" t="s">
        <v>30</v>
      </c>
      <c r="D3283" s="32" t="s">
        <v>12</v>
      </c>
      <c r="E3283" s="33">
        <v>7.2999999999999995E-2</v>
      </c>
      <c r="F3283" s="27">
        <v>25.146499999999996</v>
      </c>
      <c r="G3283" s="30">
        <f t="shared" si="56"/>
        <v>1.8356944999999996</v>
      </c>
      <c r="H3283" s="31"/>
      <c r="I3283" s="27"/>
      <c r="J3283" s="141">
        <v>0</v>
      </c>
    </row>
    <row r="3284" spans="1:10" ht="15.75" hidden="1" thickBot="1" x14ac:dyDescent="0.3">
      <c r="A3284" s="227"/>
      <c r="B3284" s="230"/>
      <c r="C3284" s="32"/>
      <c r="D3284" s="32"/>
      <c r="E3284" s="33"/>
      <c r="F3284" s="27" t="s">
        <v>523</v>
      </c>
      <c r="G3284" s="30" t="str">
        <f t="shared" si="56"/>
        <v/>
      </c>
      <c r="H3284" s="31"/>
      <c r="I3284" s="27"/>
      <c r="J3284" s="141">
        <v>0</v>
      </c>
    </row>
    <row r="3285" spans="1:10" ht="15.75" hidden="1" thickBot="1" x14ac:dyDescent="0.3">
      <c r="A3285" s="225" t="s">
        <v>973</v>
      </c>
      <c r="B3285" s="228" t="str">
        <f>INDEX(Orçamentária!A:B,MATCH(Composições!A3285,Orçamentária!A:A,0),2)</f>
        <v>Condutor 50 mm²</v>
      </c>
      <c r="C3285" s="37"/>
      <c r="D3285" s="22" t="str">
        <f>TRIM(INDEX(Orçamentária!C:C,MATCH(Composições!A3285,Orçamentária!A:A,0),1))</f>
        <v>m</v>
      </c>
      <c r="E3285" s="23"/>
      <c r="F3285" s="38" t="s">
        <v>523</v>
      </c>
      <c r="G3285" s="24" t="str">
        <f t="shared" si="56"/>
        <v/>
      </c>
      <c r="H3285" s="25"/>
      <c r="I3285" s="26"/>
      <c r="J3285" s="141">
        <v>0</v>
      </c>
    </row>
    <row r="3286" spans="1:10" ht="15.75" hidden="1" thickBot="1" x14ac:dyDescent="0.3">
      <c r="A3286" s="226"/>
      <c r="B3286" s="244"/>
      <c r="C3286" s="28"/>
      <c r="D3286" s="28"/>
      <c r="E3286" s="29"/>
      <c r="F3286" s="39" t="s">
        <v>523</v>
      </c>
      <c r="G3286" s="30" t="str">
        <f t="shared" si="56"/>
        <v/>
      </c>
      <c r="H3286" s="31"/>
      <c r="I3286" s="27"/>
      <c r="J3286" s="141">
        <v>0</v>
      </c>
    </row>
    <row r="3287" spans="1:10" ht="15.75" hidden="1" thickBot="1" x14ac:dyDescent="0.3">
      <c r="A3287" s="226"/>
      <c r="B3287" s="244"/>
      <c r="C3287" s="32" t="s">
        <v>974</v>
      </c>
      <c r="D3287" s="32" t="s">
        <v>93</v>
      </c>
      <c r="E3287" s="33">
        <v>1.0149999999999999</v>
      </c>
      <c r="F3287" s="27">
        <v>0</v>
      </c>
      <c r="G3287" s="30">
        <f t="shared" si="56"/>
        <v>0</v>
      </c>
      <c r="H3287" s="35">
        <f>SUM(G3287:G3290)</f>
        <v>3.9115109999999995</v>
      </c>
      <c r="I3287" s="36"/>
      <c r="J3287" s="141">
        <v>0</v>
      </c>
    </row>
    <row r="3288" spans="1:10" ht="15.75" hidden="1" thickBot="1" x14ac:dyDescent="0.3">
      <c r="A3288" s="226"/>
      <c r="B3288" s="244"/>
      <c r="C3288" s="32" t="s">
        <v>555</v>
      </c>
      <c r="D3288" s="43" t="s">
        <v>280</v>
      </c>
      <c r="E3288" s="33">
        <v>8.9999999999999993E-3</v>
      </c>
      <c r="F3288" s="27">
        <v>3.9139999999999997</v>
      </c>
      <c r="G3288" s="30">
        <f t="shared" si="56"/>
        <v>3.5225999999999993E-2</v>
      </c>
      <c r="H3288" s="31"/>
      <c r="I3288" s="27"/>
      <c r="J3288" s="141">
        <v>0</v>
      </c>
    </row>
    <row r="3289" spans="1:10" ht="15.75" hidden="1" thickBot="1" x14ac:dyDescent="0.3">
      <c r="A3289" s="226"/>
      <c r="B3289" s="244"/>
      <c r="C3289" s="32" t="s">
        <v>74</v>
      </c>
      <c r="D3289" s="32" t="s">
        <v>12</v>
      </c>
      <c r="E3289" s="33">
        <v>8.6999999999999994E-2</v>
      </c>
      <c r="F3289" s="27">
        <v>19.4085</v>
      </c>
      <c r="G3289" s="30">
        <f t="shared" si="56"/>
        <v>1.6885394999999999</v>
      </c>
      <c r="H3289" s="31"/>
      <c r="I3289" s="27"/>
      <c r="J3289" s="141">
        <v>0</v>
      </c>
    </row>
    <row r="3290" spans="1:10" ht="15.75" hidden="1" thickBot="1" x14ac:dyDescent="0.3">
      <c r="A3290" s="226"/>
      <c r="B3290" s="244"/>
      <c r="C3290" s="32" t="s">
        <v>30</v>
      </c>
      <c r="D3290" s="32" t="s">
        <v>12</v>
      </c>
      <c r="E3290" s="33">
        <v>8.6999999999999994E-2</v>
      </c>
      <c r="F3290" s="27">
        <v>25.146499999999996</v>
      </c>
      <c r="G3290" s="30">
        <f t="shared" si="56"/>
        <v>2.1877454999999997</v>
      </c>
      <c r="H3290" s="31"/>
      <c r="I3290" s="27"/>
      <c r="J3290" s="141">
        <v>0</v>
      </c>
    </row>
    <row r="3291" spans="1:10" ht="15.75" hidden="1" thickBot="1" x14ac:dyDescent="0.3">
      <c r="A3291" s="227"/>
      <c r="B3291" s="230"/>
      <c r="C3291" s="32"/>
      <c r="D3291" s="32"/>
      <c r="E3291" s="33"/>
      <c r="F3291" s="27" t="s">
        <v>523</v>
      </c>
      <c r="G3291" s="30" t="str">
        <f t="shared" si="56"/>
        <v/>
      </c>
      <c r="H3291" s="31"/>
      <c r="I3291" s="27"/>
      <c r="J3291" s="141">
        <v>0</v>
      </c>
    </row>
    <row r="3292" spans="1:10" ht="15.75" hidden="1" thickBot="1" x14ac:dyDescent="0.3">
      <c r="A3292" s="225" t="s">
        <v>975</v>
      </c>
      <c r="B3292" s="228" t="str">
        <f>INDEX(Orçamentária!A:B,MATCH(Composições!A3292,Orçamentária!A:A,0),2)</f>
        <v>Condutor 70 mm²</v>
      </c>
      <c r="C3292" s="37"/>
      <c r="D3292" s="22" t="str">
        <f>TRIM(INDEX(Orçamentária!C:C,MATCH(Composições!A3292,Orçamentária!A:A,0),1))</f>
        <v>m</v>
      </c>
      <c r="E3292" s="23"/>
      <c r="F3292" s="38" t="s">
        <v>523</v>
      </c>
      <c r="G3292" s="24" t="str">
        <f t="shared" si="56"/>
        <v/>
      </c>
      <c r="H3292" s="25"/>
      <c r="I3292" s="26"/>
      <c r="J3292" s="141">
        <v>0</v>
      </c>
    </row>
    <row r="3293" spans="1:10" ht="15.75" hidden="1" thickBot="1" x14ac:dyDescent="0.3">
      <c r="A3293" s="226"/>
      <c r="B3293" s="244"/>
      <c r="C3293" s="28"/>
      <c r="D3293" s="28"/>
      <c r="E3293" s="29"/>
      <c r="F3293" s="39" t="s">
        <v>523</v>
      </c>
      <c r="G3293" s="30" t="str">
        <f t="shared" si="56"/>
        <v/>
      </c>
      <c r="H3293" s="31"/>
      <c r="I3293" s="27"/>
      <c r="J3293" s="141">
        <v>0</v>
      </c>
    </row>
    <row r="3294" spans="1:10" ht="15.75" hidden="1" thickBot="1" x14ac:dyDescent="0.3">
      <c r="A3294" s="226"/>
      <c r="B3294" s="244"/>
      <c r="C3294" s="32" t="s">
        <v>976</v>
      </c>
      <c r="D3294" s="32" t="s">
        <v>93</v>
      </c>
      <c r="E3294" s="33">
        <v>1.0149999999999999</v>
      </c>
      <c r="F3294" s="27">
        <v>0</v>
      </c>
      <c r="G3294" s="30">
        <f t="shared" si="56"/>
        <v>0</v>
      </c>
      <c r="H3294" s="35">
        <f>SUM(G3294:G3297)</f>
        <v>4.7135009999999991</v>
      </c>
      <c r="I3294" s="36"/>
      <c r="J3294" s="141">
        <v>0</v>
      </c>
    </row>
    <row r="3295" spans="1:10" ht="15.75" hidden="1" thickBot="1" x14ac:dyDescent="0.3">
      <c r="A3295" s="226"/>
      <c r="B3295" s="244"/>
      <c r="C3295" s="32" t="s">
        <v>555</v>
      </c>
      <c r="D3295" s="43" t="s">
        <v>280</v>
      </c>
      <c r="E3295" s="33">
        <v>8.9999999999999993E-3</v>
      </c>
      <c r="F3295" s="27">
        <v>3.9139999999999997</v>
      </c>
      <c r="G3295" s="30">
        <f t="shared" si="56"/>
        <v>3.5225999999999993E-2</v>
      </c>
      <c r="H3295" s="31"/>
      <c r="I3295" s="27"/>
      <c r="J3295" s="141">
        <v>0</v>
      </c>
    </row>
    <row r="3296" spans="1:10" ht="15.75" hidden="1" thickBot="1" x14ac:dyDescent="0.3">
      <c r="A3296" s="226"/>
      <c r="B3296" s="244"/>
      <c r="C3296" s="32" t="s">
        <v>74</v>
      </c>
      <c r="D3296" s="32" t="s">
        <v>12</v>
      </c>
      <c r="E3296" s="33">
        <v>0.105</v>
      </c>
      <c r="F3296" s="27">
        <v>19.4085</v>
      </c>
      <c r="G3296" s="30">
        <f t="shared" si="56"/>
        <v>2.0378924999999999</v>
      </c>
      <c r="H3296" s="31"/>
      <c r="I3296" s="27"/>
      <c r="J3296" s="141">
        <v>0</v>
      </c>
    </row>
    <row r="3297" spans="1:10" ht="15.75" hidden="1" thickBot="1" x14ac:dyDescent="0.3">
      <c r="A3297" s="226"/>
      <c r="B3297" s="244"/>
      <c r="C3297" s="32" t="s">
        <v>30</v>
      </c>
      <c r="D3297" s="32" t="s">
        <v>12</v>
      </c>
      <c r="E3297" s="33">
        <v>0.105</v>
      </c>
      <c r="F3297" s="27">
        <v>25.146499999999996</v>
      </c>
      <c r="G3297" s="30">
        <f t="shared" si="56"/>
        <v>2.6403824999999994</v>
      </c>
      <c r="H3297" s="31"/>
      <c r="I3297" s="27"/>
      <c r="J3297" s="141">
        <v>0</v>
      </c>
    </row>
    <row r="3298" spans="1:10" ht="15.75" hidden="1" thickBot="1" x14ac:dyDescent="0.3">
      <c r="A3298" s="227"/>
      <c r="B3298" s="230"/>
      <c r="C3298" s="32"/>
      <c r="D3298" s="32"/>
      <c r="E3298" s="33"/>
      <c r="F3298" s="27" t="s">
        <v>523</v>
      </c>
      <c r="G3298" s="30" t="str">
        <f t="shared" si="56"/>
        <v/>
      </c>
      <c r="H3298" s="31"/>
      <c r="I3298" s="27"/>
      <c r="J3298" s="141">
        <v>0</v>
      </c>
    </row>
    <row r="3299" spans="1:10" ht="15.75" hidden="1" thickBot="1" x14ac:dyDescent="0.3">
      <c r="A3299" s="225" t="s">
        <v>977</v>
      </c>
      <c r="B3299" s="228" t="str">
        <f>INDEX(Orçamentária!A:B,MATCH(Composições!A3299,Orçamentária!A:A,0),2)</f>
        <v>Condutor 95 mm²</v>
      </c>
      <c r="C3299" s="37"/>
      <c r="D3299" s="22" t="str">
        <f>TRIM(INDEX(Orçamentária!C:C,MATCH(Composições!A3299,Orçamentária!A:A,0),1))</f>
        <v>m</v>
      </c>
      <c r="E3299" s="23"/>
      <c r="F3299" s="38" t="s">
        <v>523</v>
      </c>
      <c r="G3299" s="24" t="str">
        <f t="shared" si="56"/>
        <v/>
      </c>
      <c r="H3299" s="25"/>
      <c r="I3299" s="26"/>
      <c r="J3299" s="141">
        <v>0</v>
      </c>
    </row>
    <row r="3300" spans="1:10" ht="15.75" hidden="1" thickBot="1" x14ac:dyDescent="0.3">
      <c r="A3300" s="226"/>
      <c r="B3300" s="244"/>
      <c r="C3300" s="28"/>
      <c r="D3300" s="28"/>
      <c r="E3300" s="29"/>
      <c r="F3300" s="39" t="s">
        <v>523</v>
      </c>
      <c r="G3300" s="30" t="str">
        <f t="shared" si="56"/>
        <v/>
      </c>
      <c r="H3300" s="31"/>
      <c r="I3300" s="27"/>
      <c r="J3300" s="141">
        <v>0</v>
      </c>
    </row>
    <row r="3301" spans="1:10" ht="15.75" hidden="1" thickBot="1" x14ac:dyDescent="0.3">
      <c r="A3301" s="226"/>
      <c r="B3301" s="244"/>
      <c r="C3301" s="32" t="s">
        <v>978</v>
      </c>
      <c r="D3301" s="32" t="s">
        <v>93</v>
      </c>
      <c r="E3301" s="33">
        <v>1.0149999999999999</v>
      </c>
      <c r="F3301" s="27">
        <v>0</v>
      </c>
      <c r="G3301" s="30">
        <f t="shared" si="56"/>
        <v>0</v>
      </c>
      <c r="H3301" s="35">
        <f>SUM(G3301:G3304)</f>
        <v>5.7382659999999994</v>
      </c>
      <c r="I3301" s="36"/>
      <c r="J3301" s="141">
        <v>0</v>
      </c>
    </row>
    <row r="3302" spans="1:10" ht="15.75" hidden="1" thickBot="1" x14ac:dyDescent="0.3">
      <c r="A3302" s="226"/>
      <c r="B3302" s="244"/>
      <c r="C3302" s="32" t="s">
        <v>555</v>
      </c>
      <c r="D3302" s="43" t="s">
        <v>280</v>
      </c>
      <c r="E3302" s="33">
        <v>8.9999999999999993E-3</v>
      </c>
      <c r="F3302" s="27">
        <v>3.9139999999999997</v>
      </c>
      <c r="G3302" s="30">
        <f t="shared" si="56"/>
        <v>3.5225999999999993E-2</v>
      </c>
      <c r="H3302" s="31"/>
      <c r="I3302" s="27"/>
      <c r="J3302" s="141">
        <v>0</v>
      </c>
    </row>
    <row r="3303" spans="1:10" ht="15.75" hidden="1" thickBot="1" x14ac:dyDescent="0.3">
      <c r="A3303" s="226"/>
      <c r="B3303" s="244"/>
      <c r="C3303" s="32" t="s">
        <v>74</v>
      </c>
      <c r="D3303" s="32" t="s">
        <v>12</v>
      </c>
      <c r="E3303" s="33">
        <v>0.128</v>
      </c>
      <c r="F3303" s="27">
        <v>19.4085</v>
      </c>
      <c r="G3303" s="30">
        <f t="shared" si="56"/>
        <v>2.4842880000000003</v>
      </c>
      <c r="H3303" s="31"/>
      <c r="I3303" s="27"/>
      <c r="J3303" s="141">
        <v>0</v>
      </c>
    </row>
    <row r="3304" spans="1:10" ht="15.75" hidden="1" thickBot="1" x14ac:dyDescent="0.3">
      <c r="A3304" s="226"/>
      <c r="B3304" s="244"/>
      <c r="C3304" s="32" t="s">
        <v>30</v>
      </c>
      <c r="D3304" s="32" t="s">
        <v>12</v>
      </c>
      <c r="E3304" s="33">
        <v>0.128</v>
      </c>
      <c r="F3304" s="27">
        <v>25.146499999999996</v>
      </c>
      <c r="G3304" s="30">
        <f t="shared" si="56"/>
        <v>3.2187519999999994</v>
      </c>
      <c r="H3304" s="31"/>
      <c r="I3304" s="27"/>
      <c r="J3304" s="141">
        <v>0</v>
      </c>
    </row>
    <row r="3305" spans="1:10" ht="15.75" hidden="1" thickBot="1" x14ac:dyDescent="0.3">
      <c r="A3305" s="227"/>
      <c r="B3305" s="230"/>
      <c r="C3305" s="32"/>
      <c r="D3305" s="32"/>
      <c r="E3305" s="33"/>
      <c r="F3305" s="27" t="s">
        <v>523</v>
      </c>
      <c r="G3305" s="30" t="str">
        <f t="shared" si="56"/>
        <v/>
      </c>
      <c r="H3305" s="31"/>
      <c r="I3305" s="27"/>
      <c r="J3305" s="141">
        <v>0</v>
      </c>
    </row>
    <row r="3306" spans="1:10" ht="15.75" hidden="1" thickBot="1" x14ac:dyDescent="0.3">
      <c r="A3306" s="225" t="s">
        <v>979</v>
      </c>
      <c r="B3306" s="228" t="str">
        <f>INDEX(Orçamentária!A:B,MATCH(Composições!A3306,Orçamentária!A:A,0),2)</f>
        <v>Condutor 120 mm²</v>
      </c>
      <c r="C3306" s="37"/>
      <c r="D3306" s="22" t="str">
        <f>TRIM(INDEX(Orçamentária!C:C,MATCH(Composições!A3306,Orçamentária!A:A,0),1))</f>
        <v>m</v>
      </c>
      <c r="E3306" s="23"/>
      <c r="F3306" s="38" t="s">
        <v>523</v>
      </c>
      <c r="G3306" s="24" t="str">
        <f t="shared" si="56"/>
        <v/>
      </c>
      <c r="H3306" s="25"/>
      <c r="I3306" s="26"/>
      <c r="J3306" s="141">
        <v>0</v>
      </c>
    </row>
    <row r="3307" spans="1:10" ht="15.75" hidden="1" thickBot="1" x14ac:dyDescent="0.3">
      <c r="A3307" s="226"/>
      <c r="B3307" s="244"/>
      <c r="C3307" s="28"/>
      <c r="D3307" s="28"/>
      <c r="E3307" s="29"/>
      <c r="F3307" s="39" t="s">
        <v>523</v>
      </c>
      <c r="G3307" s="30" t="str">
        <f t="shared" si="56"/>
        <v/>
      </c>
      <c r="H3307" s="31"/>
      <c r="I3307" s="27"/>
      <c r="J3307" s="141">
        <v>0</v>
      </c>
    </row>
    <row r="3308" spans="1:10" ht="15.75" hidden="1" thickBot="1" x14ac:dyDescent="0.3">
      <c r="A3308" s="226"/>
      <c r="B3308" s="244"/>
      <c r="C3308" s="32" t="s">
        <v>980</v>
      </c>
      <c r="D3308" s="32" t="s">
        <v>93</v>
      </c>
      <c r="E3308" s="33">
        <v>1.0149999999999999</v>
      </c>
      <c r="F3308" s="27">
        <v>0</v>
      </c>
      <c r="G3308" s="30">
        <f t="shared" si="56"/>
        <v>0</v>
      </c>
      <c r="H3308" s="35">
        <f>SUM(G3308:G3311)</f>
        <v>6.8075859999999997</v>
      </c>
      <c r="I3308" s="36"/>
      <c r="J3308" s="141">
        <v>0</v>
      </c>
    </row>
    <row r="3309" spans="1:10" ht="15.75" hidden="1" thickBot="1" x14ac:dyDescent="0.3">
      <c r="A3309" s="226"/>
      <c r="B3309" s="244"/>
      <c r="C3309" s="32" t="s">
        <v>555</v>
      </c>
      <c r="D3309" s="43" t="s">
        <v>280</v>
      </c>
      <c r="E3309" s="33">
        <v>8.9999999999999993E-3</v>
      </c>
      <c r="F3309" s="27">
        <v>3.9139999999999997</v>
      </c>
      <c r="G3309" s="30">
        <f t="shared" si="56"/>
        <v>3.5225999999999993E-2</v>
      </c>
      <c r="H3309" s="31"/>
      <c r="I3309" s="27"/>
      <c r="J3309" s="141">
        <v>0</v>
      </c>
    </row>
    <row r="3310" spans="1:10" ht="15.75" hidden="1" thickBot="1" x14ac:dyDescent="0.3">
      <c r="A3310" s="226"/>
      <c r="B3310" s="244"/>
      <c r="C3310" s="32" t="s">
        <v>74</v>
      </c>
      <c r="D3310" s="32" t="s">
        <v>12</v>
      </c>
      <c r="E3310" s="33">
        <v>0.152</v>
      </c>
      <c r="F3310" s="27">
        <v>19.4085</v>
      </c>
      <c r="G3310" s="30">
        <f t="shared" si="56"/>
        <v>2.9500920000000002</v>
      </c>
      <c r="H3310" s="31"/>
      <c r="I3310" s="27"/>
      <c r="J3310" s="141">
        <v>0</v>
      </c>
    </row>
    <row r="3311" spans="1:10" ht="15.75" hidden="1" thickBot="1" x14ac:dyDescent="0.3">
      <c r="A3311" s="226"/>
      <c r="B3311" s="244"/>
      <c r="C3311" s="32" t="s">
        <v>30</v>
      </c>
      <c r="D3311" s="32" t="s">
        <v>12</v>
      </c>
      <c r="E3311" s="33">
        <v>0.152</v>
      </c>
      <c r="F3311" s="27">
        <v>25.146499999999996</v>
      </c>
      <c r="G3311" s="30">
        <f t="shared" si="56"/>
        <v>3.8222679999999993</v>
      </c>
      <c r="H3311" s="31"/>
      <c r="I3311" s="27"/>
      <c r="J3311" s="141">
        <v>0</v>
      </c>
    </row>
    <row r="3312" spans="1:10" ht="15.75" hidden="1" thickBot="1" x14ac:dyDescent="0.3">
      <c r="A3312" s="227"/>
      <c r="B3312" s="230"/>
      <c r="C3312" s="32"/>
      <c r="D3312" s="32"/>
      <c r="E3312" s="33"/>
      <c r="F3312" s="27" t="s">
        <v>523</v>
      </c>
      <c r="G3312" s="30" t="str">
        <f t="shared" si="56"/>
        <v/>
      </c>
      <c r="H3312" s="31"/>
      <c r="I3312" s="27"/>
      <c r="J3312" s="141">
        <v>0</v>
      </c>
    </row>
    <row r="3313" spans="1:10" ht="15.75" hidden="1" thickBot="1" x14ac:dyDescent="0.3">
      <c r="A3313" s="225" t="s">
        <v>981</v>
      </c>
      <c r="B3313" s="228" t="str">
        <f>INDEX(Orçamentária!A:B,MATCH(Composições!A3313,Orçamentária!A:A,0),2)</f>
        <v>Condutor 150 mm²</v>
      </c>
      <c r="C3313" s="37"/>
      <c r="D3313" s="22" t="str">
        <f>TRIM(INDEX(Orçamentária!C:C,MATCH(Composições!A3313,Orçamentária!A:A,0),1))</f>
        <v>m</v>
      </c>
      <c r="E3313" s="23"/>
      <c r="F3313" s="38" t="s">
        <v>523</v>
      </c>
      <c r="G3313" s="24" t="str">
        <f t="shared" ref="G3313:G3376" si="57">IF(ISNUMBER(F3313),E3313*F3313,"")</f>
        <v/>
      </c>
      <c r="H3313" s="25"/>
      <c r="I3313" s="26"/>
      <c r="J3313" s="141">
        <v>0</v>
      </c>
    </row>
    <row r="3314" spans="1:10" ht="15.75" hidden="1" thickBot="1" x14ac:dyDescent="0.3">
      <c r="A3314" s="226"/>
      <c r="B3314" s="244"/>
      <c r="C3314" s="28"/>
      <c r="D3314" s="28"/>
      <c r="E3314" s="29"/>
      <c r="F3314" s="39" t="s">
        <v>523</v>
      </c>
      <c r="G3314" s="30" t="str">
        <f t="shared" si="57"/>
        <v/>
      </c>
      <c r="H3314" s="31"/>
      <c r="I3314" s="27"/>
      <c r="J3314" s="141">
        <v>0</v>
      </c>
    </row>
    <row r="3315" spans="1:10" ht="15.75" hidden="1" thickBot="1" x14ac:dyDescent="0.3">
      <c r="A3315" s="226"/>
      <c r="B3315" s="244"/>
      <c r="C3315" s="32" t="s">
        <v>982</v>
      </c>
      <c r="D3315" s="32" t="s">
        <v>93</v>
      </c>
      <c r="E3315" s="33">
        <v>1.0149999999999999</v>
      </c>
      <c r="F3315" s="27">
        <v>0</v>
      </c>
      <c r="G3315" s="30">
        <f t="shared" si="57"/>
        <v>0</v>
      </c>
      <c r="H3315" s="35">
        <f>SUM(G3315:G3318)</f>
        <v>8.0105709999999988</v>
      </c>
      <c r="I3315" s="36"/>
      <c r="J3315" s="141">
        <v>0</v>
      </c>
    </row>
    <row r="3316" spans="1:10" ht="15.75" hidden="1" thickBot="1" x14ac:dyDescent="0.3">
      <c r="A3316" s="226"/>
      <c r="B3316" s="244"/>
      <c r="C3316" s="32" t="s">
        <v>555</v>
      </c>
      <c r="D3316" s="43" t="s">
        <v>280</v>
      </c>
      <c r="E3316" s="33">
        <v>8.9999999999999993E-3</v>
      </c>
      <c r="F3316" s="27">
        <v>3.9139999999999997</v>
      </c>
      <c r="G3316" s="30">
        <f t="shared" si="57"/>
        <v>3.5225999999999993E-2</v>
      </c>
      <c r="H3316" s="31"/>
      <c r="I3316" s="27"/>
      <c r="J3316" s="141">
        <v>0</v>
      </c>
    </row>
    <row r="3317" spans="1:10" ht="15.75" hidden="1" thickBot="1" x14ac:dyDescent="0.3">
      <c r="A3317" s="226"/>
      <c r="B3317" s="244"/>
      <c r="C3317" s="32" t="s">
        <v>74</v>
      </c>
      <c r="D3317" s="32" t="s">
        <v>12</v>
      </c>
      <c r="E3317" s="33">
        <v>0.17899999999999999</v>
      </c>
      <c r="F3317" s="27">
        <v>19.4085</v>
      </c>
      <c r="G3317" s="30">
        <f t="shared" si="57"/>
        <v>3.4741214999999999</v>
      </c>
      <c r="H3317" s="31"/>
      <c r="I3317" s="27"/>
      <c r="J3317" s="141">
        <v>0</v>
      </c>
    </row>
    <row r="3318" spans="1:10" ht="15.75" hidden="1" thickBot="1" x14ac:dyDescent="0.3">
      <c r="A3318" s="226"/>
      <c r="B3318" s="244"/>
      <c r="C3318" s="32" t="s">
        <v>30</v>
      </c>
      <c r="D3318" s="32" t="s">
        <v>12</v>
      </c>
      <c r="E3318" s="33">
        <v>0.17899999999999999</v>
      </c>
      <c r="F3318" s="27">
        <v>25.146499999999996</v>
      </c>
      <c r="G3318" s="30">
        <f t="shared" si="57"/>
        <v>4.5012234999999992</v>
      </c>
      <c r="H3318" s="31"/>
      <c r="I3318" s="27"/>
      <c r="J3318" s="141">
        <v>0</v>
      </c>
    </row>
    <row r="3319" spans="1:10" ht="15.75" hidden="1" thickBot="1" x14ac:dyDescent="0.3">
      <c r="A3319" s="227"/>
      <c r="B3319" s="230"/>
      <c r="C3319" s="32"/>
      <c r="D3319" s="32"/>
      <c r="E3319" s="33"/>
      <c r="F3319" s="27" t="s">
        <v>523</v>
      </c>
      <c r="G3319" s="30" t="str">
        <f t="shared" si="57"/>
        <v/>
      </c>
      <c r="H3319" s="31"/>
      <c r="I3319" s="27"/>
      <c r="J3319" s="141">
        <v>0</v>
      </c>
    </row>
    <row r="3320" spans="1:10" ht="15.75" hidden="1" thickBot="1" x14ac:dyDescent="0.3">
      <c r="A3320" s="225" t="s">
        <v>983</v>
      </c>
      <c r="B3320" s="228" t="str">
        <f>INDEX(Orçamentária!A:B,MATCH(Composições!A3320,Orçamentária!A:A,0),2)</f>
        <v>Condutor 185 mm²</v>
      </c>
      <c r="C3320" s="37"/>
      <c r="D3320" s="22" t="str">
        <f>TRIM(INDEX(Orçamentária!C:C,MATCH(Composições!A3320,Orçamentária!A:A,0),1))</f>
        <v>m</v>
      </c>
      <c r="E3320" s="23"/>
      <c r="F3320" s="38" t="s">
        <v>523</v>
      </c>
      <c r="G3320" s="24" t="str">
        <f t="shared" si="57"/>
        <v/>
      </c>
      <c r="H3320" s="25"/>
      <c r="I3320" s="26"/>
      <c r="J3320" s="141">
        <v>0</v>
      </c>
    </row>
    <row r="3321" spans="1:10" ht="15.75" hidden="1" thickBot="1" x14ac:dyDescent="0.3">
      <c r="A3321" s="226"/>
      <c r="B3321" s="244"/>
      <c r="C3321" s="28"/>
      <c r="D3321" s="28"/>
      <c r="E3321" s="29"/>
      <c r="F3321" s="39" t="s">
        <v>523</v>
      </c>
      <c r="G3321" s="30" t="str">
        <f t="shared" si="57"/>
        <v/>
      </c>
      <c r="H3321" s="31"/>
      <c r="I3321" s="27"/>
      <c r="J3321" s="141">
        <v>0</v>
      </c>
    </row>
    <row r="3322" spans="1:10" ht="15.75" hidden="1" thickBot="1" x14ac:dyDescent="0.3">
      <c r="A3322" s="226"/>
      <c r="B3322" s="244"/>
      <c r="C3322" s="32" t="s">
        <v>984</v>
      </c>
      <c r="D3322" s="32" t="s">
        <v>93</v>
      </c>
      <c r="E3322" s="33">
        <v>1.0149999999999999</v>
      </c>
      <c r="F3322" s="27">
        <v>0</v>
      </c>
      <c r="G3322" s="30">
        <f t="shared" si="57"/>
        <v>0</v>
      </c>
      <c r="H3322" s="35">
        <f>SUM(G3322:G3325)</f>
        <v>9.4808859999999981</v>
      </c>
      <c r="I3322" s="36"/>
      <c r="J3322" s="141">
        <v>0</v>
      </c>
    </row>
    <row r="3323" spans="1:10" ht="15.75" hidden="1" thickBot="1" x14ac:dyDescent="0.3">
      <c r="A3323" s="226"/>
      <c r="B3323" s="244"/>
      <c r="C3323" s="32" t="s">
        <v>555</v>
      </c>
      <c r="D3323" s="43" t="s">
        <v>280</v>
      </c>
      <c r="E3323" s="33">
        <v>8.9999999999999993E-3</v>
      </c>
      <c r="F3323" s="27">
        <v>3.9139999999999997</v>
      </c>
      <c r="G3323" s="30">
        <f t="shared" si="57"/>
        <v>3.5225999999999993E-2</v>
      </c>
      <c r="H3323" s="31"/>
      <c r="I3323" s="27"/>
      <c r="J3323" s="141">
        <v>0</v>
      </c>
    </row>
    <row r="3324" spans="1:10" ht="15.75" hidden="1" thickBot="1" x14ac:dyDescent="0.3">
      <c r="A3324" s="226"/>
      <c r="B3324" s="244"/>
      <c r="C3324" s="32" t="s">
        <v>74</v>
      </c>
      <c r="D3324" s="32" t="s">
        <v>12</v>
      </c>
      <c r="E3324" s="33">
        <v>0.21199999999999999</v>
      </c>
      <c r="F3324" s="27">
        <v>19.4085</v>
      </c>
      <c r="G3324" s="30">
        <f t="shared" si="57"/>
        <v>4.1146019999999996</v>
      </c>
      <c r="H3324" s="31"/>
      <c r="I3324" s="27"/>
      <c r="J3324" s="141">
        <v>0</v>
      </c>
    </row>
    <row r="3325" spans="1:10" ht="15.75" hidden="1" thickBot="1" x14ac:dyDescent="0.3">
      <c r="A3325" s="226"/>
      <c r="B3325" s="244"/>
      <c r="C3325" s="32" t="s">
        <v>30</v>
      </c>
      <c r="D3325" s="32" t="s">
        <v>12</v>
      </c>
      <c r="E3325" s="33">
        <v>0.21199999999999999</v>
      </c>
      <c r="F3325" s="27">
        <v>25.146499999999996</v>
      </c>
      <c r="G3325" s="30">
        <f t="shared" si="57"/>
        <v>5.3310579999999987</v>
      </c>
      <c r="H3325" s="31"/>
      <c r="I3325" s="27"/>
      <c r="J3325" s="141">
        <v>0</v>
      </c>
    </row>
    <row r="3326" spans="1:10" ht="15.75" hidden="1" thickBot="1" x14ac:dyDescent="0.3">
      <c r="A3326" s="227"/>
      <c r="B3326" s="230"/>
      <c r="C3326" s="32"/>
      <c r="D3326" s="32"/>
      <c r="E3326" s="33"/>
      <c r="F3326" s="27" t="s">
        <v>523</v>
      </c>
      <c r="G3326" s="30" t="str">
        <f t="shared" si="57"/>
        <v/>
      </c>
      <c r="H3326" s="31"/>
      <c r="I3326" s="27"/>
      <c r="J3326" s="141">
        <v>0</v>
      </c>
    </row>
    <row r="3327" spans="1:10" ht="15.75" hidden="1" thickBot="1" x14ac:dyDescent="0.3">
      <c r="A3327" s="225" t="s">
        <v>985</v>
      </c>
      <c r="B3327" s="228" t="str">
        <f>INDEX(Orçamentária!A:B,MATCH(Composições!A3327,Orçamentária!A:A,0),2)</f>
        <v>Condutor 240 mm²</v>
      </c>
      <c r="C3327" s="37"/>
      <c r="D3327" s="22" t="str">
        <f>TRIM(INDEX(Orçamentária!C:C,MATCH(Composições!A3327,Orçamentária!A:A,0),1))</f>
        <v>m</v>
      </c>
      <c r="E3327" s="23"/>
      <c r="F3327" s="38" t="s">
        <v>523</v>
      </c>
      <c r="G3327" s="24" t="str">
        <f t="shared" si="57"/>
        <v/>
      </c>
      <c r="H3327" s="25"/>
      <c r="I3327" s="26"/>
      <c r="J3327" s="141">
        <v>0</v>
      </c>
    </row>
    <row r="3328" spans="1:10" ht="15.75" hidden="1" thickBot="1" x14ac:dyDescent="0.3">
      <c r="A3328" s="226"/>
      <c r="B3328" s="244"/>
      <c r="C3328" s="28"/>
      <c r="D3328" s="28"/>
      <c r="E3328" s="29"/>
      <c r="F3328" s="39" t="s">
        <v>523</v>
      </c>
      <c r="G3328" s="30" t="str">
        <f t="shared" si="57"/>
        <v/>
      </c>
      <c r="H3328" s="31"/>
      <c r="I3328" s="27"/>
      <c r="J3328" s="141">
        <v>0</v>
      </c>
    </row>
    <row r="3329" spans="1:10" ht="15.75" hidden="1" thickBot="1" x14ac:dyDescent="0.3">
      <c r="A3329" s="226"/>
      <c r="B3329" s="244"/>
      <c r="C3329" s="32" t="s">
        <v>986</v>
      </c>
      <c r="D3329" s="32" t="s">
        <v>93</v>
      </c>
      <c r="E3329" s="33">
        <v>1.0149999999999999</v>
      </c>
      <c r="F3329" s="27">
        <v>0</v>
      </c>
      <c r="G3329" s="30">
        <f t="shared" si="57"/>
        <v>0</v>
      </c>
      <c r="H3329" s="35">
        <f>SUM(G3329:G3332)</f>
        <v>11.753190999999999</v>
      </c>
      <c r="I3329" s="36"/>
      <c r="J3329" s="141">
        <v>0</v>
      </c>
    </row>
    <row r="3330" spans="1:10" ht="15.75" hidden="1" thickBot="1" x14ac:dyDescent="0.3">
      <c r="A3330" s="226"/>
      <c r="B3330" s="244"/>
      <c r="C3330" s="32" t="s">
        <v>555</v>
      </c>
      <c r="D3330" s="43" t="s">
        <v>280</v>
      </c>
      <c r="E3330" s="33">
        <v>8.9999999999999993E-3</v>
      </c>
      <c r="F3330" s="27">
        <v>3.9139999999999997</v>
      </c>
      <c r="G3330" s="30">
        <f t="shared" si="57"/>
        <v>3.5225999999999993E-2</v>
      </c>
      <c r="H3330" s="31"/>
      <c r="I3330" s="27"/>
      <c r="J3330" s="141">
        <v>0</v>
      </c>
    </row>
    <row r="3331" spans="1:10" ht="15.75" hidden="1" thickBot="1" x14ac:dyDescent="0.3">
      <c r="A3331" s="226"/>
      <c r="B3331" s="244"/>
      <c r="C3331" s="32" t="s">
        <v>74</v>
      </c>
      <c r="D3331" s="32" t="s">
        <v>12</v>
      </c>
      <c r="E3331" s="33">
        <v>0.26300000000000001</v>
      </c>
      <c r="F3331" s="27">
        <v>19.4085</v>
      </c>
      <c r="G3331" s="30">
        <f t="shared" si="57"/>
        <v>5.1044355000000001</v>
      </c>
      <c r="H3331" s="31"/>
      <c r="I3331" s="27"/>
      <c r="J3331" s="141">
        <v>0</v>
      </c>
    </row>
    <row r="3332" spans="1:10" ht="15.75" hidden="1" thickBot="1" x14ac:dyDescent="0.3">
      <c r="A3332" s="226"/>
      <c r="B3332" s="244"/>
      <c r="C3332" s="32" t="s">
        <v>30</v>
      </c>
      <c r="D3332" s="32" t="s">
        <v>12</v>
      </c>
      <c r="E3332" s="33">
        <v>0.26300000000000001</v>
      </c>
      <c r="F3332" s="27">
        <v>25.146499999999996</v>
      </c>
      <c r="G3332" s="30">
        <f t="shared" si="57"/>
        <v>6.6135294999999994</v>
      </c>
      <c r="H3332" s="31"/>
      <c r="I3332" s="27"/>
      <c r="J3332" s="141">
        <v>0</v>
      </c>
    </row>
    <row r="3333" spans="1:10" ht="15.75" hidden="1" thickBot="1" x14ac:dyDescent="0.3">
      <c r="A3333" s="227"/>
      <c r="B3333" s="230"/>
      <c r="C3333" s="32"/>
      <c r="D3333" s="32"/>
      <c r="E3333" s="33"/>
      <c r="F3333" s="27" t="s">
        <v>523</v>
      </c>
      <c r="G3333" s="30" t="str">
        <f t="shared" si="57"/>
        <v/>
      </c>
      <c r="H3333" s="31"/>
      <c r="I3333" s="27"/>
      <c r="J3333" s="141">
        <v>0</v>
      </c>
    </row>
    <row r="3334" spans="1:10" ht="15.75" hidden="1" thickBot="1" x14ac:dyDescent="0.3">
      <c r="A3334" s="225" t="s">
        <v>987</v>
      </c>
      <c r="B3334" s="228" t="str">
        <f>INDEX(Orçamentária!A:B,MATCH(Composições!A3334,Orçamentária!A:A,0),2)</f>
        <v>Montagem e desmontagem de andaime fachadeiro</v>
      </c>
      <c r="C3334" s="37"/>
      <c r="D3334" s="22" t="str">
        <f>TRIM(INDEX(Orçamentária!C:C,MATCH(Composições!A3334,Orçamentária!A:A,0),1))</f>
        <v>m2</v>
      </c>
      <c r="E3334" s="23"/>
      <c r="F3334" s="38" t="s">
        <v>523</v>
      </c>
      <c r="G3334" s="24" t="str">
        <f t="shared" si="57"/>
        <v/>
      </c>
      <c r="H3334" s="25"/>
      <c r="I3334" s="26"/>
      <c r="J3334" s="141">
        <v>0</v>
      </c>
    </row>
    <row r="3335" spans="1:10" ht="15.75" hidden="1" thickBot="1" x14ac:dyDescent="0.3">
      <c r="A3335" s="226"/>
      <c r="B3335" s="244"/>
      <c r="C3335" s="28"/>
      <c r="D3335" s="28"/>
      <c r="E3335" s="29"/>
      <c r="F3335" s="39" t="s">
        <v>523</v>
      </c>
      <c r="G3335" s="30" t="str">
        <f t="shared" si="57"/>
        <v/>
      </c>
      <c r="H3335" s="31"/>
      <c r="I3335" s="27"/>
      <c r="J3335" s="141">
        <v>0</v>
      </c>
    </row>
    <row r="3336" spans="1:10" ht="26.25" hidden="1" thickBot="1" x14ac:dyDescent="0.3">
      <c r="A3336" s="226"/>
      <c r="B3336" s="244"/>
      <c r="C3336" s="32" t="s">
        <v>988</v>
      </c>
      <c r="D3336" s="43" t="s">
        <v>705</v>
      </c>
      <c r="E3336" s="33">
        <v>0.29509999999999997</v>
      </c>
      <c r="F3336" s="27">
        <v>18.933499999999999</v>
      </c>
      <c r="G3336" s="30">
        <f t="shared" si="57"/>
        <v>5.5872758499999993</v>
      </c>
      <c r="H3336" s="35">
        <f>SUM(G3336:G3338)</f>
        <v>8.559499785869999</v>
      </c>
      <c r="I3336" s="36"/>
      <c r="J3336" s="141">
        <v>0</v>
      </c>
    </row>
    <row r="3337" spans="1:10" ht="15.75" hidden="1" thickBot="1" x14ac:dyDescent="0.3">
      <c r="A3337" s="226"/>
      <c r="B3337" s="244"/>
      <c r="C3337" s="32" t="s">
        <v>706</v>
      </c>
      <c r="D3337" s="43" t="s">
        <v>705</v>
      </c>
      <c r="E3337" s="33">
        <v>5.8999999999999997E-2</v>
      </c>
      <c r="F3337" s="27">
        <v>18.420500000000001</v>
      </c>
      <c r="G3337" s="30">
        <f t="shared" si="57"/>
        <v>1.0868095</v>
      </c>
      <c r="H3337" s="31"/>
      <c r="I3337" s="27"/>
      <c r="J3337" s="141">
        <v>0</v>
      </c>
    </row>
    <row r="3338" spans="1:10" ht="51.75" hidden="1" thickBot="1" x14ac:dyDescent="0.3">
      <c r="A3338" s="226"/>
      <c r="B3338" s="244"/>
      <c r="C3338" s="32" t="s">
        <v>989</v>
      </c>
      <c r="D3338" s="43" t="s">
        <v>990</v>
      </c>
      <c r="E3338" s="33">
        <v>0.1673</v>
      </c>
      <c r="F3338" s="27">
        <v>11.269661899999999</v>
      </c>
      <c r="G3338" s="30">
        <f t="shared" si="57"/>
        <v>1.8854144358699998</v>
      </c>
      <c r="H3338" s="31"/>
      <c r="I3338" s="27"/>
      <c r="J3338" s="141">
        <v>0</v>
      </c>
    </row>
    <row r="3339" spans="1:10" ht="15.75" hidden="1" thickBot="1" x14ac:dyDescent="0.3">
      <c r="A3339" s="227"/>
      <c r="B3339" s="230"/>
      <c r="C3339" s="32"/>
      <c r="D3339" s="32"/>
      <c r="E3339" s="33"/>
      <c r="F3339" s="27" t="s">
        <v>523</v>
      </c>
      <c r="G3339" s="30" t="str">
        <f t="shared" si="57"/>
        <v/>
      </c>
      <c r="H3339" s="31"/>
      <c r="I3339" s="27"/>
      <c r="J3339" s="141">
        <v>0</v>
      </c>
    </row>
    <row r="3340" spans="1:10" ht="15.75" hidden="1" thickBot="1" x14ac:dyDescent="0.3">
      <c r="A3340" s="225" t="s">
        <v>991</v>
      </c>
      <c r="B3340" s="228" t="str">
        <f>INDEX(Orçamentária!A:B,MATCH(Composições!A3340,Orçamentária!A:A,0),2)</f>
        <v>Montagem e desmontagem de andaime tubular</v>
      </c>
      <c r="C3340" s="37"/>
      <c r="D3340" s="22" t="str">
        <f>TRIM(INDEX(Orçamentária!C:C,MATCH(Composições!A3340,Orçamentária!A:A,0),1))</f>
        <v>m</v>
      </c>
      <c r="E3340" s="23"/>
      <c r="F3340" s="38" t="s">
        <v>523</v>
      </c>
      <c r="G3340" s="24" t="str">
        <f t="shared" si="57"/>
        <v/>
      </c>
      <c r="H3340" s="25"/>
      <c r="I3340" s="26"/>
      <c r="J3340" s="141">
        <v>0</v>
      </c>
    </row>
    <row r="3341" spans="1:10" ht="15.75" hidden="1" thickBot="1" x14ac:dyDescent="0.3">
      <c r="A3341" s="226"/>
      <c r="B3341" s="244"/>
      <c r="C3341" s="28"/>
      <c r="D3341" s="28"/>
      <c r="E3341" s="29"/>
      <c r="F3341" s="39" t="s">
        <v>523</v>
      </c>
      <c r="G3341" s="30" t="str">
        <f t="shared" si="57"/>
        <v/>
      </c>
      <c r="H3341" s="31"/>
      <c r="I3341" s="27"/>
      <c r="J3341" s="141">
        <v>0</v>
      </c>
    </row>
    <row r="3342" spans="1:10" ht="26.25" hidden="1" thickBot="1" x14ac:dyDescent="0.3">
      <c r="A3342" s="226"/>
      <c r="B3342" s="244"/>
      <c r="C3342" s="32" t="s">
        <v>988</v>
      </c>
      <c r="D3342" s="43" t="s">
        <v>705</v>
      </c>
      <c r="E3342" s="33">
        <v>0.5</v>
      </c>
      <c r="F3342" s="27">
        <v>18.933499999999999</v>
      </c>
      <c r="G3342" s="30">
        <f t="shared" si="57"/>
        <v>9.4667499999999993</v>
      </c>
      <c r="H3342" s="35">
        <f>SUM(G3342:G3344)</f>
        <v>15.839204083799999</v>
      </c>
      <c r="I3342" s="36"/>
      <c r="J3342" s="141">
        <v>0</v>
      </c>
    </row>
    <row r="3343" spans="1:10" ht="15.75" hidden="1" thickBot="1" x14ac:dyDescent="0.3">
      <c r="A3343" s="226"/>
      <c r="B3343" s="244"/>
      <c r="C3343" s="32" t="s">
        <v>706</v>
      </c>
      <c r="D3343" s="43" t="s">
        <v>705</v>
      </c>
      <c r="E3343" s="33">
        <v>0.1</v>
      </c>
      <c r="F3343" s="27">
        <v>18.420500000000001</v>
      </c>
      <c r="G3343" s="30">
        <f t="shared" si="57"/>
        <v>1.8420500000000002</v>
      </c>
      <c r="H3343" s="35"/>
      <c r="I3343" s="36"/>
      <c r="J3343" s="141">
        <v>0</v>
      </c>
    </row>
    <row r="3344" spans="1:10" ht="51.75" hidden="1" thickBot="1" x14ac:dyDescent="0.3">
      <c r="A3344" s="226"/>
      <c r="B3344" s="244"/>
      <c r="C3344" s="32" t="s">
        <v>989</v>
      </c>
      <c r="D3344" s="43" t="s">
        <v>990</v>
      </c>
      <c r="E3344" s="33">
        <v>0.40200000000000002</v>
      </c>
      <c r="F3344" s="27">
        <v>11.269661899999999</v>
      </c>
      <c r="G3344" s="30">
        <f t="shared" si="57"/>
        <v>4.5304040837999997</v>
      </c>
      <c r="H3344" s="31"/>
      <c r="I3344" s="27"/>
      <c r="J3344" s="141">
        <v>0</v>
      </c>
    </row>
    <row r="3345" spans="1:10" ht="15.75" hidden="1" thickBot="1" x14ac:dyDescent="0.3">
      <c r="A3345" s="227"/>
      <c r="B3345" s="230"/>
      <c r="C3345" s="32"/>
      <c r="D3345" s="32"/>
      <c r="E3345" s="33"/>
      <c r="F3345" s="27" t="s">
        <v>523</v>
      </c>
      <c r="G3345" s="30" t="str">
        <f t="shared" si="57"/>
        <v/>
      </c>
      <c r="H3345" s="31"/>
      <c r="I3345" s="27"/>
      <c r="J3345" s="141">
        <v>0</v>
      </c>
    </row>
    <row r="3346" spans="1:10" ht="15.75" hidden="1" thickBot="1" x14ac:dyDescent="0.3">
      <c r="A3346" s="225" t="s">
        <v>992</v>
      </c>
      <c r="B3346" s="228" t="str">
        <f>INDEX(Orçamentária!A:B,MATCH(Composições!A3346,Orçamentária!A:A,0),2)</f>
        <v>Tela de proteção para andaime</v>
      </c>
      <c r="C3346" s="37"/>
      <c r="D3346" s="22" t="str">
        <f>TRIM(INDEX(Orçamentária!C:C,MATCH(Composições!A3346,Orçamentária!A:A,0),1))</f>
        <v>m2 x mês</v>
      </c>
      <c r="E3346" s="23"/>
      <c r="F3346" s="38" t="s">
        <v>523</v>
      </c>
      <c r="G3346" s="24" t="str">
        <f t="shared" si="57"/>
        <v/>
      </c>
      <c r="H3346" s="25"/>
      <c r="I3346" s="26"/>
      <c r="J3346" s="141">
        <v>0</v>
      </c>
    </row>
    <row r="3347" spans="1:10" ht="15.75" hidden="1" thickBot="1" x14ac:dyDescent="0.3">
      <c r="A3347" s="226"/>
      <c r="B3347" s="244"/>
      <c r="C3347" s="28"/>
      <c r="D3347" s="28"/>
      <c r="E3347" s="29"/>
      <c r="F3347" s="39" t="s">
        <v>523</v>
      </c>
      <c r="G3347" s="30" t="str">
        <f t="shared" si="57"/>
        <v/>
      </c>
      <c r="H3347" s="31"/>
      <c r="I3347" s="27"/>
      <c r="J3347" s="141">
        <v>0</v>
      </c>
    </row>
    <row r="3348" spans="1:10" ht="26.25" hidden="1" thickBot="1" x14ac:dyDescent="0.3">
      <c r="A3348" s="226"/>
      <c r="B3348" s="244"/>
      <c r="C3348" s="32" t="s">
        <v>993</v>
      </c>
      <c r="D3348" s="43" t="s">
        <v>280</v>
      </c>
      <c r="E3348" s="33">
        <v>0.89449999999999996</v>
      </c>
      <c r="F3348" s="27">
        <v>0.14249999999999999</v>
      </c>
      <c r="G3348" s="30">
        <f t="shared" si="57"/>
        <v>0.12746624999999998</v>
      </c>
      <c r="H3348" s="35">
        <f>SUM(G3348:G3351)</f>
        <v>4.4796072000000002</v>
      </c>
      <c r="I3348" s="36"/>
      <c r="J3348" s="141">
        <v>0</v>
      </c>
    </row>
    <row r="3349" spans="1:10" ht="26.25" hidden="1" thickBot="1" x14ac:dyDescent="0.3">
      <c r="A3349" s="226"/>
      <c r="B3349" s="244"/>
      <c r="C3349" s="32" t="s">
        <v>994</v>
      </c>
      <c r="D3349" s="43" t="s">
        <v>995</v>
      </c>
      <c r="E3349" s="33">
        <f>ROUND(1.177*(1/3),4)</f>
        <v>0.39229999999999998</v>
      </c>
      <c r="F3349" s="27">
        <v>3.0114999999999998</v>
      </c>
      <c r="G3349" s="30">
        <f t="shared" si="57"/>
        <v>1.1814114499999999</v>
      </c>
      <c r="H3349" s="31"/>
      <c r="I3349" s="27"/>
      <c r="J3349" s="141">
        <v>0</v>
      </c>
    </row>
    <row r="3350" spans="1:10" ht="15.75" hidden="1" thickBot="1" x14ac:dyDescent="0.3">
      <c r="A3350" s="226"/>
      <c r="B3350" s="244"/>
      <c r="C3350" s="32" t="s">
        <v>788</v>
      </c>
      <c r="D3350" s="43" t="s">
        <v>705</v>
      </c>
      <c r="E3350" s="33">
        <v>6.9900000000000004E-2</v>
      </c>
      <c r="F3350" s="27">
        <v>19.494</v>
      </c>
      <c r="G3350" s="30">
        <f t="shared" si="57"/>
        <v>1.3626306000000001</v>
      </c>
      <c r="H3350" s="31"/>
      <c r="I3350" s="27"/>
      <c r="J3350" s="141">
        <v>0</v>
      </c>
    </row>
    <row r="3351" spans="1:10" ht="15.75" hidden="1" thickBot="1" x14ac:dyDescent="0.3">
      <c r="A3351" s="226"/>
      <c r="B3351" s="244"/>
      <c r="C3351" s="32" t="s">
        <v>996</v>
      </c>
      <c r="D3351" s="43" t="s">
        <v>705</v>
      </c>
      <c r="E3351" s="33">
        <v>7.3400000000000007E-2</v>
      </c>
      <c r="F3351" s="27">
        <v>24.633499999999998</v>
      </c>
      <c r="G3351" s="30">
        <f t="shared" si="57"/>
        <v>1.8080989000000001</v>
      </c>
      <c r="H3351" s="31"/>
      <c r="I3351" s="27"/>
      <c r="J3351" s="141">
        <v>0</v>
      </c>
    </row>
    <row r="3352" spans="1:10" ht="15.75" hidden="1" thickBot="1" x14ac:dyDescent="0.3">
      <c r="A3352" s="226"/>
      <c r="B3352" s="244"/>
      <c r="C3352" s="32"/>
      <c r="D3352" s="43"/>
      <c r="E3352" s="33"/>
      <c r="F3352" s="27" t="s">
        <v>523</v>
      </c>
      <c r="G3352" s="30" t="str">
        <f t="shared" si="57"/>
        <v/>
      </c>
      <c r="H3352" s="31"/>
      <c r="I3352" s="27"/>
      <c r="J3352" s="141">
        <v>0</v>
      </c>
    </row>
    <row r="3353" spans="1:10" ht="26.25" hidden="1" thickBot="1" x14ac:dyDescent="0.3">
      <c r="A3353" s="226"/>
      <c r="B3353" s="244"/>
      <c r="C3353" s="48" t="s">
        <v>997</v>
      </c>
      <c r="D3353" s="43"/>
      <c r="E3353" s="33"/>
      <c r="F3353" s="27" t="s">
        <v>523</v>
      </c>
      <c r="G3353" s="30" t="str">
        <f t="shared" si="57"/>
        <v/>
      </c>
      <c r="H3353" s="31"/>
      <c r="I3353" s="27"/>
      <c r="J3353" s="141">
        <v>0</v>
      </c>
    </row>
    <row r="3354" spans="1:10" ht="15.75" hidden="1" thickBot="1" x14ac:dyDescent="0.3">
      <c r="A3354" s="227"/>
      <c r="B3354" s="230"/>
      <c r="C3354" s="51"/>
      <c r="D3354" s="51"/>
      <c r="E3354" s="62"/>
      <c r="F3354" s="63" t="s">
        <v>523</v>
      </c>
      <c r="G3354" s="64" t="str">
        <f t="shared" si="57"/>
        <v/>
      </c>
      <c r="H3354" s="65"/>
      <c r="I3354" s="27"/>
      <c r="J3354" s="141">
        <v>0</v>
      </c>
    </row>
    <row r="3355" spans="1:10" ht="15.75" hidden="1" thickBot="1" x14ac:dyDescent="0.3">
      <c r="A3355" s="225" t="s">
        <v>998</v>
      </c>
      <c r="B3355" s="228" t="str">
        <f>INDEX(Orçamentária!A:B,MATCH(Composições!A3355,Orçamentária!A:A,0),2)</f>
        <v>Remoção de folha de porta de enrolar</v>
      </c>
      <c r="C3355" s="37"/>
      <c r="D3355" s="22" t="str">
        <f>TRIM(INDEX(Orçamentária!C:C,MATCH(Composições!A3355,Orçamentária!A:A,0),1))</f>
        <v>un</v>
      </c>
      <c r="E3355" s="23"/>
      <c r="F3355" s="38" t="s">
        <v>523</v>
      </c>
      <c r="G3355" s="24" t="str">
        <f t="shared" si="57"/>
        <v/>
      </c>
      <c r="H3355" s="25"/>
      <c r="I3355" s="26"/>
      <c r="J3355" s="141">
        <v>0</v>
      </c>
    </row>
    <row r="3356" spans="1:10" ht="15.75" hidden="1" thickBot="1" x14ac:dyDescent="0.3">
      <c r="A3356" s="226"/>
      <c r="B3356" s="244"/>
      <c r="C3356" s="28"/>
      <c r="D3356" s="28"/>
      <c r="E3356" s="29"/>
      <c r="F3356" s="39" t="s">
        <v>523</v>
      </c>
      <c r="G3356" s="30" t="str">
        <f t="shared" si="57"/>
        <v/>
      </c>
      <c r="H3356" s="31"/>
      <c r="I3356" s="27"/>
      <c r="J3356" s="141">
        <v>0</v>
      </c>
    </row>
    <row r="3357" spans="1:10" ht="15.75" hidden="1" thickBot="1" x14ac:dyDescent="0.3">
      <c r="A3357" s="226"/>
      <c r="B3357" s="244"/>
      <c r="C3357" s="32" t="s">
        <v>618</v>
      </c>
      <c r="D3357" s="32" t="s">
        <v>12</v>
      </c>
      <c r="E3357" s="33">
        <v>2.5</v>
      </c>
      <c r="F3357" s="27">
        <v>24.747499999999999</v>
      </c>
      <c r="G3357" s="30">
        <f t="shared" si="57"/>
        <v>61.868749999999999</v>
      </c>
      <c r="H3357" s="35">
        <f>SUM(G3357:G3358)</f>
        <v>159.81375</v>
      </c>
      <c r="I3357" s="36"/>
      <c r="J3357" s="141">
        <v>0</v>
      </c>
    </row>
    <row r="3358" spans="1:10" ht="15.75" hidden="1" thickBot="1" x14ac:dyDescent="0.3">
      <c r="A3358" s="226"/>
      <c r="B3358" s="244"/>
      <c r="C3358" s="32" t="s">
        <v>619</v>
      </c>
      <c r="D3358" s="32" t="s">
        <v>12</v>
      </c>
      <c r="E3358" s="33">
        <v>5</v>
      </c>
      <c r="F3358" s="27">
        <v>19.588999999999999</v>
      </c>
      <c r="G3358" s="30">
        <f t="shared" si="57"/>
        <v>97.944999999999993</v>
      </c>
      <c r="H3358" s="31"/>
      <c r="I3358" s="27"/>
      <c r="J3358" s="141">
        <v>0</v>
      </c>
    </row>
    <row r="3359" spans="1:10" ht="15.75" hidden="1" thickBot="1" x14ac:dyDescent="0.3">
      <c r="A3359" s="227"/>
      <c r="B3359" s="230"/>
      <c r="C3359" s="32"/>
      <c r="D3359" s="32"/>
      <c r="E3359" s="33"/>
      <c r="F3359" s="27" t="s">
        <v>523</v>
      </c>
      <c r="G3359" s="30" t="str">
        <f t="shared" si="57"/>
        <v/>
      </c>
      <c r="H3359" s="31"/>
      <c r="I3359" s="27"/>
      <c r="J3359" s="141">
        <v>0</v>
      </c>
    </row>
    <row r="3360" spans="1:10" ht="15.75" hidden="1" thickBot="1" x14ac:dyDescent="0.3">
      <c r="A3360" s="225" t="s">
        <v>999</v>
      </c>
      <c r="B3360" s="228" t="str">
        <f>INDEX(Orçamentária!A:B,MATCH(Composições!A3360,Orçamentária!A:A,0),2)</f>
        <v>Base registro de gaveta 1"</v>
      </c>
      <c r="C3360" s="37"/>
      <c r="D3360" s="22" t="str">
        <f>TRIM(INDEX(Orçamentária!C:C,MATCH(Composições!A3360,Orçamentária!A:A,0),1))</f>
        <v>un</v>
      </c>
      <c r="E3360" s="23"/>
      <c r="F3360" s="38" t="s">
        <v>523</v>
      </c>
      <c r="G3360" s="24" t="str">
        <f t="shared" si="57"/>
        <v/>
      </c>
      <c r="H3360" s="25"/>
      <c r="I3360" s="26"/>
      <c r="J3360" s="141">
        <v>0</v>
      </c>
    </row>
    <row r="3361" spans="1:10" ht="15.75" hidden="1" thickBot="1" x14ac:dyDescent="0.3">
      <c r="A3361" s="226"/>
      <c r="B3361" s="244"/>
      <c r="C3361" s="28"/>
      <c r="D3361" s="28"/>
      <c r="E3361" s="29"/>
      <c r="F3361" s="39" t="s">
        <v>523</v>
      </c>
      <c r="G3361" s="30" t="str">
        <f t="shared" si="57"/>
        <v/>
      </c>
      <c r="H3361" s="31"/>
      <c r="I3361" s="27"/>
      <c r="J3361" s="141">
        <v>0</v>
      </c>
    </row>
    <row r="3362" spans="1:10" ht="26.25" hidden="1" thickBot="1" x14ac:dyDescent="0.3">
      <c r="A3362" s="226"/>
      <c r="B3362" s="244"/>
      <c r="C3362" s="32" t="s">
        <v>1000</v>
      </c>
      <c r="D3362" s="43" t="s">
        <v>144</v>
      </c>
      <c r="E3362" s="33">
        <v>1</v>
      </c>
      <c r="F3362" s="27" t="s">
        <v>523</v>
      </c>
      <c r="G3362" s="30" t="str">
        <f t="shared" si="57"/>
        <v/>
      </c>
      <c r="H3362" s="35">
        <f>SUM(G3362:G3365)</f>
        <v>6.6569843999999989</v>
      </c>
      <c r="I3362" s="36"/>
      <c r="J3362" s="141">
        <v>0</v>
      </c>
    </row>
    <row r="3363" spans="1:10" ht="15.75" hidden="1" thickBot="1" x14ac:dyDescent="0.3">
      <c r="A3363" s="226"/>
      <c r="B3363" s="244"/>
      <c r="C3363" s="32" t="s">
        <v>319</v>
      </c>
      <c r="D3363" s="43" t="s">
        <v>280</v>
      </c>
      <c r="E3363" s="33">
        <v>1.32E-2</v>
      </c>
      <c r="F3363" s="27">
        <v>16.111999999999998</v>
      </c>
      <c r="G3363" s="30">
        <f t="shared" si="57"/>
        <v>0.21267839999999999</v>
      </c>
      <c r="H3363" s="31"/>
      <c r="I3363" s="27"/>
      <c r="J3363" s="141">
        <v>0</v>
      </c>
    </row>
    <row r="3364" spans="1:10" ht="15.75" hidden="1" thickBot="1" x14ac:dyDescent="0.3">
      <c r="A3364" s="226"/>
      <c r="B3364" s="244"/>
      <c r="C3364" s="32" t="s">
        <v>39</v>
      </c>
      <c r="D3364" s="43" t="s">
        <v>12</v>
      </c>
      <c r="E3364" s="33">
        <v>0.14849999999999999</v>
      </c>
      <c r="F3364" s="27">
        <v>24.300999999999998</v>
      </c>
      <c r="G3364" s="30">
        <f t="shared" si="57"/>
        <v>3.6086984999999996</v>
      </c>
      <c r="H3364" s="31"/>
      <c r="I3364" s="27"/>
      <c r="J3364" s="141">
        <v>0</v>
      </c>
    </row>
    <row r="3365" spans="1:10" ht="26.25" hidden="1" thickBot="1" x14ac:dyDescent="0.3">
      <c r="A3365" s="226"/>
      <c r="B3365" s="244"/>
      <c r="C3365" s="32" t="s">
        <v>107</v>
      </c>
      <c r="D3365" s="32" t="s">
        <v>12</v>
      </c>
      <c r="E3365" s="33">
        <v>0.14849999999999999</v>
      </c>
      <c r="F3365" s="27">
        <v>19.094999999999999</v>
      </c>
      <c r="G3365" s="30">
        <f t="shared" si="57"/>
        <v>2.8356074999999996</v>
      </c>
      <c r="H3365" s="31"/>
      <c r="I3365" s="27"/>
      <c r="J3365" s="141">
        <v>0</v>
      </c>
    </row>
    <row r="3366" spans="1:10" ht="15.75" hidden="1" thickBot="1" x14ac:dyDescent="0.3">
      <c r="A3366" s="227"/>
      <c r="B3366" s="230"/>
      <c r="C3366" s="32"/>
      <c r="D3366" s="32"/>
      <c r="E3366" s="33"/>
      <c r="F3366" s="27" t="s">
        <v>523</v>
      </c>
      <c r="G3366" s="30" t="str">
        <f t="shared" si="57"/>
        <v/>
      </c>
      <c r="H3366" s="31"/>
      <c r="I3366" s="27"/>
      <c r="J3366" s="141">
        <v>0</v>
      </c>
    </row>
    <row r="3367" spans="1:10" ht="15.75" hidden="1" thickBot="1" x14ac:dyDescent="0.3">
      <c r="A3367" s="225" t="s">
        <v>1001</v>
      </c>
      <c r="B3367" s="228" t="str">
        <f>INDEX(Orçamentária!A:B,MATCH(Composições!A3367,Orçamentária!A:A,0),2)</f>
        <v>Base registro de pressão 3/4"</v>
      </c>
      <c r="C3367" s="37"/>
      <c r="D3367" s="22" t="str">
        <f>TRIM(INDEX(Orçamentária!C:C,MATCH(Composições!A3367,Orçamentária!A:A,0),1))</f>
        <v>un</v>
      </c>
      <c r="E3367" s="23"/>
      <c r="F3367" s="38" t="s">
        <v>523</v>
      </c>
      <c r="G3367" s="24" t="str">
        <f t="shared" si="57"/>
        <v/>
      </c>
      <c r="H3367" s="25"/>
      <c r="I3367" s="26"/>
      <c r="J3367" s="141">
        <v>0</v>
      </c>
    </row>
    <row r="3368" spans="1:10" ht="15.75" hidden="1" thickBot="1" x14ac:dyDescent="0.3">
      <c r="A3368" s="226"/>
      <c r="B3368" s="244"/>
      <c r="C3368" s="28"/>
      <c r="D3368" s="28"/>
      <c r="E3368" s="29"/>
      <c r="F3368" s="39" t="s">
        <v>523</v>
      </c>
      <c r="G3368" s="30" t="str">
        <f t="shared" si="57"/>
        <v/>
      </c>
      <c r="H3368" s="31"/>
      <c r="I3368" s="27"/>
      <c r="J3368" s="141">
        <v>0</v>
      </c>
    </row>
    <row r="3369" spans="1:10" ht="15.75" hidden="1" thickBot="1" x14ac:dyDescent="0.3">
      <c r="A3369" s="226"/>
      <c r="B3369" s="244"/>
      <c r="C3369" s="32" t="s">
        <v>319</v>
      </c>
      <c r="D3369" s="43" t="s">
        <v>280</v>
      </c>
      <c r="E3369" s="33">
        <v>1.06E-2</v>
      </c>
      <c r="F3369" s="27">
        <v>16.111999999999998</v>
      </c>
      <c r="G3369" s="30">
        <f t="shared" si="57"/>
        <v>0.17078719999999997</v>
      </c>
      <c r="H3369" s="35">
        <f>SUM(G3369:G3372)</f>
        <v>4.9530263999999997</v>
      </c>
      <c r="I3369" s="36"/>
      <c r="J3369" s="141">
        <v>0</v>
      </c>
    </row>
    <row r="3370" spans="1:10" ht="26.25" hidden="1" thickBot="1" x14ac:dyDescent="0.3">
      <c r="A3370" s="226"/>
      <c r="B3370" s="244"/>
      <c r="C3370" s="32" t="s">
        <v>1002</v>
      </c>
      <c r="D3370" s="43" t="s">
        <v>144</v>
      </c>
      <c r="E3370" s="33">
        <v>1</v>
      </c>
      <c r="F3370" s="27" t="s">
        <v>523</v>
      </c>
      <c r="G3370" s="30" t="str">
        <f t="shared" si="57"/>
        <v/>
      </c>
      <c r="H3370" s="31"/>
      <c r="I3370" s="27"/>
      <c r="J3370" s="141">
        <v>0</v>
      </c>
    </row>
    <row r="3371" spans="1:10" ht="26.25" hidden="1" thickBot="1" x14ac:dyDescent="0.3">
      <c r="A3371" s="226"/>
      <c r="B3371" s="244"/>
      <c r="C3371" s="32" t="s">
        <v>107</v>
      </c>
      <c r="D3371" s="43" t="s">
        <v>12</v>
      </c>
      <c r="E3371" s="33">
        <v>0.11020000000000001</v>
      </c>
      <c r="F3371" s="27">
        <v>19.094999999999999</v>
      </c>
      <c r="G3371" s="30">
        <f t="shared" si="57"/>
        <v>2.1042689999999999</v>
      </c>
      <c r="H3371" s="31"/>
      <c r="I3371" s="27"/>
      <c r="J3371" s="141">
        <v>0</v>
      </c>
    </row>
    <row r="3372" spans="1:10" ht="15.75" hidden="1" thickBot="1" x14ac:dyDescent="0.3">
      <c r="A3372" s="226"/>
      <c r="B3372" s="244"/>
      <c r="C3372" s="32" t="s">
        <v>39</v>
      </c>
      <c r="D3372" s="32" t="s">
        <v>12</v>
      </c>
      <c r="E3372" s="33">
        <v>0.11020000000000001</v>
      </c>
      <c r="F3372" s="27">
        <v>24.300999999999998</v>
      </c>
      <c r="G3372" s="30">
        <f t="shared" si="57"/>
        <v>2.6779701999999999</v>
      </c>
      <c r="H3372" s="31"/>
      <c r="I3372" s="27"/>
      <c r="J3372" s="141">
        <v>0</v>
      </c>
    </row>
    <row r="3373" spans="1:10" ht="15.75" hidden="1" thickBot="1" x14ac:dyDescent="0.3">
      <c r="A3373" s="227"/>
      <c r="B3373" s="230"/>
      <c r="C3373" s="32"/>
      <c r="D3373" s="32"/>
      <c r="E3373" s="33"/>
      <c r="F3373" s="27" t="s">
        <v>523</v>
      </c>
      <c r="G3373" s="30" t="str">
        <f t="shared" si="57"/>
        <v/>
      </c>
      <c r="H3373" s="31"/>
      <c r="I3373" s="27"/>
      <c r="J3373" s="141">
        <v>0</v>
      </c>
    </row>
    <row r="3374" spans="1:10" ht="15.75" hidden="1" thickBot="1" x14ac:dyDescent="0.3">
      <c r="A3374" s="225" t="s">
        <v>1003</v>
      </c>
      <c r="B3374" s="228" t="str">
        <f>INDEX(Orçamentária!A:B,MATCH(Composições!A3374,Orçamentária!A:A,0),2)</f>
        <v>Tampa em ferro fundido T33</v>
      </c>
      <c r="C3374" s="37"/>
      <c r="D3374" s="22" t="str">
        <f>TRIM(INDEX(Orçamentária!C:C,MATCH(Composições!A3374,Orçamentária!A:A,0),1))</f>
        <v>un</v>
      </c>
      <c r="E3374" s="23"/>
      <c r="F3374" s="38" t="s">
        <v>523</v>
      </c>
      <c r="G3374" s="24" t="str">
        <f t="shared" si="57"/>
        <v/>
      </c>
      <c r="H3374" s="25"/>
      <c r="I3374" s="26"/>
      <c r="J3374" s="141">
        <v>0</v>
      </c>
    </row>
    <row r="3375" spans="1:10" ht="15.75" hidden="1" thickBot="1" x14ac:dyDescent="0.3">
      <c r="A3375" s="226"/>
      <c r="B3375" s="244"/>
      <c r="C3375" s="28"/>
      <c r="D3375" s="28"/>
      <c r="E3375" s="29"/>
      <c r="F3375" s="39" t="s">
        <v>523</v>
      </c>
      <c r="G3375" s="30" t="str">
        <f t="shared" si="57"/>
        <v/>
      </c>
      <c r="H3375" s="31"/>
      <c r="I3375" s="27"/>
      <c r="J3375" s="141">
        <v>0</v>
      </c>
    </row>
    <row r="3376" spans="1:10" ht="26.25" hidden="1" thickBot="1" x14ac:dyDescent="0.3">
      <c r="A3376" s="226"/>
      <c r="B3376" s="244"/>
      <c r="C3376" s="32" t="s">
        <v>1004</v>
      </c>
      <c r="D3376" s="43" t="s">
        <v>280</v>
      </c>
      <c r="E3376" s="33">
        <v>1</v>
      </c>
      <c r="F3376" s="27">
        <v>206.19749999999999</v>
      </c>
      <c r="G3376" s="30">
        <f t="shared" si="57"/>
        <v>206.19749999999999</v>
      </c>
      <c r="H3376" s="35">
        <f>SUM(G3376:G3379)</f>
        <v>248.613194943038</v>
      </c>
      <c r="I3376" s="36"/>
      <c r="J3376" s="141">
        <v>0</v>
      </c>
    </row>
    <row r="3377" spans="1:10" ht="26.25" hidden="1" thickBot="1" x14ac:dyDescent="0.3">
      <c r="A3377" s="226"/>
      <c r="B3377" s="244"/>
      <c r="C3377" s="32" t="s">
        <v>3236</v>
      </c>
      <c r="D3377" s="43" t="s">
        <v>120</v>
      </c>
      <c r="E3377" s="33">
        <v>4.4000000000000003E-3</v>
      </c>
      <c r="F3377" s="27">
        <v>614.14627114500001</v>
      </c>
      <c r="G3377" s="30">
        <f t="shared" ref="G3377:G3440" si="58">IF(ISNUMBER(F3377),E3377*F3377,"")</f>
        <v>2.7022435930380002</v>
      </c>
      <c r="H3377" s="31"/>
      <c r="I3377" s="27"/>
      <c r="J3377" s="141">
        <v>0</v>
      </c>
    </row>
    <row r="3378" spans="1:10" ht="15.75" hidden="1" thickBot="1" x14ac:dyDescent="0.3">
      <c r="A3378" s="226"/>
      <c r="B3378" s="244"/>
      <c r="C3378" s="32" t="s">
        <v>22</v>
      </c>
      <c r="D3378" s="32" t="s">
        <v>12</v>
      </c>
      <c r="E3378" s="33">
        <v>1.0088999999999999</v>
      </c>
      <c r="F3378" s="27">
        <v>24.889999999999997</v>
      </c>
      <c r="G3378" s="30">
        <f t="shared" si="58"/>
        <v>25.111520999999996</v>
      </c>
      <c r="H3378" s="31"/>
      <c r="I3378" s="27"/>
      <c r="J3378" s="141">
        <v>0</v>
      </c>
    </row>
    <row r="3379" spans="1:10" ht="15.75" hidden="1" thickBot="1" x14ac:dyDescent="0.3">
      <c r="A3379" s="226"/>
      <c r="B3379" s="244"/>
      <c r="C3379" s="32" t="s">
        <v>23</v>
      </c>
      <c r="D3379" s="32" t="s">
        <v>12</v>
      </c>
      <c r="E3379" s="33">
        <v>0.79269999999999996</v>
      </c>
      <c r="F3379" s="27">
        <v>18.420500000000001</v>
      </c>
      <c r="G3379" s="30">
        <f t="shared" si="58"/>
        <v>14.60193035</v>
      </c>
      <c r="H3379" s="31"/>
      <c r="I3379" s="27"/>
      <c r="J3379" s="141">
        <v>0</v>
      </c>
    </row>
    <row r="3380" spans="1:10" ht="15.75" hidden="1" thickBot="1" x14ac:dyDescent="0.3">
      <c r="A3380" s="227"/>
      <c r="B3380" s="230"/>
      <c r="C3380" s="51"/>
      <c r="D3380" s="51"/>
      <c r="E3380" s="62"/>
      <c r="F3380" s="63" t="s">
        <v>523</v>
      </c>
      <c r="G3380" s="64" t="str">
        <f t="shared" si="58"/>
        <v/>
      </c>
      <c r="H3380" s="65"/>
      <c r="I3380" s="27"/>
      <c r="J3380" s="141">
        <v>0</v>
      </c>
    </row>
    <row r="3381" spans="1:10" ht="15.75" hidden="1" thickBot="1" x14ac:dyDescent="0.3">
      <c r="A3381" s="231" t="s">
        <v>1006</v>
      </c>
      <c r="B3381" s="244" t="str">
        <f>INDEX(Orçamentária!A:B,MATCH(Composições!A3381,Orçamentária!A:A,0),2)</f>
        <v>Arquiteto(a) com experiência em intervenção no patrimônio cultural</v>
      </c>
      <c r="C3381" s="158"/>
      <c r="D3381" s="22" t="str">
        <f>TRIM(INDEX(Orçamentária!C:C,MATCH(Composições!A3381,Orçamentária!A:A,0),1))</f>
        <v>hh</v>
      </c>
      <c r="E3381" s="66"/>
      <c r="F3381" s="67" t="s">
        <v>523</v>
      </c>
      <c r="G3381" s="67" t="str">
        <f t="shared" si="58"/>
        <v/>
      </c>
      <c r="H3381" s="68"/>
      <c r="I3381" s="26"/>
      <c r="J3381" s="141">
        <v>0</v>
      </c>
    </row>
    <row r="3382" spans="1:10" ht="15.75" hidden="1" thickBot="1" x14ac:dyDescent="0.3">
      <c r="A3382" s="226"/>
      <c r="B3382" s="244"/>
      <c r="C3382" s="28"/>
      <c r="D3382" s="28"/>
      <c r="E3382" s="29"/>
      <c r="F3382" s="27" t="s">
        <v>523</v>
      </c>
      <c r="G3382" s="30" t="str">
        <f t="shared" si="58"/>
        <v/>
      </c>
      <c r="H3382" s="31"/>
      <c r="I3382" s="27"/>
      <c r="J3382" s="141">
        <v>0</v>
      </c>
    </row>
    <row r="3383" spans="1:10" ht="15.75" hidden="1" thickBot="1" x14ac:dyDescent="0.3">
      <c r="A3383" s="226"/>
      <c r="B3383" s="244"/>
      <c r="C3383" s="32" t="s">
        <v>1007</v>
      </c>
      <c r="D3383" s="32" t="s">
        <v>12</v>
      </c>
      <c r="E3383" s="33">
        <v>1</v>
      </c>
      <c r="F3383" s="27">
        <v>90.867500000000007</v>
      </c>
      <c r="G3383" s="30">
        <f t="shared" si="58"/>
        <v>90.867500000000007</v>
      </c>
      <c r="H3383" s="35">
        <f>SUM(G3383:G3383)</f>
        <v>90.867500000000007</v>
      </c>
      <c r="I3383" s="36"/>
      <c r="J3383" s="141">
        <v>0</v>
      </c>
    </row>
    <row r="3384" spans="1:10" ht="15.75" hidden="1" thickBot="1" x14ac:dyDescent="0.3">
      <c r="A3384" s="227"/>
      <c r="B3384" s="230"/>
      <c r="C3384" s="32"/>
      <c r="D3384" s="32"/>
      <c r="E3384" s="33"/>
      <c r="F3384" s="27" t="s">
        <v>523</v>
      </c>
      <c r="G3384" s="30" t="str">
        <f t="shared" si="58"/>
        <v/>
      </c>
      <c r="H3384" s="31"/>
      <c r="I3384" s="27"/>
      <c r="J3384" s="141">
        <v>0</v>
      </c>
    </row>
    <row r="3385" spans="1:10" ht="15.75" hidden="1" thickBot="1" x14ac:dyDescent="0.3">
      <c r="A3385" s="225" t="s">
        <v>1008</v>
      </c>
      <c r="B3385" s="228" t="str">
        <f>INDEX(Orçamentária!A:B,MATCH(Composições!A3385,Orçamentária!A:A,0),2)</f>
        <v>Locação de andaime suspenso tipo leve</v>
      </c>
      <c r="C3385" s="37"/>
      <c r="D3385" s="22" t="str">
        <f>TRIM(INDEX(Orçamentária!C:C,MATCH(Composições!A3385,Orçamentária!A:A,0),1))</f>
        <v>un x mês</v>
      </c>
      <c r="E3385" s="23"/>
      <c r="F3385" s="38" t="s">
        <v>523</v>
      </c>
      <c r="G3385" s="24" t="str">
        <f t="shared" si="58"/>
        <v/>
      </c>
      <c r="H3385" s="25"/>
      <c r="I3385" s="26"/>
      <c r="J3385" s="141">
        <v>0</v>
      </c>
    </row>
    <row r="3386" spans="1:10" ht="15.75" hidden="1" thickBot="1" x14ac:dyDescent="0.3">
      <c r="A3386" s="231"/>
      <c r="B3386" s="244"/>
      <c r="C3386" s="28"/>
      <c r="D3386" s="28"/>
      <c r="E3386" s="29"/>
      <c r="F3386" s="39" t="s">
        <v>523</v>
      </c>
      <c r="G3386" s="30" t="str">
        <f t="shared" si="58"/>
        <v/>
      </c>
      <c r="H3386" s="31"/>
      <c r="I3386" s="27"/>
      <c r="J3386" s="141">
        <v>0</v>
      </c>
    </row>
    <row r="3387" spans="1:10" ht="39" hidden="1" thickBot="1" x14ac:dyDescent="0.3">
      <c r="A3387" s="231"/>
      <c r="B3387" s="244"/>
      <c r="C3387" s="32" t="s">
        <v>1009</v>
      </c>
      <c r="D3387" s="32" t="s">
        <v>127</v>
      </c>
      <c r="E3387" s="33">
        <v>1</v>
      </c>
      <c r="F3387" s="27">
        <v>522.5</v>
      </c>
      <c r="G3387" s="30">
        <f t="shared" si="58"/>
        <v>522.5</v>
      </c>
      <c r="H3387" s="35">
        <f>SUM(G3387:G3387)</f>
        <v>522.5</v>
      </c>
      <c r="I3387" s="36"/>
      <c r="J3387" s="141">
        <v>0</v>
      </c>
    </row>
    <row r="3388" spans="1:10" ht="15.75" hidden="1" thickBot="1" x14ac:dyDescent="0.3">
      <c r="A3388" s="232"/>
      <c r="B3388" s="230"/>
      <c r="C3388" s="32"/>
      <c r="D3388" s="32"/>
      <c r="E3388" s="33"/>
      <c r="F3388" s="27" t="s">
        <v>523</v>
      </c>
      <c r="G3388" s="30" t="str">
        <f t="shared" si="58"/>
        <v/>
      </c>
      <c r="H3388" s="31"/>
      <c r="I3388" s="27"/>
      <c r="J3388" s="141">
        <v>0</v>
      </c>
    </row>
    <row r="3389" spans="1:10" ht="15.75" hidden="1" thickBot="1" x14ac:dyDescent="0.3">
      <c r="A3389" s="225" t="s">
        <v>1010</v>
      </c>
      <c r="B3389" s="228" t="str">
        <f>INDEX(Orçamentária!A:B,MATCH(Composições!A3389,Orçamentária!A:A,0),2)</f>
        <v>Limpeza de superfície por hidrojateamento de média pressão</v>
      </c>
      <c r="C3389" s="37"/>
      <c r="D3389" s="22" t="str">
        <f>TRIM(INDEX(Orçamentária!C:C,MATCH(Composições!A3389,Orçamentária!A:A,0),1))</f>
        <v>m2</v>
      </c>
      <c r="E3389" s="23"/>
      <c r="F3389" s="38" t="s">
        <v>523</v>
      </c>
      <c r="G3389" s="24" t="str">
        <f t="shared" si="58"/>
        <v/>
      </c>
      <c r="H3389" s="25"/>
      <c r="I3389" s="26"/>
      <c r="J3389" s="141">
        <v>0</v>
      </c>
    </row>
    <row r="3390" spans="1:10" ht="15.75" hidden="1" thickBot="1" x14ac:dyDescent="0.3">
      <c r="A3390" s="226"/>
      <c r="B3390" s="244"/>
      <c r="C3390" s="28"/>
      <c r="D3390" s="28"/>
      <c r="E3390" s="29"/>
      <c r="F3390" s="39" t="s">
        <v>523</v>
      </c>
      <c r="G3390" s="30" t="str">
        <f t="shared" si="58"/>
        <v/>
      </c>
      <c r="H3390" s="31"/>
      <c r="I3390" s="27"/>
      <c r="J3390" s="141">
        <v>0</v>
      </c>
    </row>
    <row r="3391" spans="1:10" ht="15.75" hidden="1" thickBot="1" x14ac:dyDescent="0.3">
      <c r="A3391" s="226"/>
      <c r="B3391" s="244"/>
      <c r="C3391" s="32" t="s">
        <v>23</v>
      </c>
      <c r="D3391" s="32" t="s">
        <v>12</v>
      </c>
      <c r="E3391" s="33">
        <v>8.8999999999999996E-2</v>
      </c>
      <c r="F3391" s="27">
        <v>18.420500000000001</v>
      </c>
      <c r="G3391" s="30">
        <f t="shared" si="58"/>
        <v>1.6394245000000001</v>
      </c>
      <c r="H3391" s="35">
        <f>SUM(G3391:G3392)</f>
        <v>1.6808920000000001</v>
      </c>
      <c r="I3391" s="36"/>
      <c r="J3391" s="141">
        <v>0</v>
      </c>
    </row>
    <row r="3392" spans="1:10" ht="39" hidden="1" thickBot="1" x14ac:dyDescent="0.3">
      <c r="A3392" s="226"/>
      <c r="B3392" s="244"/>
      <c r="C3392" s="32" t="s">
        <v>1011</v>
      </c>
      <c r="D3392" s="32" t="s">
        <v>33</v>
      </c>
      <c r="E3392" s="33">
        <v>1.4999999999999999E-2</v>
      </c>
      <c r="F3392" s="27">
        <v>2.7645</v>
      </c>
      <c r="G3392" s="30">
        <f t="shared" si="58"/>
        <v>4.1467499999999997E-2</v>
      </c>
      <c r="H3392" s="31"/>
      <c r="I3392" s="27"/>
      <c r="J3392" s="141">
        <v>0</v>
      </c>
    </row>
    <row r="3393" spans="1:10" ht="15.75" hidden="1" thickBot="1" x14ac:dyDescent="0.3">
      <c r="A3393" s="227"/>
      <c r="B3393" s="230"/>
      <c r="C3393" s="32"/>
      <c r="D3393" s="32"/>
      <c r="E3393" s="33"/>
      <c r="F3393" s="27" t="s">
        <v>523</v>
      </c>
      <c r="G3393" s="30" t="str">
        <f t="shared" si="58"/>
        <v/>
      </c>
      <c r="H3393" s="31"/>
      <c r="I3393" s="27"/>
      <c r="J3393" s="141">
        <v>0</v>
      </c>
    </row>
    <row r="3394" spans="1:10" ht="15.75" hidden="1" thickBot="1" x14ac:dyDescent="0.3">
      <c r="A3394" s="225" t="s">
        <v>1012</v>
      </c>
      <c r="B3394" s="228" t="str">
        <f>INDEX(Orçamentária!A:B,MATCH(Composições!A3394,Orçamentária!A:A,0),2)</f>
        <v>Inspeção da integridade e adesão de placas de rocha ornamental por percussão</v>
      </c>
      <c r="C3394" s="37"/>
      <c r="D3394" s="22" t="str">
        <f>TRIM(INDEX(Orçamentária!C:C,MATCH(Composições!A3394,Orçamentária!A:A,0),1))</f>
        <v>m2</v>
      </c>
      <c r="E3394" s="23"/>
      <c r="F3394" s="45" t="s">
        <v>523</v>
      </c>
      <c r="G3394" s="24" t="str">
        <f t="shared" si="58"/>
        <v/>
      </c>
      <c r="H3394" s="25"/>
      <c r="I3394" s="26"/>
      <c r="J3394" s="141">
        <v>0</v>
      </c>
    </row>
    <row r="3395" spans="1:10" ht="15.75" hidden="1" thickBot="1" x14ac:dyDescent="0.3">
      <c r="A3395" s="226"/>
      <c r="B3395" s="244"/>
      <c r="C3395" s="28"/>
      <c r="D3395" s="28"/>
      <c r="E3395" s="29"/>
      <c r="F3395" s="50" t="s">
        <v>523</v>
      </c>
      <c r="G3395" s="50" t="str">
        <f t="shared" si="58"/>
        <v/>
      </c>
      <c r="H3395" s="69"/>
      <c r="I3395" s="70"/>
      <c r="J3395" s="141">
        <v>0</v>
      </c>
    </row>
    <row r="3396" spans="1:10" ht="15.75" hidden="1" thickBot="1" x14ac:dyDescent="0.3">
      <c r="A3396" s="226"/>
      <c r="B3396" s="244"/>
      <c r="C3396" s="32" t="s">
        <v>54</v>
      </c>
      <c r="D3396" s="32" t="s">
        <v>12</v>
      </c>
      <c r="E3396" s="33">
        <v>0.25</v>
      </c>
      <c r="F3396" s="50">
        <v>24.795000000000002</v>
      </c>
      <c r="G3396" s="50">
        <f t="shared" si="58"/>
        <v>6.1987500000000004</v>
      </c>
      <c r="H3396" s="35">
        <f>SUM(G3396:G3397)</f>
        <v>6.1987500000000004</v>
      </c>
      <c r="I3396" s="36"/>
      <c r="J3396" s="141">
        <v>0</v>
      </c>
    </row>
    <row r="3397" spans="1:10" ht="15.75" hidden="1" thickBot="1" x14ac:dyDescent="0.3">
      <c r="A3397" s="227"/>
      <c r="B3397" s="230"/>
      <c r="C3397" s="32"/>
      <c r="D3397" s="32"/>
      <c r="E3397" s="33"/>
      <c r="F3397" s="50" t="s">
        <v>523</v>
      </c>
      <c r="G3397" s="50" t="str">
        <f t="shared" si="58"/>
        <v/>
      </c>
      <c r="H3397" s="69"/>
      <c r="I3397" s="70"/>
      <c r="J3397" s="141">
        <v>0</v>
      </c>
    </row>
    <row r="3398" spans="1:10" ht="15.75" hidden="1" thickBot="1" x14ac:dyDescent="0.3">
      <c r="A3398" s="225" t="s">
        <v>1013</v>
      </c>
      <c r="B3398" s="228" t="str">
        <f>INDEX(Orçamentária!A:B,MATCH(Composições!A3398,Orçamentária!A:A,0),2)</f>
        <v>Demolição de proteção mecânica de impermeabilização</v>
      </c>
      <c r="C3398" s="37"/>
      <c r="D3398" s="22" t="str">
        <f>TRIM(INDEX(Orçamentária!C:C,MATCH(Composições!A3398,Orçamentária!A:A,0),1))</f>
        <v>m2</v>
      </c>
      <c r="E3398" s="23"/>
      <c r="F3398" s="45" t="s">
        <v>523</v>
      </c>
      <c r="G3398" s="24" t="str">
        <f t="shared" si="58"/>
        <v/>
      </c>
      <c r="H3398" s="25"/>
      <c r="I3398" s="26"/>
      <c r="J3398" s="141">
        <v>0</v>
      </c>
    </row>
    <row r="3399" spans="1:10" ht="15.75" hidden="1" thickBot="1" x14ac:dyDescent="0.3">
      <c r="A3399" s="226"/>
      <c r="B3399" s="244"/>
      <c r="C3399" s="28"/>
      <c r="D3399" s="28"/>
      <c r="E3399" s="29"/>
      <c r="F3399" s="50" t="s">
        <v>523</v>
      </c>
      <c r="G3399" s="50" t="str">
        <f t="shared" si="58"/>
        <v/>
      </c>
      <c r="H3399" s="69"/>
      <c r="I3399" s="70"/>
      <c r="J3399" s="141">
        <v>0</v>
      </c>
    </row>
    <row r="3400" spans="1:10" ht="15.75" hidden="1" thickBot="1" x14ac:dyDescent="0.3">
      <c r="A3400" s="226"/>
      <c r="B3400" s="244"/>
      <c r="C3400" s="32" t="s">
        <v>23</v>
      </c>
      <c r="D3400" s="32" t="s">
        <v>705</v>
      </c>
      <c r="E3400" s="33">
        <v>1.25</v>
      </c>
      <c r="F3400" s="50">
        <v>18.420500000000001</v>
      </c>
      <c r="G3400" s="50">
        <f t="shared" si="58"/>
        <v>23.025625000000002</v>
      </c>
      <c r="H3400" s="35">
        <f>SUM(G3400:G3400)</f>
        <v>23.025625000000002</v>
      </c>
      <c r="I3400" s="36"/>
      <c r="J3400" s="141">
        <v>0</v>
      </c>
    </row>
    <row r="3401" spans="1:10" ht="15.75" hidden="1" thickBot="1" x14ac:dyDescent="0.3">
      <c r="A3401" s="227"/>
      <c r="B3401" s="230"/>
      <c r="C3401" s="32"/>
      <c r="D3401" s="32"/>
      <c r="E3401" s="33"/>
      <c r="F3401" s="50" t="s">
        <v>523</v>
      </c>
      <c r="G3401" s="50" t="str">
        <f t="shared" si="58"/>
        <v/>
      </c>
      <c r="H3401" s="69"/>
      <c r="I3401" s="70"/>
      <c r="J3401" s="141">
        <v>0</v>
      </c>
    </row>
    <row r="3402" spans="1:10" ht="15.75" hidden="1" thickBot="1" x14ac:dyDescent="0.3">
      <c r="A3402" s="225" t="s">
        <v>1014</v>
      </c>
      <c r="B3402" s="228" t="str">
        <f>INDEX(Orçamentária!A:B,MATCH(Composições!A3402,Orçamentária!A:A,0),2)</f>
        <v>Impermeabilização com emulsão asfáltica</v>
      </c>
      <c r="C3402" s="37"/>
      <c r="D3402" s="22" t="str">
        <f>TRIM(INDEX(Orçamentária!C:C,MATCH(Composições!A3402,Orçamentária!A:A,0),1))</f>
        <v>m2</v>
      </c>
      <c r="E3402" s="23"/>
      <c r="F3402" s="45" t="s">
        <v>523</v>
      </c>
      <c r="G3402" s="24" t="str">
        <f t="shared" si="58"/>
        <v/>
      </c>
      <c r="H3402" s="25"/>
      <c r="I3402" s="26"/>
      <c r="J3402" s="141">
        <v>0</v>
      </c>
    </row>
    <row r="3403" spans="1:10" ht="15.75" hidden="1" thickBot="1" x14ac:dyDescent="0.3">
      <c r="A3403" s="226"/>
      <c r="B3403" s="244"/>
      <c r="C3403" s="28"/>
      <c r="D3403" s="28"/>
      <c r="E3403" s="29"/>
      <c r="F3403" s="50" t="s">
        <v>523</v>
      </c>
      <c r="G3403" s="50" t="str">
        <f t="shared" si="58"/>
        <v/>
      </c>
      <c r="H3403" s="69"/>
      <c r="I3403" s="70"/>
      <c r="J3403" s="141">
        <v>0</v>
      </c>
    </row>
    <row r="3404" spans="1:10" ht="39" hidden="1" thickBot="1" x14ac:dyDescent="0.3">
      <c r="A3404" s="226"/>
      <c r="B3404" s="244"/>
      <c r="C3404" s="32" t="s">
        <v>1015</v>
      </c>
      <c r="D3404" s="32" t="s">
        <v>901</v>
      </c>
      <c r="E3404" s="33">
        <v>1.5</v>
      </c>
      <c r="F3404" s="50">
        <v>18.544</v>
      </c>
      <c r="G3404" s="50">
        <f t="shared" si="58"/>
        <v>27.816000000000003</v>
      </c>
      <c r="H3404" s="35">
        <f>SUM(G3404:G3407)</f>
        <v>48.407221499999999</v>
      </c>
      <c r="I3404" s="36"/>
      <c r="J3404" s="141">
        <v>0</v>
      </c>
    </row>
    <row r="3405" spans="1:10" ht="15.75" hidden="1" thickBot="1" x14ac:dyDescent="0.3">
      <c r="A3405" s="226"/>
      <c r="B3405" s="244"/>
      <c r="C3405" s="32" t="s">
        <v>3394</v>
      </c>
      <c r="D3405" s="32" t="s">
        <v>995</v>
      </c>
      <c r="E3405" s="33">
        <v>1.351</v>
      </c>
      <c r="F3405" s="50">
        <v>6.2415000000000003</v>
      </c>
      <c r="G3405" s="50">
        <f t="shared" si="58"/>
        <v>8.4322665000000008</v>
      </c>
      <c r="H3405" s="69"/>
      <c r="I3405" s="36"/>
      <c r="J3405" s="141">
        <v>0</v>
      </c>
    </row>
    <row r="3406" spans="1:10" ht="15.75" hidden="1" thickBot="1" x14ac:dyDescent="0.3">
      <c r="A3406" s="226"/>
      <c r="B3406" s="244"/>
      <c r="C3406" s="32" t="s">
        <v>1016</v>
      </c>
      <c r="D3406" s="32" t="s">
        <v>705</v>
      </c>
      <c r="E3406" s="33">
        <v>8.5000000000000006E-2</v>
      </c>
      <c r="F3406" s="50">
        <v>19.474999999999998</v>
      </c>
      <c r="G3406" s="50">
        <f t="shared" si="58"/>
        <v>1.655375</v>
      </c>
      <c r="H3406" s="69"/>
      <c r="I3406" s="70"/>
      <c r="J3406" s="141">
        <v>0</v>
      </c>
    </row>
    <row r="3407" spans="1:10" ht="15.75" hidden="1" thickBot="1" x14ac:dyDescent="0.3">
      <c r="A3407" s="226"/>
      <c r="B3407" s="244"/>
      <c r="C3407" s="32" t="s">
        <v>1017</v>
      </c>
      <c r="D3407" s="32" t="s">
        <v>705</v>
      </c>
      <c r="E3407" s="33">
        <v>0.42199999999999999</v>
      </c>
      <c r="F3407" s="50">
        <v>24.889999999999997</v>
      </c>
      <c r="G3407" s="50">
        <f t="shared" si="58"/>
        <v>10.503579999999998</v>
      </c>
      <c r="H3407" s="69"/>
      <c r="I3407" s="70"/>
      <c r="J3407" s="141">
        <v>0</v>
      </c>
    </row>
    <row r="3408" spans="1:10" ht="15.75" hidden="1" thickBot="1" x14ac:dyDescent="0.3">
      <c r="A3408" s="227"/>
      <c r="B3408" s="230"/>
      <c r="C3408" s="32"/>
      <c r="D3408" s="32"/>
      <c r="E3408" s="33"/>
      <c r="F3408" s="50" t="s">
        <v>523</v>
      </c>
      <c r="G3408" s="50" t="str">
        <f t="shared" si="58"/>
        <v/>
      </c>
      <c r="H3408" s="69"/>
      <c r="I3408" s="70"/>
      <c r="J3408" s="141">
        <v>0</v>
      </c>
    </row>
    <row r="3409" spans="1:10" ht="15.75" hidden="1" thickBot="1" x14ac:dyDescent="0.3">
      <c r="A3409" s="225" t="s">
        <v>1018</v>
      </c>
      <c r="B3409" s="228" t="str">
        <f>INDEX(Orçamentária!A:B,MATCH(Composições!A3409,Orçamentária!A:A,0),2)</f>
        <v>Camada de proteção mecânica simples de impermeabilização</v>
      </c>
      <c r="C3409" s="37"/>
      <c r="D3409" s="22" t="str">
        <f>TRIM(INDEX(Orçamentária!C:C,MATCH(Composições!A3409,Orçamentária!A:A,0),1))</f>
        <v>m2</v>
      </c>
      <c r="E3409" s="23"/>
      <c r="F3409" s="45" t="s">
        <v>523</v>
      </c>
      <c r="G3409" s="24" t="str">
        <f t="shared" si="58"/>
        <v/>
      </c>
      <c r="H3409" s="25"/>
      <c r="I3409" s="26"/>
      <c r="J3409" s="141">
        <v>0</v>
      </c>
    </row>
    <row r="3410" spans="1:10" ht="15.75" hidden="1" thickBot="1" x14ac:dyDescent="0.3">
      <c r="A3410" s="226"/>
      <c r="B3410" s="244"/>
      <c r="C3410" s="28"/>
      <c r="D3410" s="28"/>
      <c r="E3410" s="29"/>
      <c r="F3410" s="50" t="s">
        <v>523</v>
      </c>
      <c r="G3410" s="50" t="str">
        <f t="shared" si="58"/>
        <v/>
      </c>
      <c r="H3410" s="69"/>
      <c r="I3410" s="70"/>
      <c r="J3410" s="141">
        <v>0</v>
      </c>
    </row>
    <row r="3411" spans="1:10" ht="15.75" hidden="1" thickBot="1" x14ac:dyDescent="0.3">
      <c r="A3411" s="226"/>
      <c r="B3411" s="244"/>
      <c r="C3411" s="32" t="s">
        <v>1019</v>
      </c>
      <c r="D3411" s="32" t="s">
        <v>995</v>
      </c>
      <c r="E3411" s="33">
        <v>1.04</v>
      </c>
      <c r="F3411" s="50">
        <v>1.843</v>
      </c>
      <c r="G3411" s="50">
        <f t="shared" si="58"/>
        <v>1.91672</v>
      </c>
      <c r="H3411" s="35">
        <f>SUM(G3411:G3414)</f>
        <v>50.680602553125013</v>
      </c>
      <c r="I3411" s="36"/>
      <c r="J3411" s="141">
        <v>0</v>
      </c>
    </row>
    <row r="3412" spans="1:10" ht="26.25" hidden="1" thickBot="1" x14ac:dyDescent="0.3">
      <c r="A3412" s="226"/>
      <c r="B3412" s="244"/>
      <c r="C3412" s="32" t="s">
        <v>1020</v>
      </c>
      <c r="D3412" s="32" t="s">
        <v>120</v>
      </c>
      <c r="E3412" s="33">
        <v>3.5000000000000003E-2</v>
      </c>
      <c r="F3412" s="50">
        <v>854.61274437500003</v>
      </c>
      <c r="G3412" s="50">
        <f t="shared" si="58"/>
        <v>29.911446053125005</v>
      </c>
      <c r="H3412" s="69"/>
      <c r="I3412" s="70"/>
      <c r="J3412" s="141">
        <v>0</v>
      </c>
    </row>
    <row r="3413" spans="1:10" ht="15.75" hidden="1" thickBot="1" x14ac:dyDescent="0.3">
      <c r="A3413" s="226"/>
      <c r="B3413" s="244"/>
      <c r="C3413" s="32" t="s">
        <v>22</v>
      </c>
      <c r="D3413" s="32" t="s">
        <v>705</v>
      </c>
      <c r="E3413" s="33">
        <v>0.65900000000000003</v>
      </c>
      <c r="F3413" s="50">
        <v>24.889999999999997</v>
      </c>
      <c r="G3413" s="50">
        <f t="shared" si="58"/>
        <v>16.402509999999999</v>
      </c>
      <c r="H3413" s="69"/>
      <c r="I3413" s="70"/>
      <c r="J3413" s="141">
        <v>0</v>
      </c>
    </row>
    <row r="3414" spans="1:10" ht="15.75" hidden="1" thickBot="1" x14ac:dyDescent="0.3">
      <c r="A3414" s="226"/>
      <c r="B3414" s="244"/>
      <c r="C3414" s="32" t="s">
        <v>23</v>
      </c>
      <c r="D3414" s="32" t="s">
        <v>705</v>
      </c>
      <c r="E3414" s="33">
        <v>0.13300000000000001</v>
      </c>
      <c r="F3414" s="50">
        <v>18.420500000000001</v>
      </c>
      <c r="G3414" s="50">
        <f t="shared" si="58"/>
        <v>2.4499265000000001</v>
      </c>
      <c r="H3414" s="69"/>
      <c r="I3414" s="70"/>
      <c r="J3414" s="141">
        <v>0</v>
      </c>
    </row>
    <row r="3415" spans="1:10" ht="15.75" hidden="1" thickBot="1" x14ac:dyDescent="0.3">
      <c r="A3415" s="227"/>
      <c r="B3415" s="230"/>
      <c r="C3415" s="32"/>
      <c r="D3415" s="32"/>
      <c r="E3415" s="33"/>
      <c r="F3415" s="50" t="s">
        <v>523</v>
      </c>
      <c r="G3415" s="50" t="str">
        <f t="shared" si="58"/>
        <v/>
      </c>
      <c r="H3415" s="69"/>
      <c r="I3415" s="70"/>
      <c r="J3415" s="141">
        <v>0</v>
      </c>
    </row>
    <row r="3416" spans="1:10" ht="15.75" hidden="1" thickBot="1" x14ac:dyDescent="0.3">
      <c r="A3416" s="225" t="s">
        <v>1021</v>
      </c>
      <c r="B3416" s="228" t="str">
        <f>INDEX(Orçamentária!A:B,MATCH(Composições!A3416,Orçamentária!A:A,0),2)</f>
        <v>Camada de proteção mecânica estruturada de impermeabilização</v>
      </c>
      <c r="C3416" s="37"/>
      <c r="D3416" s="22" t="str">
        <f>TRIM(INDEX(Orçamentária!C:C,MATCH(Composições!A3416,Orçamentária!A:A,0),1))</f>
        <v>m2</v>
      </c>
      <c r="E3416" s="23"/>
      <c r="F3416" s="45" t="s">
        <v>523</v>
      </c>
      <c r="G3416" s="24" t="str">
        <f t="shared" si="58"/>
        <v/>
      </c>
      <c r="H3416" s="25"/>
      <c r="I3416" s="26"/>
      <c r="J3416" s="141">
        <v>0</v>
      </c>
    </row>
    <row r="3417" spans="1:10" ht="15.75" hidden="1" thickBot="1" x14ac:dyDescent="0.3">
      <c r="A3417" s="226"/>
      <c r="B3417" s="244"/>
      <c r="C3417" s="28"/>
      <c r="D3417" s="28"/>
      <c r="E3417" s="29"/>
      <c r="F3417" s="50" t="s">
        <v>523</v>
      </c>
      <c r="G3417" s="50" t="str">
        <f t="shared" si="58"/>
        <v/>
      </c>
      <c r="H3417" s="69"/>
      <c r="I3417" s="70"/>
      <c r="J3417" s="141">
        <v>0</v>
      </c>
    </row>
    <row r="3418" spans="1:10" ht="26.25" hidden="1" thickBot="1" x14ac:dyDescent="0.3">
      <c r="A3418" s="226"/>
      <c r="B3418" s="244"/>
      <c r="C3418" s="32" t="s">
        <v>1022</v>
      </c>
      <c r="D3418" s="32" t="s">
        <v>995</v>
      </c>
      <c r="E3418" s="33">
        <v>1.05</v>
      </c>
      <c r="F3418" s="50">
        <v>13.499499999999999</v>
      </c>
      <c r="G3418" s="50">
        <f t="shared" si="58"/>
        <v>14.174474999999999</v>
      </c>
      <c r="H3418" s="35">
        <f>SUM(G3418:G3421)</f>
        <v>64.292392553124998</v>
      </c>
      <c r="I3418" s="36"/>
      <c r="J3418" s="141">
        <v>0</v>
      </c>
    </row>
    <row r="3419" spans="1:10" ht="26.25" hidden="1" thickBot="1" x14ac:dyDescent="0.3">
      <c r="A3419" s="226"/>
      <c r="B3419" s="244"/>
      <c r="C3419" s="32" t="s">
        <v>1020</v>
      </c>
      <c r="D3419" s="32" t="s">
        <v>120</v>
      </c>
      <c r="E3419" s="33">
        <v>3.5000000000000003E-2</v>
      </c>
      <c r="F3419" s="50">
        <v>854.61274437500003</v>
      </c>
      <c r="G3419" s="50">
        <f t="shared" si="58"/>
        <v>29.911446053125005</v>
      </c>
      <c r="H3419" s="69"/>
      <c r="I3419" s="70"/>
      <c r="J3419" s="141">
        <v>0</v>
      </c>
    </row>
    <row r="3420" spans="1:10" ht="15.75" hidden="1" thickBot="1" x14ac:dyDescent="0.3">
      <c r="A3420" s="226"/>
      <c r="B3420" s="244"/>
      <c r="C3420" s="32" t="s">
        <v>22</v>
      </c>
      <c r="D3420" s="32" t="s">
        <v>705</v>
      </c>
      <c r="E3420" s="33">
        <v>0.70599999999999996</v>
      </c>
      <c r="F3420" s="50">
        <v>24.889999999999997</v>
      </c>
      <c r="G3420" s="50">
        <f t="shared" si="58"/>
        <v>17.572339999999997</v>
      </c>
      <c r="H3420" s="69"/>
      <c r="I3420" s="70"/>
      <c r="J3420" s="141">
        <v>0</v>
      </c>
    </row>
    <row r="3421" spans="1:10" ht="15.75" hidden="1" thickBot="1" x14ac:dyDescent="0.3">
      <c r="A3421" s="226"/>
      <c r="B3421" s="244"/>
      <c r="C3421" s="32" t="s">
        <v>23</v>
      </c>
      <c r="D3421" s="32" t="s">
        <v>705</v>
      </c>
      <c r="E3421" s="33">
        <v>0.14299999999999999</v>
      </c>
      <c r="F3421" s="50">
        <v>18.420500000000001</v>
      </c>
      <c r="G3421" s="50">
        <f t="shared" si="58"/>
        <v>2.6341315000000001</v>
      </c>
      <c r="H3421" s="69"/>
      <c r="I3421" s="70"/>
      <c r="J3421" s="141">
        <v>0</v>
      </c>
    </row>
    <row r="3422" spans="1:10" ht="15.75" hidden="1" thickBot="1" x14ac:dyDescent="0.3">
      <c r="A3422" s="227"/>
      <c r="B3422" s="230"/>
      <c r="C3422" s="32"/>
      <c r="D3422" s="32"/>
      <c r="E3422" s="33"/>
      <c r="F3422" s="50" t="s">
        <v>523</v>
      </c>
      <c r="G3422" s="50" t="str">
        <f t="shared" si="58"/>
        <v/>
      </c>
      <c r="H3422" s="69"/>
      <c r="I3422" s="70"/>
      <c r="J3422" s="141">
        <v>0</v>
      </c>
    </row>
    <row r="3423" spans="1:10" ht="15.75" hidden="1" thickBot="1" x14ac:dyDescent="0.3">
      <c r="A3423" s="225" t="s">
        <v>1023</v>
      </c>
      <c r="B3423" s="228" t="str">
        <f>INDEX(Orçamentária!A:B,MATCH(Composições!A3423,Orçamentária!A:A,0),2)</f>
        <v>Remoção de placas  de mármore encaixadas por fixadores metálicos (modelo Ed. Principal)</v>
      </c>
      <c r="C3423" s="37"/>
      <c r="D3423" s="22" t="str">
        <f>TRIM(INDEX(Orçamentária!C:C,MATCH(Composições!A3423,Orçamentária!A:A,0),1))</f>
        <v>m2</v>
      </c>
      <c r="E3423" s="23"/>
      <c r="F3423" s="45" t="s">
        <v>523</v>
      </c>
      <c r="G3423" s="24" t="str">
        <f t="shared" si="58"/>
        <v/>
      </c>
      <c r="H3423" s="25"/>
      <c r="I3423" s="26"/>
      <c r="J3423" s="141">
        <v>0</v>
      </c>
    </row>
    <row r="3424" spans="1:10" ht="15.75" hidden="1" thickBot="1" x14ac:dyDescent="0.3">
      <c r="A3424" s="226"/>
      <c r="B3424" s="244"/>
      <c r="C3424" s="28"/>
      <c r="D3424" s="28"/>
      <c r="E3424" s="29"/>
      <c r="F3424" s="50" t="s">
        <v>523</v>
      </c>
      <c r="G3424" s="50" t="str">
        <f t="shared" si="58"/>
        <v/>
      </c>
      <c r="H3424" s="69"/>
      <c r="I3424" s="70"/>
      <c r="J3424" s="141">
        <v>0</v>
      </c>
    </row>
    <row r="3425" spans="1:10" ht="15.75" hidden="1" thickBot="1" x14ac:dyDescent="0.3">
      <c r="A3425" s="226"/>
      <c r="B3425" s="244"/>
      <c r="C3425" s="32" t="s">
        <v>54</v>
      </c>
      <c r="D3425" s="32" t="s">
        <v>12</v>
      </c>
      <c r="E3425" s="33">
        <v>0.4</v>
      </c>
      <c r="F3425" s="50">
        <v>24.795000000000002</v>
      </c>
      <c r="G3425" s="50">
        <f t="shared" si="58"/>
        <v>9.918000000000001</v>
      </c>
      <c r="H3425" s="35">
        <f>SUM(G3425:G3426)</f>
        <v>17.286200000000001</v>
      </c>
      <c r="I3425" s="36"/>
      <c r="J3425" s="141">
        <v>0</v>
      </c>
    </row>
    <row r="3426" spans="1:10" ht="15.75" hidden="1" thickBot="1" x14ac:dyDescent="0.3">
      <c r="A3426" s="226"/>
      <c r="B3426" s="244"/>
      <c r="C3426" s="32" t="s">
        <v>23</v>
      </c>
      <c r="D3426" s="32" t="s">
        <v>12</v>
      </c>
      <c r="E3426" s="33">
        <v>0.4</v>
      </c>
      <c r="F3426" s="50">
        <v>18.420500000000001</v>
      </c>
      <c r="G3426" s="50">
        <f t="shared" si="58"/>
        <v>7.3682000000000007</v>
      </c>
      <c r="H3426" s="69"/>
      <c r="I3426" s="70"/>
      <c r="J3426" s="141">
        <v>0</v>
      </c>
    </row>
    <row r="3427" spans="1:10" ht="15.75" hidden="1" thickBot="1" x14ac:dyDescent="0.3">
      <c r="A3427" s="227"/>
      <c r="B3427" s="230"/>
      <c r="C3427" s="32"/>
      <c r="D3427" s="32"/>
      <c r="E3427" s="33"/>
      <c r="F3427" s="50" t="s">
        <v>523</v>
      </c>
      <c r="G3427" s="50" t="str">
        <f t="shared" si="58"/>
        <v/>
      </c>
      <c r="H3427" s="69"/>
      <c r="I3427" s="70"/>
      <c r="J3427" s="141">
        <v>0</v>
      </c>
    </row>
    <row r="3428" spans="1:10" ht="15.75" hidden="1" thickBot="1" x14ac:dyDescent="0.3">
      <c r="A3428" s="225" t="s">
        <v>1024</v>
      </c>
      <c r="B3428" s="228" t="str">
        <f>INDEX(Orçamentária!A:B,MATCH(Composições!A3428,Orçamentária!A:A,0),2)</f>
        <v>Remoção de placas de rocha ornamental argamassada, para reaproveitamento</v>
      </c>
      <c r="C3428" s="37"/>
      <c r="D3428" s="22" t="str">
        <f>TRIM(INDEX(Orçamentária!C:C,MATCH(Composições!A3428,Orçamentária!A:A,0),1))</f>
        <v>m2</v>
      </c>
      <c r="E3428" s="23"/>
      <c r="F3428" s="45" t="s">
        <v>523</v>
      </c>
      <c r="G3428" s="24" t="str">
        <f t="shared" si="58"/>
        <v/>
      </c>
      <c r="H3428" s="25"/>
      <c r="I3428" s="26"/>
      <c r="J3428" s="141">
        <v>0</v>
      </c>
    </row>
    <row r="3429" spans="1:10" ht="15.75" hidden="1" thickBot="1" x14ac:dyDescent="0.3">
      <c r="A3429" s="226"/>
      <c r="B3429" s="244"/>
      <c r="C3429" s="28"/>
      <c r="D3429" s="28"/>
      <c r="E3429" s="29"/>
      <c r="F3429" s="50" t="s">
        <v>523</v>
      </c>
      <c r="G3429" s="50" t="str">
        <f t="shared" si="58"/>
        <v/>
      </c>
      <c r="H3429" s="69"/>
      <c r="I3429" s="70"/>
      <c r="J3429" s="141">
        <v>0</v>
      </c>
    </row>
    <row r="3430" spans="1:10" ht="15.75" hidden="1" thickBot="1" x14ac:dyDescent="0.3">
      <c r="A3430" s="226"/>
      <c r="B3430" s="244"/>
      <c r="C3430" s="32" t="s">
        <v>54</v>
      </c>
      <c r="D3430" s="32" t="s">
        <v>12</v>
      </c>
      <c r="E3430" s="33">
        <v>1.2</v>
      </c>
      <c r="F3430" s="50">
        <v>24.795000000000002</v>
      </c>
      <c r="G3430" s="50">
        <f t="shared" si="58"/>
        <v>29.754000000000001</v>
      </c>
      <c r="H3430" s="35">
        <f>SUM(G3430:G3431)</f>
        <v>51.858600000000003</v>
      </c>
      <c r="I3430" s="36"/>
      <c r="J3430" s="141">
        <v>0</v>
      </c>
    </row>
    <row r="3431" spans="1:10" ht="15.75" hidden="1" thickBot="1" x14ac:dyDescent="0.3">
      <c r="A3431" s="226"/>
      <c r="B3431" s="244"/>
      <c r="C3431" s="32" t="s">
        <v>23</v>
      </c>
      <c r="D3431" s="32" t="s">
        <v>12</v>
      </c>
      <c r="E3431" s="33">
        <v>1.2</v>
      </c>
      <c r="F3431" s="50">
        <v>18.420500000000001</v>
      </c>
      <c r="G3431" s="50">
        <f t="shared" si="58"/>
        <v>22.104600000000001</v>
      </c>
      <c r="H3431" s="69"/>
      <c r="I3431" s="70"/>
      <c r="J3431" s="141">
        <v>0</v>
      </c>
    </row>
    <row r="3432" spans="1:10" ht="15.75" hidden="1" thickBot="1" x14ac:dyDescent="0.3">
      <c r="A3432" s="227"/>
      <c r="B3432" s="230"/>
      <c r="C3432" s="32"/>
      <c r="D3432" s="32"/>
      <c r="E3432" s="33"/>
      <c r="F3432" s="50" t="s">
        <v>523</v>
      </c>
      <c r="G3432" s="50" t="str">
        <f t="shared" si="58"/>
        <v/>
      </c>
      <c r="H3432" s="69"/>
      <c r="I3432" s="70"/>
      <c r="J3432" s="141">
        <v>0</v>
      </c>
    </row>
    <row r="3433" spans="1:10" ht="15.75" hidden="1" thickBot="1" x14ac:dyDescent="0.3">
      <c r="A3433" s="225" t="s">
        <v>1025</v>
      </c>
      <c r="B3433" s="228" t="str">
        <f>INDEX(Orçamentária!A:B,MATCH(Composições!A3433,Orçamentária!A:A,0),2)</f>
        <v>Identificação e acondicionamento de placas de rocha ornamental</v>
      </c>
      <c r="C3433" s="37"/>
      <c r="D3433" s="22" t="str">
        <f>TRIM(INDEX(Orçamentária!C:C,MATCH(Composições!A3433,Orçamentária!A:A,0),1))</f>
        <v>m2</v>
      </c>
      <c r="E3433" s="23"/>
      <c r="F3433" s="45" t="s">
        <v>523</v>
      </c>
      <c r="G3433" s="24" t="str">
        <f t="shared" si="58"/>
        <v/>
      </c>
      <c r="H3433" s="25"/>
      <c r="I3433" s="26"/>
      <c r="J3433" s="141">
        <v>0</v>
      </c>
    </row>
    <row r="3434" spans="1:10" ht="15.75" hidden="1" thickBot="1" x14ac:dyDescent="0.3">
      <c r="A3434" s="226"/>
      <c r="B3434" s="244"/>
      <c r="C3434" s="28"/>
      <c r="D3434" s="28"/>
      <c r="E3434" s="29"/>
      <c r="F3434" s="50" t="s">
        <v>523</v>
      </c>
      <c r="G3434" s="50" t="str">
        <f t="shared" si="58"/>
        <v/>
      </c>
      <c r="H3434" s="69"/>
      <c r="I3434" s="70"/>
      <c r="J3434" s="141">
        <v>0</v>
      </c>
    </row>
    <row r="3435" spans="1:10" ht="15.75" hidden="1" thickBot="1" x14ac:dyDescent="0.3">
      <c r="A3435" s="226"/>
      <c r="B3435" s="244"/>
      <c r="C3435" s="32" t="s">
        <v>1026</v>
      </c>
      <c r="D3435" s="32" t="s">
        <v>95</v>
      </c>
      <c r="E3435" s="33">
        <v>1.05</v>
      </c>
      <c r="F3435" s="50">
        <v>4.8925000000000001</v>
      </c>
      <c r="G3435" s="50">
        <f t="shared" si="58"/>
        <v>5.1371250000000002</v>
      </c>
      <c r="H3435" s="35">
        <f>SUM(G3435:G3436)</f>
        <v>8.8212250000000001</v>
      </c>
      <c r="I3435" s="36"/>
      <c r="J3435" s="141">
        <v>0</v>
      </c>
    </row>
    <row r="3436" spans="1:10" ht="15.75" hidden="1" thickBot="1" x14ac:dyDescent="0.3">
      <c r="A3436" s="226"/>
      <c r="B3436" s="244"/>
      <c r="C3436" s="32" t="s">
        <v>23</v>
      </c>
      <c r="D3436" s="32" t="s">
        <v>12</v>
      </c>
      <c r="E3436" s="33">
        <v>0.2</v>
      </c>
      <c r="F3436" s="50">
        <v>18.420500000000001</v>
      </c>
      <c r="G3436" s="50">
        <f t="shared" si="58"/>
        <v>3.6841000000000004</v>
      </c>
      <c r="H3436" s="69"/>
      <c r="I3436" s="70"/>
      <c r="J3436" s="141">
        <v>0</v>
      </c>
    </row>
    <row r="3437" spans="1:10" ht="15.75" hidden="1" thickBot="1" x14ac:dyDescent="0.3">
      <c r="A3437" s="227"/>
      <c r="B3437" s="230"/>
      <c r="C3437" s="32"/>
      <c r="D3437" s="32"/>
      <c r="E3437" s="33"/>
      <c r="F3437" s="50" t="s">
        <v>523</v>
      </c>
      <c r="G3437" s="50" t="str">
        <f t="shared" si="58"/>
        <v/>
      </c>
      <c r="H3437" s="69"/>
      <c r="I3437" s="70"/>
      <c r="J3437" s="141">
        <v>0</v>
      </c>
    </row>
    <row r="3438" spans="1:10" ht="15.75" hidden="1" thickBot="1" x14ac:dyDescent="0.3">
      <c r="A3438" s="225" t="s">
        <v>1027</v>
      </c>
      <c r="B3438" s="228" t="str">
        <f>INDEX(Orçamentária!A:B,MATCH(Composições!A3438,Orçamentária!A:A,0),2)</f>
        <v>Limpeza de placas de rocha ornamental argamassada, para reaproveitamento</v>
      </c>
      <c r="C3438" s="37"/>
      <c r="D3438" s="22" t="str">
        <f>TRIM(INDEX(Orçamentária!C:C,MATCH(Composições!A3438,Orçamentária!A:A,0),1))</f>
        <v>m2</v>
      </c>
      <c r="E3438" s="23"/>
      <c r="F3438" s="45" t="s">
        <v>523</v>
      </c>
      <c r="G3438" s="24" t="str">
        <f t="shared" si="58"/>
        <v/>
      </c>
      <c r="H3438" s="25"/>
      <c r="I3438" s="26"/>
      <c r="J3438" s="141">
        <v>0</v>
      </c>
    </row>
    <row r="3439" spans="1:10" ht="15.75" hidden="1" thickBot="1" x14ac:dyDescent="0.3">
      <c r="A3439" s="226"/>
      <c r="B3439" s="244"/>
      <c r="C3439" s="28"/>
      <c r="D3439" s="28"/>
      <c r="E3439" s="29"/>
      <c r="F3439" s="50" t="s">
        <v>523</v>
      </c>
      <c r="G3439" s="50" t="str">
        <f t="shared" si="58"/>
        <v/>
      </c>
      <c r="H3439" s="69"/>
      <c r="I3439" s="70"/>
      <c r="J3439" s="141">
        <v>0</v>
      </c>
    </row>
    <row r="3440" spans="1:10" ht="15.75" hidden="1" thickBot="1" x14ac:dyDescent="0.3">
      <c r="A3440" s="226"/>
      <c r="B3440" s="244"/>
      <c r="C3440" s="32" t="s">
        <v>23</v>
      </c>
      <c r="D3440" s="32" t="s">
        <v>12</v>
      </c>
      <c r="E3440" s="33">
        <v>0.3</v>
      </c>
      <c r="F3440" s="50">
        <v>18.420500000000001</v>
      </c>
      <c r="G3440" s="50">
        <f t="shared" si="58"/>
        <v>5.5261500000000003</v>
      </c>
      <c r="H3440" s="35">
        <f>SUM(G3440)</f>
        <v>5.5261500000000003</v>
      </c>
      <c r="I3440" s="36"/>
      <c r="J3440" s="141">
        <v>0</v>
      </c>
    </row>
    <row r="3441" spans="1:10" ht="15.75" hidden="1" thickBot="1" x14ac:dyDescent="0.3">
      <c r="A3441" s="227"/>
      <c r="B3441" s="230"/>
      <c r="C3441" s="32"/>
      <c r="D3441" s="32"/>
      <c r="E3441" s="33"/>
      <c r="F3441" s="50" t="s">
        <v>523</v>
      </c>
      <c r="G3441" s="50" t="str">
        <f t="shared" ref="G3441:G3504" si="59">IF(ISNUMBER(F3441),E3441*F3441,"")</f>
        <v/>
      </c>
      <c r="H3441" s="69"/>
      <c r="I3441" s="70"/>
      <c r="J3441" s="141">
        <v>0</v>
      </c>
    </row>
    <row r="3442" spans="1:10" ht="15.75" hidden="1" thickBot="1" x14ac:dyDescent="0.3">
      <c r="A3442" s="225" t="s">
        <v>1028</v>
      </c>
      <c r="B3442" s="228" t="str">
        <f>INDEX(Orçamentária!A:B,MATCH(Composições!A3442,Orçamentária!A:A,0),2)</f>
        <v>Remoção e acondicionamento de fixadores metálicos para placas de mármore em fachada (modelo Ed. Principal)</v>
      </c>
      <c r="C3442" s="37"/>
      <c r="D3442" s="22" t="str">
        <f>TRIM(INDEX(Orçamentária!C:C,MATCH(Composições!A3442,Orçamentária!A:A,0),1))</f>
        <v>un</v>
      </c>
      <c r="E3442" s="23"/>
      <c r="F3442" s="45" t="s">
        <v>523</v>
      </c>
      <c r="G3442" s="24" t="str">
        <f t="shared" si="59"/>
        <v/>
      </c>
      <c r="H3442" s="25"/>
      <c r="I3442" s="26"/>
      <c r="J3442" s="141">
        <v>0</v>
      </c>
    </row>
    <row r="3443" spans="1:10" ht="15.75" hidden="1" thickBot="1" x14ac:dyDescent="0.3">
      <c r="A3443" s="226"/>
      <c r="B3443" s="244"/>
      <c r="C3443" s="28"/>
      <c r="D3443" s="28"/>
      <c r="E3443" s="29"/>
      <c r="F3443" s="50" t="s">
        <v>523</v>
      </c>
      <c r="G3443" s="50" t="str">
        <f t="shared" si="59"/>
        <v/>
      </c>
      <c r="H3443" s="69"/>
      <c r="I3443" s="70"/>
      <c r="J3443" s="141">
        <v>0</v>
      </c>
    </row>
    <row r="3444" spans="1:10" ht="15.75" hidden="1" thickBot="1" x14ac:dyDescent="0.3">
      <c r="A3444" s="226"/>
      <c r="B3444" s="244"/>
      <c r="C3444" s="32" t="s">
        <v>23</v>
      </c>
      <c r="D3444" s="32" t="s">
        <v>12</v>
      </c>
      <c r="E3444" s="33">
        <v>0.1</v>
      </c>
      <c r="F3444" s="50">
        <v>18.420500000000001</v>
      </c>
      <c r="G3444" s="50">
        <f t="shared" si="59"/>
        <v>1.8420500000000002</v>
      </c>
      <c r="H3444" s="35">
        <f>SUM(G3444)</f>
        <v>1.8420500000000002</v>
      </c>
      <c r="I3444" s="36"/>
      <c r="J3444" s="141">
        <v>0</v>
      </c>
    </row>
    <row r="3445" spans="1:10" ht="15.75" hidden="1" thickBot="1" x14ac:dyDescent="0.3">
      <c r="A3445" s="227"/>
      <c r="B3445" s="230"/>
      <c r="C3445" s="32"/>
      <c r="D3445" s="32"/>
      <c r="E3445" s="33"/>
      <c r="F3445" s="50" t="s">
        <v>523</v>
      </c>
      <c r="G3445" s="50" t="str">
        <f t="shared" si="59"/>
        <v/>
      </c>
      <c r="H3445" s="69"/>
      <c r="I3445" s="70"/>
      <c r="J3445" s="141">
        <v>0</v>
      </c>
    </row>
    <row r="3446" spans="1:10" ht="15.75" hidden="1" thickBot="1" x14ac:dyDescent="0.3">
      <c r="A3446" s="225" t="s">
        <v>1029</v>
      </c>
      <c r="B3446" s="228" t="str">
        <f>INDEX(Orçamentária!A:B,MATCH(Composições!A3446,Orçamentária!A:A,0),2)</f>
        <v>Instalação de fixadores metálicos para placas de mármore em fachada reaproveitados (modelo Ed. Principal)</v>
      </c>
      <c r="C3446" s="37"/>
      <c r="D3446" s="22" t="str">
        <f>TRIM(INDEX(Orçamentária!C:C,MATCH(Composições!A3446,Orçamentária!A:A,0),1))</f>
        <v>un</v>
      </c>
      <c r="E3446" s="23"/>
      <c r="F3446" s="45" t="s">
        <v>523</v>
      </c>
      <c r="G3446" s="24" t="str">
        <f t="shared" si="59"/>
        <v/>
      </c>
      <c r="H3446" s="25"/>
      <c r="I3446" s="26"/>
      <c r="J3446" s="141">
        <v>0</v>
      </c>
    </row>
    <row r="3447" spans="1:10" ht="15.75" hidden="1" thickBot="1" x14ac:dyDescent="0.3">
      <c r="A3447" s="226"/>
      <c r="B3447" s="244"/>
      <c r="C3447" s="28"/>
      <c r="D3447" s="28"/>
      <c r="E3447" s="29"/>
      <c r="F3447" s="50" t="s">
        <v>523</v>
      </c>
      <c r="G3447" s="50" t="str">
        <f t="shared" si="59"/>
        <v/>
      </c>
      <c r="H3447" s="69"/>
      <c r="I3447" s="70"/>
      <c r="J3447" s="141">
        <v>0</v>
      </c>
    </row>
    <row r="3448" spans="1:10" ht="15.75" hidden="1" thickBot="1" x14ac:dyDescent="0.3">
      <c r="A3448" s="226"/>
      <c r="B3448" s="244"/>
      <c r="C3448" s="32" t="s">
        <v>22</v>
      </c>
      <c r="D3448" s="32" t="s">
        <v>12</v>
      </c>
      <c r="E3448" s="33">
        <f>0.1+0.1</f>
        <v>0.2</v>
      </c>
      <c r="F3448" s="50">
        <v>24.889999999999997</v>
      </c>
      <c r="G3448" s="50">
        <f t="shared" si="59"/>
        <v>4.9779999999999998</v>
      </c>
      <c r="H3448" s="35">
        <f>SUM(G3448:G3452)</f>
        <v>8.9356898121559212</v>
      </c>
      <c r="I3448" s="36"/>
      <c r="J3448" s="141">
        <v>0</v>
      </c>
    </row>
    <row r="3449" spans="1:10" ht="15.75" hidden="1" thickBot="1" x14ac:dyDescent="0.3">
      <c r="A3449" s="226"/>
      <c r="B3449" s="244"/>
      <c r="C3449" s="32" t="s">
        <v>23</v>
      </c>
      <c r="D3449" s="32" t="s">
        <v>12</v>
      </c>
      <c r="E3449" s="33">
        <f>0.1+0.1</f>
        <v>0.2</v>
      </c>
      <c r="F3449" s="50">
        <v>18.420500000000001</v>
      </c>
      <c r="G3449" s="50">
        <f t="shared" si="59"/>
        <v>3.6841000000000004</v>
      </c>
      <c r="H3449" s="69"/>
      <c r="I3449" s="70"/>
      <c r="J3449" s="141">
        <v>0</v>
      </c>
    </row>
    <row r="3450" spans="1:10" ht="15.75" hidden="1" thickBot="1" x14ac:dyDescent="0.3">
      <c r="A3450" s="226"/>
      <c r="B3450" s="244"/>
      <c r="C3450" s="32" t="s">
        <v>1030</v>
      </c>
      <c r="D3450" s="32" t="s">
        <v>144</v>
      </c>
      <c r="E3450" s="33">
        <f>0.016*2</f>
        <v>3.2000000000000001E-2</v>
      </c>
      <c r="F3450" s="50">
        <v>0</v>
      </c>
      <c r="G3450" s="50">
        <f t="shared" si="59"/>
        <v>0</v>
      </c>
      <c r="H3450" s="69"/>
      <c r="I3450" s="70"/>
      <c r="J3450" s="141">
        <v>0</v>
      </c>
    </row>
    <row r="3451" spans="1:10" ht="15.75" hidden="1" thickBot="1" x14ac:dyDescent="0.3">
      <c r="A3451" s="226"/>
      <c r="B3451" s="244"/>
      <c r="C3451" s="32" t="s">
        <v>1031</v>
      </c>
      <c r="D3451" s="32" t="s">
        <v>1032</v>
      </c>
      <c r="E3451" s="33">
        <f>0.1*2</f>
        <v>0.2</v>
      </c>
      <c r="F3451" s="50">
        <v>0</v>
      </c>
      <c r="G3451" s="50">
        <f t="shared" si="59"/>
        <v>0</v>
      </c>
      <c r="H3451" s="69"/>
      <c r="I3451" s="70"/>
      <c r="J3451" s="141">
        <v>0</v>
      </c>
    </row>
    <row r="3452" spans="1:10" ht="39" hidden="1" thickBot="1" x14ac:dyDescent="0.3">
      <c r="A3452" s="226"/>
      <c r="B3452" s="244"/>
      <c r="C3452" s="32" t="s">
        <v>1033</v>
      </c>
      <c r="D3452" s="32" t="s">
        <v>109</v>
      </c>
      <c r="E3452" s="33">
        <f>ROUND(0.15*0.05*0.05,4)</f>
        <v>4.0000000000000002E-4</v>
      </c>
      <c r="F3452" s="50">
        <v>683.97453038979984</v>
      </c>
      <c r="G3452" s="50">
        <f t="shared" si="59"/>
        <v>0.27358981215591993</v>
      </c>
      <c r="H3452" s="69"/>
      <c r="I3452" s="70"/>
      <c r="J3452" s="141">
        <v>0</v>
      </c>
    </row>
    <row r="3453" spans="1:10" ht="15.75" hidden="1" thickBot="1" x14ac:dyDescent="0.3">
      <c r="A3453" s="226"/>
      <c r="B3453" s="244"/>
      <c r="C3453" s="32"/>
      <c r="D3453" s="32"/>
      <c r="E3453" s="33"/>
      <c r="F3453" s="50" t="s">
        <v>523</v>
      </c>
      <c r="G3453" s="50" t="str">
        <f t="shared" si="59"/>
        <v/>
      </c>
      <c r="H3453" s="69"/>
      <c r="I3453" s="70"/>
      <c r="J3453" s="141">
        <v>0</v>
      </c>
    </row>
    <row r="3454" spans="1:10" ht="15.75" hidden="1" thickBot="1" x14ac:dyDescent="0.3">
      <c r="A3454" s="226"/>
      <c r="B3454" s="244"/>
      <c r="C3454" s="138" t="s">
        <v>1034</v>
      </c>
      <c r="D3454" s="32"/>
      <c r="E3454" s="33"/>
      <c r="F3454" s="50" t="s">
        <v>523</v>
      </c>
      <c r="G3454" s="50" t="str">
        <f t="shared" si="59"/>
        <v/>
      </c>
      <c r="H3454" s="69"/>
      <c r="I3454" s="70"/>
      <c r="J3454" s="141">
        <v>0</v>
      </c>
    </row>
    <row r="3455" spans="1:10" ht="15.75" hidden="1" thickBot="1" x14ac:dyDescent="0.3">
      <c r="A3455" s="227"/>
      <c r="B3455" s="230"/>
      <c r="C3455" s="32"/>
      <c r="D3455" s="32"/>
      <c r="E3455" s="33"/>
      <c r="F3455" s="50" t="s">
        <v>523</v>
      </c>
      <c r="G3455" s="50" t="str">
        <f t="shared" si="59"/>
        <v/>
      </c>
      <c r="H3455" s="69"/>
      <c r="I3455" s="70"/>
      <c r="J3455" s="141">
        <v>0</v>
      </c>
    </row>
    <row r="3456" spans="1:10" ht="15.75" hidden="1" thickBot="1" x14ac:dyDescent="0.3">
      <c r="A3456" s="225" t="s">
        <v>1035</v>
      </c>
      <c r="B3456" s="228" t="str">
        <f>INDEX(Orçamentária!A:B,MATCH(Composições!A3456,Orçamentária!A:A,0),2)</f>
        <v>Fixadores metálicos para rochas ornamentais (tipo Ed. Principal, peça superior)</v>
      </c>
      <c r="C3456" s="37"/>
      <c r="D3456" s="22" t="str">
        <f>TRIM(INDEX(Orçamentária!C:C,MATCH(Composições!A3456,Orçamentária!A:A,0),1))</f>
        <v>un</v>
      </c>
      <c r="E3456" s="23"/>
      <c r="F3456" s="45" t="s">
        <v>523</v>
      </c>
      <c r="G3456" s="24" t="str">
        <f t="shared" si="59"/>
        <v/>
      </c>
      <c r="H3456" s="25"/>
      <c r="I3456" s="26"/>
      <c r="J3456" s="141">
        <v>0</v>
      </c>
    </row>
    <row r="3457" spans="1:10" ht="15.75" hidden="1" thickBot="1" x14ac:dyDescent="0.3">
      <c r="A3457" s="226"/>
      <c r="B3457" s="244"/>
      <c r="C3457" s="28"/>
      <c r="D3457" s="28"/>
      <c r="E3457" s="29"/>
      <c r="F3457" s="50" t="s">
        <v>523</v>
      </c>
      <c r="G3457" s="50" t="str">
        <f t="shared" si="59"/>
        <v/>
      </c>
      <c r="H3457" s="69"/>
      <c r="I3457" s="70"/>
      <c r="J3457" s="141">
        <v>0</v>
      </c>
    </row>
    <row r="3458" spans="1:10" ht="15.75" hidden="1" thickBot="1" x14ac:dyDescent="0.3">
      <c r="A3458" s="226"/>
      <c r="B3458" s="244"/>
      <c r="C3458" s="32" t="s">
        <v>22</v>
      </c>
      <c r="D3458" s="32" t="s">
        <v>12</v>
      </c>
      <c r="E3458" s="33">
        <f>0.1+0.1</f>
        <v>0.2</v>
      </c>
      <c r="F3458" s="50">
        <v>24.889999999999997</v>
      </c>
      <c r="G3458" s="50">
        <f t="shared" si="59"/>
        <v>4.9779999999999998</v>
      </c>
      <c r="H3458" s="35">
        <f>SUM(G3458:G3463)</f>
        <v>8.9356898121559212</v>
      </c>
      <c r="I3458" s="36"/>
      <c r="J3458" s="141">
        <v>0</v>
      </c>
    </row>
    <row r="3459" spans="1:10" ht="15.75" hidden="1" thickBot="1" x14ac:dyDescent="0.3">
      <c r="A3459" s="226"/>
      <c r="B3459" s="244"/>
      <c r="C3459" s="32" t="s">
        <v>23</v>
      </c>
      <c r="D3459" s="32" t="s">
        <v>12</v>
      </c>
      <c r="E3459" s="33">
        <f>0.1+0.1</f>
        <v>0.2</v>
      </c>
      <c r="F3459" s="50">
        <v>18.420500000000001</v>
      </c>
      <c r="G3459" s="50">
        <f t="shared" si="59"/>
        <v>3.6841000000000004</v>
      </c>
      <c r="H3459" s="69"/>
      <c r="I3459" s="70"/>
      <c r="J3459" s="141">
        <v>0</v>
      </c>
    </row>
    <row r="3460" spans="1:10" ht="15.75" hidden="1" thickBot="1" x14ac:dyDescent="0.3">
      <c r="A3460" s="226"/>
      <c r="B3460" s="244"/>
      <c r="C3460" s="32" t="s">
        <v>1030</v>
      </c>
      <c r="D3460" s="32" t="s">
        <v>144</v>
      </c>
      <c r="E3460" s="33">
        <f>0.016*2</f>
        <v>3.2000000000000001E-2</v>
      </c>
      <c r="F3460" s="50">
        <v>0</v>
      </c>
      <c r="G3460" s="50">
        <f t="shared" si="59"/>
        <v>0</v>
      </c>
      <c r="H3460" s="69"/>
      <c r="I3460" s="70"/>
      <c r="J3460" s="141">
        <v>0</v>
      </c>
    </row>
    <row r="3461" spans="1:10" ht="15.75" hidden="1" thickBot="1" x14ac:dyDescent="0.3">
      <c r="A3461" s="226"/>
      <c r="B3461" s="244"/>
      <c r="C3461" s="32" t="s">
        <v>1031</v>
      </c>
      <c r="D3461" s="32" t="s">
        <v>1032</v>
      </c>
      <c r="E3461" s="33">
        <f>0.1*2</f>
        <v>0.2</v>
      </c>
      <c r="F3461" s="50">
        <v>0</v>
      </c>
      <c r="G3461" s="50">
        <f t="shared" si="59"/>
        <v>0</v>
      </c>
      <c r="H3461" s="69"/>
      <c r="I3461" s="70"/>
      <c r="J3461" s="141">
        <v>0</v>
      </c>
    </row>
    <row r="3462" spans="1:10" ht="15.75" hidden="1" thickBot="1" x14ac:dyDescent="0.3">
      <c r="A3462" s="226"/>
      <c r="B3462" s="244"/>
      <c r="C3462" s="32" t="s">
        <v>1036</v>
      </c>
      <c r="D3462" s="32" t="s">
        <v>144</v>
      </c>
      <c r="E3462" s="33">
        <v>1</v>
      </c>
      <c r="F3462" s="50" t="s">
        <v>523</v>
      </c>
      <c r="G3462" s="50" t="str">
        <f t="shared" si="59"/>
        <v/>
      </c>
      <c r="H3462" s="69"/>
      <c r="I3462" s="70"/>
      <c r="J3462" s="141">
        <v>0</v>
      </c>
    </row>
    <row r="3463" spans="1:10" ht="39" hidden="1" thickBot="1" x14ac:dyDescent="0.3">
      <c r="A3463" s="226"/>
      <c r="B3463" s="244"/>
      <c r="C3463" s="32" t="s">
        <v>1033</v>
      </c>
      <c r="D3463" s="32" t="s">
        <v>109</v>
      </c>
      <c r="E3463" s="33">
        <f>ROUND(0.15*0.05*0.05,4)</f>
        <v>4.0000000000000002E-4</v>
      </c>
      <c r="F3463" s="50">
        <v>683.97453038979984</v>
      </c>
      <c r="G3463" s="50">
        <f t="shared" si="59"/>
        <v>0.27358981215591993</v>
      </c>
      <c r="H3463" s="69"/>
      <c r="I3463" s="70"/>
      <c r="J3463" s="141">
        <v>0</v>
      </c>
    </row>
    <row r="3464" spans="1:10" ht="15.75" hidden="1" thickBot="1" x14ac:dyDescent="0.3">
      <c r="A3464" s="226"/>
      <c r="B3464" s="244"/>
      <c r="C3464" s="32"/>
      <c r="D3464" s="32"/>
      <c r="E3464" s="33"/>
      <c r="F3464" s="50" t="s">
        <v>523</v>
      </c>
      <c r="G3464" s="50" t="str">
        <f t="shared" si="59"/>
        <v/>
      </c>
      <c r="H3464" s="69"/>
      <c r="I3464" s="70"/>
      <c r="J3464" s="141">
        <v>0</v>
      </c>
    </row>
    <row r="3465" spans="1:10" ht="15.75" hidden="1" thickBot="1" x14ac:dyDescent="0.3">
      <c r="A3465" s="226"/>
      <c r="B3465" s="244"/>
      <c r="C3465" s="138" t="s">
        <v>1034</v>
      </c>
      <c r="D3465" s="32"/>
      <c r="E3465" s="33"/>
      <c r="F3465" s="50" t="s">
        <v>523</v>
      </c>
      <c r="G3465" s="50" t="str">
        <f t="shared" si="59"/>
        <v/>
      </c>
      <c r="H3465" s="69"/>
      <c r="I3465" s="70"/>
      <c r="J3465" s="141">
        <v>0</v>
      </c>
    </row>
    <row r="3466" spans="1:10" ht="15.75" hidden="1" thickBot="1" x14ac:dyDescent="0.3">
      <c r="A3466" s="227"/>
      <c r="B3466" s="230"/>
      <c r="C3466" s="32"/>
      <c r="D3466" s="32"/>
      <c r="E3466" s="33"/>
      <c r="F3466" s="50" t="s">
        <v>523</v>
      </c>
      <c r="G3466" s="50" t="str">
        <f t="shared" si="59"/>
        <v/>
      </c>
      <c r="H3466" s="69"/>
      <c r="I3466" s="70"/>
      <c r="J3466" s="141">
        <v>0</v>
      </c>
    </row>
    <row r="3467" spans="1:10" ht="15.75" hidden="1" thickBot="1" x14ac:dyDescent="0.3">
      <c r="A3467" s="225" t="s">
        <v>2816</v>
      </c>
      <c r="B3467" s="228" t="str">
        <f>INDEX(Orçamentária!A:B,MATCH(Composições!A3467,Orçamentária!A:A,0),2)</f>
        <v>Fixadores metálicos para rochas ornamentais, sob medida</v>
      </c>
      <c r="C3467" s="37"/>
      <c r="D3467" s="22" t="str">
        <f>TRIM(INDEX(Orçamentária!C:C,MATCH(Composições!A3467,Orçamentária!A:A,0),1))</f>
        <v>un</v>
      </c>
      <c r="E3467" s="23"/>
      <c r="F3467" s="45" t="s">
        <v>523</v>
      </c>
      <c r="G3467" s="24" t="str">
        <f t="shared" si="59"/>
        <v/>
      </c>
      <c r="H3467" s="25"/>
      <c r="I3467" s="26"/>
      <c r="J3467" s="141">
        <v>0</v>
      </c>
    </row>
    <row r="3468" spans="1:10" ht="15.75" hidden="1" thickBot="1" x14ac:dyDescent="0.3">
      <c r="A3468" s="226"/>
      <c r="B3468" s="244"/>
      <c r="C3468" s="28"/>
      <c r="D3468" s="28"/>
      <c r="E3468" s="29"/>
      <c r="F3468" s="50" t="s">
        <v>523</v>
      </c>
      <c r="G3468" s="50" t="str">
        <f t="shared" si="59"/>
        <v/>
      </c>
      <c r="H3468" s="69"/>
      <c r="I3468" s="70"/>
      <c r="J3468" s="141">
        <v>0</v>
      </c>
    </row>
    <row r="3469" spans="1:10" ht="15.75" hidden="1" thickBot="1" x14ac:dyDescent="0.3">
      <c r="A3469" s="226"/>
      <c r="B3469" s="244"/>
      <c r="C3469" s="32" t="s">
        <v>22</v>
      </c>
      <c r="D3469" s="32" t="s">
        <v>12</v>
      </c>
      <c r="E3469" s="33">
        <f>0.1+0.1</f>
        <v>0.2</v>
      </c>
      <c r="F3469" s="50">
        <v>24.889999999999997</v>
      </c>
      <c r="G3469" s="50">
        <f t="shared" si="59"/>
        <v>4.9779999999999998</v>
      </c>
      <c r="H3469" s="35">
        <f>SUM(G3469:G3474)</f>
        <v>8.9356898121559212</v>
      </c>
      <c r="I3469" s="36"/>
      <c r="J3469" s="141">
        <v>0</v>
      </c>
    </row>
    <row r="3470" spans="1:10" ht="15.75" hidden="1" thickBot="1" x14ac:dyDescent="0.3">
      <c r="A3470" s="226"/>
      <c r="B3470" s="244"/>
      <c r="C3470" s="32" t="s">
        <v>23</v>
      </c>
      <c r="D3470" s="32" t="s">
        <v>12</v>
      </c>
      <c r="E3470" s="33">
        <f>0.1+0.1</f>
        <v>0.2</v>
      </c>
      <c r="F3470" s="50">
        <v>18.420500000000001</v>
      </c>
      <c r="G3470" s="50">
        <f t="shared" si="59"/>
        <v>3.6841000000000004</v>
      </c>
      <c r="H3470" s="69"/>
      <c r="I3470" s="70"/>
      <c r="J3470" s="141">
        <v>0</v>
      </c>
    </row>
    <row r="3471" spans="1:10" ht="15.75" hidden="1" thickBot="1" x14ac:dyDescent="0.3">
      <c r="A3471" s="226"/>
      <c r="B3471" s="244"/>
      <c r="C3471" s="32" t="s">
        <v>1030</v>
      </c>
      <c r="D3471" s="32" t="s">
        <v>144</v>
      </c>
      <c r="E3471" s="33">
        <f>0.016*2</f>
        <v>3.2000000000000001E-2</v>
      </c>
      <c r="F3471" s="50">
        <v>0</v>
      </c>
      <c r="G3471" s="50">
        <f t="shared" si="59"/>
        <v>0</v>
      </c>
      <c r="H3471" s="69"/>
      <c r="I3471" s="70"/>
      <c r="J3471" s="141">
        <v>0</v>
      </c>
    </row>
    <row r="3472" spans="1:10" ht="15.75" hidden="1" thickBot="1" x14ac:dyDescent="0.3">
      <c r="A3472" s="226"/>
      <c r="B3472" s="244"/>
      <c r="C3472" s="32" t="s">
        <v>1031</v>
      </c>
      <c r="D3472" s="32" t="s">
        <v>1032</v>
      </c>
      <c r="E3472" s="33">
        <f>0.1*2</f>
        <v>0.2</v>
      </c>
      <c r="F3472" s="50">
        <v>0</v>
      </c>
      <c r="G3472" s="50">
        <f t="shared" si="59"/>
        <v>0</v>
      </c>
      <c r="H3472" s="69"/>
      <c r="I3472" s="70"/>
      <c r="J3472" s="141">
        <v>0</v>
      </c>
    </row>
    <row r="3473" spans="1:10" ht="15.75" hidden="1" thickBot="1" x14ac:dyDescent="0.3">
      <c r="A3473" s="226"/>
      <c r="B3473" s="244"/>
      <c r="C3473" s="32" t="s">
        <v>1109</v>
      </c>
      <c r="D3473" s="32" t="s">
        <v>144</v>
      </c>
      <c r="E3473" s="33">
        <v>1</v>
      </c>
      <c r="F3473" s="50" t="s">
        <v>523</v>
      </c>
      <c r="G3473" s="50" t="str">
        <f t="shared" si="59"/>
        <v/>
      </c>
      <c r="H3473" s="69"/>
      <c r="I3473" s="70"/>
      <c r="J3473" s="141">
        <v>0</v>
      </c>
    </row>
    <row r="3474" spans="1:10" ht="39" hidden="1" thickBot="1" x14ac:dyDescent="0.3">
      <c r="A3474" s="226"/>
      <c r="B3474" s="244"/>
      <c r="C3474" s="32" t="s">
        <v>1033</v>
      </c>
      <c r="D3474" s="32" t="s">
        <v>109</v>
      </c>
      <c r="E3474" s="33">
        <f>ROUND(0.15*0.05*0.05,4)</f>
        <v>4.0000000000000002E-4</v>
      </c>
      <c r="F3474" s="50">
        <v>683.97453038979984</v>
      </c>
      <c r="G3474" s="50">
        <f t="shared" si="59"/>
        <v>0.27358981215591993</v>
      </c>
      <c r="H3474" s="69"/>
      <c r="I3474" s="70"/>
      <c r="J3474" s="141">
        <v>0</v>
      </c>
    </row>
    <row r="3475" spans="1:10" ht="15.75" hidden="1" thickBot="1" x14ac:dyDescent="0.3">
      <c r="A3475" s="226"/>
      <c r="B3475" s="244"/>
      <c r="C3475" s="32"/>
      <c r="D3475" s="32"/>
      <c r="E3475" s="33"/>
      <c r="F3475" s="50" t="s">
        <v>523</v>
      </c>
      <c r="G3475" s="50" t="str">
        <f t="shared" si="59"/>
        <v/>
      </c>
      <c r="H3475" s="69"/>
      <c r="I3475" s="70"/>
      <c r="J3475" s="141">
        <v>0</v>
      </c>
    </row>
    <row r="3476" spans="1:10" ht="15.75" hidden="1" thickBot="1" x14ac:dyDescent="0.3">
      <c r="A3476" s="226"/>
      <c r="B3476" s="244"/>
      <c r="C3476" s="138" t="s">
        <v>1034</v>
      </c>
      <c r="D3476" s="32"/>
      <c r="E3476" s="33"/>
      <c r="F3476" s="50" t="s">
        <v>523</v>
      </c>
      <c r="G3476" s="50" t="str">
        <f t="shared" si="59"/>
        <v/>
      </c>
      <c r="H3476" s="69"/>
      <c r="I3476" s="70"/>
      <c r="J3476" s="141">
        <v>0</v>
      </c>
    </row>
    <row r="3477" spans="1:10" ht="15.75" hidden="1" thickBot="1" x14ac:dyDescent="0.3">
      <c r="A3477" s="227"/>
      <c r="B3477" s="230"/>
      <c r="C3477" s="32"/>
      <c r="D3477" s="32"/>
      <c r="E3477" s="33"/>
      <c r="F3477" s="50" t="s">
        <v>523</v>
      </c>
      <c r="G3477" s="50" t="str">
        <f t="shared" si="59"/>
        <v/>
      </c>
      <c r="H3477" s="69"/>
      <c r="I3477" s="70"/>
      <c r="J3477" s="141">
        <v>0</v>
      </c>
    </row>
    <row r="3478" spans="1:10" ht="15.75" hidden="1" thickBot="1" x14ac:dyDescent="0.3">
      <c r="A3478" s="225" t="s">
        <v>1037</v>
      </c>
      <c r="B3478" s="228" t="str">
        <f>INDEX(Orçamentária!A:B,MATCH(Composições!A3478,Orçamentária!A:A,0),2)</f>
        <v>Mármore Branco Especial 20 mm argamassado (Ed. Principal e Anexo 1)</v>
      </c>
      <c r="C3478" s="37"/>
      <c r="D3478" s="22" t="str">
        <f>TRIM(INDEX(Orçamentária!C:C,MATCH(Composições!A3478,Orçamentária!A:A,0),1))</f>
        <v>m2</v>
      </c>
      <c r="E3478" s="23"/>
      <c r="F3478" s="45" t="s">
        <v>523</v>
      </c>
      <c r="G3478" s="24" t="str">
        <f t="shared" si="59"/>
        <v/>
      </c>
      <c r="H3478" s="25"/>
      <c r="I3478" s="26"/>
      <c r="J3478" s="141">
        <v>0</v>
      </c>
    </row>
    <row r="3479" spans="1:10" ht="15.75" hidden="1" thickBot="1" x14ac:dyDescent="0.3">
      <c r="A3479" s="226"/>
      <c r="B3479" s="244"/>
      <c r="C3479" s="28"/>
      <c r="D3479" s="28"/>
      <c r="E3479" s="29"/>
      <c r="F3479" s="50" t="s">
        <v>523</v>
      </c>
      <c r="G3479" s="50" t="str">
        <f t="shared" si="59"/>
        <v/>
      </c>
      <c r="H3479" s="69"/>
      <c r="I3479" s="70"/>
      <c r="J3479" s="141">
        <v>0</v>
      </c>
    </row>
    <row r="3480" spans="1:10" ht="15.75" hidden="1" thickBot="1" x14ac:dyDescent="0.3">
      <c r="A3480" s="226"/>
      <c r="B3480" s="244"/>
      <c r="C3480" s="32" t="s">
        <v>1038</v>
      </c>
      <c r="D3480" s="32" t="s">
        <v>95</v>
      </c>
      <c r="E3480" s="33">
        <v>1.05</v>
      </c>
      <c r="F3480" s="50" t="s">
        <v>523</v>
      </c>
      <c r="G3480" s="50" t="str">
        <f t="shared" si="59"/>
        <v/>
      </c>
      <c r="H3480" s="35">
        <f>SUM(G3480:G3484)</f>
        <v>52.668000000000006</v>
      </c>
      <c r="I3480" s="36"/>
      <c r="J3480" s="141">
        <v>0</v>
      </c>
    </row>
    <row r="3481" spans="1:10" ht="15.75" hidden="1" thickBot="1" x14ac:dyDescent="0.3">
      <c r="A3481" s="226"/>
      <c r="B3481" s="244"/>
      <c r="C3481" s="32" t="s">
        <v>54</v>
      </c>
      <c r="D3481" s="32" t="s">
        <v>12</v>
      </c>
      <c r="E3481" s="33">
        <v>1.35</v>
      </c>
      <c r="F3481" s="50">
        <v>24.795000000000002</v>
      </c>
      <c r="G3481" s="50">
        <f t="shared" si="59"/>
        <v>33.473250000000007</v>
      </c>
      <c r="H3481" s="69"/>
      <c r="I3481" s="70"/>
      <c r="J3481" s="141">
        <v>0</v>
      </c>
    </row>
    <row r="3482" spans="1:10" ht="15.75" hidden="1" thickBot="1" x14ac:dyDescent="0.3">
      <c r="A3482" s="226"/>
      <c r="B3482" s="244"/>
      <c r="C3482" s="32" t="s">
        <v>23</v>
      </c>
      <c r="D3482" s="32" t="s">
        <v>12</v>
      </c>
      <c r="E3482" s="33">
        <v>0.6</v>
      </c>
      <c r="F3482" s="50">
        <v>18.420500000000001</v>
      </c>
      <c r="G3482" s="50">
        <f t="shared" si="59"/>
        <v>11.052300000000001</v>
      </c>
      <c r="H3482" s="69"/>
      <c r="I3482" s="70"/>
      <c r="J3482" s="141">
        <v>0</v>
      </c>
    </row>
    <row r="3483" spans="1:10" ht="15.75" hidden="1" thickBot="1" x14ac:dyDescent="0.3">
      <c r="A3483" s="226"/>
      <c r="B3483" s="244"/>
      <c r="C3483" s="32" t="s">
        <v>3537</v>
      </c>
      <c r="D3483" s="32" t="s">
        <v>42</v>
      </c>
      <c r="E3483" s="33">
        <v>4.5</v>
      </c>
      <c r="F3483" s="50">
        <v>1.6054999999999999</v>
      </c>
      <c r="G3483" s="50">
        <f t="shared" si="59"/>
        <v>7.2247499999999993</v>
      </c>
      <c r="H3483" s="69"/>
      <c r="I3483" s="70"/>
      <c r="J3483" s="141">
        <v>0</v>
      </c>
    </row>
    <row r="3484" spans="1:10" ht="15.75" hidden="1" thickBot="1" x14ac:dyDescent="0.3">
      <c r="A3484" s="226"/>
      <c r="B3484" s="244"/>
      <c r="C3484" s="32" t="s">
        <v>3536</v>
      </c>
      <c r="D3484" s="32" t="s">
        <v>42</v>
      </c>
      <c r="E3484" s="33">
        <v>0.3</v>
      </c>
      <c r="F3484" s="50">
        <v>3.0590000000000002</v>
      </c>
      <c r="G3484" s="50">
        <f t="shared" si="59"/>
        <v>0.91769999999999996</v>
      </c>
      <c r="H3484" s="69"/>
      <c r="I3484" s="70"/>
      <c r="J3484" s="141">
        <v>0</v>
      </c>
    </row>
    <row r="3485" spans="1:10" ht="15.75" hidden="1" thickBot="1" x14ac:dyDescent="0.3">
      <c r="A3485" s="227"/>
      <c r="B3485" s="230"/>
      <c r="C3485" s="32"/>
      <c r="D3485" s="32"/>
      <c r="E3485" s="33"/>
      <c r="F3485" s="50" t="s">
        <v>523</v>
      </c>
      <c r="G3485" s="50" t="str">
        <f t="shared" si="59"/>
        <v/>
      </c>
      <c r="H3485" s="69"/>
      <c r="I3485" s="70"/>
      <c r="J3485" s="141">
        <v>0</v>
      </c>
    </row>
    <row r="3486" spans="1:10" ht="15.75" hidden="1" thickBot="1" x14ac:dyDescent="0.3">
      <c r="A3486" s="225" t="s">
        <v>1039</v>
      </c>
      <c r="B3486" s="228" t="str">
        <f>INDEX(Orçamentária!A:B,MATCH(Composições!A3486,Orçamentária!A:A,0),2)</f>
        <v>Mármore Branco Especial 20 mm com inserts e argamassa (Ed. Principal e Anexo 1)</v>
      </c>
      <c r="C3486" s="37"/>
      <c r="D3486" s="22" t="str">
        <f>TRIM(INDEX(Orçamentária!C:C,MATCH(Composições!A3486,Orçamentária!A:A,0),1))</f>
        <v>m2</v>
      </c>
      <c r="E3486" s="23"/>
      <c r="F3486" s="45" t="s">
        <v>523</v>
      </c>
      <c r="G3486" s="24" t="str">
        <f t="shared" si="59"/>
        <v/>
      </c>
      <c r="H3486" s="25"/>
      <c r="I3486" s="26"/>
      <c r="J3486" s="141">
        <v>0</v>
      </c>
    </row>
    <row r="3487" spans="1:10" ht="15.75" hidden="1" thickBot="1" x14ac:dyDescent="0.3">
      <c r="A3487" s="226"/>
      <c r="B3487" s="244"/>
      <c r="C3487" s="28"/>
      <c r="D3487" s="28"/>
      <c r="E3487" s="29"/>
      <c r="F3487" s="50" t="s">
        <v>523</v>
      </c>
      <c r="G3487" s="50" t="str">
        <f t="shared" si="59"/>
        <v/>
      </c>
      <c r="H3487" s="69"/>
      <c r="I3487" s="70"/>
      <c r="J3487" s="141">
        <v>0</v>
      </c>
    </row>
    <row r="3488" spans="1:10" ht="15.75" hidden="1" thickBot="1" x14ac:dyDescent="0.3">
      <c r="A3488" s="226"/>
      <c r="B3488" s="244"/>
      <c r="C3488" s="32" t="s">
        <v>1038</v>
      </c>
      <c r="D3488" s="32" t="s">
        <v>95</v>
      </c>
      <c r="E3488" s="33">
        <v>1.05</v>
      </c>
      <c r="F3488" s="50" t="s">
        <v>523</v>
      </c>
      <c r="G3488" s="50" t="str">
        <f t="shared" si="59"/>
        <v/>
      </c>
      <c r="H3488" s="35">
        <f>SUM(G3488:G3498)</f>
        <v>72.625122453038983</v>
      </c>
      <c r="I3488" s="36"/>
      <c r="J3488" s="141">
        <v>0</v>
      </c>
    </row>
    <row r="3489" spans="1:10" ht="15.75" hidden="1" thickBot="1" x14ac:dyDescent="0.3">
      <c r="A3489" s="226"/>
      <c r="B3489" s="244"/>
      <c r="C3489" s="32" t="s">
        <v>54</v>
      </c>
      <c r="D3489" s="32" t="s">
        <v>12</v>
      </c>
      <c r="E3489" s="33">
        <f>1.35</f>
        <v>1.35</v>
      </c>
      <c r="F3489" s="50">
        <v>24.795000000000002</v>
      </c>
      <c r="G3489" s="50">
        <f t="shared" si="59"/>
        <v>33.473250000000007</v>
      </c>
      <c r="H3489" s="69"/>
      <c r="I3489" s="70"/>
      <c r="J3489" s="141">
        <v>0</v>
      </c>
    </row>
    <row r="3490" spans="1:10" ht="15.75" hidden="1" thickBot="1" x14ac:dyDescent="0.3">
      <c r="A3490" s="226"/>
      <c r="B3490" s="244"/>
      <c r="C3490" s="32" t="s">
        <v>22</v>
      </c>
      <c r="D3490" s="32" t="s">
        <v>12</v>
      </c>
      <c r="E3490" s="33">
        <v>0.1</v>
      </c>
      <c r="F3490" s="50">
        <v>24.889999999999997</v>
      </c>
      <c r="G3490" s="50">
        <f t="shared" si="59"/>
        <v>2.4889999999999999</v>
      </c>
      <c r="H3490" s="69"/>
      <c r="I3490" s="70"/>
      <c r="J3490" s="141">
        <v>0</v>
      </c>
    </row>
    <row r="3491" spans="1:10" ht="15.75" hidden="1" thickBot="1" x14ac:dyDescent="0.3">
      <c r="A3491" s="226"/>
      <c r="B3491" s="244"/>
      <c r="C3491" s="32" t="s">
        <v>23</v>
      </c>
      <c r="D3491" s="32" t="s">
        <v>12</v>
      </c>
      <c r="E3491" s="33">
        <f>0.6+0.1+0.1</f>
        <v>0.79999999999999993</v>
      </c>
      <c r="F3491" s="50">
        <v>18.420500000000001</v>
      </c>
      <c r="G3491" s="50">
        <f t="shared" si="59"/>
        <v>14.7364</v>
      </c>
      <c r="H3491" s="69"/>
      <c r="I3491" s="70"/>
      <c r="J3491" s="141">
        <v>0</v>
      </c>
    </row>
    <row r="3492" spans="1:10" ht="15.75" hidden="1" thickBot="1" x14ac:dyDescent="0.3">
      <c r="A3492" s="226"/>
      <c r="B3492" s="244"/>
      <c r="C3492" s="32" t="s">
        <v>3537</v>
      </c>
      <c r="D3492" s="32" t="s">
        <v>42</v>
      </c>
      <c r="E3492" s="33">
        <v>4.5</v>
      </c>
      <c r="F3492" s="50">
        <v>1.6054999999999999</v>
      </c>
      <c r="G3492" s="50">
        <f t="shared" si="59"/>
        <v>7.2247499999999993</v>
      </c>
      <c r="H3492" s="69"/>
      <c r="I3492" s="70"/>
      <c r="J3492" s="141">
        <v>0</v>
      </c>
    </row>
    <row r="3493" spans="1:10" ht="15.75" hidden="1" thickBot="1" x14ac:dyDescent="0.3">
      <c r="A3493" s="226"/>
      <c r="B3493" s="244"/>
      <c r="C3493" s="32" t="s">
        <v>3536</v>
      </c>
      <c r="D3493" s="32" t="s">
        <v>42</v>
      </c>
      <c r="E3493" s="33">
        <v>0.3</v>
      </c>
      <c r="F3493" s="50">
        <v>3.0590000000000002</v>
      </c>
      <c r="G3493" s="50">
        <f t="shared" si="59"/>
        <v>0.91769999999999996</v>
      </c>
      <c r="H3493" s="69"/>
      <c r="I3493" s="70"/>
      <c r="J3493" s="141">
        <v>0</v>
      </c>
    </row>
    <row r="3494" spans="1:10" ht="26.25" hidden="1" thickBot="1" x14ac:dyDescent="0.3">
      <c r="A3494" s="226"/>
      <c r="B3494" s="244"/>
      <c r="C3494" s="32" t="s">
        <v>1040</v>
      </c>
      <c r="D3494" s="32" t="s">
        <v>280</v>
      </c>
      <c r="E3494" s="33">
        <f>2/(0.4*0.8)</f>
        <v>6.2499999999999991</v>
      </c>
      <c r="F3494" s="50">
        <v>2.1945000000000001</v>
      </c>
      <c r="G3494" s="50">
        <f t="shared" si="59"/>
        <v>13.715624999999999</v>
      </c>
      <c r="H3494" s="69"/>
      <c r="I3494" s="70"/>
      <c r="J3494" s="141">
        <v>0</v>
      </c>
    </row>
    <row r="3495" spans="1:10" ht="15.75" hidden="1" thickBot="1" x14ac:dyDescent="0.3">
      <c r="A3495" s="226"/>
      <c r="B3495" s="244"/>
      <c r="C3495" s="32" t="s">
        <v>1030</v>
      </c>
      <c r="D3495" s="32" t="s">
        <v>144</v>
      </c>
      <c r="E3495" s="33">
        <f>(2/(0.4*0.8))*(0.016)*1.5</f>
        <v>0.15</v>
      </c>
      <c r="F3495" s="50">
        <v>0</v>
      </c>
      <c r="G3495" s="50">
        <f t="shared" si="59"/>
        <v>0</v>
      </c>
      <c r="H3495" s="69"/>
      <c r="I3495" s="70"/>
      <c r="J3495" s="141">
        <v>0</v>
      </c>
    </row>
    <row r="3496" spans="1:10" ht="15.75" hidden="1" thickBot="1" x14ac:dyDescent="0.3">
      <c r="A3496" s="226"/>
      <c r="B3496" s="244"/>
      <c r="C3496" s="32" t="s">
        <v>1031</v>
      </c>
      <c r="D3496" s="32" t="s">
        <v>1032</v>
      </c>
      <c r="E3496" s="33">
        <f>(2/(0.4*0.8))*0.1*1.5</f>
        <v>0.9375</v>
      </c>
      <c r="F3496" s="50">
        <v>0</v>
      </c>
      <c r="G3496" s="50">
        <f t="shared" si="59"/>
        <v>0</v>
      </c>
      <c r="H3496" s="69"/>
      <c r="I3496" s="70"/>
      <c r="J3496" s="141">
        <v>0</v>
      </c>
    </row>
    <row r="3497" spans="1:10" ht="15.75" hidden="1" thickBot="1" x14ac:dyDescent="0.3">
      <c r="A3497" s="226"/>
      <c r="B3497" s="244"/>
      <c r="C3497" s="32" t="s">
        <v>1041</v>
      </c>
      <c r="D3497" s="32" t="s">
        <v>144</v>
      </c>
      <c r="E3497" s="33">
        <f>2/(0.4*0.8)</f>
        <v>6.2499999999999991</v>
      </c>
      <c r="F3497" s="50" t="s">
        <v>523</v>
      </c>
      <c r="G3497" s="50" t="str">
        <f t="shared" si="59"/>
        <v/>
      </c>
      <c r="H3497" s="69"/>
      <c r="I3497" s="70"/>
      <c r="J3497" s="141">
        <v>0</v>
      </c>
    </row>
    <row r="3498" spans="1:10" ht="39" hidden="1" thickBot="1" x14ac:dyDescent="0.3">
      <c r="A3498" s="226"/>
      <c r="B3498" s="244"/>
      <c r="C3498" s="32" t="s">
        <v>1033</v>
      </c>
      <c r="D3498" s="32" t="s">
        <v>109</v>
      </c>
      <c r="E3498" s="33">
        <v>1E-4</v>
      </c>
      <c r="F3498" s="50">
        <v>683.97453038979984</v>
      </c>
      <c r="G3498" s="50">
        <f t="shared" si="59"/>
        <v>6.8397453038979983E-2</v>
      </c>
      <c r="H3498" s="69"/>
      <c r="I3498" s="70"/>
      <c r="J3498" s="141">
        <v>0</v>
      </c>
    </row>
    <row r="3499" spans="1:10" ht="15.75" hidden="1" thickBot="1" x14ac:dyDescent="0.3">
      <c r="A3499" s="226"/>
      <c r="B3499" s="244"/>
      <c r="C3499" s="32"/>
      <c r="D3499" s="32"/>
      <c r="E3499" s="33"/>
      <c r="F3499" s="50" t="s">
        <v>523</v>
      </c>
      <c r="G3499" s="50" t="str">
        <f t="shared" si="59"/>
        <v/>
      </c>
      <c r="H3499" s="69"/>
      <c r="I3499" s="70"/>
      <c r="J3499" s="141">
        <v>0</v>
      </c>
    </row>
    <row r="3500" spans="1:10" ht="15.75" hidden="1" thickBot="1" x14ac:dyDescent="0.3">
      <c r="A3500" s="226"/>
      <c r="B3500" s="244"/>
      <c r="C3500" s="138" t="s">
        <v>1042</v>
      </c>
      <c r="D3500" s="32"/>
      <c r="E3500" s="33"/>
      <c r="F3500" s="50" t="s">
        <v>523</v>
      </c>
      <c r="G3500" s="50" t="str">
        <f t="shared" si="59"/>
        <v/>
      </c>
      <c r="H3500" s="69"/>
      <c r="I3500" s="70"/>
      <c r="J3500" s="141">
        <v>0</v>
      </c>
    </row>
    <row r="3501" spans="1:10" ht="26.25" hidden="1" thickBot="1" x14ac:dyDescent="0.3">
      <c r="A3501" s="226"/>
      <c r="B3501" s="244"/>
      <c r="C3501" s="138" t="s">
        <v>1043</v>
      </c>
      <c r="D3501" s="32"/>
      <c r="E3501" s="33"/>
      <c r="F3501" s="50" t="s">
        <v>523</v>
      </c>
      <c r="G3501" s="50" t="str">
        <f t="shared" si="59"/>
        <v/>
      </c>
      <c r="H3501" s="69"/>
      <c r="I3501" s="70"/>
      <c r="J3501" s="141">
        <v>0</v>
      </c>
    </row>
    <row r="3502" spans="1:10" ht="15.75" hidden="1" thickBot="1" x14ac:dyDescent="0.3">
      <c r="A3502" s="227"/>
      <c r="B3502" s="230"/>
      <c r="C3502" s="32"/>
      <c r="D3502" s="32"/>
      <c r="E3502" s="33"/>
      <c r="F3502" s="50" t="s">
        <v>523</v>
      </c>
      <c r="G3502" s="50" t="str">
        <f t="shared" si="59"/>
        <v/>
      </c>
      <c r="H3502" s="69"/>
      <c r="I3502" s="70"/>
      <c r="J3502" s="141">
        <v>0</v>
      </c>
    </row>
    <row r="3503" spans="1:10" ht="15.75" hidden="1" thickBot="1" x14ac:dyDescent="0.3">
      <c r="A3503" s="225" t="s">
        <v>1044</v>
      </c>
      <c r="B3503" s="228" t="str">
        <f>INDEX(Orçamentária!A:B,MATCH(Composições!A3503,Orçamentária!A:A,0),2)</f>
        <v>Mármore Branco Especial 30 mm argamassado (Ed. Principal e Anexo 1)</v>
      </c>
      <c r="C3503" s="37"/>
      <c r="D3503" s="22" t="str">
        <f>TRIM(INDEX(Orçamentária!C:C,MATCH(Composições!A3503,Orçamentária!A:A,0),1))</f>
        <v>m2</v>
      </c>
      <c r="E3503" s="23"/>
      <c r="F3503" s="45" t="s">
        <v>523</v>
      </c>
      <c r="G3503" s="24" t="str">
        <f t="shared" si="59"/>
        <v/>
      </c>
      <c r="H3503" s="25"/>
      <c r="I3503" s="26"/>
      <c r="J3503" s="141">
        <v>0</v>
      </c>
    </row>
    <row r="3504" spans="1:10" ht="15.75" hidden="1" thickBot="1" x14ac:dyDescent="0.3">
      <c r="A3504" s="226"/>
      <c r="B3504" s="244"/>
      <c r="C3504" s="28"/>
      <c r="D3504" s="28"/>
      <c r="E3504" s="29"/>
      <c r="F3504" s="50" t="s">
        <v>523</v>
      </c>
      <c r="G3504" s="50" t="str">
        <f t="shared" si="59"/>
        <v/>
      </c>
      <c r="H3504" s="69"/>
      <c r="I3504" s="70"/>
      <c r="J3504" s="141">
        <v>0</v>
      </c>
    </row>
    <row r="3505" spans="1:10" ht="15.75" hidden="1" thickBot="1" x14ac:dyDescent="0.3">
      <c r="A3505" s="226"/>
      <c r="B3505" s="244"/>
      <c r="C3505" s="32" t="s">
        <v>1045</v>
      </c>
      <c r="D3505" s="32" t="s">
        <v>95</v>
      </c>
      <c r="E3505" s="33">
        <v>1.05</v>
      </c>
      <c r="F3505" s="50" t="s">
        <v>523</v>
      </c>
      <c r="G3505" s="50" t="str">
        <f t="shared" ref="G3505:G3568" si="60">IF(ISNUMBER(F3505),E3505*F3505,"")</f>
        <v/>
      </c>
      <c r="H3505" s="35">
        <f>SUM(G3505:G3509)</f>
        <v>52.668000000000006</v>
      </c>
      <c r="I3505" s="36"/>
      <c r="J3505" s="141">
        <v>0</v>
      </c>
    </row>
    <row r="3506" spans="1:10" ht="15.75" hidden="1" thickBot="1" x14ac:dyDescent="0.3">
      <c r="A3506" s="226"/>
      <c r="B3506" s="244"/>
      <c r="C3506" s="32" t="s">
        <v>54</v>
      </c>
      <c r="D3506" s="32" t="s">
        <v>12</v>
      </c>
      <c r="E3506" s="33">
        <v>1.35</v>
      </c>
      <c r="F3506" s="50">
        <v>24.795000000000002</v>
      </c>
      <c r="G3506" s="50">
        <f t="shared" si="60"/>
        <v>33.473250000000007</v>
      </c>
      <c r="H3506" s="69"/>
      <c r="I3506" s="70"/>
      <c r="J3506" s="141">
        <v>0</v>
      </c>
    </row>
    <row r="3507" spans="1:10" ht="15.75" hidden="1" thickBot="1" x14ac:dyDescent="0.3">
      <c r="A3507" s="226"/>
      <c r="B3507" s="244"/>
      <c r="C3507" s="32" t="s">
        <v>23</v>
      </c>
      <c r="D3507" s="32" t="s">
        <v>12</v>
      </c>
      <c r="E3507" s="33">
        <v>0.6</v>
      </c>
      <c r="F3507" s="50">
        <v>18.420500000000001</v>
      </c>
      <c r="G3507" s="50">
        <f t="shared" si="60"/>
        <v>11.052300000000001</v>
      </c>
      <c r="H3507" s="69"/>
      <c r="I3507" s="70"/>
      <c r="J3507" s="141">
        <v>0</v>
      </c>
    </row>
    <row r="3508" spans="1:10" ht="15.75" hidden="1" thickBot="1" x14ac:dyDescent="0.3">
      <c r="A3508" s="226"/>
      <c r="B3508" s="244"/>
      <c r="C3508" s="32" t="s">
        <v>3537</v>
      </c>
      <c r="D3508" s="32" t="s">
        <v>42</v>
      </c>
      <c r="E3508" s="33">
        <v>4.5</v>
      </c>
      <c r="F3508" s="50">
        <v>1.6054999999999999</v>
      </c>
      <c r="G3508" s="50">
        <f t="shared" si="60"/>
        <v>7.2247499999999993</v>
      </c>
      <c r="H3508" s="69"/>
      <c r="I3508" s="70"/>
      <c r="J3508" s="141">
        <v>0</v>
      </c>
    </row>
    <row r="3509" spans="1:10" ht="15.75" hidden="1" thickBot="1" x14ac:dyDescent="0.3">
      <c r="A3509" s="226"/>
      <c r="B3509" s="244"/>
      <c r="C3509" s="32" t="s">
        <v>3536</v>
      </c>
      <c r="D3509" s="32" t="s">
        <v>42</v>
      </c>
      <c r="E3509" s="33">
        <v>0.3</v>
      </c>
      <c r="F3509" s="50">
        <v>3.0590000000000002</v>
      </c>
      <c r="G3509" s="50">
        <f t="shared" si="60"/>
        <v>0.91769999999999996</v>
      </c>
      <c r="H3509" s="69"/>
      <c r="I3509" s="70"/>
      <c r="J3509" s="141">
        <v>0</v>
      </c>
    </row>
    <row r="3510" spans="1:10" ht="15.75" hidden="1" thickBot="1" x14ac:dyDescent="0.3">
      <c r="A3510" s="227"/>
      <c r="B3510" s="230"/>
      <c r="C3510" s="32"/>
      <c r="D3510" s="32"/>
      <c r="E3510" s="33"/>
      <c r="F3510" s="50" t="s">
        <v>523</v>
      </c>
      <c r="G3510" s="50" t="str">
        <f t="shared" si="60"/>
        <v/>
      </c>
      <c r="H3510" s="69"/>
      <c r="I3510" s="70"/>
      <c r="J3510" s="141">
        <v>0</v>
      </c>
    </row>
    <row r="3511" spans="1:10" ht="15.75" hidden="1" thickBot="1" x14ac:dyDescent="0.3">
      <c r="A3511" s="225" t="s">
        <v>1046</v>
      </c>
      <c r="B3511" s="228" t="str">
        <f>INDEX(Orçamentária!A:B,MATCH(Composições!A3511,Orçamentária!A:A,0),2)</f>
        <v>Mármore Branco Especial 30 mm com inserts e argamassa (Ed. Principal e Anexo 1)</v>
      </c>
      <c r="C3511" s="37"/>
      <c r="D3511" s="22" t="str">
        <f>TRIM(INDEX(Orçamentária!C:C,MATCH(Composições!A3511,Orçamentária!A:A,0),1))</f>
        <v>m2</v>
      </c>
      <c r="E3511" s="23"/>
      <c r="F3511" s="45" t="s">
        <v>523</v>
      </c>
      <c r="G3511" s="24" t="str">
        <f t="shared" si="60"/>
        <v/>
      </c>
      <c r="H3511" s="25"/>
      <c r="I3511" s="26"/>
      <c r="J3511" s="141">
        <v>0</v>
      </c>
    </row>
    <row r="3512" spans="1:10" ht="15.75" hidden="1" thickBot="1" x14ac:dyDescent="0.3">
      <c r="A3512" s="226"/>
      <c r="B3512" s="244"/>
      <c r="C3512" s="28"/>
      <c r="D3512" s="28"/>
      <c r="E3512" s="29"/>
      <c r="F3512" s="50" t="s">
        <v>523</v>
      </c>
      <c r="G3512" s="50" t="str">
        <f t="shared" si="60"/>
        <v/>
      </c>
      <c r="H3512" s="69"/>
      <c r="I3512" s="70"/>
      <c r="J3512" s="141">
        <v>0</v>
      </c>
    </row>
    <row r="3513" spans="1:10" ht="15.75" hidden="1" thickBot="1" x14ac:dyDescent="0.3">
      <c r="A3513" s="226"/>
      <c r="B3513" s="244"/>
      <c r="C3513" s="32" t="s">
        <v>1045</v>
      </c>
      <c r="D3513" s="32" t="s">
        <v>95</v>
      </c>
      <c r="E3513" s="33">
        <v>1.05</v>
      </c>
      <c r="F3513" s="50" t="s">
        <v>523</v>
      </c>
      <c r="G3513" s="50" t="str">
        <f t="shared" si="60"/>
        <v/>
      </c>
      <c r="H3513" s="35">
        <f>SUM(G3513:G3523)</f>
        <v>72.625122453038983</v>
      </c>
      <c r="I3513" s="36"/>
      <c r="J3513" s="141">
        <v>0</v>
      </c>
    </row>
    <row r="3514" spans="1:10" ht="15.75" hidden="1" thickBot="1" x14ac:dyDescent="0.3">
      <c r="A3514" s="226"/>
      <c r="B3514" s="244"/>
      <c r="C3514" s="32" t="s">
        <v>54</v>
      </c>
      <c r="D3514" s="32" t="s">
        <v>12</v>
      </c>
      <c r="E3514" s="33">
        <f>1.35</f>
        <v>1.35</v>
      </c>
      <c r="F3514" s="50">
        <v>24.795000000000002</v>
      </c>
      <c r="G3514" s="50">
        <f t="shared" si="60"/>
        <v>33.473250000000007</v>
      </c>
      <c r="H3514" s="69"/>
      <c r="I3514" s="70"/>
      <c r="J3514" s="141">
        <v>0</v>
      </c>
    </row>
    <row r="3515" spans="1:10" ht="15.75" hidden="1" thickBot="1" x14ac:dyDescent="0.3">
      <c r="A3515" s="226"/>
      <c r="B3515" s="244"/>
      <c r="C3515" s="32" t="s">
        <v>22</v>
      </c>
      <c r="D3515" s="32" t="s">
        <v>12</v>
      </c>
      <c r="E3515" s="33">
        <v>0.1</v>
      </c>
      <c r="F3515" s="50">
        <v>24.889999999999997</v>
      </c>
      <c r="G3515" s="50">
        <f t="shared" si="60"/>
        <v>2.4889999999999999</v>
      </c>
      <c r="H3515" s="69"/>
      <c r="I3515" s="70"/>
      <c r="J3515" s="141">
        <v>0</v>
      </c>
    </row>
    <row r="3516" spans="1:10" ht="15.75" hidden="1" thickBot="1" x14ac:dyDescent="0.3">
      <c r="A3516" s="226"/>
      <c r="B3516" s="244"/>
      <c r="C3516" s="32" t="s">
        <v>23</v>
      </c>
      <c r="D3516" s="32" t="s">
        <v>12</v>
      </c>
      <c r="E3516" s="33">
        <f>0.6+0.1+0.1</f>
        <v>0.79999999999999993</v>
      </c>
      <c r="F3516" s="50">
        <v>18.420500000000001</v>
      </c>
      <c r="G3516" s="50">
        <f t="shared" si="60"/>
        <v>14.7364</v>
      </c>
      <c r="H3516" s="69"/>
      <c r="I3516" s="70"/>
      <c r="J3516" s="141">
        <v>0</v>
      </c>
    </row>
    <row r="3517" spans="1:10" ht="15.75" hidden="1" thickBot="1" x14ac:dyDescent="0.3">
      <c r="A3517" s="226"/>
      <c r="B3517" s="244"/>
      <c r="C3517" s="32" t="s">
        <v>3537</v>
      </c>
      <c r="D3517" s="32" t="s">
        <v>42</v>
      </c>
      <c r="E3517" s="33">
        <v>4.5</v>
      </c>
      <c r="F3517" s="50">
        <v>1.6054999999999999</v>
      </c>
      <c r="G3517" s="50">
        <f t="shared" si="60"/>
        <v>7.2247499999999993</v>
      </c>
      <c r="H3517" s="69"/>
      <c r="I3517" s="70"/>
      <c r="J3517" s="141">
        <v>0</v>
      </c>
    </row>
    <row r="3518" spans="1:10" ht="15.75" hidden="1" thickBot="1" x14ac:dyDescent="0.3">
      <c r="A3518" s="226"/>
      <c r="B3518" s="244"/>
      <c r="C3518" s="32" t="s">
        <v>3536</v>
      </c>
      <c r="D3518" s="32" t="s">
        <v>42</v>
      </c>
      <c r="E3518" s="33">
        <v>0.3</v>
      </c>
      <c r="F3518" s="50">
        <v>3.0590000000000002</v>
      </c>
      <c r="G3518" s="50">
        <f t="shared" si="60"/>
        <v>0.91769999999999996</v>
      </c>
      <c r="H3518" s="69"/>
      <c r="I3518" s="70"/>
      <c r="J3518" s="141">
        <v>0</v>
      </c>
    </row>
    <row r="3519" spans="1:10" ht="26.25" hidden="1" thickBot="1" x14ac:dyDescent="0.3">
      <c r="A3519" s="226"/>
      <c r="B3519" s="244"/>
      <c r="C3519" s="32" t="s">
        <v>1040</v>
      </c>
      <c r="D3519" s="32" t="s">
        <v>280</v>
      </c>
      <c r="E3519" s="33">
        <f>2/(0.4*0.8)</f>
        <v>6.2499999999999991</v>
      </c>
      <c r="F3519" s="50">
        <v>2.1945000000000001</v>
      </c>
      <c r="G3519" s="50">
        <f t="shared" si="60"/>
        <v>13.715624999999999</v>
      </c>
      <c r="H3519" s="69"/>
      <c r="I3519" s="70"/>
      <c r="J3519" s="141">
        <v>0</v>
      </c>
    </row>
    <row r="3520" spans="1:10" ht="15.75" hidden="1" thickBot="1" x14ac:dyDescent="0.3">
      <c r="A3520" s="226"/>
      <c r="B3520" s="244"/>
      <c r="C3520" s="32" t="s">
        <v>1030</v>
      </c>
      <c r="D3520" s="32" t="s">
        <v>144</v>
      </c>
      <c r="E3520" s="33">
        <f>(2/(0.4*0.8))*(0.016)*1.5</f>
        <v>0.15</v>
      </c>
      <c r="F3520" s="50">
        <v>0</v>
      </c>
      <c r="G3520" s="50">
        <f t="shared" si="60"/>
        <v>0</v>
      </c>
      <c r="H3520" s="69"/>
      <c r="I3520" s="70"/>
      <c r="J3520" s="141">
        <v>0</v>
      </c>
    </row>
    <row r="3521" spans="1:10" ht="15.75" hidden="1" thickBot="1" x14ac:dyDescent="0.3">
      <c r="A3521" s="226"/>
      <c r="B3521" s="244"/>
      <c r="C3521" s="32" t="s">
        <v>1031</v>
      </c>
      <c r="D3521" s="32" t="s">
        <v>1032</v>
      </c>
      <c r="E3521" s="33">
        <f>(2/(0.4*0.8))*0.1*1.5</f>
        <v>0.9375</v>
      </c>
      <c r="F3521" s="50">
        <v>0</v>
      </c>
      <c r="G3521" s="50">
        <f t="shared" si="60"/>
        <v>0</v>
      </c>
      <c r="H3521" s="69"/>
      <c r="I3521" s="70"/>
      <c r="J3521" s="141">
        <v>0</v>
      </c>
    </row>
    <row r="3522" spans="1:10" ht="15.75" hidden="1" thickBot="1" x14ac:dyDescent="0.3">
      <c r="A3522" s="226"/>
      <c r="B3522" s="244"/>
      <c r="C3522" s="32" t="s">
        <v>1041</v>
      </c>
      <c r="D3522" s="32" t="s">
        <v>144</v>
      </c>
      <c r="E3522" s="33">
        <f>2/(0.4*0.8)</f>
        <v>6.2499999999999991</v>
      </c>
      <c r="F3522" s="50" t="s">
        <v>523</v>
      </c>
      <c r="G3522" s="50" t="str">
        <f t="shared" si="60"/>
        <v/>
      </c>
      <c r="H3522" s="69"/>
      <c r="I3522" s="70"/>
      <c r="J3522" s="141">
        <v>0</v>
      </c>
    </row>
    <row r="3523" spans="1:10" ht="39" hidden="1" thickBot="1" x14ac:dyDescent="0.3">
      <c r="A3523" s="226"/>
      <c r="B3523" s="244"/>
      <c r="C3523" s="32" t="s">
        <v>1033</v>
      </c>
      <c r="D3523" s="32" t="s">
        <v>109</v>
      </c>
      <c r="E3523" s="33">
        <v>1E-4</v>
      </c>
      <c r="F3523" s="50">
        <v>683.97453038979984</v>
      </c>
      <c r="G3523" s="50">
        <f t="shared" si="60"/>
        <v>6.8397453038979983E-2</v>
      </c>
      <c r="H3523" s="69"/>
      <c r="I3523" s="70"/>
      <c r="J3523" s="141">
        <v>0</v>
      </c>
    </row>
    <row r="3524" spans="1:10" ht="15.75" hidden="1" thickBot="1" x14ac:dyDescent="0.3">
      <c r="A3524" s="226"/>
      <c r="B3524" s="244"/>
      <c r="C3524" s="32"/>
      <c r="D3524" s="32"/>
      <c r="E3524" s="33"/>
      <c r="F3524" s="50" t="s">
        <v>523</v>
      </c>
      <c r="G3524" s="50" t="str">
        <f t="shared" si="60"/>
        <v/>
      </c>
      <c r="H3524" s="69"/>
      <c r="I3524" s="70"/>
      <c r="J3524" s="141">
        <v>0</v>
      </c>
    </row>
    <row r="3525" spans="1:10" ht="15.75" hidden="1" thickBot="1" x14ac:dyDescent="0.3">
      <c r="A3525" s="226"/>
      <c r="B3525" s="244"/>
      <c r="C3525" s="138" t="s">
        <v>1042</v>
      </c>
      <c r="D3525" s="32"/>
      <c r="E3525" s="33"/>
      <c r="F3525" s="50" t="s">
        <v>523</v>
      </c>
      <c r="G3525" s="50" t="str">
        <f t="shared" si="60"/>
        <v/>
      </c>
      <c r="H3525" s="69"/>
      <c r="I3525" s="70"/>
      <c r="J3525" s="141">
        <v>0</v>
      </c>
    </row>
    <row r="3526" spans="1:10" ht="26.25" hidden="1" thickBot="1" x14ac:dyDescent="0.3">
      <c r="A3526" s="226"/>
      <c r="B3526" s="244"/>
      <c r="C3526" s="138" t="s">
        <v>1043</v>
      </c>
      <c r="D3526" s="32"/>
      <c r="E3526" s="33"/>
      <c r="F3526" s="50" t="s">
        <v>523</v>
      </c>
      <c r="G3526" s="50" t="str">
        <f t="shared" si="60"/>
        <v/>
      </c>
      <c r="H3526" s="69"/>
      <c r="I3526" s="70"/>
      <c r="J3526" s="141">
        <v>0</v>
      </c>
    </row>
    <row r="3527" spans="1:10" ht="15.75" hidden="1" thickBot="1" x14ac:dyDescent="0.3">
      <c r="A3527" s="227"/>
      <c r="B3527" s="230"/>
      <c r="C3527" s="32"/>
      <c r="D3527" s="32"/>
      <c r="E3527" s="33"/>
      <c r="F3527" s="50" t="s">
        <v>523</v>
      </c>
      <c r="G3527" s="50" t="str">
        <f t="shared" si="60"/>
        <v/>
      </c>
      <c r="H3527" s="69"/>
      <c r="I3527" s="70"/>
      <c r="J3527" s="141">
        <v>0</v>
      </c>
    </row>
    <row r="3528" spans="1:10" ht="15.75" hidden="1" thickBot="1" x14ac:dyDescent="0.3">
      <c r="A3528" s="225" t="s">
        <v>1047</v>
      </c>
      <c r="B3528" s="228" t="str">
        <f>INDEX(Orçamentária!A:B,MATCH(Composições!A3528,Orçamentária!A:A,0),2)</f>
        <v>Mármore branco especial, e=30 mm, instalação em fixadores metálicos existentes (modelo Edifício Principal)</v>
      </c>
      <c r="C3528" s="37"/>
      <c r="D3528" s="22" t="str">
        <f>TRIM(INDEX(Orçamentária!C:C,MATCH(Composições!A3528,Orçamentária!A:A,0),1))</f>
        <v>m2</v>
      </c>
      <c r="E3528" s="23"/>
      <c r="F3528" s="45" t="s">
        <v>523</v>
      </c>
      <c r="G3528" s="24" t="str">
        <f t="shared" si="60"/>
        <v/>
      </c>
      <c r="H3528" s="25"/>
      <c r="I3528" s="26"/>
      <c r="J3528" s="141">
        <v>0</v>
      </c>
    </row>
    <row r="3529" spans="1:10" ht="15.75" hidden="1" thickBot="1" x14ac:dyDescent="0.3">
      <c r="A3529" s="226"/>
      <c r="B3529" s="244"/>
      <c r="C3529" s="28"/>
      <c r="D3529" s="28"/>
      <c r="E3529" s="29"/>
      <c r="F3529" s="50" t="s">
        <v>523</v>
      </c>
      <c r="G3529" s="50" t="str">
        <f t="shared" si="60"/>
        <v/>
      </c>
      <c r="H3529" s="69"/>
      <c r="I3529" s="70"/>
      <c r="J3529" s="141">
        <v>0</v>
      </c>
    </row>
    <row r="3530" spans="1:10" ht="15.75" hidden="1" thickBot="1" x14ac:dyDescent="0.3">
      <c r="A3530" s="226"/>
      <c r="B3530" s="244"/>
      <c r="C3530" s="32" t="s">
        <v>1045</v>
      </c>
      <c r="D3530" s="32" t="s">
        <v>95</v>
      </c>
      <c r="E3530" s="33">
        <v>1.05</v>
      </c>
      <c r="F3530" s="50" t="s">
        <v>523</v>
      </c>
      <c r="G3530" s="50" t="str">
        <f t="shared" si="60"/>
        <v/>
      </c>
      <c r="H3530" s="35">
        <f>SUM(G3530:G3534)</f>
        <v>8.0408000000000008</v>
      </c>
      <c r="I3530" s="36"/>
      <c r="J3530" s="141">
        <v>0</v>
      </c>
    </row>
    <row r="3531" spans="1:10" ht="15.75" hidden="1" thickBot="1" x14ac:dyDescent="0.3">
      <c r="A3531" s="226"/>
      <c r="B3531" s="244"/>
      <c r="C3531" s="32" t="s">
        <v>54</v>
      </c>
      <c r="D3531" s="32" t="s">
        <v>12</v>
      </c>
      <c r="E3531" s="33">
        <v>0.25</v>
      </c>
      <c r="F3531" s="50">
        <v>24.795000000000002</v>
      </c>
      <c r="G3531" s="50">
        <f t="shared" si="60"/>
        <v>6.1987500000000004</v>
      </c>
      <c r="H3531" s="69"/>
      <c r="I3531" s="70"/>
      <c r="J3531" s="141">
        <v>0</v>
      </c>
    </row>
    <row r="3532" spans="1:10" ht="15.75" hidden="1" thickBot="1" x14ac:dyDescent="0.3">
      <c r="A3532" s="226"/>
      <c r="B3532" s="244"/>
      <c r="C3532" s="32" t="s">
        <v>23</v>
      </c>
      <c r="D3532" s="32" t="s">
        <v>12</v>
      </c>
      <c r="E3532" s="33">
        <v>0.1</v>
      </c>
      <c r="F3532" s="50">
        <v>18.420500000000001</v>
      </c>
      <c r="G3532" s="50">
        <f t="shared" si="60"/>
        <v>1.8420500000000002</v>
      </c>
      <c r="H3532" s="69"/>
      <c r="I3532" s="70"/>
      <c r="J3532" s="141">
        <v>0</v>
      </c>
    </row>
    <row r="3533" spans="1:10" ht="15.75" hidden="1" thickBot="1" x14ac:dyDescent="0.3">
      <c r="A3533" s="226"/>
      <c r="B3533" s="244"/>
      <c r="C3533" s="32" t="s">
        <v>1030</v>
      </c>
      <c r="D3533" s="32" t="s">
        <v>144</v>
      </c>
      <c r="E3533" s="33">
        <f>(2/(0.4*0.8))*0.016/2</f>
        <v>4.9999999999999996E-2</v>
      </c>
      <c r="F3533" s="50">
        <v>0</v>
      </c>
      <c r="G3533" s="50">
        <f t="shared" si="60"/>
        <v>0</v>
      </c>
      <c r="H3533" s="69"/>
      <c r="I3533" s="70"/>
      <c r="J3533" s="141">
        <v>0</v>
      </c>
    </row>
    <row r="3534" spans="1:10" ht="15.75" hidden="1" thickBot="1" x14ac:dyDescent="0.3">
      <c r="A3534" s="226"/>
      <c r="B3534" s="244"/>
      <c r="C3534" s="32" t="s">
        <v>1031</v>
      </c>
      <c r="D3534" s="32" t="s">
        <v>1032</v>
      </c>
      <c r="E3534" s="33">
        <f>(2/(0.4*0.8))*0.1/2</f>
        <v>0.3125</v>
      </c>
      <c r="F3534" s="50">
        <v>0</v>
      </c>
      <c r="G3534" s="50">
        <f t="shared" si="60"/>
        <v>0</v>
      </c>
      <c r="H3534" s="69"/>
      <c r="I3534" s="70"/>
      <c r="J3534" s="141">
        <v>0</v>
      </c>
    </row>
    <row r="3535" spans="1:10" ht="15.75" hidden="1" thickBot="1" x14ac:dyDescent="0.3">
      <c r="A3535" s="226"/>
      <c r="B3535" s="244"/>
      <c r="C3535" s="32"/>
      <c r="D3535" s="32"/>
      <c r="E3535" s="33"/>
      <c r="F3535" s="50" t="s">
        <v>523</v>
      </c>
      <c r="G3535" s="50" t="str">
        <f t="shared" si="60"/>
        <v/>
      </c>
      <c r="H3535" s="69"/>
      <c r="I3535" s="70"/>
      <c r="J3535" s="141">
        <v>0</v>
      </c>
    </row>
    <row r="3536" spans="1:10" ht="15.75" hidden="1" thickBot="1" x14ac:dyDescent="0.3">
      <c r="A3536" s="226"/>
      <c r="B3536" s="244"/>
      <c r="C3536" s="138" t="s">
        <v>1048</v>
      </c>
      <c r="D3536" s="32"/>
      <c r="E3536" s="33"/>
      <c r="F3536" s="50" t="s">
        <v>523</v>
      </c>
      <c r="G3536" s="50" t="str">
        <f t="shared" si="60"/>
        <v/>
      </c>
      <c r="H3536" s="69"/>
      <c r="I3536" s="70"/>
      <c r="J3536" s="141">
        <v>0</v>
      </c>
    </row>
    <row r="3537" spans="1:10" ht="15.75" hidden="1" thickBot="1" x14ac:dyDescent="0.3">
      <c r="A3537" s="227"/>
      <c r="B3537" s="230"/>
      <c r="C3537" s="32"/>
      <c r="D3537" s="32"/>
      <c r="E3537" s="33"/>
      <c r="F3537" s="50" t="s">
        <v>523</v>
      </c>
      <c r="G3537" s="50" t="str">
        <f t="shared" si="60"/>
        <v/>
      </c>
      <c r="H3537" s="69"/>
      <c r="I3537" s="70"/>
      <c r="J3537" s="141">
        <v>0</v>
      </c>
    </row>
    <row r="3538" spans="1:10" ht="15.75" hidden="1" thickBot="1" x14ac:dyDescent="0.3">
      <c r="A3538" s="225" t="s">
        <v>2818</v>
      </c>
      <c r="B3538" s="228" t="str">
        <f>INDEX(Orçamentária!A:B,MATCH(Composições!A3538,Orçamentária!A:A,0),2)</f>
        <v>Instalação de placas de mármore 30 mm reaproveitadas em fixadores metálicos existentes (modelo Edifício Principal)</v>
      </c>
      <c r="C3538" s="37"/>
      <c r="D3538" s="22" t="str">
        <f>TRIM(INDEX(Orçamentária!C:C,MATCH(Composições!A3538,Orçamentária!A:A,0),1))</f>
        <v>m2</v>
      </c>
      <c r="E3538" s="23"/>
      <c r="F3538" s="45" t="s">
        <v>523</v>
      </c>
      <c r="G3538" s="24" t="str">
        <f t="shared" si="60"/>
        <v/>
      </c>
      <c r="H3538" s="25"/>
      <c r="I3538" s="26"/>
      <c r="J3538" s="141">
        <v>0</v>
      </c>
    </row>
    <row r="3539" spans="1:10" ht="15.75" hidden="1" thickBot="1" x14ac:dyDescent="0.3">
      <c r="A3539" s="226"/>
      <c r="B3539" s="244"/>
      <c r="C3539" s="28"/>
      <c r="D3539" s="28"/>
      <c r="E3539" s="29"/>
      <c r="F3539" s="50" t="s">
        <v>523</v>
      </c>
      <c r="G3539" s="50" t="str">
        <f t="shared" si="60"/>
        <v/>
      </c>
      <c r="H3539" s="69"/>
      <c r="I3539" s="70"/>
      <c r="J3539" s="141">
        <v>0</v>
      </c>
    </row>
    <row r="3540" spans="1:10" ht="15.75" hidden="1" thickBot="1" x14ac:dyDescent="0.3">
      <c r="A3540" s="226"/>
      <c r="B3540" s="244"/>
      <c r="C3540" s="32" t="s">
        <v>54</v>
      </c>
      <c r="D3540" s="32" t="s">
        <v>12</v>
      </c>
      <c r="E3540" s="33">
        <v>0.25</v>
      </c>
      <c r="F3540" s="50">
        <v>24.795000000000002</v>
      </c>
      <c r="G3540" s="50">
        <f t="shared" si="60"/>
        <v>6.1987500000000004</v>
      </c>
      <c r="H3540" s="35">
        <f>SUM(G3540:G3543)</f>
        <v>8.0408000000000008</v>
      </c>
      <c r="I3540" s="36"/>
      <c r="J3540" s="141">
        <v>0</v>
      </c>
    </row>
    <row r="3541" spans="1:10" ht="15.75" hidden="1" thickBot="1" x14ac:dyDescent="0.3">
      <c r="A3541" s="226"/>
      <c r="B3541" s="244"/>
      <c r="C3541" s="32" t="s">
        <v>23</v>
      </c>
      <c r="D3541" s="32" t="s">
        <v>12</v>
      </c>
      <c r="E3541" s="33">
        <v>0.1</v>
      </c>
      <c r="F3541" s="50">
        <v>18.420500000000001</v>
      </c>
      <c r="G3541" s="50">
        <f t="shared" si="60"/>
        <v>1.8420500000000002</v>
      </c>
      <c r="H3541" s="69"/>
      <c r="I3541" s="70"/>
      <c r="J3541" s="141">
        <v>0</v>
      </c>
    </row>
    <row r="3542" spans="1:10" ht="15.75" hidden="1" thickBot="1" x14ac:dyDescent="0.3">
      <c r="A3542" s="226"/>
      <c r="B3542" s="244"/>
      <c r="C3542" s="32" t="s">
        <v>1030</v>
      </c>
      <c r="D3542" s="32" t="s">
        <v>144</v>
      </c>
      <c r="E3542" s="33">
        <f>(2/(0.4*0.8))*0.016/2</f>
        <v>4.9999999999999996E-2</v>
      </c>
      <c r="F3542" s="50">
        <v>0</v>
      </c>
      <c r="G3542" s="50">
        <f t="shared" si="60"/>
        <v>0</v>
      </c>
      <c r="H3542" s="69"/>
      <c r="I3542" s="70"/>
      <c r="J3542" s="141">
        <v>0</v>
      </c>
    </row>
    <row r="3543" spans="1:10" ht="15.75" hidden="1" thickBot="1" x14ac:dyDescent="0.3">
      <c r="A3543" s="226"/>
      <c r="B3543" s="244"/>
      <c r="C3543" s="32" t="s">
        <v>1031</v>
      </c>
      <c r="D3543" s="32" t="s">
        <v>1032</v>
      </c>
      <c r="E3543" s="33">
        <f>(2/(0.4*0.8))*0.1/2</f>
        <v>0.3125</v>
      </c>
      <c r="F3543" s="50">
        <v>0</v>
      </c>
      <c r="G3543" s="50">
        <f t="shared" si="60"/>
        <v>0</v>
      </c>
      <c r="H3543" s="69"/>
      <c r="I3543" s="70"/>
      <c r="J3543" s="141">
        <v>0</v>
      </c>
    </row>
    <row r="3544" spans="1:10" ht="15.75" hidden="1" thickBot="1" x14ac:dyDescent="0.3">
      <c r="A3544" s="226"/>
      <c r="B3544" s="244"/>
      <c r="C3544" s="32"/>
      <c r="D3544" s="32"/>
      <c r="E3544" s="33"/>
      <c r="F3544" s="50" t="s">
        <v>523</v>
      </c>
      <c r="G3544" s="50" t="str">
        <f t="shared" si="60"/>
        <v/>
      </c>
      <c r="H3544" s="69"/>
      <c r="I3544" s="70"/>
      <c r="J3544" s="141">
        <v>0</v>
      </c>
    </row>
    <row r="3545" spans="1:10" ht="15.75" hidden="1" thickBot="1" x14ac:dyDescent="0.3">
      <c r="A3545" s="226"/>
      <c r="B3545" s="244"/>
      <c r="C3545" s="138" t="s">
        <v>1048</v>
      </c>
      <c r="D3545" s="32"/>
      <c r="E3545" s="33"/>
      <c r="F3545" s="50" t="s">
        <v>523</v>
      </c>
      <c r="G3545" s="50" t="str">
        <f t="shared" si="60"/>
        <v/>
      </c>
      <c r="H3545" s="69"/>
      <c r="I3545" s="70"/>
      <c r="J3545" s="141">
        <v>0</v>
      </c>
    </row>
    <row r="3546" spans="1:10" ht="15.75" hidden="1" thickBot="1" x14ac:dyDescent="0.3">
      <c r="A3546" s="227"/>
      <c r="B3546" s="230"/>
      <c r="C3546" s="32"/>
      <c r="D3546" s="32"/>
      <c r="E3546" s="33"/>
      <c r="F3546" s="50" t="s">
        <v>523</v>
      </c>
      <c r="G3546" s="50" t="str">
        <f t="shared" si="60"/>
        <v/>
      </c>
      <c r="H3546" s="69"/>
      <c r="I3546" s="70"/>
      <c r="J3546" s="141">
        <v>0</v>
      </c>
    </row>
    <row r="3547" spans="1:10" ht="15.75" hidden="1" thickBot="1" x14ac:dyDescent="0.3">
      <c r="A3547" s="225" t="s">
        <v>1049</v>
      </c>
      <c r="B3547" s="228" t="str">
        <f>INDEX(Orçamentária!A:B,MATCH(Composições!A3547,Orçamentária!A:A,0),2)</f>
        <v>Instalação de placas de rocha ornamental reaproveitadas, por meio de argamassa</v>
      </c>
      <c r="C3547" s="37"/>
      <c r="D3547" s="22" t="str">
        <f>TRIM(INDEX(Orçamentária!C:C,MATCH(Composições!A3547,Orçamentária!A:A,0),1))</f>
        <v>m2</v>
      </c>
      <c r="E3547" s="23"/>
      <c r="F3547" s="45" t="s">
        <v>523</v>
      </c>
      <c r="G3547" s="24" t="str">
        <f t="shared" si="60"/>
        <v/>
      </c>
      <c r="H3547" s="25"/>
      <c r="I3547" s="26"/>
      <c r="J3547" s="141">
        <v>0</v>
      </c>
    </row>
    <row r="3548" spans="1:10" ht="15.75" hidden="1" thickBot="1" x14ac:dyDescent="0.3">
      <c r="A3548" s="226"/>
      <c r="B3548" s="244"/>
      <c r="C3548" s="28"/>
      <c r="D3548" s="28"/>
      <c r="E3548" s="29"/>
      <c r="F3548" s="50" t="s">
        <v>523</v>
      </c>
      <c r="G3548" s="50" t="str">
        <f t="shared" si="60"/>
        <v/>
      </c>
      <c r="H3548" s="69"/>
      <c r="I3548" s="70"/>
      <c r="J3548" s="141">
        <v>0</v>
      </c>
    </row>
    <row r="3549" spans="1:10" ht="15.75" hidden="1" thickBot="1" x14ac:dyDescent="0.3">
      <c r="A3549" s="226"/>
      <c r="B3549" s="244"/>
      <c r="C3549" s="32" t="s">
        <v>54</v>
      </c>
      <c r="D3549" s="32" t="s">
        <v>12</v>
      </c>
      <c r="E3549" s="33">
        <v>1.35</v>
      </c>
      <c r="F3549" s="50">
        <v>24.795000000000002</v>
      </c>
      <c r="G3549" s="50">
        <f t="shared" si="60"/>
        <v>33.473250000000007</v>
      </c>
      <c r="H3549" s="35">
        <f>SUM(G3549:G3552)</f>
        <v>52.668000000000006</v>
      </c>
      <c r="I3549" s="36"/>
      <c r="J3549" s="141">
        <v>0</v>
      </c>
    </row>
    <row r="3550" spans="1:10" ht="15.75" hidden="1" thickBot="1" x14ac:dyDescent="0.3">
      <c r="A3550" s="226"/>
      <c r="B3550" s="244"/>
      <c r="C3550" s="32" t="s">
        <v>23</v>
      </c>
      <c r="D3550" s="32" t="s">
        <v>12</v>
      </c>
      <c r="E3550" s="33">
        <v>0.6</v>
      </c>
      <c r="F3550" s="50">
        <v>18.420500000000001</v>
      </c>
      <c r="G3550" s="50">
        <f t="shared" si="60"/>
        <v>11.052300000000001</v>
      </c>
      <c r="H3550" s="69"/>
      <c r="I3550" s="70"/>
      <c r="J3550" s="141">
        <v>0</v>
      </c>
    </row>
    <row r="3551" spans="1:10" ht="15.75" hidden="1" thickBot="1" x14ac:dyDescent="0.3">
      <c r="A3551" s="226"/>
      <c r="B3551" s="244"/>
      <c r="C3551" s="32" t="s">
        <v>3537</v>
      </c>
      <c r="D3551" s="32" t="s">
        <v>42</v>
      </c>
      <c r="E3551" s="33">
        <v>4.5</v>
      </c>
      <c r="F3551" s="50">
        <v>1.6054999999999999</v>
      </c>
      <c r="G3551" s="50">
        <f t="shared" si="60"/>
        <v>7.2247499999999993</v>
      </c>
      <c r="H3551" s="69"/>
      <c r="I3551" s="70"/>
      <c r="J3551" s="141">
        <v>0</v>
      </c>
    </row>
    <row r="3552" spans="1:10" ht="15.75" hidden="1" thickBot="1" x14ac:dyDescent="0.3">
      <c r="A3552" s="226"/>
      <c r="B3552" s="244"/>
      <c r="C3552" s="32" t="s">
        <v>3536</v>
      </c>
      <c r="D3552" s="32" t="s">
        <v>42</v>
      </c>
      <c r="E3552" s="33">
        <v>0.3</v>
      </c>
      <c r="F3552" s="50">
        <v>3.0590000000000002</v>
      </c>
      <c r="G3552" s="50">
        <f t="shared" si="60"/>
        <v>0.91769999999999996</v>
      </c>
      <c r="H3552" s="69"/>
      <c r="I3552" s="70"/>
      <c r="J3552" s="141">
        <v>0</v>
      </c>
    </row>
    <row r="3553" spans="1:10" ht="15.75" hidden="1" thickBot="1" x14ac:dyDescent="0.3">
      <c r="A3553" s="227"/>
      <c r="B3553" s="230"/>
      <c r="C3553" s="32"/>
      <c r="D3553" s="32"/>
      <c r="E3553" s="33"/>
      <c r="F3553" s="50" t="s">
        <v>523</v>
      </c>
      <c r="G3553" s="50" t="str">
        <f t="shared" si="60"/>
        <v/>
      </c>
      <c r="H3553" s="69"/>
      <c r="I3553" s="70"/>
      <c r="J3553" s="141">
        <v>0</v>
      </c>
    </row>
    <row r="3554" spans="1:10" ht="15.75" hidden="1" thickBot="1" x14ac:dyDescent="0.3">
      <c r="A3554" s="225" t="s">
        <v>1050</v>
      </c>
      <c r="B3554" s="228" t="str">
        <f>INDEX(Orçamentária!A:B,MATCH(Composições!A3554,Orçamentária!A:A,0),2)</f>
        <v>Instalação de placas de rocha ornamental reaproveitadas, por meio de argamassa e fixadores metálicos</v>
      </c>
      <c r="C3554" s="37"/>
      <c r="D3554" s="22" t="str">
        <f>TRIM(INDEX(Orçamentária!C:C,MATCH(Composições!A3554,Orçamentária!A:A,0),1))</f>
        <v>m2</v>
      </c>
      <c r="E3554" s="23"/>
      <c r="F3554" s="45" t="s">
        <v>523</v>
      </c>
      <c r="G3554" s="24" t="str">
        <f t="shared" si="60"/>
        <v/>
      </c>
      <c r="H3554" s="25"/>
      <c r="I3554" s="26"/>
      <c r="J3554" s="141">
        <v>0</v>
      </c>
    </row>
    <row r="3555" spans="1:10" ht="15.75" hidden="1" thickBot="1" x14ac:dyDescent="0.3">
      <c r="A3555" s="226"/>
      <c r="B3555" s="244"/>
      <c r="C3555" s="28"/>
      <c r="D3555" s="28"/>
      <c r="E3555" s="29"/>
      <c r="F3555" s="50" t="s">
        <v>523</v>
      </c>
      <c r="G3555" s="50" t="str">
        <f t="shared" si="60"/>
        <v/>
      </c>
      <c r="H3555" s="69"/>
      <c r="I3555" s="70"/>
      <c r="J3555" s="141">
        <v>0</v>
      </c>
    </row>
    <row r="3556" spans="1:10" ht="15.75" hidden="1" thickBot="1" x14ac:dyDescent="0.3">
      <c r="A3556" s="226"/>
      <c r="B3556" s="244"/>
      <c r="C3556" s="32" t="s">
        <v>54</v>
      </c>
      <c r="D3556" s="32" t="s">
        <v>12</v>
      </c>
      <c r="E3556" s="33">
        <f>1.35</f>
        <v>1.35</v>
      </c>
      <c r="F3556" s="50">
        <v>24.795000000000002</v>
      </c>
      <c r="G3556" s="50">
        <f t="shared" si="60"/>
        <v>33.473250000000007</v>
      </c>
      <c r="H3556" s="35">
        <f>SUM(G3556:G3565)</f>
        <v>72.625122453038983</v>
      </c>
      <c r="I3556" s="36"/>
      <c r="J3556" s="141">
        <v>0</v>
      </c>
    </row>
    <row r="3557" spans="1:10" ht="15.75" hidden="1" thickBot="1" x14ac:dyDescent="0.3">
      <c r="A3557" s="226"/>
      <c r="B3557" s="244"/>
      <c r="C3557" s="32" t="s">
        <v>22</v>
      </c>
      <c r="D3557" s="32" t="s">
        <v>12</v>
      </c>
      <c r="E3557" s="33">
        <v>0.1</v>
      </c>
      <c r="F3557" s="50">
        <v>24.889999999999997</v>
      </c>
      <c r="G3557" s="50">
        <f t="shared" si="60"/>
        <v>2.4889999999999999</v>
      </c>
      <c r="H3557" s="69"/>
      <c r="I3557" s="70"/>
      <c r="J3557" s="141">
        <v>0</v>
      </c>
    </row>
    <row r="3558" spans="1:10" ht="15.75" hidden="1" thickBot="1" x14ac:dyDescent="0.3">
      <c r="A3558" s="226"/>
      <c r="B3558" s="244"/>
      <c r="C3558" s="32" t="s">
        <v>23</v>
      </c>
      <c r="D3558" s="32" t="s">
        <v>12</v>
      </c>
      <c r="E3558" s="33">
        <f>0.6+0.1+0.1</f>
        <v>0.79999999999999993</v>
      </c>
      <c r="F3558" s="50">
        <v>18.420500000000001</v>
      </c>
      <c r="G3558" s="50">
        <f t="shared" si="60"/>
        <v>14.7364</v>
      </c>
      <c r="H3558" s="69"/>
      <c r="I3558" s="70"/>
      <c r="J3558" s="141">
        <v>0</v>
      </c>
    </row>
    <row r="3559" spans="1:10" ht="15.75" hidden="1" thickBot="1" x14ac:dyDescent="0.3">
      <c r="A3559" s="226"/>
      <c r="B3559" s="244"/>
      <c r="C3559" s="32" t="s">
        <v>3537</v>
      </c>
      <c r="D3559" s="32" t="s">
        <v>42</v>
      </c>
      <c r="E3559" s="33">
        <v>4.5</v>
      </c>
      <c r="F3559" s="50">
        <v>1.6054999999999999</v>
      </c>
      <c r="G3559" s="50">
        <f t="shared" si="60"/>
        <v>7.2247499999999993</v>
      </c>
      <c r="H3559" s="69"/>
      <c r="I3559" s="70"/>
      <c r="J3559" s="141">
        <v>0</v>
      </c>
    </row>
    <row r="3560" spans="1:10" ht="15.75" hidden="1" thickBot="1" x14ac:dyDescent="0.3">
      <c r="A3560" s="226"/>
      <c r="B3560" s="244"/>
      <c r="C3560" s="32" t="s">
        <v>3536</v>
      </c>
      <c r="D3560" s="32" t="s">
        <v>42</v>
      </c>
      <c r="E3560" s="33">
        <v>0.3</v>
      </c>
      <c r="F3560" s="50">
        <v>3.0590000000000002</v>
      </c>
      <c r="G3560" s="50">
        <f t="shared" si="60"/>
        <v>0.91769999999999996</v>
      </c>
      <c r="H3560" s="69"/>
      <c r="I3560" s="70"/>
      <c r="J3560" s="141">
        <v>0</v>
      </c>
    </row>
    <row r="3561" spans="1:10" ht="26.25" hidden="1" thickBot="1" x14ac:dyDescent="0.3">
      <c r="A3561" s="226"/>
      <c r="B3561" s="244"/>
      <c r="C3561" s="32" t="s">
        <v>1040</v>
      </c>
      <c r="D3561" s="32" t="s">
        <v>280</v>
      </c>
      <c r="E3561" s="33">
        <f>2/(0.4*0.8)</f>
        <v>6.2499999999999991</v>
      </c>
      <c r="F3561" s="50">
        <v>2.1945000000000001</v>
      </c>
      <c r="G3561" s="50">
        <f t="shared" si="60"/>
        <v>13.715624999999999</v>
      </c>
      <c r="H3561" s="69"/>
      <c r="I3561" s="70"/>
      <c r="J3561" s="141">
        <v>0</v>
      </c>
    </row>
    <row r="3562" spans="1:10" ht="15.75" hidden="1" thickBot="1" x14ac:dyDescent="0.3">
      <c r="A3562" s="226"/>
      <c r="B3562" s="244"/>
      <c r="C3562" s="32" t="s">
        <v>1030</v>
      </c>
      <c r="D3562" s="32" t="s">
        <v>144</v>
      </c>
      <c r="E3562" s="33">
        <f>(2/(0.4*0.8))*(0.016)*1.5</f>
        <v>0.15</v>
      </c>
      <c r="F3562" s="50">
        <v>0</v>
      </c>
      <c r="G3562" s="50">
        <f t="shared" si="60"/>
        <v>0</v>
      </c>
      <c r="H3562" s="69"/>
      <c r="I3562" s="70"/>
      <c r="J3562" s="141">
        <v>0</v>
      </c>
    </row>
    <row r="3563" spans="1:10" ht="15.75" hidden="1" thickBot="1" x14ac:dyDescent="0.3">
      <c r="A3563" s="226"/>
      <c r="B3563" s="244"/>
      <c r="C3563" s="32" t="s">
        <v>1031</v>
      </c>
      <c r="D3563" s="32" t="s">
        <v>1032</v>
      </c>
      <c r="E3563" s="33">
        <f>(2/(0.4*0.8))*0.1*1.5</f>
        <v>0.9375</v>
      </c>
      <c r="F3563" s="50">
        <v>0</v>
      </c>
      <c r="G3563" s="50">
        <f t="shared" si="60"/>
        <v>0</v>
      </c>
      <c r="H3563" s="69"/>
      <c r="I3563" s="70"/>
      <c r="J3563" s="141">
        <v>0</v>
      </c>
    </row>
    <row r="3564" spans="1:10" ht="15.75" hidden="1" thickBot="1" x14ac:dyDescent="0.3">
      <c r="A3564" s="226"/>
      <c r="B3564" s="244"/>
      <c r="C3564" s="32" t="s">
        <v>1041</v>
      </c>
      <c r="D3564" s="32" t="s">
        <v>144</v>
      </c>
      <c r="E3564" s="33">
        <f>2/(0.4*0.8)</f>
        <v>6.2499999999999991</v>
      </c>
      <c r="F3564" s="50" t="s">
        <v>523</v>
      </c>
      <c r="G3564" s="50" t="str">
        <f t="shared" si="60"/>
        <v/>
      </c>
      <c r="H3564" s="69"/>
      <c r="I3564" s="70"/>
      <c r="J3564" s="141">
        <v>0</v>
      </c>
    </row>
    <row r="3565" spans="1:10" ht="39" hidden="1" thickBot="1" x14ac:dyDescent="0.3">
      <c r="A3565" s="226"/>
      <c r="B3565" s="244"/>
      <c r="C3565" s="32" t="s">
        <v>1033</v>
      </c>
      <c r="D3565" s="32" t="s">
        <v>109</v>
      </c>
      <c r="E3565" s="33">
        <v>1E-4</v>
      </c>
      <c r="F3565" s="50">
        <v>683.97453038979984</v>
      </c>
      <c r="G3565" s="50">
        <f t="shared" si="60"/>
        <v>6.8397453038979983E-2</v>
      </c>
      <c r="H3565" s="69"/>
      <c r="I3565" s="70"/>
      <c r="J3565" s="141">
        <v>0</v>
      </c>
    </row>
    <row r="3566" spans="1:10" ht="15.75" hidden="1" thickBot="1" x14ac:dyDescent="0.3">
      <c r="A3566" s="226"/>
      <c r="B3566" s="244"/>
      <c r="C3566" s="32"/>
      <c r="D3566" s="32"/>
      <c r="E3566" s="33"/>
      <c r="F3566" s="50" t="s">
        <v>523</v>
      </c>
      <c r="G3566" s="50" t="str">
        <f t="shared" si="60"/>
        <v/>
      </c>
      <c r="H3566" s="69"/>
      <c r="I3566" s="70"/>
      <c r="J3566" s="141">
        <v>0</v>
      </c>
    </row>
    <row r="3567" spans="1:10" ht="15.75" hidden="1" thickBot="1" x14ac:dyDescent="0.3">
      <c r="A3567" s="226"/>
      <c r="B3567" s="244"/>
      <c r="C3567" s="138" t="s">
        <v>1042</v>
      </c>
      <c r="D3567" s="32"/>
      <c r="E3567" s="33"/>
      <c r="F3567" s="50" t="s">
        <v>523</v>
      </c>
      <c r="G3567" s="50" t="str">
        <f t="shared" si="60"/>
        <v/>
      </c>
      <c r="H3567" s="69"/>
      <c r="I3567" s="70"/>
      <c r="J3567" s="141">
        <v>0</v>
      </c>
    </row>
    <row r="3568" spans="1:10" ht="26.25" hidden="1" thickBot="1" x14ac:dyDescent="0.3">
      <c r="A3568" s="226"/>
      <c r="B3568" s="244"/>
      <c r="C3568" s="138" t="s">
        <v>1043</v>
      </c>
      <c r="D3568" s="32"/>
      <c r="E3568" s="33"/>
      <c r="F3568" s="50" t="s">
        <v>523</v>
      </c>
      <c r="G3568" s="50" t="str">
        <f t="shared" si="60"/>
        <v/>
      </c>
      <c r="H3568" s="69"/>
      <c r="I3568" s="70"/>
      <c r="J3568" s="141">
        <v>0</v>
      </c>
    </row>
    <row r="3569" spans="1:10" ht="15.75" hidden="1" thickBot="1" x14ac:dyDescent="0.3">
      <c r="A3569" s="227"/>
      <c r="B3569" s="230"/>
      <c r="C3569" s="32"/>
      <c r="D3569" s="32"/>
      <c r="E3569" s="33"/>
      <c r="F3569" s="50" t="s">
        <v>523</v>
      </c>
      <c r="G3569" s="50" t="str">
        <f t="shared" ref="G3569:G3632" si="61">IF(ISNUMBER(F3569),E3569*F3569,"")</f>
        <v/>
      </c>
      <c r="H3569" s="69"/>
      <c r="I3569" s="70"/>
      <c r="J3569" s="141">
        <v>0</v>
      </c>
    </row>
    <row r="3570" spans="1:10" ht="15.75" hidden="1" thickBot="1" x14ac:dyDescent="0.3">
      <c r="A3570" s="225" t="s">
        <v>1051</v>
      </c>
      <c r="B3570" s="228" t="str">
        <f>INDEX(Orçamentária!A:B,MATCH(Composições!A3570,Orçamentária!A:A,0),2)</f>
        <v>Aplicação de hidrofugante à base de silano e silicone</v>
      </c>
      <c r="C3570" s="37"/>
      <c r="D3570" s="22" t="str">
        <f>TRIM(INDEX(Orçamentária!C:C,MATCH(Composições!A3570,Orçamentária!A:A,0),1))</f>
        <v>m2</v>
      </c>
      <c r="E3570" s="23"/>
      <c r="F3570" s="45" t="s">
        <v>523</v>
      </c>
      <c r="G3570" s="24" t="str">
        <f t="shared" si="61"/>
        <v/>
      </c>
      <c r="H3570" s="25"/>
      <c r="I3570" s="26"/>
      <c r="J3570" s="141">
        <v>0</v>
      </c>
    </row>
    <row r="3571" spans="1:10" ht="15.75" hidden="1" thickBot="1" x14ac:dyDescent="0.3">
      <c r="A3571" s="231"/>
      <c r="B3571" s="244"/>
      <c r="C3571" s="28"/>
      <c r="D3571" s="28"/>
      <c r="E3571" s="29"/>
      <c r="F3571" s="50" t="s">
        <v>523</v>
      </c>
      <c r="G3571" s="50" t="str">
        <f t="shared" si="61"/>
        <v/>
      </c>
      <c r="H3571" s="69"/>
      <c r="I3571" s="70"/>
      <c r="J3571" s="141">
        <v>0</v>
      </c>
    </row>
    <row r="3572" spans="1:10" ht="15.75" hidden="1" thickBot="1" x14ac:dyDescent="0.3">
      <c r="A3572" s="231"/>
      <c r="B3572" s="244"/>
      <c r="C3572" s="32" t="s">
        <v>100</v>
      </c>
      <c r="D3572" s="32" t="s">
        <v>12</v>
      </c>
      <c r="E3572" s="33">
        <v>0.4</v>
      </c>
      <c r="F3572" s="50">
        <v>25.887499999999999</v>
      </c>
      <c r="G3572" s="50">
        <f t="shared" si="61"/>
        <v>10.355</v>
      </c>
      <c r="H3572" s="35">
        <f>SUM(G3572:G3574)</f>
        <v>12.425050000000001</v>
      </c>
      <c r="I3572" s="36"/>
      <c r="J3572" s="141">
        <v>0</v>
      </c>
    </row>
    <row r="3573" spans="1:10" ht="15.75" hidden="1" thickBot="1" x14ac:dyDescent="0.3">
      <c r="A3573" s="231"/>
      <c r="B3573" s="244"/>
      <c r="C3573" s="32" t="s">
        <v>1052</v>
      </c>
      <c r="D3573" s="32" t="s">
        <v>705</v>
      </c>
      <c r="E3573" s="33">
        <v>0.1</v>
      </c>
      <c r="F3573" s="50">
        <v>20.700499999999998</v>
      </c>
      <c r="G3573" s="50">
        <f t="shared" si="61"/>
        <v>2.0700499999999997</v>
      </c>
      <c r="H3573" s="69"/>
      <c r="I3573" s="70"/>
      <c r="J3573" s="141">
        <v>0</v>
      </c>
    </row>
    <row r="3574" spans="1:10" ht="15.75" hidden="1" thickBot="1" x14ac:dyDescent="0.3">
      <c r="A3574" s="231"/>
      <c r="B3574" s="244"/>
      <c r="C3574" s="32" t="s">
        <v>1053</v>
      </c>
      <c r="D3574" s="46" t="s">
        <v>102</v>
      </c>
      <c r="E3574" s="33">
        <v>0.33</v>
      </c>
      <c r="F3574" s="50">
        <v>0</v>
      </c>
      <c r="G3574" s="50">
        <f t="shared" si="61"/>
        <v>0</v>
      </c>
      <c r="H3574" s="69"/>
      <c r="I3574" s="70"/>
      <c r="J3574" s="141">
        <v>0</v>
      </c>
    </row>
    <row r="3575" spans="1:10" ht="15.75" hidden="1" thickBot="1" x14ac:dyDescent="0.3">
      <c r="A3575" s="232"/>
      <c r="B3575" s="230"/>
      <c r="C3575" s="32"/>
      <c r="D3575" s="32"/>
      <c r="E3575" s="33"/>
      <c r="F3575" s="50" t="s">
        <v>523</v>
      </c>
      <c r="G3575" s="50" t="str">
        <f t="shared" si="61"/>
        <v/>
      </c>
      <c r="H3575" s="69"/>
      <c r="I3575" s="70"/>
      <c r="J3575" s="141">
        <v>0</v>
      </c>
    </row>
    <row r="3576" spans="1:10" ht="15.75" hidden="1" thickBot="1" x14ac:dyDescent="0.3">
      <c r="A3576" s="225" t="s">
        <v>1054</v>
      </c>
      <c r="B3576" s="228" t="str">
        <f>INDEX(Orçamentária!A:B,MATCH(Composições!A3576,Orçamentária!A:A,0),2)</f>
        <v>Cantoneira em alumínio abas iguais 1" x 1/8" – Pingadeira “L”</v>
      </c>
      <c r="C3576" s="37"/>
      <c r="D3576" s="22" t="str">
        <f>TRIM(INDEX(Orçamentária!C:C,MATCH(Composições!A3576,Orçamentária!A:A,0),1))</f>
        <v>m</v>
      </c>
      <c r="E3576" s="23"/>
      <c r="F3576" s="45" t="s">
        <v>523</v>
      </c>
      <c r="G3576" s="24" t="str">
        <f t="shared" si="61"/>
        <v/>
      </c>
      <c r="H3576" s="25"/>
      <c r="I3576" s="26"/>
      <c r="J3576" s="141">
        <v>0</v>
      </c>
    </row>
    <row r="3577" spans="1:10" ht="15.75" hidden="1" thickBot="1" x14ac:dyDescent="0.3">
      <c r="A3577" s="231"/>
      <c r="B3577" s="244"/>
      <c r="C3577" s="28"/>
      <c r="D3577" s="28"/>
      <c r="E3577" s="29"/>
      <c r="F3577" s="50" t="s">
        <v>523</v>
      </c>
      <c r="G3577" s="50" t="str">
        <f t="shared" si="61"/>
        <v/>
      </c>
      <c r="H3577" s="69"/>
      <c r="I3577" s="70"/>
      <c r="J3577" s="141">
        <v>0</v>
      </c>
    </row>
    <row r="3578" spans="1:10" ht="15.75" hidden="1" thickBot="1" x14ac:dyDescent="0.3">
      <c r="A3578" s="231"/>
      <c r="B3578" s="244"/>
      <c r="C3578" s="32" t="s">
        <v>54</v>
      </c>
      <c r="D3578" s="32" t="s">
        <v>12</v>
      </c>
      <c r="E3578" s="33">
        <v>0.6</v>
      </c>
      <c r="F3578" s="50">
        <v>24.795000000000002</v>
      </c>
      <c r="G3578" s="50">
        <f t="shared" si="61"/>
        <v>14.877000000000001</v>
      </c>
      <c r="H3578" s="35">
        <f>SUM(G3578:G3580)</f>
        <v>22.245200000000001</v>
      </c>
      <c r="I3578" s="36"/>
      <c r="J3578" s="141">
        <v>0</v>
      </c>
    </row>
    <row r="3579" spans="1:10" ht="15.75" hidden="1" thickBot="1" x14ac:dyDescent="0.3">
      <c r="A3579" s="231"/>
      <c r="B3579" s="244"/>
      <c r="C3579" s="32" t="s">
        <v>23</v>
      </c>
      <c r="D3579" s="32" t="s">
        <v>12</v>
      </c>
      <c r="E3579" s="33">
        <v>0.4</v>
      </c>
      <c r="F3579" s="50">
        <v>18.420500000000001</v>
      </c>
      <c r="G3579" s="50">
        <f t="shared" si="61"/>
        <v>7.3682000000000007</v>
      </c>
      <c r="H3579" s="69"/>
      <c r="I3579" s="70"/>
      <c r="J3579" s="141">
        <v>0</v>
      </c>
    </row>
    <row r="3580" spans="1:10" ht="26.25" hidden="1" thickBot="1" x14ac:dyDescent="0.3">
      <c r="A3580" s="231"/>
      <c r="B3580" s="244"/>
      <c r="C3580" s="32" t="s">
        <v>1055</v>
      </c>
      <c r="D3580" s="43" t="s">
        <v>93</v>
      </c>
      <c r="E3580" s="33">
        <v>1</v>
      </c>
      <c r="F3580" s="50" t="s">
        <v>523</v>
      </c>
      <c r="G3580" s="50" t="str">
        <f t="shared" si="61"/>
        <v/>
      </c>
      <c r="H3580" s="69"/>
      <c r="I3580" s="70"/>
      <c r="J3580" s="141">
        <v>0</v>
      </c>
    </row>
    <row r="3581" spans="1:10" ht="15.75" hidden="1" thickBot="1" x14ac:dyDescent="0.3">
      <c r="A3581" s="232"/>
      <c r="B3581" s="230"/>
      <c r="C3581" s="32"/>
      <c r="D3581" s="32"/>
      <c r="E3581" s="33"/>
      <c r="F3581" s="50" t="s">
        <v>523</v>
      </c>
      <c r="G3581" s="50" t="str">
        <f t="shared" si="61"/>
        <v/>
      </c>
      <c r="H3581" s="69"/>
      <c r="I3581" s="70"/>
      <c r="J3581" s="141">
        <v>0</v>
      </c>
    </row>
    <row r="3582" spans="1:10" ht="15.75" hidden="1" thickBot="1" x14ac:dyDescent="0.3">
      <c r="A3582" s="225" t="s">
        <v>1056</v>
      </c>
      <c r="B3582" s="228" t="str">
        <f>INDEX(Orçamentária!A:B,MATCH(Composições!A3582,Orçamentária!A:A,0),2)</f>
        <v>Granito Amarelo Maracujá para rodapé</v>
      </c>
      <c r="C3582" s="37"/>
      <c r="D3582" s="22" t="str">
        <f>TRIM(INDEX(Orçamentária!C:C,MATCH(Composições!A3582,Orçamentária!A:A,0),1))</f>
        <v>m2</v>
      </c>
      <c r="E3582" s="23"/>
      <c r="F3582" s="45" t="s">
        <v>523</v>
      </c>
      <c r="G3582" s="24" t="str">
        <f t="shared" si="61"/>
        <v/>
      </c>
      <c r="H3582" s="25"/>
      <c r="I3582" s="26"/>
      <c r="J3582" s="141">
        <v>0</v>
      </c>
    </row>
    <row r="3583" spans="1:10" ht="15.75" hidden="1" thickBot="1" x14ac:dyDescent="0.3">
      <c r="A3583" s="231"/>
      <c r="B3583" s="244"/>
      <c r="C3583" s="28"/>
      <c r="D3583" s="28"/>
      <c r="E3583" s="29"/>
      <c r="F3583" s="50" t="s">
        <v>523</v>
      </c>
      <c r="G3583" s="50" t="str">
        <f t="shared" si="61"/>
        <v/>
      </c>
      <c r="H3583" s="69"/>
      <c r="I3583" s="70"/>
      <c r="J3583" s="141">
        <v>0</v>
      </c>
    </row>
    <row r="3584" spans="1:10" ht="15.75" hidden="1" thickBot="1" x14ac:dyDescent="0.3">
      <c r="A3584" s="231"/>
      <c r="B3584" s="244"/>
      <c r="C3584" s="32" t="s">
        <v>1057</v>
      </c>
      <c r="D3584" s="32" t="s">
        <v>95</v>
      </c>
      <c r="E3584" s="33">
        <v>1.05</v>
      </c>
      <c r="F3584" s="50" t="s">
        <v>523</v>
      </c>
      <c r="G3584" s="50" t="str">
        <f t="shared" si="61"/>
        <v/>
      </c>
      <c r="H3584" s="35">
        <f>SUM(G3584:G3588)</f>
        <v>119.26837699999999</v>
      </c>
      <c r="I3584" s="36"/>
      <c r="J3584" s="141">
        <v>0</v>
      </c>
    </row>
    <row r="3585" spans="1:10" ht="15.75" hidden="1" thickBot="1" x14ac:dyDescent="0.3">
      <c r="A3585" s="231"/>
      <c r="B3585" s="244"/>
      <c r="C3585" s="32" t="s">
        <v>3537</v>
      </c>
      <c r="D3585" s="32" t="s">
        <v>42</v>
      </c>
      <c r="E3585" s="33">
        <f>0.8614/0.1</f>
        <v>8.6140000000000008</v>
      </c>
      <c r="F3585" s="50">
        <v>1.6054999999999999</v>
      </c>
      <c r="G3585" s="50">
        <f t="shared" si="61"/>
        <v>13.829777</v>
      </c>
      <c r="H3585" s="69"/>
      <c r="I3585" s="70"/>
      <c r="J3585" s="141">
        <v>0</v>
      </c>
    </row>
    <row r="3586" spans="1:10" ht="15.75" hidden="1" thickBot="1" x14ac:dyDescent="0.3">
      <c r="A3586" s="231"/>
      <c r="B3586" s="244"/>
      <c r="C3586" s="32" t="s">
        <v>54</v>
      </c>
      <c r="D3586" s="32" t="s">
        <v>12</v>
      </c>
      <c r="E3586" s="33">
        <f>0.299/0.1</f>
        <v>2.9899999999999998</v>
      </c>
      <c r="F3586" s="50">
        <v>24.795000000000002</v>
      </c>
      <c r="G3586" s="50">
        <f t="shared" si="61"/>
        <v>74.137050000000002</v>
      </c>
      <c r="H3586" s="69"/>
      <c r="I3586" s="70"/>
      <c r="J3586" s="141">
        <v>0</v>
      </c>
    </row>
    <row r="3587" spans="1:10" ht="15.75" hidden="1" thickBot="1" x14ac:dyDescent="0.3">
      <c r="A3587" s="231"/>
      <c r="B3587" s="244"/>
      <c r="C3587" s="32" t="s">
        <v>23</v>
      </c>
      <c r="D3587" s="32" t="s">
        <v>12</v>
      </c>
      <c r="E3587" s="33">
        <f>0.15/0.1</f>
        <v>1.4999999999999998</v>
      </c>
      <c r="F3587" s="50">
        <v>18.420500000000001</v>
      </c>
      <c r="G3587" s="50">
        <f t="shared" si="61"/>
        <v>27.630749999999995</v>
      </c>
      <c r="H3587" s="69"/>
      <c r="I3587" s="70"/>
      <c r="J3587" s="141">
        <v>0</v>
      </c>
    </row>
    <row r="3588" spans="1:10" ht="15.75" hidden="1" thickBot="1" x14ac:dyDescent="0.3">
      <c r="A3588" s="231"/>
      <c r="B3588" s="244"/>
      <c r="C3588" s="32" t="s">
        <v>3536</v>
      </c>
      <c r="D3588" s="32" t="s">
        <v>42</v>
      </c>
      <c r="E3588" s="33">
        <f>0.12/0.1</f>
        <v>1.2</v>
      </c>
      <c r="F3588" s="50">
        <v>3.0590000000000002</v>
      </c>
      <c r="G3588" s="50">
        <f t="shared" si="61"/>
        <v>3.6707999999999998</v>
      </c>
      <c r="H3588" s="69"/>
      <c r="I3588" s="70"/>
      <c r="J3588" s="141">
        <v>0</v>
      </c>
    </row>
    <row r="3589" spans="1:10" ht="15.75" hidden="1" thickBot="1" x14ac:dyDescent="0.3">
      <c r="A3589" s="231"/>
      <c r="B3589" s="244"/>
      <c r="C3589" s="32"/>
      <c r="D3589" s="32"/>
      <c r="E3589" s="33"/>
      <c r="F3589" s="50" t="s">
        <v>523</v>
      </c>
      <c r="G3589" s="50" t="str">
        <f t="shared" si="61"/>
        <v/>
      </c>
      <c r="H3589" s="69"/>
      <c r="I3589" s="70"/>
      <c r="J3589" s="141">
        <v>0</v>
      </c>
    </row>
    <row r="3590" spans="1:10" ht="15.75" hidden="1" thickBot="1" x14ac:dyDescent="0.3">
      <c r="A3590" s="225" t="s">
        <v>1058</v>
      </c>
      <c r="B3590" s="228" t="str">
        <f>INDEX(Orçamentária!A:B,MATCH(Composições!A3590,Orçamentária!A:A,0),2)</f>
        <v>Acabamento das extremidades aparentes dos parafusos de fixação (lixamento e revestimento)</v>
      </c>
      <c r="C3590" s="37"/>
      <c r="D3590" s="22" t="str">
        <f>TRIM(INDEX(Orçamentária!C:C,MATCH(Composições!A3590,Orçamentária!A:A,0),1))</f>
        <v>un</v>
      </c>
      <c r="E3590" s="23"/>
      <c r="F3590" s="45" t="s">
        <v>523</v>
      </c>
      <c r="G3590" s="24" t="str">
        <f t="shared" si="61"/>
        <v/>
      </c>
      <c r="H3590" s="25"/>
      <c r="I3590" s="26"/>
      <c r="J3590" s="141">
        <v>0</v>
      </c>
    </row>
    <row r="3591" spans="1:10" ht="15.75" hidden="1" thickBot="1" x14ac:dyDescent="0.3">
      <c r="A3591" s="231"/>
      <c r="B3591" s="244"/>
      <c r="C3591" s="28"/>
      <c r="D3591" s="28"/>
      <c r="E3591" s="29"/>
      <c r="F3591" s="50" t="s">
        <v>523</v>
      </c>
      <c r="G3591" s="50" t="str">
        <f t="shared" si="61"/>
        <v/>
      </c>
      <c r="H3591" s="69"/>
      <c r="I3591" s="70"/>
      <c r="J3591" s="141">
        <v>0</v>
      </c>
    </row>
    <row r="3592" spans="1:10" ht="15.75" hidden="1" thickBot="1" x14ac:dyDescent="0.3">
      <c r="A3592" s="231"/>
      <c r="B3592" s="244"/>
      <c r="C3592" s="32" t="s">
        <v>23</v>
      </c>
      <c r="D3592" s="32" t="s">
        <v>12</v>
      </c>
      <c r="E3592" s="33">
        <v>0.05</v>
      </c>
      <c r="F3592" s="50">
        <v>18.420500000000001</v>
      </c>
      <c r="G3592" s="50">
        <f t="shared" si="61"/>
        <v>0.92102500000000009</v>
      </c>
      <c r="H3592" s="35">
        <f>SUM(G3592:G3595)</f>
        <v>1.0739750000000001</v>
      </c>
      <c r="I3592" s="36"/>
      <c r="J3592" s="141">
        <v>0</v>
      </c>
    </row>
    <row r="3593" spans="1:10" ht="15.75" hidden="1" thickBot="1" x14ac:dyDescent="0.3">
      <c r="A3593" s="231"/>
      <c r="B3593" s="244"/>
      <c r="C3593" s="32" t="s">
        <v>1059</v>
      </c>
      <c r="D3593" s="32" t="s">
        <v>1060</v>
      </c>
      <c r="E3593" s="33">
        <f>0.25/10</f>
        <v>2.5000000000000001E-2</v>
      </c>
      <c r="F3593" s="50">
        <v>0</v>
      </c>
      <c r="G3593" s="50">
        <f t="shared" si="61"/>
        <v>0</v>
      </c>
      <c r="H3593" s="69"/>
      <c r="I3593" s="70"/>
      <c r="J3593" s="141">
        <v>0</v>
      </c>
    </row>
    <row r="3594" spans="1:10" ht="15.75" hidden="1" thickBot="1" x14ac:dyDescent="0.3">
      <c r="A3594" s="231"/>
      <c r="B3594" s="244"/>
      <c r="C3594" s="32" t="s">
        <v>1061</v>
      </c>
      <c r="D3594" s="32" t="s">
        <v>20</v>
      </c>
      <c r="E3594" s="33">
        <v>0.25</v>
      </c>
      <c r="F3594" s="50" t="s">
        <v>523</v>
      </c>
      <c r="G3594" s="50" t="str">
        <f t="shared" si="61"/>
        <v/>
      </c>
      <c r="H3594" s="69"/>
      <c r="I3594" s="70"/>
      <c r="J3594" s="141">
        <v>0</v>
      </c>
    </row>
    <row r="3595" spans="1:10" ht="15.75" hidden="1" thickBot="1" x14ac:dyDescent="0.3">
      <c r="A3595" s="231"/>
      <c r="B3595" s="244"/>
      <c r="C3595" s="32" t="s">
        <v>3536</v>
      </c>
      <c r="D3595" s="43" t="s">
        <v>42</v>
      </c>
      <c r="E3595" s="33">
        <v>0.05</v>
      </c>
      <c r="F3595" s="50">
        <v>3.0590000000000002</v>
      </c>
      <c r="G3595" s="50">
        <f t="shared" si="61"/>
        <v>0.15295000000000003</v>
      </c>
      <c r="H3595" s="69"/>
      <c r="I3595" s="70"/>
      <c r="J3595" s="141">
        <v>0</v>
      </c>
    </row>
    <row r="3596" spans="1:10" ht="15.75" hidden="1" thickBot="1" x14ac:dyDescent="0.3">
      <c r="A3596" s="232"/>
      <c r="B3596" s="230"/>
      <c r="C3596" s="32"/>
      <c r="D3596" s="32"/>
      <c r="E3596" s="33"/>
      <c r="F3596" s="50" t="s">
        <v>523</v>
      </c>
      <c r="G3596" s="50" t="str">
        <f t="shared" si="61"/>
        <v/>
      </c>
      <c r="H3596" s="69"/>
      <c r="I3596" s="70"/>
      <c r="J3596" s="141">
        <v>0</v>
      </c>
    </row>
    <row r="3597" spans="1:10" ht="15.75" hidden="1" thickBot="1" x14ac:dyDescent="0.3">
      <c r="A3597" s="225" t="s">
        <v>1062</v>
      </c>
      <c r="B3597" s="228" t="str">
        <f>INDEX(Orçamentária!A:B,MATCH(Composições!A3597,Orçamentária!A:A,0),2)</f>
        <v>Rejuntamento de placas de rocha ornamental em fachada</v>
      </c>
      <c r="C3597" s="37"/>
      <c r="D3597" s="22" t="str">
        <f>TRIM(INDEX(Orçamentária!C:C,MATCH(Composições!A3597,Orçamentária!A:A,0),1))</f>
        <v>m2</v>
      </c>
      <c r="E3597" s="23"/>
      <c r="F3597" s="45" t="s">
        <v>523</v>
      </c>
      <c r="G3597" s="24" t="str">
        <f t="shared" si="61"/>
        <v/>
      </c>
      <c r="H3597" s="25"/>
      <c r="I3597" s="26"/>
      <c r="J3597" s="141">
        <v>0</v>
      </c>
    </row>
    <row r="3598" spans="1:10" ht="15.75" hidden="1" thickBot="1" x14ac:dyDescent="0.3">
      <c r="A3598" s="231"/>
      <c r="B3598" s="244"/>
      <c r="C3598" s="28"/>
      <c r="D3598" s="28"/>
      <c r="E3598" s="29"/>
      <c r="F3598" s="50" t="s">
        <v>523</v>
      </c>
      <c r="G3598" s="50" t="str">
        <f t="shared" si="61"/>
        <v/>
      </c>
      <c r="H3598" s="69"/>
      <c r="I3598" s="70"/>
      <c r="J3598" s="141">
        <v>0</v>
      </c>
    </row>
    <row r="3599" spans="1:10" ht="15.75" hidden="1" thickBot="1" x14ac:dyDescent="0.3">
      <c r="A3599" s="231"/>
      <c r="B3599" s="244"/>
      <c r="C3599" s="32" t="s">
        <v>23</v>
      </c>
      <c r="D3599" s="32" t="s">
        <v>12</v>
      </c>
      <c r="E3599" s="33">
        <v>0.25</v>
      </c>
      <c r="F3599" s="50">
        <v>18.420500000000001</v>
      </c>
      <c r="G3599" s="50">
        <f t="shared" si="61"/>
        <v>4.6051250000000001</v>
      </c>
      <c r="H3599" s="35">
        <f>SUM(G3599:G3600)</f>
        <v>6.2233359999999998</v>
      </c>
      <c r="I3599" s="36"/>
      <c r="J3599" s="141">
        <v>0</v>
      </c>
    </row>
    <row r="3600" spans="1:10" ht="15.75" hidden="1" thickBot="1" x14ac:dyDescent="0.3">
      <c r="A3600" s="231"/>
      <c r="B3600" s="244"/>
      <c r="C3600" s="32" t="s">
        <v>3536</v>
      </c>
      <c r="D3600" s="43" t="s">
        <v>42</v>
      </c>
      <c r="E3600" s="33">
        <v>0.52900000000000003</v>
      </c>
      <c r="F3600" s="50">
        <v>3.0590000000000002</v>
      </c>
      <c r="G3600" s="50">
        <f t="shared" si="61"/>
        <v>1.6182110000000001</v>
      </c>
      <c r="H3600" s="69"/>
      <c r="I3600" s="70"/>
      <c r="J3600" s="141">
        <v>0</v>
      </c>
    </row>
    <row r="3601" spans="1:10" ht="15.75" hidden="1" thickBot="1" x14ac:dyDescent="0.3">
      <c r="A3601" s="232"/>
      <c r="B3601" s="230"/>
      <c r="C3601" s="32"/>
      <c r="D3601" s="32"/>
      <c r="E3601" s="33"/>
      <c r="F3601" s="50" t="s">
        <v>523</v>
      </c>
      <c r="G3601" s="50" t="str">
        <f t="shared" si="61"/>
        <v/>
      </c>
      <c r="H3601" s="69"/>
      <c r="I3601" s="70"/>
      <c r="J3601" s="141">
        <v>0</v>
      </c>
    </row>
    <row r="3602" spans="1:10" ht="15.75" hidden="1" thickBot="1" x14ac:dyDescent="0.3">
      <c r="A3602" s="225" t="s">
        <v>1063</v>
      </c>
      <c r="B3602" s="228" t="str">
        <f>INDEX(Orçamentária!A:B,MATCH(Composições!A3602,Orçamentária!A:A,0),2)</f>
        <v>Junta de movimentação em fachada</v>
      </c>
      <c r="C3602" s="37"/>
      <c r="D3602" s="22" t="str">
        <f>TRIM(INDEX(Orçamentária!C:C,MATCH(Composições!A3602,Orçamentária!A:A,0),1))</f>
        <v>m</v>
      </c>
      <c r="E3602" s="23"/>
      <c r="F3602" s="45" t="s">
        <v>523</v>
      </c>
      <c r="G3602" s="24" t="str">
        <f t="shared" si="61"/>
        <v/>
      </c>
      <c r="H3602" s="25"/>
      <c r="I3602" s="26"/>
      <c r="J3602" s="141">
        <v>0</v>
      </c>
    </row>
    <row r="3603" spans="1:10" ht="15.75" hidden="1" thickBot="1" x14ac:dyDescent="0.3">
      <c r="A3603" s="231"/>
      <c r="B3603" s="244"/>
      <c r="C3603" s="28"/>
      <c r="D3603" s="28"/>
      <c r="E3603" s="29"/>
      <c r="F3603" s="50" t="s">
        <v>523</v>
      </c>
      <c r="G3603" s="50" t="str">
        <f t="shared" si="61"/>
        <v/>
      </c>
      <c r="H3603" s="69"/>
      <c r="I3603" s="70"/>
      <c r="J3603" s="141">
        <v>0</v>
      </c>
    </row>
    <row r="3604" spans="1:10" ht="15.75" hidden="1" thickBot="1" x14ac:dyDescent="0.3">
      <c r="A3604" s="231"/>
      <c r="B3604" s="244"/>
      <c r="C3604" s="32" t="s">
        <v>22</v>
      </c>
      <c r="D3604" s="32" t="s">
        <v>12</v>
      </c>
      <c r="E3604" s="33">
        <v>0.33</v>
      </c>
      <c r="F3604" s="50">
        <v>24.889999999999997</v>
      </c>
      <c r="G3604" s="50">
        <f t="shared" si="61"/>
        <v>8.2136999999999993</v>
      </c>
      <c r="H3604" s="35">
        <f>SUM(G3604:G3608)</f>
        <v>27.405016700000001</v>
      </c>
      <c r="I3604" s="36"/>
      <c r="J3604" s="141">
        <v>0</v>
      </c>
    </row>
    <row r="3605" spans="1:10" ht="15.75" hidden="1" thickBot="1" x14ac:dyDescent="0.3">
      <c r="A3605" s="231"/>
      <c r="B3605" s="244"/>
      <c r="C3605" s="32" t="s">
        <v>23</v>
      </c>
      <c r="D3605" s="32" t="s">
        <v>12</v>
      </c>
      <c r="E3605" s="33">
        <v>0.1</v>
      </c>
      <c r="F3605" s="50">
        <v>18.420500000000001</v>
      </c>
      <c r="G3605" s="50">
        <f t="shared" si="61"/>
        <v>1.8420500000000002</v>
      </c>
      <c r="H3605" s="69"/>
      <c r="I3605" s="70"/>
      <c r="J3605" s="141">
        <v>0</v>
      </c>
    </row>
    <row r="3606" spans="1:10" ht="15.75" hidden="1" thickBot="1" x14ac:dyDescent="0.3">
      <c r="A3606" s="231"/>
      <c r="B3606" s="244"/>
      <c r="C3606" s="32" t="s">
        <v>1064</v>
      </c>
      <c r="D3606" s="46" t="s">
        <v>102</v>
      </c>
      <c r="E3606" s="33">
        <v>0.15</v>
      </c>
      <c r="F3606" s="50">
        <v>0</v>
      </c>
      <c r="G3606" s="50">
        <f t="shared" si="61"/>
        <v>0</v>
      </c>
      <c r="H3606" s="69"/>
      <c r="I3606" s="70"/>
      <c r="J3606" s="141">
        <v>0</v>
      </c>
    </row>
    <row r="3607" spans="1:10" ht="15.75" hidden="1" thickBot="1" x14ac:dyDescent="0.3">
      <c r="A3607" s="231"/>
      <c r="B3607" s="244"/>
      <c r="C3607" s="32" t="s">
        <v>1065</v>
      </c>
      <c r="D3607" s="43" t="s">
        <v>93</v>
      </c>
      <c r="E3607" s="33">
        <v>1</v>
      </c>
      <c r="F3607" s="50">
        <v>0</v>
      </c>
      <c r="G3607" s="50">
        <f t="shared" si="61"/>
        <v>0</v>
      </c>
      <c r="H3607" s="69"/>
      <c r="I3607" s="70"/>
      <c r="J3607" s="141">
        <v>0</v>
      </c>
    </row>
    <row r="3608" spans="1:10" ht="26.25" hidden="1" thickBot="1" x14ac:dyDescent="0.3">
      <c r="A3608" s="231"/>
      <c r="B3608" s="244"/>
      <c r="C3608" s="32" t="s">
        <v>1066</v>
      </c>
      <c r="D3608" s="43" t="s">
        <v>1067</v>
      </c>
      <c r="E3608" s="33">
        <f>ROUND(0.15/0.31,4)</f>
        <v>0.4839</v>
      </c>
      <c r="F3608" s="50">
        <v>35.853000000000002</v>
      </c>
      <c r="G3608" s="50">
        <f t="shared" si="61"/>
        <v>17.349266700000001</v>
      </c>
      <c r="H3608" s="69"/>
      <c r="I3608" s="70"/>
      <c r="J3608" s="141">
        <v>0</v>
      </c>
    </row>
    <row r="3609" spans="1:10" ht="15.75" hidden="1" thickBot="1" x14ac:dyDescent="0.3">
      <c r="A3609" s="232"/>
      <c r="B3609" s="230"/>
      <c r="C3609" s="32"/>
      <c r="D3609" s="32"/>
      <c r="E3609" s="33"/>
      <c r="F3609" s="50" t="s">
        <v>523</v>
      </c>
      <c r="G3609" s="50" t="str">
        <f t="shared" si="61"/>
        <v/>
      </c>
      <c r="H3609" s="69"/>
      <c r="I3609" s="70"/>
      <c r="J3609" s="141">
        <v>0</v>
      </c>
    </row>
    <row r="3610" spans="1:10" ht="15.75" hidden="1" thickBot="1" x14ac:dyDescent="0.3">
      <c r="A3610" s="225" t="s">
        <v>1068</v>
      </c>
      <c r="B3610" s="228" t="str">
        <f>INDEX(Orçamentária!A:B,MATCH(Composições!A3610,Orçamentária!A:A,0),2)</f>
        <v>Adesivo Selante Poliuretano – fornecimento e aplicação</v>
      </c>
      <c r="C3610" s="37"/>
      <c r="D3610" s="22" t="str">
        <f>TRIM(INDEX(Orçamentária!C:C,MATCH(Composições!A3610,Orçamentária!A:A,0),1))</f>
        <v>m</v>
      </c>
      <c r="E3610" s="23"/>
      <c r="F3610" s="45" t="s">
        <v>523</v>
      </c>
      <c r="G3610" s="24" t="str">
        <f t="shared" si="61"/>
        <v/>
      </c>
      <c r="H3610" s="25"/>
      <c r="I3610" s="26"/>
      <c r="J3610" s="141">
        <v>0</v>
      </c>
    </row>
    <row r="3611" spans="1:10" ht="15.75" hidden="1" thickBot="1" x14ac:dyDescent="0.3">
      <c r="A3611" s="231"/>
      <c r="B3611" s="244"/>
      <c r="C3611" s="28"/>
      <c r="D3611" s="28"/>
      <c r="E3611" s="29"/>
      <c r="F3611" s="50" t="s">
        <v>523</v>
      </c>
      <c r="G3611" s="50" t="str">
        <f t="shared" si="61"/>
        <v/>
      </c>
      <c r="H3611" s="69"/>
      <c r="I3611" s="70"/>
      <c r="J3611" s="141">
        <v>0</v>
      </c>
    </row>
    <row r="3612" spans="1:10" ht="15.75" hidden="1" thickBot="1" x14ac:dyDescent="0.3">
      <c r="A3612" s="231"/>
      <c r="B3612" s="244"/>
      <c r="C3612" s="32" t="s">
        <v>22</v>
      </c>
      <c r="D3612" s="32" t="s">
        <v>12</v>
      </c>
      <c r="E3612" s="33">
        <v>0.16500000000000001</v>
      </c>
      <c r="F3612" s="50">
        <v>24.889999999999997</v>
      </c>
      <c r="G3612" s="50">
        <f t="shared" si="61"/>
        <v>4.1068499999999997</v>
      </c>
      <c r="H3612" s="35">
        <f>SUM(G3612:G3614)</f>
        <v>17.895119600000001</v>
      </c>
      <c r="I3612" s="36"/>
      <c r="J3612" s="141">
        <v>0</v>
      </c>
    </row>
    <row r="3613" spans="1:10" ht="15.75" hidden="1" thickBot="1" x14ac:dyDescent="0.3">
      <c r="A3613" s="231"/>
      <c r="B3613" s="244"/>
      <c r="C3613" s="32" t="s">
        <v>23</v>
      </c>
      <c r="D3613" s="32" t="s">
        <v>12</v>
      </c>
      <c r="E3613" s="33">
        <v>0.1</v>
      </c>
      <c r="F3613" s="50">
        <v>18.420500000000001</v>
      </c>
      <c r="G3613" s="50">
        <f t="shared" si="61"/>
        <v>1.8420500000000002</v>
      </c>
      <c r="H3613" s="69"/>
      <c r="I3613" s="70"/>
      <c r="J3613" s="141">
        <v>0</v>
      </c>
    </row>
    <row r="3614" spans="1:10" ht="26.25" hidden="1" thickBot="1" x14ac:dyDescent="0.3">
      <c r="A3614" s="231"/>
      <c r="B3614" s="244"/>
      <c r="C3614" s="32" t="s">
        <v>1066</v>
      </c>
      <c r="D3614" s="43" t="s">
        <v>1067</v>
      </c>
      <c r="E3614" s="33">
        <f>ROUND(0.1033/0.31,4)</f>
        <v>0.3332</v>
      </c>
      <c r="F3614" s="50">
        <v>35.853000000000002</v>
      </c>
      <c r="G3614" s="50">
        <f t="shared" si="61"/>
        <v>11.946219600000001</v>
      </c>
      <c r="H3614" s="69"/>
      <c r="I3614" s="70"/>
      <c r="J3614" s="141">
        <v>0</v>
      </c>
    </row>
    <row r="3615" spans="1:10" ht="15.75" hidden="1" thickBot="1" x14ac:dyDescent="0.3">
      <c r="A3615" s="232"/>
      <c r="B3615" s="230"/>
      <c r="C3615" s="32"/>
      <c r="D3615" s="32"/>
      <c r="E3615" s="33"/>
      <c r="F3615" s="50" t="s">
        <v>523</v>
      </c>
      <c r="G3615" s="50" t="str">
        <f t="shared" si="61"/>
        <v/>
      </c>
      <c r="H3615" s="69"/>
      <c r="I3615" s="70"/>
      <c r="J3615" s="141">
        <v>0</v>
      </c>
    </row>
    <row r="3616" spans="1:10" ht="15.75" hidden="1" thickBot="1" x14ac:dyDescent="0.3">
      <c r="A3616" s="225" t="s">
        <v>1069</v>
      </c>
      <c r="B3616" s="228" t="str">
        <f>INDEX(Orçamentária!A:B,MATCH(Composições!A3616,Orçamentária!A:A,0),2)</f>
        <v>Chuveiro elétrico</v>
      </c>
      <c r="C3616" s="37"/>
      <c r="D3616" s="22" t="str">
        <f>TRIM(INDEX(Orçamentária!C:C,MATCH(Composições!A3616,Orçamentária!A:A,0),1))</f>
        <v>un</v>
      </c>
      <c r="E3616" s="23"/>
      <c r="F3616" s="45" t="s">
        <v>523</v>
      </c>
      <c r="G3616" s="24" t="str">
        <f t="shared" si="61"/>
        <v/>
      </c>
      <c r="H3616" s="25"/>
      <c r="I3616" s="26"/>
      <c r="J3616" s="141">
        <v>0</v>
      </c>
    </row>
    <row r="3617" spans="1:10" ht="15.75" hidden="1" thickBot="1" x14ac:dyDescent="0.3">
      <c r="A3617" s="231"/>
      <c r="B3617" s="244"/>
      <c r="C3617" s="28"/>
      <c r="D3617" s="28"/>
      <c r="E3617" s="29"/>
      <c r="F3617" s="50" t="s">
        <v>523</v>
      </c>
      <c r="G3617" s="50" t="str">
        <f t="shared" si="61"/>
        <v/>
      </c>
      <c r="H3617" s="69"/>
      <c r="I3617" s="70"/>
      <c r="J3617" s="141">
        <v>0</v>
      </c>
    </row>
    <row r="3618" spans="1:10" ht="26.25" hidden="1" thickBot="1" x14ac:dyDescent="0.3">
      <c r="A3618" s="231"/>
      <c r="B3618" s="244"/>
      <c r="C3618" s="32" t="s">
        <v>1070</v>
      </c>
      <c r="D3618" s="32" t="s">
        <v>280</v>
      </c>
      <c r="E3618" s="33">
        <v>1</v>
      </c>
      <c r="F3618" s="50">
        <v>67.183999999999997</v>
      </c>
      <c r="G3618" s="50">
        <f t="shared" si="61"/>
        <v>67.183999999999997</v>
      </c>
      <c r="H3618" s="35">
        <f>SUM(G3618:G3621)</f>
        <v>80.722791049999998</v>
      </c>
      <c r="I3618" s="36"/>
      <c r="J3618" s="141">
        <v>0</v>
      </c>
    </row>
    <row r="3619" spans="1:10" ht="15.75" hidden="1" thickBot="1" x14ac:dyDescent="0.3">
      <c r="A3619" s="231"/>
      <c r="B3619" s="244"/>
      <c r="C3619" s="32" t="s">
        <v>1071</v>
      </c>
      <c r="D3619" s="32" t="s">
        <v>280</v>
      </c>
      <c r="E3619" s="33">
        <v>2.1000000000000001E-2</v>
      </c>
      <c r="F3619" s="50">
        <v>4.3699999999999992</v>
      </c>
      <c r="G3619" s="50">
        <f t="shared" si="61"/>
        <v>9.176999999999999E-2</v>
      </c>
      <c r="H3619" s="69"/>
      <c r="I3619" s="70"/>
      <c r="J3619" s="141">
        <v>0</v>
      </c>
    </row>
    <row r="3620" spans="1:10" ht="26.25" hidden="1" thickBot="1" x14ac:dyDescent="0.3">
      <c r="A3620" s="231"/>
      <c r="B3620" s="244"/>
      <c r="C3620" s="32" t="s">
        <v>957</v>
      </c>
      <c r="D3620" s="32" t="s">
        <v>705</v>
      </c>
      <c r="E3620" s="33">
        <v>0.44669999999999999</v>
      </c>
      <c r="F3620" s="50">
        <v>24.300999999999998</v>
      </c>
      <c r="G3620" s="50">
        <f t="shared" si="61"/>
        <v>10.855256699999998</v>
      </c>
      <c r="H3620" s="69"/>
      <c r="I3620" s="70"/>
      <c r="J3620" s="141">
        <v>0</v>
      </c>
    </row>
    <row r="3621" spans="1:10" ht="15.75" hidden="1" thickBot="1" x14ac:dyDescent="0.3">
      <c r="A3621" s="231"/>
      <c r="B3621" s="244"/>
      <c r="C3621" s="32" t="s">
        <v>706</v>
      </c>
      <c r="D3621" s="32" t="s">
        <v>705</v>
      </c>
      <c r="E3621" s="33">
        <v>0.14069999999999999</v>
      </c>
      <c r="F3621" s="50">
        <v>18.420500000000001</v>
      </c>
      <c r="G3621" s="50">
        <f t="shared" si="61"/>
        <v>2.5917643500000001</v>
      </c>
      <c r="H3621" s="69"/>
      <c r="I3621" s="70"/>
      <c r="J3621" s="141">
        <v>0</v>
      </c>
    </row>
    <row r="3622" spans="1:10" ht="15.75" hidden="1" thickBot="1" x14ac:dyDescent="0.3">
      <c r="A3622" s="232"/>
      <c r="B3622" s="230"/>
      <c r="C3622" s="32"/>
      <c r="D3622" s="32"/>
      <c r="E3622" s="33"/>
      <c r="F3622" s="50" t="s">
        <v>523</v>
      </c>
      <c r="G3622" s="50" t="str">
        <f t="shared" si="61"/>
        <v/>
      </c>
      <c r="H3622" s="69"/>
      <c r="I3622" s="70"/>
      <c r="J3622" s="141">
        <v>0</v>
      </c>
    </row>
    <row r="3623" spans="1:10" ht="15.75" hidden="1" thickBot="1" x14ac:dyDescent="0.3">
      <c r="A3623" s="225" t="s">
        <v>1072</v>
      </c>
      <c r="B3623" s="228" t="str">
        <f>INDEX(Orçamentária!A:B,MATCH(Composições!A3623,Orçamentária!A:A,0),2)</f>
        <v>Lastro em concreto magro</v>
      </c>
      <c r="C3623" s="37"/>
      <c r="D3623" s="22" t="str">
        <f>TRIM(INDEX(Orçamentária!C:C,MATCH(Composições!A3623,Orçamentária!A:A,0),1))</f>
        <v>m3</v>
      </c>
      <c r="E3623" s="23"/>
      <c r="F3623" s="45" t="s">
        <v>523</v>
      </c>
      <c r="G3623" s="24" t="str">
        <f t="shared" si="61"/>
        <v/>
      </c>
      <c r="H3623" s="25"/>
      <c r="I3623" s="26"/>
      <c r="J3623" s="141">
        <v>0</v>
      </c>
    </row>
    <row r="3624" spans="1:10" ht="15.75" hidden="1" thickBot="1" x14ac:dyDescent="0.3">
      <c r="A3624" s="231"/>
      <c r="B3624" s="244"/>
      <c r="C3624" s="28"/>
      <c r="D3624" s="28"/>
      <c r="E3624" s="29"/>
      <c r="F3624" s="50" t="s">
        <v>523</v>
      </c>
      <c r="G3624" s="50" t="str">
        <f t="shared" si="61"/>
        <v/>
      </c>
      <c r="H3624" s="69"/>
      <c r="I3624" s="70"/>
      <c r="J3624" s="141">
        <v>0</v>
      </c>
    </row>
    <row r="3625" spans="1:10" ht="15.75" hidden="1" thickBot="1" x14ac:dyDescent="0.3">
      <c r="A3625" s="231"/>
      <c r="B3625" s="244"/>
      <c r="C3625" s="32" t="s">
        <v>22</v>
      </c>
      <c r="D3625" s="32" t="s">
        <v>705</v>
      </c>
      <c r="E3625" s="33">
        <v>5.4370000000000003</v>
      </c>
      <c r="F3625" s="50">
        <v>24.889999999999997</v>
      </c>
      <c r="G3625" s="50">
        <f t="shared" si="61"/>
        <v>135.32693</v>
      </c>
      <c r="H3625" s="35">
        <f>SUM(G3625:G3627)</f>
        <v>738.63667878960302</v>
      </c>
      <c r="I3625" s="36"/>
      <c r="J3625" s="141">
        <v>0</v>
      </c>
    </row>
    <row r="3626" spans="1:10" ht="15.75" hidden="1" thickBot="1" x14ac:dyDescent="0.3">
      <c r="A3626" s="231"/>
      <c r="B3626" s="244"/>
      <c r="C3626" s="32" t="s">
        <v>23</v>
      </c>
      <c r="D3626" s="32" t="s">
        <v>705</v>
      </c>
      <c r="E3626" s="33">
        <v>1.4830000000000001</v>
      </c>
      <c r="F3626" s="50">
        <v>18.420500000000001</v>
      </c>
      <c r="G3626" s="50">
        <f t="shared" si="61"/>
        <v>27.317601500000002</v>
      </c>
      <c r="H3626" s="69"/>
      <c r="I3626" s="70"/>
      <c r="J3626" s="141">
        <v>0</v>
      </c>
    </row>
    <row r="3627" spans="1:10" ht="39" hidden="1" thickBot="1" x14ac:dyDescent="0.3">
      <c r="A3627" s="231"/>
      <c r="B3627" s="244"/>
      <c r="C3627" s="32" t="s">
        <v>1073</v>
      </c>
      <c r="D3627" s="43" t="s">
        <v>120</v>
      </c>
      <c r="E3627" s="33">
        <v>1.1299999999999999</v>
      </c>
      <c r="F3627" s="50">
        <v>509.72756397310008</v>
      </c>
      <c r="G3627" s="50">
        <f t="shared" si="61"/>
        <v>575.99214728960305</v>
      </c>
      <c r="H3627" s="69"/>
      <c r="I3627" s="70"/>
      <c r="J3627" s="141">
        <v>0</v>
      </c>
    </row>
    <row r="3628" spans="1:10" ht="15.75" hidden="1" thickBot="1" x14ac:dyDescent="0.3">
      <c r="A3628" s="232"/>
      <c r="B3628" s="230"/>
      <c r="C3628" s="32"/>
      <c r="D3628" s="32"/>
      <c r="E3628" s="33"/>
      <c r="F3628" s="50" t="s">
        <v>523</v>
      </c>
      <c r="G3628" s="50" t="str">
        <f t="shared" si="61"/>
        <v/>
      </c>
      <c r="H3628" s="69"/>
      <c r="I3628" s="70"/>
      <c r="J3628" s="141">
        <v>0</v>
      </c>
    </row>
    <row r="3629" spans="1:10" ht="15.75" hidden="1" thickBot="1" x14ac:dyDescent="0.3">
      <c r="A3629" s="225" t="s">
        <v>1074</v>
      </c>
      <c r="B3629" s="228" t="str">
        <f>INDEX(Orçamentária!A:B,MATCH(Composições!A3629,Orçamentária!A:A,0),2)</f>
        <v>Pavimentação em concreto armado simples</v>
      </c>
      <c r="C3629" s="37"/>
      <c r="D3629" s="22" t="str">
        <f>TRIM(INDEX(Orçamentária!C:C,MATCH(Composições!A3629,Orçamentária!A:A,0),1))</f>
        <v>m2</v>
      </c>
      <c r="E3629" s="23"/>
      <c r="F3629" s="45" t="s">
        <v>523</v>
      </c>
      <c r="G3629" s="24" t="str">
        <f t="shared" si="61"/>
        <v/>
      </c>
      <c r="H3629" s="25"/>
      <c r="I3629" s="26"/>
      <c r="J3629" s="141">
        <v>0</v>
      </c>
    </row>
    <row r="3630" spans="1:10" ht="15.75" hidden="1" thickBot="1" x14ac:dyDescent="0.3">
      <c r="A3630" s="226"/>
      <c r="B3630" s="244"/>
      <c r="C3630" s="28"/>
      <c r="D3630" s="28"/>
      <c r="E3630" s="29"/>
      <c r="F3630" s="50" t="s">
        <v>523</v>
      </c>
      <c r="G3630" s="50" t="str">
        <f t="shared" si="61"/>
        <v/>
      </c>
      <c r="H3630" s="69"/>
      <c r="I3630" s="70"/>
      <c r="J3630" s="141">
        <v>0</v>
      </c>
    </row>
    <row r="3631" spans="1:10" ht="39" hidden="1" thickBot="1" x14ac:dyDescent="0.3">
      <c r="A3631" s="226"/>
      <c r="B3631" s="244"/>
      <c r="C3631" s="32" t="s">
        <v>3272</v>
      </c>
      <c r="D3631" s="32" t="s">
        <v>120</v>
      </c>
      <c r="E3631" s="33">
        <v>8.14E-2</v>
      </c>
      <c r="F3631" s="50">
        <v>414.67499999999995</v>
      </c>
      <c r="G3631" s="50">
        <f t="shared" si="61"/>
        <v>33.754544999999993</v>
      </c>
      <c r="H3631" s="35">
        <f>SUM(G3631:G3637)</f>
        <v>120.00734399999999</v>
      </c>
      <c r="I3631" s="36"/>
      <c r="J3631" s="141">
        <v>0</v>
      </c>
    </row>
    <row r="3632" spans="1:10" ht="26.25" hidden="1" thickBot="1" x14ac:dyDescent="0.3">
      <c r="A3632" s="226"/>
      <c r="B3632" s="244"/>
      <c r="C3632" s="32" t="s">
        <v>3325</v>
      </c>
      <c r="D3632" s="32" t="s">
        <v>901</v>
      </c>
      <c r="E3632" s="33">
        <v>4</v>
      </c>
      <c r="F3632" s="50">
        <v>9.1959999999999997</v>
      </c>
      <c r="G3632" s="50">
        <f t="shared" si="61"/>
        <v>36.783999999999999</v>
      </c>
      <c r="H3632" s="69"/>
      <c r="I3632" s="70"/>
      <c r="J3632" s="141">
        <v>0</v>
      </c>
    </row>
    <row r="3633" spans="1:10" ht="15.75" hidden="1" thickBot="1" x14ac:dyDescent="0.3">
      <c r="A3633" s="226"/>
      <c r="B3633" s="244"/>
      <c r="C3633" s="32" t="s">
        <v>713</v>
      </c>
      <c r="D3633" s="32" t="s">
        <v>705</v>
      </c>
      <c r="E3633" s="33">
        <v>0.1119</v>
      </c>
      <c r="F3633" s="50">
        <v>24.889999999999997</v>
      </c>
      <c r="G3633" s="50">
        <f t="shared" ref="G3633:G3696" si="62">IF(ISNUMBER(F3633),E3633*F3633,"")</f>
        <v>2.7851909999999998</v>
      </c>
      <c r="H3633" s="69"/>
      <c r="I3633" s="70"/>
      <c r="J3633" s="141">
        <v>0</v>
      </c>
    </row>
    <row r="3634" spans="1:10" ht="15.75" hidden="1" thickBot="1" x14ac:dyDescent="0.3">
      <c r="A3634" s="226"/>
      <c r="B3634" s="244"/>
      <c r="C3634" s="32" t="s">
        <v>706</v>
      </c>
      <c r="D3634" s="43" t="s">
        <v>705</v>
      </c>
      <c r="E3634" s="33">
        <v>4.6600000000000003E-2</v>
      </c>
      <c r="F3634" s="50">
        <v>18.420500000000001</v>
      </c>
      <c r="G3634" s="50">
        <f t="shared" si="62"/>
        <v>0.85839530000000008</v>
      </c>
      <c r="H3634" s="69"/>
      <c r="I3634" s="70"/>
      <c r="J3634" s="141">
        <v>0</v>
      </c>
    </row>
    <row r="3635" spans="1:10" ht="26.25" hidden="1" thickBot="1" x14ac:dyDescent="0.3">
      <c r="A3635" s="226"/>
      <c r="B3635" s="244"/>
      <c r="C3635" s="32" t="s">
        <v>3202</v>
      </c>
      <c r="D3635" s="43" t="s">
        <v>945</v>
      </c>
      <c r="E3635" s="33">
        <v>7.0000000000000001E-3</v>
      </c>
      <c r="F3635" s="50">
        <v>11.314499999999999</v>
      </c>
      <c r="G3635" s="50">
        <f t="shared" si="62"/>
        <v>7.9201499999999994E-2</v>
      </c>
      <c r="H3635" s="69"/>
      <c r="I3635" s="70"/>
      <c r="J3635" s="141">
        <v>0</v>
      </c>
    </row>
    <row r="3636" spans="1:10" ht="39" hidden="1" thickBot="1" x14ac:dyDescent="0.3">
      <c r="A3636" s="226"/>
      <c r="B3636" s="244"/>
      <c r="C3636" s="32" t="s">
        <v>1075</v>
      </c>
      <c r="D3636" s="43" t="s">
        <v>995</v>
      </c>
      <c r="E3636" s="33">
        <v>1.1224000000000001</v>
      </c>
      <c r="F3636" s="50">
        <v>37.562999999999995</v>
      </c>
      <c r="G3636" s="50">
        <f t="shared" si="62"/>
        <v>42.160711199999994</v>
      </c>
      <c r="H3636" s="69"/>
      <c r="I3636" s="70"/>
      <c r="J3636" s="141">
        <v>0</v>
      </c>
    </row>
    <row r="3637" spans="1:10" ht="26.25" hidden="1" thickBot="1" x14ac:dyDescent="0.3">
      <c r="A3637" s="226"/>
      <c r="B3637" s="244"/>
      <c r="C3637" s="32" t="s">
        <v>1066</v>
      </c>
      <c r="D3637" s="43" t="s">
        <v>1077</v>
      </c>
      <c r="E3637" s="33">
        <v>0.1</v>
      </c>
      <c r="F3637" s="50">
        <v>35.853000000000002</v>
      </c>
      <c r="G3637" s="50">
        <f t="shared" si="62"/>
        <v>3.5853000000000002</v>
      </c>
      <c r="H3637" s="69"/>
      <c r="I3637" s="70"/>
      <c r="J3637" s="141">
        <v>0</v>
      </c>
    </row>
    <row r="3638" spans="1:10" ht="15.75" hidden="1" thickBot="1" x14ac:dyDescent="0.3">
      <c r="A3638" s="227"/>
      <c r="B3638" s="230"/>
      <c r="C3638" s="32"/>
      <c r="D3638" s="32"/>
      <c r="E3638" s="33"/>
      <c r="F3638" s="50" t="s">
        <v>523</v>
      </c>
      <c r="G3638" s="50" t="str">
        <f t="shared" si="62"/>
        <v/>
      </c>
      <c r="H3638" s="69"/>
      <c r="I3638" s="70"/>
      <c r="J3638" s="141">
        <v>0</v>
      </c>
    </row>
    <row r="3639" spans="1:10" ht="15.75" hidden="1" thickBot="1" x14ac:dyDescent="0.3">
      <c r="A3639" s="225" t="s">
        <v>1078</v>
      </c>
      <c r="B3639" s="228" t="str">
        <f>INDEX(Orçamentária!A:B,MATCH(Composições!A3639,Orçamentária!A:A,0),2)</f>
        <v>Remoção de reservatório d’água</v>
      </c>
      <c r="C3639" s="37"/>
      <c r="D3639" s="22" t="str">
        <f>TRIM(INDEX(Orçamentária!C:C,MATCH(Composições!A3639,Orçamentária!A:A,0),1))</f>
        <v>un</v>
      </c>
      <c r="E3639" s="23"/>
      <c r="F3639" s="45" t="s">
        <v>523</v>
      </c>
      <c r="G3639" s="24" t="str">
        <f t="shared" si="62"/>
        <v/>
      </c>
      <c r="H3639" s="25"/>
      <c r="I3639" s="26"/>
      <c r="J3639" s="141">
        <v>0</v>
      </c>
    </row>
    <row r="3640" spans="1:10" ht="15.75" hidden="1" thickBot="1" x14ac:dyDescent="0.3">
      <c r="A3640" s="231"/>
      <c r="B3640" s="244"/>
      <c r="C3640" s="28"/>
      <c r="D3640" s="28"/>
      <c r="E3640" s="29"/>
      <c r="F3640" s="50" t="s">
        <v>523</v>
      </c>
      <c r="G3640" s="50" t="str">
        <f t="shared" si="62"/>
        <v/>
      </c>
      <c r="H3640" s="69"/>
      <c r="I3640" s="70"/>
      <c r="J3640" s="141">
        <v>0</v>
      </c>
    </row>
    <row r="3641" spans="1:10" ht="15.75" hidden="1" thickBot="1" x14ac:dyDescent="0.3">
      <c r="A3641" s="231"/>
      <c r="B3641" s="244"/>
      <c r="C3641" s="32" t="s">
        <v>39</v>
      </c>
      <c r="D3641" s="46" t="s">
        <v>12</v>
      </c>
      <c r="E3641" s="33">
        <v>4</v>
      </c>
      <c r="F3641" s="50">
        <v>24.300999999999998</v>
      </c>
      <c r="G3641" s="50">
        <f t="shared" si="62"/>
        <v>97.203999999999994</v>
      </c>
      <c r="H3641" s="35">
        <f>SUM(G3641:G3642)</f>
        <v>170.886</v>
      </c>
      <c r="I3641" s="36"/>
      <c r="J3641" s="141">
        <v>0</v>
      </c>
    </row>
    <row r="3642" spans="1:10" ht="15.75" hidden="1" thickBot="1" x14ac:dyDescent="0.3">
      <c r="A3642" s="231"/>
      <c r="B3642" s="244"/>
      <c r="C3642" s="32" t="s">
        <v>23</v>
      </c>
      <c r="D3642" s="32" t="s">
        <v>12</v>
      </c>
      <c r="E3642" s="33">
        <v>4</v>
      </c>
      <c r="F3642" s="50">
        <v>18.420500000000001</v>
      </c>
      <c r="G3642" s="50">
        <f t="shared" si="62"/>
        <v>73.682000000000002</v>
      </c>
      <c r="H3642" s="69"/>
      <c r="I3642" s="70"/>
      <c r="J3642" s="141">
        <v>0</v>
      </c>
    </row>
    <row r="3643" spans="1:10" ht="15.75" hidden="1" thickBot="1" x14ac:dyDescent="0.3">
      <c r="A3643" s="232"/>
      <c r="B3643" s="230"/>
      <c r="C3643" s="32"/>
      <c r="D3643" s="32"/>
      <c r="E3643" s="33"/>
      <c r="F3643" s="50" t="s">
        <v>523</v>
      </c>
      <c r="G3643" s="50" t="str">
        <f t="shared" si="62"/>
        <v/>
      </c>
      <c r="H3643" s="69"/>
      <c r="I3643" s="70"/>
      <c r="J3643" s="141">
        <v>0</v>
      </c>
    </row>
    <row r="3644" spans="1:10" ht="15.75" hidden="1" thickBot="1" x14ac:dyDescent="0.3">
      <c r="A3644" s="225" t="s">
        <v>1079</v>
      </c>
      <c r="B3644" s="228" t="str">
        <f>INDEX(Orçamentária!A:B,MATCH(Composições!A3644,Orçamentária!A:A,0),2)</f>
        <v>Transporte e destinação final de entulho para distâncias até 30 km</v>
      </c>
      <c r="C3644" s="37"/>
      <c r="D3644" s="22" t="str">
        <f>TRIM(INDEX(Orçamentária!C:C,MATCH(Composições!A3644,Orçamentária!A:A,0),1))</f>
        <v>m3 x km</v>
      </c>
      <c r="E3644" s="23"/>
      <c r="F3644" s="45" t="s">
        <v>523</v>
      </c>
      <c r="G3644" s="24" t="str">
        <f t="shared" si="62"/>
        <v/>
      </c>
      <c r="H3644" s="25"/>
      <c r="I3644" s="26"/>
      <c r="J3644" s="141">
        <v>0</v>
      </c>
    </row>
    <row r="3645" spans="1:10" ht="15.75" hidden="1" thickBot="1" x14ac:dyDescent="0.3">
      <c r="A3645" s="231"/>
      <c r="B3645" s="244"/>
      <c r="C3645" s="28"/>
      <c r="D3645" s="28"/>
      <c r="E3645" s="29"/>
      <c r="F3645" s="50" t="s">
        <v>523</v>
      </c>
      <c r="G3645" s="50" t="str">
        <f t="shared" si="62"/>
        <v/>
      </c>
      <c r="H3645" s="69"/>
      <c r="I3645" s="70"/>
      <c r="J3645" s="141">
        <v>0</v>
      </c>
    </row>
    <row r="3646" spans="1:10" ht="51.75" hidden="1" thickBot="1" x14ac:dyDescent="0.3">
      <c r="A3646" s="231"/>
      <c r="B3646" s="244"/>
      <c r="C3646" s="32" t="s">
        <v>1080</v>
      </c>
      <c r="D3646" s="32" t="s">
        <v>945</v>
      </c>
      <c r="E3646" s="33">
        <v>1.3899999999999999E-2</v>
      </c>
      <c r="F3646" s="50">
        <v>169.31849999999997</v>
      </c>
      <c r="G3646" s="50">
        <f t="shared" si="62"/>
        <v>2.3535271499999997</v>
      </c>
      <c r="H3646" s="35">
        <f>SUM(G3646:G3647)</f>
        <v>2.6172091499999999</v>
      </c>
      <c r="I3646" s="36"/>
      <c r="J3646" s="141">
        <v>0</v>
      </c>
    </row>
    <row r="3647" spans="1:10" ht="51.75" hidden="1" thickBot="1" x14ac:dyDescent="0.3">
      <c r="A3647" s="231"/>
      <c r="B3647" s="244"/>
      <c r="C3647" s="32" t="s">
        <v>1081</v>
      </c>
      <c r="D3647" s="32" t="s">
        <v>947</v>
      </c>
      <c r="E3647" s="33">
        <v>6.0000000000000001E-3</v>
      </c>
      <c r="F3647" s="50">
        <v>43.946999999999996</v>
      </c>
      <c r="G3647" s="50">
        <f t="shared" si="62"/>
        <v>0.26368199999999997</v>
      </c>
      <c r="H3647" s="69"/>
      <c r="I3647" s="70"/>
      <c r="J3647" s="141">
        <v>0</v>
      </c>
    </row>
    <row r="3648" spans="1:10" ht="15.75" hidden="1" thickBot="1" x14ac:dyDescent="0.3">
      <c r="A3648" s="232"/>
      <c r="B3648" s="230"/>
      <c r="C3648" s="32"/>
      <c r="D3648" s="32"/>
      <c r="E3648" s="33"/>
      <c r="F3648" s="50" t="s">
        <v>523</v>
      </c>
      <c r="G3648" s="50" t="str">
        <f t="shared" si="62"/>
        <v/>
      </c>
      <c r="H3648" s="69"/>
      <c r="I3648" s="70"/>
      <c r="J3648" s="141">
        <v>0</v>
      </c>
    </row>
    <row r="3649" spans="1:10" ht="15.75" hidden="1" thickBot="1" x14ac:dyDescent="0.3">
      <c r="A3649" s="225" t="s">
        <v>1082</v>
      </c>
      <c r="B3649" s="228" t="str">
        <f>INDEX(Orçamentária!A:B,MATCH(Composições!A3649,Orçamentária!A:A,0),2)</f>
        <v>Demolição de estrutura metálica</v>
      </c>
      <c r="C3649" s="37"/>
      <c r="D3649" s="22" t="str">
        <f>TRIM(INDEX(Orçamentária!C:C,MATCH(Composições!A3649,Orçamentária!A:A,0),1))</f>
        <v>kg</v>
      </c>
      <c r="E3649" s="23"/>
      <c r="F3649" s="45" t="s">
        <v>523</v>
      </c>
      <c r="G3649" s="24" t="str">
        <f t="shared" si="62"/>
        <v/>
      </c>
      <c r="H3649" s="25"/>
      <c r="I3649" s="26"/>
      <c r="J3649" s="141">
        <v>0</v>
      </c>
    </row>
    <row r="3650" spans="1:10" ht="15.75" hidden="1" thickBot="1" x14ac:dyDescent="0.3">
      <c r="A3650" s="231"/>
      <c r="B3650" s="244"/>
      <c r="C3650" s="28"/>
      <c r="D3650" s="28"/>
      <c r="E3650" s="29"/>
      <c r="F3650" s="50" t="s">
        <v>523</v>
      </c>
      <c r="G3650" s="50" t="str">
        <f t="shared" si="62"/>
        <v/>
      </c>
      <c r="H3650" s="69"/>
      <c r="I3650" s="70"/>
      <c r="J3650" s="141">
        <v>0</v>
      </c>
    </row>
    <row r="3651" spans="1:10" ht="26.25" hidden="1" thickBot="1" x14ac:dyDescent="0.3">
      <c r="A3651" s="231"/>
      <c r="B3651" s="244"/>
      <c r="C3651" s="32" t="s">
        <v>133</v>
      </c>
      <c r="D3651" s="32" t="s">
        <v>109</v>
      </c>
      <c r="E3651" s="33">
        <v>2.1999999999999999E-2</v>
      </c>
      <c r="F3651" s="50">
        <v>11.7895</v>
      </c>
      <c r="G3651" s="50">
        <f t="shared" si="62"/>
        <v>0.25936900000000002</v>
      </c>
      <c r="H3651" s="35">
        <f>SUM(G3651:G3655)</f>
        <v>3.4213394999999998</v>
      </c>
      <c r="I3651" s="36"/>
      <c r="J3651" s="141">
        <v>0</v>
      </c>
    </row>
    <row r="3652" spans="1:10" ht="39" hidden="1" thickBot="1" x14ac:dyDescent="0.3">
      <c r="A3652" s="231"/>
      <c r="B3652" s="244"/>
      <c r="C3652" s="32" t="s">
        <v>7716</v>
      </c>
      <c r="D3652" s="32" t="s">
        <v>42</v>
      </c>
      <c r="E3652" s="33">
        <v>5.0000000000000001E-3</v>
      </c>
      <c r="F3652" s="50">
        <v>53.798499999999997</v>
      </c>
      <c r="G3652" s="50">
        <f t="shared" si="62"/>
        <v>0.26899249999999997</v>
      </c>
      <c r="H3652" s="69"/>
      <c r="I3652" s="70"/>
      <c r="J3652" s="141">
        <v>0</v>
      </c>
    </row>
    <row r="3653" spans="1:10" ht="26.25" hidden="1" thickBot="1" x14ac:dyDescent="0.3">
      <c r="A3653" s="231"/>
      <c r="B3653" s="244"/>
      <c r="C3653" s="32" t="s">
        <v>1083</v>
      </c>
      <c r="D3653" s="32" t="s">
        <v>945</v>
      </c>
      <c r="E3653" s="33">
        <f>E3654</f>
        <v>4.3999999999999997E-2</v>
      </c>
      <c r="F3653" s="50">
        <v>21.802499999999998</v>
      </c>
      <c r="G3653" s="50">
        <f t="shared" si="62"/>
        <v>0.95930999999999989</v>
      </c>
      <c r="H3653" s="69"/>
      <c r="I3653" s="70"/>
      <c r="J3653" s="141">
        <v>0</v>
      </c>
    </row>
    <row r="3654" spans="1:10" ht="15.75" hidden="1" thickBot="1" x14ac:dyDescent="0.3">
      <c r="A3654" s="231"/>
      <c r="B3654" s="244"/>
      <c r="C3654" s="32" t="s">
        <v>1084</v>
      </c>
      <c r="D3654" s="32" t="s">
        <v>12</v>
      </c>
      <c r="E3654" s="33">
        <v>4.3999999999999997E-2</v>
      </c>
      <c r="F3654" s="50">
        <v>25.526499999999999</v>
      </c>
      <c r="G3654" s="50">
        <f t="shared" si="62"/>
        <v>1.1231659999999999</v>
      </c>
      <c r="H3654" s="69"/>
      <c r="I3654" s="70"/>
      <c r="J3654" s="141">
        <v>0</v>
      </c>
    </row>
    <row r="3655" spans="1:10" ht="15.75" hidden="1" thickBot="1" x14ac:dyDescent="0.3">
      <c r="A3655" s="231"/>
      <c r="B3655" s="244"/>
      <c r="C3655" s="32" t="s">
        <v>23</v>
      </c>
      <c r="D3655" s="32" t="s">
        <v>12</v>
      </c>
      <c r="E3655" s="33">
        <v>4.3999999999999997E-2</v>
      </c>
      <c r="F3655" s="50">
        <v>18.420500000000001</v>
      </c>
      <c r="G3655" s="50">
        <f t="shared" si="62"/>
        <v>0.81050199999999994</v>
      </c>
      <c r="H3655" s="69"/>
      <c r="I3655" s="70"/>
      <c r="J3655" s="141">
        <v>0</v>
      </c>
    </row>
    <row r="3656" spans="1:10" ht="15.75" hidden="1" thickBot="1" x14ac:dyDescent="0.3">
      <c r="A3656" s="232"/>
      <c r="B3656" s="230"/>
      <c r="C3656" s="32"/>
      <c r="D3656" s="32"/>
      <c r="E3656" s="33"/>
      <c r="F3656" s="50" t="s">
        <v>523</v>
      </c>
      <c r="G3656" s="50" t="str">
        <f t="shared" si="62"/>
        <v/>
      </c>
      <c r="H3656" s="69"/>
      <c r="I3656" s="70"/>
      <c r="J3656" s="141">
        <v>0</v>
      </c>
    </row>
    <row r="3657" spans="1:10" ht="15.75" hidden="1" thickBot="1" x14ac:dyDescent="0.3">
      <c r="A3657" s="225" t="s">
        <v>1085</v>
      </c>
      <c r="B3657" s="228" t="str">
        <f>INDEX(Orçamentária!A:B,MATCH(Composições!A3657,Orçamentária!A:A,0),2)</f>
        <v>Escavação manual com profundidade maior do que 1,30 m</v>
      </c>
      <c r="C3657" s="37"/>
      <c r="D3657" s="22" t="str">
        <f>TRIM(INDEX(Orçamentária!C:C,MATCH(Composições!A3657,Orçamentária!A:A,0),1))</f>
        <v>m3</v>
      </c>
      <c r="E3657" s="23"/>
      <c r="F3657" s="45" t="s">
        <v>523</v>
      </c>
      <c r="G3657" s="24" t="str">
        <f t="shared" si="62"/>
        <v/>
      </c>
      <c r="H3657" s="25"/>
      <c r="I3657" s="26"/>
      <c r="J3657" s="141">
        <v>0</v>
      </c>
    </row>
    <row r="3658" spans="1:10" ht="15.75" hidden="1" thickBot="1" x14ac:dyDescent="0.3">
      <c r="A3658" s="231"/>
      <c r="B3658" s="244"/>
      <c r="C3658" s="28"/>
      <c r="D3658" s="28"/>
      <c r="E3658" s="29"/>
      <c r="F3658" s="50" t="s">
        <v>523</v>
      </c>
      <c r="G3658" s="50" t="str">
        <f t="shared" si="62"/>
        <v/>
      </c>
      <c r="H3658" s="69"/>
      <c r="I3658" s="70"/>
      <c r="J3658" s="141">
        <v>0</v>
      </c>
    </row>
    <row r="3659" spans="1:10" ht="15.75" hidden="1" thickBot="1" x14ac:dyDescent="0.3">
      <c r="A3659" s="231"/>
      <c r="B3659" s="244"/>
      <c r="C3659" s="32" t="s">
        <v>23</v>
      </c>
      <c r="D3659" s="32" t="s">
        <v>12</v>
      </c>
      <c r="E3659" s="33">
        <v>4.3</v>
      </c>
      <c r="F3659" s="50">
        <v>18.420500000000001</v>
      </c>
      <c r="G3659" s="50">
        <f t="shared" si="62"/>
        <v>79.208150000000003</v>
      </c>
      <c r="H3659" s="35">
        <f>SUM(G3659:G3659)</f>
        <v>79.208150000000003</v>
      </c>
      <c r="I3659" s="36"/>
      <c r="J3659" s="141">
        <v>0</v>
      </c>
    </row>
    <row r="3660" spans="1:10" ht="15.75" hidden="1" thickBot="1" x14ac:dyDescent="0.3">
      <c r="A3660" s="232"/>
      <c r="B3660" s="230"/>
      <c r="C3660" s="32"/>
      <c r="D3660" s="32"/>
      <c r="E3660" s="33"/>
      <c r="F3660" s="50" t="s">
        <v>523</v>
      </c>
      <c r="G3660" s="50" t="str">
        <f t="shared" si="62"/>
        <v/>
      </c>
      <c r="H3660" s="69"/>
      <c r="I3660" s="70"/>
      <c r="J3660" s="141">
        <v>0</v>
      </c>
    </row>
    <row r="3661" spans="1:10" ht="15.75" hidden="1" thickBot="1" x14ac:dyDescent="0.3">
      <c r="A3661" s="225" t="s">
        <v>1086</v>
      </c>
      <c r="B3661" s="228" t="str">
        <f>INDEX(Orçamentária!A:B,MATCH(Composições!A3661,Orçamentária!A:A,0),2)</f>
        <v>Escavação mecânica com profundidade maior do que 1,30 m</v>
      </c>
      <c r="C3661" s="37"/>
      <c r="D3661" s="22" t="str">
        <f>TRIM(INDEX(Orçamentária!C:C,MATCH(Composições!A3661,Orçamentária!A:A,0),1))</f>
        <v>m3</v>
      </c>
      <c r="E3661" s="23"/>
      <c r="F3661" s="45" t="s">
        <v>523</v>
      </c>
      <c r="G3661" s="24" t="str">
        <f t="shared" si="62"/>
        <v/>
      </c>
      <c r="H3661" s="25"/>
      <c r="I3661" s="26"/>
      <c r="J3661" s="141">
        <v>0</v>
      </c>
    </row>
    <row r="3662" spans="1:10" ht="15.75" hidden="1" thickBot="1" x14ac:dyDescent="0.3">
      <c r="A3662" s="231"/>
      <c r="B3662" s="244"/>
      <c r="C3662" s="28"/>
      <c r="D3662" s="28"/>
      <c r="E3662" s="29"/>
      <c r="F3662" s="50" t="s">
        <v>523</v>
      </c>
      <c r="G3662" s="50" t="str">
        <f t="shared" si="62"/>
        <v/>
      </c>
      <c r="H3662" s="69"/>
      <c r="I3662" s="70"/>
      <c r="J3662" s="141">
        <v>0</v>
      </c>
    </row>
    <row r="3663" spans="1:10" ht="51.75" hidden="1" thickBot="1" x14ac:dyDescent="0.3">
      <c r="A3663" s="231"/>
      <c r="B3663" s="244"/>
      <c r="C3663" s="32" t="s">
        <v>3198</v>
      </c>
      <c r="D3663" s="32" t="s">
        <v>945</v>
      </c>
      <c r="E3663" s="33">
        <v>2.4799999999999999E-2</v>
      </c>
      <c r="F3663" s="50">
        <v>136.82849999999999</v>
      </c>
      <c r="G3663" s="50">
        <f t="shared" si="62"/>
        <v>3.3933467999999998</v>
      </c>
      <c r="H3663" s="35">
        <f>SUM(G3663:G3665)</f>
        <v>5.8922106499999991</v>
      </c>
      <c r="I3663" s="36"/>
      <c r="J3663" s="141">
        <v>0</v>
      </c>
    </row>
    <row r="3664" spans="1:10" ht="51.75" hidden="1" thickBot="1" x14ac:dyDescent="0.3">
      <c r="A3664" s="231"/>
      <c r="B3664" s="244"/>
      <c r="C3664" s="32" t="s">
        <v>3204</v>
      </c>
      <c r="D3664" s="32" t="s">
        <v>947</v>
      </c>
      <c r="E3664" s="33">
        <v>2.9899999999999999E-2</v>
      </c>
      <c r="F3664" s="50">
        <v>49.875</v>
      </c>
      <c r="G3664" s="50">
        <f t="shared" si="62"/>
        <v>1.4912624999999999</v>
      </c>
      <c r="H3664" s="69"/>
      <c r="I3664" s="70"/>
      <c r="J3664" s="141">
        <v>0</v>
      </c>
    </row>
    <row r="3665" spans="1:10" ht="15.75" hidden="1" thickBot="1" x14ac:dyDescent="0.3">
      <c r="A3665" s="231"/>
      <c r="B3665" s="244"/>
      <c r="C3665" s="32" t="s">
        <v>706</v>
      </c>
      <c r="D3665" s="32" t="s">
        <v>705</v>
      </c>
      <c r="E3665" s="33">
        <v>5.4699999999999999E-2</v>
      </c>
      <c r="F3665" s="50">
        <v>18.420500000000001</v>
      </c>
      <c r="G3665" s="50">
        <f t="shared" si="62"/>
        <v>1.0076013500000001</v>
      </c>
      <c r="H3665" s="69"/>
      <c r="I3665" s="70"/>
      <c r="J3665" s="141">
        <v>0</v>
      </c>
    </row>
    <row r="3666" spans="1:10" ht="15.75" hidden="1" thickBot="1" x14ac:dyDescent="0.3">
      <c r="A3666" s="232"/>
      <c r="B3666" s="230"/>
      <c r="C3666" s="71"/>
      <c r="D3666" s="32"/>
      <c r="E3666" s="33"/>
      <c r="F3666" s="50" t="s">
        <v>523</v>
      </c>
      <c r="G3666" s="50" t="str">
        <f t="shared" si="62"/>
        <v/>
      </c>
      <c r="H3666" s="69"/>
      <c r="I3666" s="70"/>
      <c r="J3666" s="141">
        <v>0</v>
      </c>
    </row>
    <row r="3667" spans="1:10" ht="15.75" hidden="1" thickBot="1" x14ac:dyDescent="0.3">
      <c r="A3667" s="225" t="s">
        <v>1087</v>
      </c>
      <c r="B3667" s="228" t="str">
        <f>INDEX(Orçamentária!A:B,MATCH(Composições!A3667,Orçamentária!A:A,0),2)</f>
        <v>Grama Batatais em placas de 40 x 40 cm</v>
      </c>
      <c r="C3667" s="37"/>
      <c r="D3667" s="22" t="str">
        <f>TRIM(INDEX(Orçamentária!C:C,MATCH(Composições!A3667,Orçamentária!A:A,0),1))</f>
        <v>m2</v>
      </c>
      <c r="E3667" s="23"/>
      <c r="F3667" s="45" t="s">
        <v>523</v>
      </c>
      <c r="G3667" s="24" t="str">
        <f t="shared" si="62"/>
        <v/>
      </c>
      <c r="H3667" s="25"/>
      <c r="I3667" s="26"/>
      <c r="J3667" s="141">
        <v>0</v>
      </c>
    </row>
    <row r="3668" spans="1:10" ht="15.75" hidden="1" thickBot="1" x14ac:dyDescent="0.3">
      <c r="A3668" s="226"/>
      <c r="B3668" s="244"/>
      <c r="C3668" s="28"/>
      <c r="D3668" s="28"/>
      <c r="E3668" s="29"/>
      <c r="F3668" s="50" t="s">
        <v>523</v>
      </c>
      <c r="G3668" s="50" t="str">
        <f t="shared" si="62"/>
        <v/>
      </c>
      <c r="H3668" s="69"/>
      <c r="I3668" s="70"/>
      <c r="J3668" s="141">
        <v>0</v>
      </c>
    </row>
    <row r="3669" spans="1:10" ht="15.75" hidden="1" thickBot="1" x14ac:dyDescent="0.3">
      <c r="A3669" s="226"/>
      <c r="B3669" s="244"/>
      <c r="C3669" s="32" t="s">
        <v>1088</v>
      </c>
      <c r="D3669" s="46" t="s">
        <v>95</v>
      </c>
      <c r="E3669" s="33">
        <v>1</v>
      </c>
      <c r="F3669" s="50">
        <v>9.3574999999999999</v>
      </c>
      <c r="G3669" s="50">
        <f t="shared" si="62"/>
        <v>9.3574999999999999</v>
      </c>
      <c r="H3669" s="35">
        <f>SUM(G3669:G3679)</f>
        <v>51.066476873774</v>
      </c>
      <c r="I3669" s="36"/>
      <c r="J3669" s="141">
        <v>0</v>
      </c>
    </row>
    <row r="3670" spans="1:10" ht="15.75" hidden="1" thickBot="1" x14ac:dyDescent="0.3">
      <c r="A3670" s="226"/>
      <c r="B3670" s="244"/>
      <c r="C3670" s="32" t="s">
        <v>23</v>
      </c>
      <c r="D3670" s="32" t="s">
        <v>12</v>
      </c>
      <c r="E3670" s="33">
        <v>0.15640000000000001</v>
      </c>
      <c r="F3670" s="50">
        <v>18.420500000000001</v>
      </c>
      <c r="G3670" s="50">
        <f t="shared" si="62"/>
        <v>2.8809662000000005</v>
      </c>
      <c r="H3670" s="69"/>
      <c r="I3670" s="70"/>
      <c r="J3670" s="141">
        <v>0</v>
      </c>
    </row>
    <row r="3671" spans="1:10" ht="15.75" hidden="1" thickBot="1" x14ac:dyDescent="0.3">
      <c r="A3671" s="226"/>
      <c r="B3671" s="244"/>
      <c r="C3671" s="32" t="s">
        <v>1089</v>
      </c>
      <c r="D3671" s="32" t="s">
        <v>12</v>
      </c>
      <c r="E3671" s="33">
        <v>3.9100000000000003E-2</v>
      </c>
      <c r="F3671" s="50">
        <v>19.522500000000001</v>
      </c>
      <c r="G3671" s="50">
        <f t="shared" si="62"/>
        <v>0.76332975000000014</v>
      </c>
      <c r="H3671" s="69"/>
      <c r="I3671" s="70"/>
      <c r="J3671" s="141">
        <v>0</v>
      </c>
    </row>
    <row r="3672" spans="1:10" ht="15.75" hidden="1" thickBot="1" x14ac:dyDescent="0.3">
      <c r="A3672" s="226"/>
      <c r="B3672" s="244"/>
      <c r="C3672" s="32" t="s">
        <v>23</v>
      </c>
      <c r="D3672" s="32" t="s">
        <v>12</v>
      </c>
      <c r="E3672" s="33">
        <f>1.6*0.25</f>
        <v>0.4</v>
      </c>
      <c r="F3672" s="50">
        <v>18.420500000000001</v>
      </c>
      <c r="G3672" s="50">
        <f t="shared" si="62"/>
        <v>7.3682000000000007</v>
      </c>
      <c r="H3672" s="69"/>
      <c r="I3672" s="70"/>
      <c r="J3672" s="141">
        <v>0</v>
      </c>
    </row>
    <row r="3673" spans="1:10" ht="26.25" hidden="1" thickBot="1" x14ac:dyDescent="0.3">
      <c r="A3673" s="226"/>
      <c r="B3673" s="244"/>
      <c r="C3673" s="32" t="s">
        <v>1090</v>
      </c>
      <c r="D3673" s="32" t="s">
        <v>42</v>
      </c>
      <c r="E3673" s="33">
        <f>1*0.25</f>
        <v>0.25</v>
      </c>
      <c r="F3673" s="50">
        <v>0.2185</v>
      </c>
      <c r="G3673" s="50">
        <f t="shared" si="62"/>
        <v>5.4625E-2</v>
      </c>
      <c r="H3673" s="69"/>
      <c r="I3673" s="70"/>
      <c r="J3673" s="141">
        <v>0</v>
      </c>
    </row>
    <row r="3674" spans="1:10" ht="15.75" hidden="1" thickBot="1" x14ac:dyDescent="0.3">
      <c r="A3674" s="226"/>
      <c r="B3674" s="244"/>
      <c r="C3674" s="32" t="s">
        <v>1091</v>
      </c>
      <c r="D3674" s="32" t="s">
        <v>109</v>
      </c>
      <c r="E3674" s="33">
        <f>0.9*0.25</f>
        <v>0.22500000000000001</v>
      </c>
      <c r="F3674" s="50">
        <v>130.28299999999999</v>
      </c>
      <c r="G3674" s="50">
        <f t="shared" si="62"/>
        <v>29.313674999999996</v>
      </c>
      <c r="H3674" s="69"/>
      <c r="I3674" s="70"/>
      <c r="J3674" s="141">
        <v>0</v>
      </c>
    </row>
    <row r="3675" spans="1:10" ht="15.75" hidden="1" thickBot="1" x14ac:dyDescent="0.3">
      <c r="A3675" s="226"/>
      <c r="B3675" s="244"/>
      <c r="C3675" s="32" t="s">
        <v>1092</v>
      </c>
      <c r="D3675" s="43" t="s">
        <v>42</v>
      </c>
      <c r="E3675" s="33">
        <f>1*0.25</f>
        <v>0.25</v>
      </c>
      <c r="F3675" s="50">
        <v>5.1680000000000001</v>
      </c>
      <c r="G3675" s="50">
        <f t="shared" si="62"/>
        <v>1.292</v>
      </c>
      <c r="H3675" s="69"/>
      <c r="I3675" s="70"/>
      <c r="J3675" s="141">
        <v>0</v>
      </c>
    </row>
    <row r="3676" spans="1:10" ht="15.75" hidden="1" thickBot="1" x14ac:dyDescent="0.3">
      <c r="A3676" s="226"/>
      <c r="B3676" s="244"/>
      <c r="C3676" s="32" t="s">
        <v>1093</v>
      </c>
      <c r="D3676" s="43" t="s">
        <v>42</v>
      </c>
      <c r="E3676" s="33">
        <f>0.1*0.25</f>
        <v>2.5000000000000001E-2</v>
      </c>
      <c r="F3676" s="50">
        <v>1.0355000000000001</v>
      </c>
      <c r="G3676" s="50">
        <f t="shared" si="62"/>
        <v>2.5887500000000004E-2</v>
      </c>
      <c r="H3676" s="69"/>
      <c r="I3676" s="70"/>
      <c r="J3676" s="141">
        <v>0</v>
      </c>
    </row>
    <row r="3677" spans="1:10" ht="26.25" hidden="1" thickBot="1" x14ac:dyDescent="0.3">
      <c r="A3677" s="226"/>
      <c r="B3677" s="244"/>
      <c r="C3677" s="32" t="s">
        <v>119</v>
      </c>
      <c r="D3677" s="32" t="s">
        <v>1094</v>
      </c>
      <c r="E3677" s="33">
        <f>ROUND(1*E3673/1000,4)</f>
        <v>2.9999999999999997E-4</v>
      </c>
      <c r="F3677" s="30">
        <v>5.1372450799999996</v>
      </c>
      <c r="G3677" s="30">
        <f t="shared" si="62"/>
        <v>1.5411735239999997E-3</v>
      </c>
      <c r="H3677" s="31"/>
      <c r="I3677" s="27"/>
      <c r="J3677" s="141">
        <v>0</v>
      </c>
    </row>
    <row r="3678" spans="1:10" ht="39" hidden="1" thickBot="1" x14ac:dyDescent="0.3">
      <c r="A3678" s="226"/>
      <c r="B3678" s="244"/>
      <c r="C3678" s="32" t="s">
        <v>755</v>
      </c>
      <c r="D3678" s="32" t="s">
        <v>756</v>
      </c>
      <c r="E3678" s="33">
        <f>20*E3673*1/1000</f>
        <v>5.0000000000000001E-3</v>
      </c>
      <c r="F3678" s="50">
        <v>1.7504500499999998</v>
      </c>
      <c r="G3678" s="50">
        <f t="shared" si="62"/>
        <v>8.7522502499999995E-3</v>
      </c>
      <c r="H3678" s="69"/>
      <c r="I3678" s="70"/>
      <c r="J3678" s="141">
        <v>0</v>
      </c>
    </row>
    <row r="3679" spans="1:10" ht="15.75" hidden="1" thickBot="1" x14ac:dyDescent="0.3">
      <c r="A3679" s="226"/>
      <c r="B3679" s="244"/>
      <c r="C3679" s="32"/>
      <c r="D3679" s="32"/>
      <c r="E3679" s="33"/>
      <c r="F3679" s="50" t="s">
        <v>523</v>
      </c>
      <c r="G3679" s="50" t="str">
        <f t="shared" si="62"/>
        <v/>
      </c>
      <c r="H3679" s="69"/>
      <c r="I3679" s="70"/>
      <c r="J3679" s="141">
        <v>0</v>
      </c>
    </row>
    <row r="3680" spans="1:10" ht="26.25" hidden="1" thickBot="1" x14ac:dyDescent="0.3">
      <c r="A3680" s="226"/>
      <c r="B3680" s="244"/>
      <c r="C3680" s="44" t="s">
        <v>1095</v>
      </c>
      <c r="D3680" s="32"/>
      <c r="E3680" s="33"/>
      <c r="F3680" s="50" t="s">
        <v>523</v>
      </c>
      <c r="G3680" s="50" t="str">
        <f t="shared" si="62"/>
        <v/>
      </c>
      <c r="H3680" s="69"/>
      <c r="I3680" s="70"/>
      <c r="J3680" s="141">
        <v>0</v>
      </c>
    </row>
    <row r="3681" spans="1:10" ht="15.75" hidden="1" thickBot="1" x14ac:dyDescent="0.3">
      <c r="A3681" s="227"/>
      <c r="B3681" s="230"/>
      <c r="C3681" s="32"/>
      <c r="D3681" s="32"/>
      <c r="E3681" s="33"/>
      <c r="F3681" s="50" t="s">
        <v>523</v>
      </c>
      <c r="G3681" s="50" t="str">
        <f t="shared" si="62"/>
        <v/>
      </c>
      <c r="H3681" s="69"/>
      <c r="I3681" s="70"/>
      <c r="J3681" s="141">
        <v>0</v>
      </c>
    </row>
    <row r="3682" spans="1:10" ht="15.75" hidden="1" thickBot="1" x14ac:dyDescent="0.3">
      <c r="A3682" s="225" t="s">
        <v>1096</v>
      </c>
      <c r="B3682" s="228" t="str">
        <f>INDEX(Orçamentária!A:B,MATCH(Composições!A3682,Orçamentária!A:A,0),2)</f>
        <v>Pintura de meios-fios com tinta acrílica</v>
      </c>
      <c r="C3682" s="37"/>
      <c r="D3682" s="22" t="str">
        <f>TRIM(INDEX(Orçamentária!C:C,MATCH(Composições!A3682,Orçamentária!A:A,0),1))</f>
        <v>m</v>
      </c>
      <c r="E3682" s="23"/>
      <c r="F3682" s="45" t="s">
        <v>523</v>
      </c>
      <c r="G3682" s="24" t="str">
        <f t="shared" si="62"/>
        <v/>
      </c>
      <c r="H3682" s="25"/>
      <c r="I3682" s="26"/>
      <c r="J3682" s="141">
        <v>0</v>
      </c>
    </row>
    <row r="3683" spans="1:10" ht="15.75" hidden="1" thickBot="1" x14ac:dyDescent="0.3">
      <c r="A3683" s="231"/>
      <c r="B3683" s="244"/>
      <c r="C3683" s="28"/>
      <c r="D3683" s="28"/>
      <c r="E3683" s="29"/>
      <c r="F3683" s="50" t="s">
        <v>523</v>
      </c>
      <c r="G3683" s="50" t="str">
        <f t="shared" si="62"/>
        <v/>
      </c>
      <c r="H3683" s="69"/>
      <c r="I3683" s="70"/>
      <c r="J3683" s="141">
        <v>0</v>
      </c>
    </row>
    <row r="3684" spans="1:10" ht="15.75" hidden="1" thickBot="1" x14ac:dyDescent="0.3">
      <c r="A3684" s="231"/>
      <c r="B3684" s="244"/>
      <c r="C3684" s="32" t="s">
        <v>1097</v>
      </c>
      <c r="D3684" s="46" t="s">
        <v>102</v>
      </c>
      <c r="E3684" s="33">
        <f>ROUND(0.427/2*(0.25+0.13+0.25),4)</f>
        <v>0.13450000000000001</v>
      </c>
      <c r="F3684" s="50">
        <v>16.928999999999998</v>
      </c>
      <c r="G3684" s="50">
        <f t="shared" si="62"/>
        <v>2.2769504999999999</v>
      </c>
      <c r="H3684" s="35">
        <f>SUM(G3684:G3686)</f>
        <v>5.1867378000000004</v>
      </c>
      <c r="I3684" s="36"/>
      <c r="J3684" s="141">
        <v>0</v>
      </c>
    </row>
    <row r="3685" spans="1:10" ht="15.75" hidden="1" thickBot="1" x14ac:dyDescent="0.3">
      <c r="A3685" s="231"/>
      <c r="B3685" s="244"/>
      <c r="C3685" s="32" t="s">
        <v>1098</v>
      </c>
      <c r="D3685" s="32" t="s">
        <v>705</v>
      </c>
      <c r="E3685" s="33">
        <f>0.275*(0.25+0.13+0.25)/2</f>
        <v>8.6625000000000008E-2</v>
      </c>
      <c r="F3685" s="50">
        <v>25.887499999999999</v>
      </c>
      <c r="G3685" s="50">
        <f t="shared" si="62"/>
        <v>2.2425046875000003</v>
      </c>
      <c r="H3685" s="69"/>
      <c r="I3685" s="70"/>
      <c r="J3685" s="141">
        <v>0</v>
      </c>
    </row>
    <row r="3686" spans="1:10" ht="15.75" hidden="1" thickBot="1" x14ac:dyDescent="0.3">
      <c r="A3686" s="231"/>
      <c r="B3686" s="244"/>
      <c r="C3686" s="32" t="s">
        <v>23</v>
      </c>
      <c r="D3686" s="32" t="s">
        <v>705</v>
      </c>
      <c r="E3686" s="33">
        <f>0.115*(0.25+0.13+0.25)/2</f>
        <v>3.6225E-2</v>
      </c>
      <c r="F3686" s="50">
        <v>18.420500000000001</v>
      </c>
      <c r="G3686" s="50">
        <f t="shared" si="62"/>
        <v>0.66728261249999998</v>
      </c>
      <c r="H3686" s="69"/>
      <c r="I3686" s="70"/>
      <c r="J3686" s="141">
        <v>0</v>
      </c>
    </row>
    <row r="3687" spans="1:10" ht="15.75" hidden="1" thickBot="1" x14ac:dyDescent="0.3">
      <c r="A3687" s="231"/>
      <c r="B3687" s="244"/>
      <c r="C3687" s="32"/>
      <c r="D3687" s="32"/>
      <c r="E3687" s="33"/>
      <c r="F3687" s="50" t="s">
        <v>523</v>
      </c>
      <c r="G3687" s="50" t="str">
        <f t="shared" si="62"/>
        <v/>
      </c>
      <c r="H3687" s="69"/>
      <c r="I3687" s="70"/>
      <c r="J3687" s="141">
        <v>0</v>
      </c>
    </row>
    <row r="3688" spans="1:10" ht="26.25" hidden="1" thickBot="1" x14ac:dyDescent="0.3">
      <c r="A3688" s="231"/>
      <c r="B3688" s="244"/>
      <c r="C3688" s="44" t="s">
        <v>1099</v>
      </c>
      <c r="D3688" s="32"/>
      <c r="E3688" s="33"/>
      <c r="F3688" s="50" t="s">
        <v>523</v>
      </c>
      <c r="G3688" s="50" t="str">
        <f t="shared" si="62"/>
        <v/>
      </c>
      <c r="H3688" s="69"/>
      <c r="I3688" s="70"/>
      <c r="J3688" s="141">
        <v>0</v>
      </c>
    </row>
    <row r="3689" spans="1:10" ht="15.75" hidden="1" thickBot="1" x14ac:dyDescent="0.3">
      <c r="A3689" s="232"/>
      <c r="B3689" s="230"/>
      <c r="C3689" s="32"/>
      <c r="D3689" s="32"/>
      <c r="E3689" s="33"/>
      <c r="F3689" s="50" t="s">
        <v>523</v>
      </c>
      <c r="G3689" s="50" t="str">
        <f t="shared" si="62"/>
        <v/>
      </c>
      <c r="H3689" s="69"/>
      <c r="I3689" s="70"/>
      <c r="J3689" s="141">
        <v>0</v>
      </c>
    </row>
    <row r="3690" spans="1:10" ht="15.75" hidden="1" thickBot="1" x14ac:dyDescent="0.3">
      <c r="A3690" s="225" t="s">
        <v>1100</v>
      </c>
      <c r="B3690" s="228" t="str">
        <f>INDEX(Orçamentária!A:B,MATCH(Composições!A3690,Orçamentária!A:A,0),2)</f>
        <v>Meios-fios em concreto pré-moldado</v>
      </c>
      <c r="C3690" s="37"/>
      <c r="D3690" s="22" t="str">
        <f>TRIM(INDEX(Orçamentária!C:C,MATCH(Composições!A3690,Orçamentária!A:A,0),1))</f>
        <v>m</v>
      </c>
      <c r="E3690" s="23"/>
      <c r="F3690" s="45" t="s">
        <v>523</v>
      </c>
      <c r="G3690" s="24" t="str">
        <f t="shared" si="62"/>
        <v/>
      </c>
      <c r="H3690" s="25"/>
      <c r="I3690" s="26"/>
      <c r="J3690" s="141">
        <v>0</v>
      </c>
    </row>
    <row r="3691" spans="1:10" ht="15.75" hidden="1" thickBot="1" x14ac:dyDescent="0.3">
      <c r="A3691" s="226"/>
      <c r="B3691" s="244"/>
      <c r="C3691" s="28"/>
      <c r="D3691" s="28"/>
      <c r="E3691" s="29"/>
      <c r="F3691" s="50" t="s">
        <v>523</v>
      </c>
      <c r="G3691" s="50" t="str">
        <f t="shared" si="62"/>
        <v/>
      </c>
      <c r="H3691" s="69"/>
      <c r="I3691" s="70"/>
      <c r="J3691" s="141">
        <v>0</v>
      </c>
    </row>
    <row r="3692" spans="1:10" ht="26.25" hidden="1" thickBot="1" x14ac:dyDescent="0.3">
      <c r="A3692" s="226"/>
      <c r="B3692" s="244"/>
      <c r="C3692" s="32" t="s">
        <v>754</v>
      </c>
      <c r="D3692" s="32" t="s">
        <v>109</v>
      </c>
      <c r="E3692" s="33">
        <v>7.0000000000000001E-3</v>
      </c>
      <c r="F3692" s="50">
        <v>160.53099999999998</v>
      </c>
      <c r="G3692" s="50">
        <f t="shared" si="62"/>
        <v>1.1237169999999999</v>
      </c>
      <c r="H3692" s="35">
        <f>SUM(G3692:G3700)</f>
        <v>51.784996487290002</v>
      </c>
      <c r="I3692" s="36"/>
      <c r="J3692" s="141">
        <v>0</v>
      </c>
    </row>
    <row r="3693" spans="1:10" ht="26.25" hidden="1" thickBot="1" x14ac:dyDescent="0.3">
      <c r="A3693" s="226"/>
      <c r="B3693" s="244"/>
      <c r="C3693" s="32" t="s">
        <v>3706</v>
      </c>
      <c r="D3693" s="32" t="s">
        <v>93</v>
      </c>
      <c r="E3693" s="33">
        <v>1.0049999999999999</v>
      </c>
      <c r="F3693" s="50">
        <v>31.6065</v>
      </c>
      <c r="G3693" s="50">
        <f t="shared" si="62"/>
        <v>31.764532499999998</v>
      </c>
      <c r="H3693" s="69"/>
      <c r="I3693" s="70"/>
      <c r="J3693" s="141">
        <v>0</v>
      </c>
    </row>
    <row r="3694" spans="1:10" ht="15.75" hidden="1" thickBot="1" x14ac:dyDescent="0.3">
      <c r="A3694" s="226"/>
      <c r="B3694" s="244"/>
      <c r="C3694" s="32" t="s">
        <v>22</v>
      </c>
      <c r="D3694" s="32" t="s">
        <v>12</v>
      </c>
      <c r="E3694" s="33">
        <v>0.39400000000000002</v>
      </c>
      <c r="F3694" s="50">
        <v>24.889999999999997</v>
      </c>
      <c r="G3694" s="50">
        <f t="shared" si="62"/>
        <v>9.806659999999999</v>
      </c>
      <c r="H3694" s="69"/>
      <c r="I3694" s="70"/>
      <c r="J3694" s="141">
        <v>0</v>
      </c>
    </row>
    <row r="3695" spans="1:10" ht="15.75" hidden="1" thickBot="1" x14ac:dyDescent="0.3">
      <c r="A3695" s="226"/>
      <c r="B3695" s="244"/>
      <c r="C3695" s="32" t="s">
        <v>23</v>
      </c>
      <c r="D3695" s="32" t="s">
        <v>12</v>
      </c>
      <c r="E3695" s="33">
        <v>0.39400000000000002</v>
      </c>
      <c r="F3695" s="50">
        <v>18.420500000000001</v>
      </c>
      <c r="G3695" s="50">
        <f t="shared" si="62"/>
        <v>7.2576770000000002</v>
      </c>
      <c r="H3695" s="69"/>
      <c r="I3695" s="70"/>
      <c r="J3695" s="141">
        <v>0</v>
      </c>
    </row>
    <row r="3696" spans="1:10" ht="26.25" hidden="1" thickBot="1" x14ac:dyDescent="0.3">
      <c r="A3696" s="226"/>
      <c r="B3696" s="244"/>
      <c r="C3696" s="32" t="s">
        <v>108</v>
      </c>
      <c r="D3696" s="32" t="s">
        <v>109</v>
      </c>
      <c r="E3696" s="33">
        <v>2E-3</v>
      </c>
      <c r="F3696" s="50">
        <v>706.05601614500006</v>
      </c>
      <c r="G3696" s="50">
        <f t="shared" si="62"/>
        <v>1.41211203229</v>
      </c>
      <c r="H3696" s="69"/>
      <c r="I3696" s="70"/>
      <c r="J3696" s="141">
        <v>0</v>
      </c>
    </row>
    <row r="3697" spans="1:10" ht="51.75" hidden="1" thickBot="1" x14ac:dyDescent="0.3">
      <c r="A3697" s="226"/>
      <c r="B3697" s="244"/>
      <c r="C3697" s="32" t="s">
        <v>3532</v>
      </c>
      <c r="D3697" s="32" t="s">
        <v>109</v>
      </c>
      <c r="E3697" s="33">
        <f>1*E3692</f>
        <v>7.0000000000000001E-3</v>
      </c>
      <c r="F3697" s="30">
        <v>7.6983819999999996</v>
      </c>
      <c r="G3697" s="30">
        <f t="shared" ref="G3697:G3760" si="63">IF(ISNUMBER(F3697),E3697*F3697,"")</f>
        <v>5.3888673999999998E-2</v>
      </c>
      <c r="H3697" s="31"/>
      <c r="I3697" s="27"/>
      <c r="J3697" s="141">
        <v>0</v>
      </c>
    </row>
    <row r="3698" spans="1:10" ht="39" hidden="1" thickBot="1" x14ac:dyDescent="0.3">
      <c r="A3698" s="226"/>
      <c r="B3698" s="244"/>
      <c r="C3698" s="32" t="s">
        <v>121</v>
      </c>
      <c r="D3698" s="32" t="s">
        <v>122</v>
      </c>
      <c r="E3698" s="33">
        <f>0.007*20</f>
        <v>0.14000000000000001</v>
      </c>
      <c r="F3698" s="50">
        <v>2.6172091499999994</v>
      </c>
      <c r="G3698" s="50">
        <f t="shared" si="63"/>
        <v>0.36640928099999998</v>
      </c>
      <c r="H3698" s="69"/>
      <c r="I3698" s="70"/>
      <c r="J3698" s="141">
        <v>0</v>
      </c>
    </row>
    <row r="3699" spans="1:10" ht="15.75" hidden="1" thickBot="1" x14ac:dyDescent="0.3">
      <c r="A3699" s="226"/>
      <c r="B3699" s="244"/>
      <c r="C3699" s="32"/>
      <c r="D3699" s="32"/>
      <c r="E3699" s="33"/>
      <c r="F3699" s="50" t="s">
        <v>523</v>
      </c>
      <c r="G3699" s="50" t="str">
        <f t="shared" si="63"/>
        <v/>
      </c>
      <c r="H3699" s="69"/>
      <c r="I3699" s="70"/>
      <c r="J3699" s="141">
        <v>0</v>
      </c>
    </row>
    <row r="3700" spans="1:10" ht="15.75" hidden="1" thickBot="1" x14ac:dyDescent="0.3">
      <c r="A3700" s="226"/>
      <c r="B3700" s="244"/>
      <c r="C3700" s="44" t="s">
        <v>1101</v>
      </c>
      <c r="D3700" s="32"/>
      <c r="E3700" s="33"/>
      <c r="F3700" s="50" t="s">
        <v>523</v>
      </c>
      <c r="G3700" s="50" t="str">
        <f t="shared" si="63"/>
        <v/>
      </c>
      <c r="H3700" s="69"/>
      <c r="I3700" s="70"/>
      <c r="J3700" s="141">
        <v>0</v>
      </c>
    </row>
    <row r="3701" spans="1:10" ht="15.75" hidden="1" thickBot="1" x14ac:dyDescent="0.3">
      <c r="A3701" s="227"/>
      <c r="B3701" s="230"/>
      <c r="C3701" s="32"/>
      <c r="D3701" s="32"/>
      <c r="E3701" s="33"/>
      <c r="F3701" s="50" t="s">
        <v>523</v>
      </c>
      <c r="G3701" s="50" t="str">
        <f t="shared" si="63"/>
        <v/>
      </c>
      <c r="H3701" s="69"/>
      <c r="I3701" s="70"/>
      <c r="J3701" s="141">
        <v>0</v>
      </c>
    </row>
    <row r="3702" spans="1:10" ht="15.75" hidden="1" thickBot="1" x14ac:dyDescent="0.3">
      <c r="A3702" s="225" t="s">
        <v>1102</v>
      </c>
      <c r="B3702" s="228" t="str">
        <f>INDEX(Orçamentária!A:B,MATCH(Composições!A3702,Orçamentária!A:A,0),2)</f>
        <v>Tubo PEAD corrugado para drenagem – Diâmetro 100 mm</v>
      </c>
      <c r="C3702" s="37"/>
      <c r="D3702" s="22" t="str">
        <f>TRIM(INDEX(Orçamentária!C:C,MATCH(Composições!A3702,Orçamentária!A:A,0),1))</f>
        <v>m</v>
      </c>
      <c r="E3702" s="23"/>
      <c r="F3702" s="45" t="s">
        <v>523</v>
      </c>
      <c r="G3702" s="24" t="str">
        <f t="shared" si="63"/>
        <v/>
      </c>
      <c r="H3702" s="25"/>
      <c r="I3702" s="26"/>
      <c r="J3702" s="141">
        <v>0</v>
      </c>
    </row>
    <row r="3703" spans="1:10" ht="15.75" hidden="1" thickBot="1" x14ac:dyDescent="0.3">
      <c r="A3703" s="226"/>
      <c r="B3703" s="244"/>
      <c r="C3703" s="28"/>
      <c r="D3703" s="28"/>
      <c r="E3703" s="29"/>
      <c r="F3703" s="50" t="s">
        <v>523</v>
      </c>
      <c r="G3703" s="50" t="str">
        <f t="shared" si="63"/>
        <v/>
      </c>
      <c r="H3703" s="69"/>
      <c r="I3703" s="70"/>
      <c r="J3703" s="141">
        <v>0</v>
      </c>
    </row>
    <row r="3704" spans="1:10" ht="26.25" hidden="1" thickBot="1" x14ac:dyDescent="0.3">
      <c r="A3704" s="226"/>
      <c r="B3704" s="244"/>
      <c r="C3704" s="32" t="s">
        <v>1103</v>
      </c>
      <c r="D3704" s="32" t="s">
        <v>120</v>
      </c>
      <c r="E3704" s="33">
        <v>0.23</v>
      </c>
      <c r="F3704" s="50">
        <v>147.82</v>
      </c>
      <c r="G3704" s="50">
        <f t="shared" si="63"/>
        <v>33.998600000000003</v>
      </c>
      <c r="H3704" s="35">
        <f>SUM(G3704:G3714)</f>
        <v>137.86905494999999</v>
      </c>
      <c r="I3704" s="36"/>
      <c r="J3704" s="141">
        <v>0</v>
      </c>
    </row>
    <row r="3705" spans="1:10" ht="39" hidden="1" thickBot="1" x14ac:dyDescent="0.3">
      <c r="A3705" s="226"/>
      <c r="B3705" s="244"/>
      <c r="C3705" s="32" t="s">
        <v>1105</v>
      </c>
      <c r="D3705" s="32" t="s">
        <v>480</v>
      </c>
      <c r="E3705" s="33">
        <v>1.01</v>
      </c>
      <c r="F3705" s="50">
        <v>10.801499999999999</v>
      </c>
      <c r="G3705" s="50">
        <f t="shared" si="63"/>
        <v>10.909514999999999</v>
      </c>
      <c r="H3705" s="69"/>
      <c r="I3705" s="70"/>
      <c r="J3705" s="141">
        <v>0</v>
      </c>
    </row>
    <row r="3706" spans="1:10" ht="26.25" hidden="1" thickBot="1" x14ac:dyDescent="0.3">
      <c r="A3706" s="226"/>
      <c r="B3706" s="244"/>
      <c r="C3706" s="32" t="s">
        <v>957</v>
      </c>
      <c r="D3706" s="32" t="s">
        <v>705</v>
      </c>
      <c r="E3706" s="33">
        <v>0.5</v>
      </c>
      <c r="F3706" s="50">
        <v>24.300999999999998</v>
      </c>
      <c r="G3706" s="50">
        <f t="shared" si="63"/>
        <v>12.150499999999999</v>
      </c>
      <c r="H3706" s="69"/>
      <c r="I3706" s="70"/>
      <c r="J3706" s="141">
        <v>0</v>
      </c>
    </row>
    <row r="3707" spans="1:10" ht="15.75" hidden="1" thickBot="1" x14ac:dyDescent="0.3">
      <c r="A3707" s="226"/>
      <c r="B3707" s="244"/>
      <c r="C3707" s="32" t="s">
        <v>706</v>
      </c>
      <c r="D3707" s="32" t="s">
        <v>705</v>
      </c>
      <c r="E3707" s="33">
        <v>0.7</v>
      </c>
      <c r="F3707" s="50">
        <v>18.420500000000001</v>
      </c>
      <c r="G3707" s="50">
        <f t="shared" si="63"/>
        <v>12.894349999999999</v>
      </c>
      <c r="H3707" s="69"/>
      <c r="I3707" s="70"/>
      <c r="J3707" s="141">
        <v>0</v>
      </c>
    </row>
    <row r="3708" spans="1:10" ht="26.25" hidden="1" thickBot="1" x14ac:dyDescent="0.3">
      <c r="A3708" s="226"/>
      <c r="B3708" s="244"/>
      <c r="C3708" s="32" t="s">
        <v>3329</v>
      </c>
      <c r="D3708" s="32" t="s">
        <v>995</v>
      </c>
      <c r="E3708" s="33">
        <v>2.2000000000000002</v>
      </c>
      <c r="F3708" s="50">
        <v>20.253999999999998</v>
      </c>
      <c r="G3708" s="50">
        <f t="shared" si="63"/>
        <v>44.558799999999998</v>
      </c>
      <c r="H3708" s="69"/>
      <c r="I3708" s="70"/>
      <c r="J3708" s="141">
        <v>0</v>
      </c>
    </row>
    <row r="3709" spans="1:10" ht="26.25" hidden="1" thickBot="1" x14ac:dyDescent="0.3">
      <c r="A3709" s="226"/>
      <c r="B3709" s="244"/>
      <c r="C3709" s="32" t="s">
        <v>107</v>
      </c>
      <c r="D3709" s="32" t="s">
        <v>705</v>
      </c>
      <c r="E3709" s="33">
        <v>0.5</v>
      </c>
      <c r="F3709" s="50">
        <v>19.094999999999999</v>
      </c>
      <c r="G3709" s="50">
        <f t="shared" si="63"/>
        <v>9.5474999999999994</v>
      </c>
      <c r="H3709" s="69"/>
      <c r="I3709" s="70"/>
      <c r="J3709" s="141">
        <v>0</v>
      </c>
    </row>
    <row r="3710" spans="1:10" ht="51.75" hidden="1" thickBot="1" x14ac:dyDescent="0.3">
      <c r="A3710" s="226"/>
      <c r="B3710" s="244"/>
      <c r="C3710" s="32" t="s">
        <v>3532</v>
      </c>
      <c r="D3710" s="32" t="s">
        <v>109</v>
      </c>
      <c r="E3710" s="33">
        <f>1*E3704</f>
        <v>0.23</v>
      </c>
      <c r="F3710" s="30">
        <v>7.6983819999999996</v>
      </c>
      <c r="G3710" s="30">
        <f t="shared" si="63"/>
        <v>1.7706278600000001</v>
      </c>
      <c r="H3710" s="31"/>
      <c r="I3710" s="27"/>
      <c r="J3710" s="141">
        <v>0</v>
      </c>
    </row>
    <row r="3711" spans="1:10" ht="39" hidden="1" thickBot="1" x14ac:dyDescent="0.3">
      <c r="A3711" s="226"/>
      <c r="B3711" s="244"/>
      <c r="C3711" s="32" t="s">
        <v>121</v>
      </c>
      <c r="D3711" s="32" t="s">
        <v>122</v>
      </c>
      <c r="E3711" s="33">
        <f>E3704*20</f>
        <v>4.6000000000000005</v>
      </c>
      <c r="F3711" s="50">
        <v>2.6172091499999994</v>
      </c>
      <c r="G3711" s="50">
        <f t="shared" si="63"/>
        <v>12.03916209</v>
      </c>
      <c r="H3711" s="69"/>
      <c r="I3711" s="70"/>
      <c r="J3711" s="141">
        <v>0</v>
      </c>
    </row>
    <row r="3712" spans="1:10" ht="15.75" hidden="1" thickBot="1" x14ac:dyDescent="0.3">
      <c r="A3712" s="226"/>
      <c r="B3712" s="244"/>
      <c r="C3712" s="32"/>
      <c r="D3712" s="32"/>
      <c r="E3712" s="33"/>
      <c r="F3712" s="50" t="s">
        <v>523</v>
      </c>
      <c r="G3712" s="50" t="str">
        <f t="shared" si="63"/>
        <v/>
      </c>
      <c r="H3712" s="69"/>
      <c r="I3712" s="70"/>
      <c r="J3712" s="141">
        <v>0</v>
      </c>
    </row>
    <row r="3713" spans="1:10" ht="15.75" hidden="1" thickBot="1" x14ac:dyDescent="0.3">
      <c r="A3713" s="226"/>
      <c r="B3713" s="244"/>
      <c r="C3713" s="44" t="s">
        <v>1107</v>
      </c>
      <c r="D3713" s="32"/>
      <c r="E3713" s="33"/>
      <c r="F3713" s="50" t="s">
        <v>523</v>
      </c>
      <c r="G3713" s="50" t="str">
        <f t="shared" si="63"/>
        <v/>
      </c>
      <c r="H3713" s="69"/>
      <c r="I3713" s="70"/>
      <c r="J3713" s="141">
        <v>0</v>
      </c>
    </row>
    <row r="3714" spans="1:10" ht="15.75" hidden="1" thickBot="1" x14ac:dyDescent="0.3">
      <c r="A3714" s="226"/>
      <c r="B3714" s="244"/>
      <c r="C3714" s="32"/>
      <c r="D3714" s="32"/>
      <c r="E3714" s="33"/>
      <c r="F3714" s="50" t="s">
        <v>523</v>
      </c>
      <c r="G3714" s="50" t="str">
        <f t="shared" si="63"/>
        <v/>
      </c>
      <c r="H3714" s="69"/>
      <c r="I3714" s="70"/>
      <c r="J3714" s="141">
        <v>0</v>
      </c>
    </row>
    <row r="3715" spans="1:10" ht="15.75" hidden="1" thickBot="1" x14ac:dyDescent="0.3">
      <c r="A3715" s="225" t="s">
        <v>1108</v>
      </c>
      <c r="B3715" s="228" t="str">
        <f>INDEX(Orçamentária!A:B,MATCH(Composições!A3715,Orçamentária!A:A,0),2)</f>
        <v>Fixadores metálicos para rochas ornamentais (Modelo Edifício Principal, peça inferior)</v>
      </c>
      <c r="C3715" s="37"/>
      <c r="D3715" s="22" t="str">
        <f>TRIM(INDEX(Orçamentária!C:C,MATCH(Composições!A3715,Orçamentária!A:A,0),1))</f>
        <v>un</v>
      </c>
      <c r="E3715" s="23"/>
      <c r="F3715" s="45" t="s">
        <v>523</v>
      </c>
      <c r="G3715" s="24" t="str">
        <f t="shared" si="63"/>
        <v/>
      </c>
      <c r="H3715" s="25"/>
      <c r="I3715" s="26"/>
      <c r="J3715" s="141">
        <v>0</v>
      </c>
    </row>
    <row r="3716" spans="1:10" ht="15.75" hidden="1" thickBot="1" x14ac:dyDescent="0.3">
      <c r="A3716" s="226"/>
      <c r="B3716" s="244"/>
      <c r="C3716" s="28"/>
      <c r="D3716" s="28"/>
      <c r="E3716" s="29"/>
      <c r="F3716" s="50" t="s">
        <v>523</v>
      </c>
      <c r="G3716" s="50" t="str">
        <f t="shared" si="63"/>
        <v/>
      </c>
      <c r="H3716" s="69"/>
      <c r="I3716" s="70"/>
      <c r="J3716" s="141">
        <v>0</v>
      </c>
    </row>
    <row r="3717" spans="1:10" ht="15.75" hidden="1" thickBot="1" x14ac:dyDescent="0.3">
      <c r="A3717" s="226"/>
      <c r="B3717" s="244"/>
      <c r="C3717" s="32" t="s">
        <v>22</v>
      </c>
      <c r="D3717" s="32" t="s">
        <v>12</v>
      </c>
      <c r="E3717" s="33">
        <f>0.1+0.1</f>
        <v>0.2</v>
      </c>
      <c r="F3717" s="50">
        <v>24.889999999999997</v>
      </c>
      <c r="G3717" s="50">
        <f t="shared" si="63"/>
        <v>4.9779999999999998</v>
      </c>
      <c r="H3717" s="35">
        <f>SUM(G3717:G3722)</f>
        <v>8.9356898121559212</v>
      </c>
      <c r="I3717" s="36"/>
      <c r="J3717" s="141">
        <v>0</v>
      </c>
    </row>
    <row r="3718" spans="1:10" ht="15.75" hidden="1" thickBot="1" x14ac:dyDescent="0.3">
      <c r="A3718" s="226"/>
      <c r="B3718" s="244"/>
      <c r="C3718" s="32" t="s">
        <v>23</v>
      </c>
      <c r="D3718" s="32" t="s">
        <v>12</v>
      </c>
      <c r="E3718" s="33">
        <f>0.1+0.1</f>
        <v>0.2</v>
      </c>
      <c r="F3718" s="50">
        <v>18.420500000000001</v>
      </c>
      <c r="G3718" s="50">
        <f t="shared" si="63"/>
        <v>3.6841000000000004</v>
      </c>
      <c r="H3718" s="69"/>
      <c r="I3718" s="70"/>
      <c r="J3718" s="141">
        <v>0</v>
      </c>
    </row>
    <row r="3719" spans="1:10" ht="15.75" hidden="1" thickBot="1" x14ac:dyDescent="0.3">
      <c r="A3719" s="226"/>
      <c r="B3719" s="244"/>
      <c r="C3719" s="32" t="s">
        <v>1030</v>
      </c>
      <c r="D3719" s="32" t="s">
        <v>144</v>
      </c>
      <c r="E3719" s="33">
        <f>0.016*2</f>
        <v>3.2000000000000001E-2</v>
      </c>
      <c r="F3719" s="50">
        <v>0</v>
      </c>
      <c r="G3719" s="50">
        <f t="shared" si="63"/>
        <v>0</v>
      </c>
      <c r="H3719" s="69"/>
      <c r="I3719" s="70"/>
      <c r="J3719" s="141">
        <v>0</v>
      </c>
    </row>
    <row r="3720" spans="1:10" ht="15.75" hidden="1" thickBot="1" x14ac:dyDescent="0.3">
      <c r="A3720" s="226"/>
      <c r="B3720" s="244"/>
      <c r="C3720" s="32" t="s">
        <v>1031</v>
      </c>
      <c r="D3720" s="32" t="s">
        <v>1032</v>
      </c>
      <c r="E3720" s="33">
        <f>0.1*2</f>
        <v>0.2</v>
      </c>
      <c r="F3720" s="50">
        <v>0</v>
      </c>
      <c r="G3720" s="50">
        <f t="shared" si="63"/>
        <v>0</v>
      </c>
      <c r="H3720" s="69"/>
      <c r="I3720" s="70"/>
      <c r="J3720" s="141">
        <v>0</v>
      </c>
    </row>
    <row r="3721" spans="1:10" ht="15.75" hidden="1" thickBot="1" x14ac:dyDescent="0.3">
      <c r="A3721" s="226"/>
      <c r="B3721" s="244"/>
      <c r="C3721" s="32" t="s">
        <v>1109</v>
      </c>
      <c r="D3721" s="32" t="s">
        <v>144</v>
      </c>
      <c r="E3721" s="33">
        <v>1</v>
      </c>
      <c r="F3721" s="50" t="s">
        <v>523</v>
      </c>
      <c r="G3721" s="50" t="str">
        <f t="shared" si="63"/>
        <v/>
      </c>
      <c r="H3721" s="69"/>
      <c r="I3721" s="70"/>
      <c r="J3721" s="141">
        <v>0</v>
      </c>
    </row>
    <row r="3722" spans="1:10" ht="39" hidden="1" thickBot="1" x14ac:dyDescent="0.3">
      <c r="A3722" s="226"/>
      <c r="B3722" s="244"/>
      <c r="C3722" s="32" t="s">
        <v>1033</v>
      </c>
      <c r="D3722" s="32" t="s">
        <v>109</v>
      </c>
      <c r="E3722" s="33">
        <f>ROUND(0.15*0.05*0.05,4)</f>
        <v>4.0000000000000002E-4</v>
      </c>
      <c r="F3722" s="50">
        <v>683.97453038979984</v>
      </c>
      <c r="G3722" s="50">
        <f t="shared" si="63"/>
        <v>0.27358981215591993</v>
      </c>
      <c r="H3722" s="69"/>
      <c r="I3722" s="70"/>
      <c r="J3722" s="141">
        <v>0</v>
      </c>
    </row>
    <row r="3723" spans="1:10" ht="15.75" hidden="1" thickBot="1" x14ac:dyDescent="0.3">
      <c r="A3723" s="226"/>
      <c r="B3723" s="244"/>
      <c r="C3723" s="32"/>
      <c r="D3723" s="32"/>
      <c r="E3723" s="33"/>
      <c r="F3723" s="50" t="s">
        <v>523</v>
      </c>
      <c r="G3723" s="50" t="str">
        <f t="shared" si="63"/>
        <v/>
      </c>
      <c r="H3723" s="69"/>
      <c r="I3723" s="70"/>
      <c r="J3723" s="141">
        <v>0</v>
      </c>
    </row>
    <row r="3724" spans="1:10" ht="15.75" hidden="1" thickBot="1" x14ac:dyDescent="0.3">
      <c r="A3724" s="226"/>
      <c r="B3724" s="244"/>
      <c r="C3724" s="138" t="s">
        <v>1034</v>
      </c>
      <c r="D3724" s="32"/>
      <c r="E3724" s="33"/>
      <c r="F3724" s="50" t="s">
        <v>523</v>
      </c>
      <c r="G3724" s="50" t="str">
        <f t="shared" si="63"/>
        <v/>
      </c>
      <c r="H3724" s="69"/>
      <c r="I3724" s="70"/>
      <c r="J3724" s="141">
        <v>0</v>
      </c>
    </row>
    <row r="3725" spans="1:10" ht="15.75" hidden="1" thickBot="1" x14ac:dyDescent="0.3">
      <c r="A3725" s="227"/>
      <c r="B3725" s="230"/>
      <c r="C3725" s="51"/>
      <c r="D3725" s="51"/>
      <c r="E3725" s="62"/>
      <c r="F3725" s="72" t="s">
        <v>523</v>
      </c>
      <c r="G3725" s="72" t="str">
        <f t="shared" si="63"/>
        <v/>
      </c>
      <c r="H3725" s="73"/>
      <c r="I3725" s="70"/>
      <c r="J3725" s="141">
        <v>0</v>
      </c>
    </row>
    <row r="3726" spans="1:10" ht="15.75" hidden="1" thickBot="1" x14ac:dyDescent="0.3">
      <c r="A3726" s="225" t="s">
        <v>1110</v>
      </c>
      <c r="B3726" s="228" t="str">
        <f>INDEX(Orçamentária!A:B,MATCH(Composições!A3726,Orçamentária!A:A,0),2)</f>
        <v>Locação de Container - Escritório</v>
      </c>
      <c r="C3726" s="37"/>
      <c r="D3726" s="22" t="str">
        <f>TRIM(INDEX(Orçamentária!C:C,MATCH(Composições!A3726,Orçamentária!A:A,0),1))</f>
        <v>mês</v>
      </c>
      <c r="E3726" s="23"/>
      <c r="F3726" s="45" t="s">
        <v>523</v>
      </c>
      <c r="G3726" s="24" t="str">
        <f t="shared" si="63"/>
        <v/>
      </c>
      <c r="H3726" s="25"/>
      <c r="I3726" s="26"/>
      <c r="J3726" s="141">
        <v>0</v>
      </c>
    </row>
    <row r="3727" spans="1:10" ht="15.75" hidden="1" thickBot="1" x14ac:dyDescent="0.3">
      <c r="A3727" s="231"/>
      <c r="B3727" s="244"/>
      <c r="C3727" s="28"/>
      <c r="D3727" s="28"/>
      <c r="E3727" s="29"/>
      <c r="F3727" s="50" t="s">
        <v>523</v>
      </c>
      <c r="G3727" s="50" t="str">
        <f t="shared" si="63"/>
        <v/>
      </c>
      <c r="H3727" s="69"/>
      <c r="I3727" s="70"/>
      <c r="J3727" s="141">
        <v>0</v>
      </c>
    </row>
    <row r="3728" spans="1:10" ht="39" hidden="1" thickBot="1" x14ac:dyDescent="0.3">
      <c r="A3728" s="231"/>
      <c r="B3728" s="244"/>
      <c r="C3728" s="32" t="s">
        <v>7717</v>
      </c>
      <c r="D3728" s="46" t="s">
        <v>127</v>
      </c>
      <c r="E3728" s="33">
        <v>1</v>
      </c>
      <c r="F3728" s="50">
        <v>1140</v>
      </c>
      <c r="G3728" s="50">
        <f t="shared" si="63"/>
        <v>1140</v>
      </c>
      <c r="H3728" s="35">
        <f>SUM(G3728:G3728)</f>
        <v>1140</v>
      </c>
      <c r="I3728" s="36"/>
      <c r="J3728" s="141">
        <v>0</v>
      </c>
    </row>
    <row r="3729" spans="1:10" ht="15.75" hidden="1" thickBot="1" x14ac:dyDescent="0.3">
      <c r="A3729" s="232"/>
      <c r="B3729" s="230"/>
      <c r="C3729" s="32"/>
      <c r="D3729" s="32"/>
      <c r="E3729" s="33"/>
      <c r="F3729" s="50" t="s">
        <v>523</v>
      </c>
      <c r="G3729" s="50" t="str">
        <f t="shared" si="63"/>
        <v/>
      </c>
      <c r="H3729" s="69"/>
      <c r="I3729" s="70"/>
      <c r="J3729" s="141">
        <v>0</v>
      </c>
    </row>
    <row r="3730" spans="1:10" ht="15.75" hidden="1" thickBot="1" x14ac:dyDescent="0.3">
      <c r="A3730" s="225" t="s">
        <v>1111</v>
      </c>
      <c r="B3730" s="228" t="str">
        <f>INDEX(Orçamentária!A:B,MATCH(Composições!A3730,Orçamentária!A:A,0),2)</f>
        <v>Abertura/fechamento de rasgo em concreto</v>
      </c>
      <c r="C3730" s="37"/>
      <c r="D3730" s="22" t="str">
        <f>TRIM(INDEX(Orçamentária!C:C,MATCH(Composições!A3730,Orçamentária!A:A,0),1))</f>
        <v>m</v>
      </c>
      <c r="E3730" s="23"/>
      <c r="F3730" s="38" t="s">
        <v>523</v>
      </c>
      <c r="G3730" s="24" t="str">
        <f t="shared" si="63"/>
        <v/>
      </c>
      <c r="H3730" s="25"/>
      <c r="I3730" s="26"/>
      <c r="J3730" s="141">
        <v>0</v>
      </c>
    </row>
    <row r="3731" spans="1:10" ht="15.75" hidden="1" thickBot="1" x14ac:dyDescent="0.3">
      <c r="A3731" s="226"/>
      <c r="B3731" s="244"/>
      <c r="C3731" s="28"/>
      <c r="D3731" s="28"/>
      <c r="E3731" s="29"/>
      <c r="F3731" s="39" t="s">
        <v>523</v>
      </c>
      <c r="G3731" s="27" t="str">
        <f t="shared" si="63"/>
        <v/>
      </c>
      <c r="H3731" s="31"/>
      <c r="I3731" s="27"/>
      <c r="J3731" s="141">
        <v>0</v>
      </c>
    </row>
    <row r="3732" spans="1:10" ht="26.25" hidden="1" thickBot="1" x14ac:dyDescent="0.3">
      <c r="A3732" s="226"/>
      <c r="B3732" s="244"/>
      <c r="C3732" s="32" t="s">
        <v>1112</v>
      </c>
      <c r="D3732" s="32" t="s">
        <v>945</v>
      </c>
      <c r="E3732" s="33">
        <v>0.183</v>
      </c>
      <c r="F3732" s="27">
        <v>22.229999999999997</v>
      </c>
      <c r="G3732" s="27">
        <f t="shared" si="63"/>
        <v>4.0680899999999998</v>
      </c>
      <c r="H3732" s="35">
        <f>SUM(G3732:G3738)</f>
        <v>41.338048129160001</v>
      </c>
      <c r="I3732" s="36"/>
      <c r="J3732" s="141">
        <v>0</v>
      </c>
    </row>
    <row r="3733" spans="1:10" ht="26.25" hidden="1" thickBot="1" x14ac:dyDescent="0.3">
      <c r="A3733" s="226"/>
      <c r="B3733" s="244"/>
      <c r="C3733" s="32" t="s">
        <v>1113</v>
      </c>
      <c r="D3733" s="32" t="s">
        <v>947</v>
      </c>
      <c r="E3733" s="33">
        <v>0.40100000000000002</v>
      </c>
      <c r="F3733" s="27">
        <v>20.9</v>
      </c>
      <c r="G3733" s="27">
        <f t="shared" si="63"/>
        <v>8.3809000000000005</v>
      </c>
      <c r="H3733" s="31"/>
      <c r="I3733" s="27"/>
      <c r="J3733" s="141">
        <v>0</v>
      </c>
    </row>
    <row r="3734" spans="1:10" ht="26.25" hidden="1" thickBot="1" x14ac:dyDescent="0.3">
      <c r="A3734" s="226"/>
      <c r="B3734" s="244"/>
      <c r="C3734" s="32" t="s">
        <v>107</v>
      </c>
      <c r="D3734" s="32" t="s">
        <v>12</v>
      </c>
      <c r="E3734" s="33">
        <v>9.0999999999999998E-2</v>
      </c>
      <c r="F3734" s="27">
        <v>19.094999999999999</v>
      </c>
      <c r="G3734" s="27">
        <f t="shared" si="63"/>
        <v>1.7376449999999999</v>
      </c>
      <c r="H3734" s="31"/>
      <c r="I3734" s="27"/>
      <c r="J3734" s="141">
        <v>0</v>
      </c>
    </row>
    <row r="3735" spans="1:10" ht="15.75" hidden="1" thickBot="1" x14ac:dyDescent="0.3">
      <c r="A3735" s="226"/>
      <c r="B3735" s="244"/>
      <c r="C3735" s="32" t="s">
        <v>39</v>
      </c>
      <c r="D3735" s="43" t="s">
        <v>12</v>
      </c>
      <c r="E3735" s="33">
        <v>0.58299999999999996</v>
      </c>
      <c r="F3735" s="27">
        <v>24.300999999999998</v>
      </c>
      <c r="G3735" s="27">
        <f t="shared" si="63"/>
        <v>14.167482999999999</v>
      </c>
      <c r="H3735" s="31"/>
      <c r="I3735" s="27"/>
      <c r="J3735" s="141">
        <v>0</v>
      </c>
    </row>
    <row r="3736" spans="1:10" ht="26.25" hidden="1" thickBot="1" x14ac:dyDescent="0.3">
      <c r="A3736" s="226"/>
      <c r="B3736" s="244"/>
      <c r="C3736" s="32" t="s">
        <v>107</v>
      </c>
      <c r="D3736" s="32" t="s">
        <v>12</v>
      </c>
      <c r="E3736" s="33">
        <v>3.7999999999999999E-2</v>
      </c>
      <c r="F3736" s="27">
        <v>19.094999999999999</v>
      </c>
      <c r="G3736" s="27">
        <f t="shared" si="63"/>
        <v>0.72560999999999998</v>
      </c>
      <c r="H3736" s="31"/>
      <c r="I3736" s="27"/>
      <c r="J3736" s="141">
        <v>0</v>
      </c>
    </row>
    <row r="3737" spans="1:10" ht="15.75" hidden="1" thickBot="1" x14ac:dyDescent="0.3">
      <c r="A3737" s="226"/>
      <c r="B3737" s="244"/>
      <c r="C3737" s="32" t="s">
        <v>39</v>
      </c>
      <c r="D3737" s="43" t="s">
        <v>12</v>
      </c>
      <c r="E3737" s="33">
        <v>0.27200000000000002</v>
      </c>
      <c r="F3737" s="27">
        <v>24.300999999999998</v>
      </c>
      <c r="G3737" s="27">
        <f t="shared" si="63"/>
        <v>6.6098720000000002</v>
      </c>
      <c r="H3737" s="31"/>
      <c r="I3737" s="27"/>
      <c r="J3737" s="141">
        <v>0</v>
      </c>
    </row>
    <row r="3738" spans="1:10" ht="26.25" hidden="1" thickBot="1" x14ac:dyDescent="0.3">
      <c r="A3738" s="226"/>
      <c r="B3738" s="244"/>
      <c r="C3738" s="32" t="s">
        <v>108</v>
      </c>
      <c r="D3738" s="32" t="s">
        <v>109</v>
      </c>
      <c r="E3738" s="33">
        <v>8.0000000000000002E-3</v>
      </c>
      <c r="F3738" s="30">
        <v>706.05601614500006</v>
      </c>
      <c r="G3738" s="30">
        <f t="shared" si="63"/>
        <v>5.6484481291600002</v>
      </c>
      <c r="H3738" s="31"/>
      <c r="I3738" s="27"/>
      <c r="J3738" s="141">
        <v>0</v>
      </c>
    </row>
    <row r="3739" spans="1:10" ht="15.75" hidden="1" thickBot="1" x14ac:dyDescent="0.3">
      <c r="A3739" s="227"/>
      <c r="B3739" s="230"/>
      <c r="C3739" s="32"/>
      <c r="D3739" s="32"/>
      <c r="E3739" s="33"/>
      <c r="F3739" s="27" t="s">
        <v>523</v>
      </c>
      <c r="G3739" s="27" t="str">
        <f t="shared" si="63"/>
        <v/>
      </c>
      <c r="H3739" s="31"/>
      <c r="I3739" s="27"/>
      <c r="J3739" s="141">
        <v>0</v>
      </c>
    </row>
    <row r="3740" spans="1:10" ht="15.75" hidden="1" thickBot="1" x14ac:dyDescent="0.3">
      <c r="A3740" s="225" t="s">
        <v>1114</v>
      </c>
      <c r="B3740" s="228" t="str">
        <f>INDEX(Orçamentária!A:B,MATCH(Composições!A3740,Orçamentária!A:A,0),2)</f>
        <v>Recomposição de rejuntamento sobre revestimentos</v>
      </c>
      <c r="C3740" s="37"/>
      <c r="D3740" s="22" t="str">
        <f>TRIM(INDEX(Orçamentária!C:C,MATCH(Composições!A3740,Orçamentária!A:A,0),1))</f>
        <v>m2</v>
      </c>
      <c r="E3740" s="23"/>
      <c r="F3740" s="45" t="s">
        <v>523</v>
      </c>
      <c r="G3740" s="24" t="str">
        <f t="shared" si="63"/>
        <v/>
      </c>
      <c r="H3740" s="25"/>
      <c r="I3740" s="26"/>
      <c r="J3740" s="141">
        <v>0</v>
      </c>
    </row>
    <row r="3741" spans="1:10" ht="15.75" hidden="1" thickBot="1" x14ac:dyDescent="0.3">
      <c r="A3741" s="231"/>
      <c r="B3741" s="244"/>
      <c r="C3741" s="28"/>
      <c r="D3741" s="28"/>
      <c r="E3741" s="29"/>
      <c r="F3741" s="50" t="s">
        <v>523</v>
      </c>
      <c r="G3741" s="50" t="str">
        <f t="shared" si="63"/>
        <v/>
      </c>
      <c r="H3741" s="69"/>
      <c r="I3741" s="70"/>
      <c r="J3741" s="141">
        <v>0</v>
      </c>
    </row>
    <row r="3742" spans="1:10" ht="15.75" hidden="1" thickBot="1" x14ac:dyDescent="0.3">
      <c r="A3742" s="231"/>
      <c r="B3742" s="244"/>
      <c r="C3742" s="32" t="s">
        <v>3536</v>
      </c>
      <c r="D3742" s="46" t="s">
        <v>42</v>
      </c>
      <c r="E3742" s="33">
        <v>0.25900000000000001</v>
      </c>
      <c r="F3742" s="50">
        <v>3.0590000000000002</v>
      </c>
      <c r="G3742" s="50">
        <f t="shared" si="63"/>
        <v>0.79228100000000001</v>
      </c>
      <c r="H3742" s="35">
        <f>SUM(G3742:G3743)</f>
        <v>10.002531000000001</v>
      </c>
      <c r="I3742" s="36"/>
      <c r="J3742" s="141">
        <v>0</v>
      </c>
    </row>
    <row r="3743" spans="1:10" ht="15.75" hidden="1" thickBot="1" x14ac:dyDescent="0.3">
      <c r="A3743" s="231"/>
      <c r="B3743" s="244"/>
      <c r="C3743" s="32" t="s">
        <v>23</v>
      </c>
      <c r="D3743" s="32" t="s">
        <v>12</v>
      </c>
      <c r="E3743" s="33">
        <f>0.25*2</f>
        <v>0.5</v>
      </c>
      <c r="F3743" s="50">
        <v>18.420500000000001</v>
      </c>
      <c r="G3743" s="50">
        <f t="shared" si="63"/>
        <v>9.2102500000000003</v>
      </c>
      <c r="H3743" s="69"/>
      <c r="I3743" s="70"/>
      <c r="J3743" s="141">
        <v>0</v>
      </c>
    </row>
    <row r="3744" spans="1:10" ht="15.75" hidden="1" thickBot="1" x14ac:dyDescent="0.3">
      <c r="A3744" s="232"/>
      <c r="B3744" s="230"/>
      <c r="C3744" s="32"/>
      <c r="D3744" s="32"/>
      <c r="E3744" s="33"/>
      <c r="F3744" s="50" t="s">
        <v>523</v>
      </c>
      <c r="G3744" s="50" t="str">
        <f t="shared" si="63"/>
        <v/>
      </c>
      <c r="H3744" s="69"/>
      <c r="I3744" s="70"/>
      <c r="J3744" s="141">
        <v>0</v>
      </c>
    </row>
    <row r="3745" spans="1:10" ht="15.75" hidden="1" thickBot="1" x14ac:dyDescent="0.3">
      <c r="A3745" s="225" t="s">
        <v>1115</v>
      </c>
      <c r="B3745" s="228" t="str">
        <f>INDEX(Orçamentária!A:B,MATCH(Composições!A3745,Orçamentária!A:A,0),2)</f>
        <v>Impermeabilização de revestimentos em pedra</v>
      </c>
      <c r="C3745" s="37"/>
      <c r="D3745" s="22" t="str">
        <f>TRIM(INDEX(Orçamentária!C:C,MATCH(Composições!A3745,Orçamentária!A:A,0),1))</f>
        <v>m2</v>
      </c>
      <c r="E3745" s="23"/>
      <c r="F3745" s="45" t="s">
        <v>523</v>
      </c>
      <c r="G3745" s="24" t="str">
        <f t="shared" si="63"/>
        <v/>
      </c>
      <c r="H3745" s="25"/>
      <c r="I3745" s="26"/>
      <c r="J3745" s="141">
        <v>0</v>
      </c>
    </row>
    <row r="3746" spans="1:10" ht="15.75" hidden="1" thickBot="1" x14ac:dyDescent="0.3">
      <c r="A3746" s="231"/>
      <c r="B3746" s="244"/>
      <c r="C3746" s="28"/>
      <c r="D3746" s="28"/>
      <c r="E3746" s="29"/>
      <c r="F3746" s="50" t="s">
        <v>523</v>
      </c>
      <c r="G3746" s="50" t="str">
        <f t="shared" si="63"/>
        <v/>
      </c>
      <c r="H3746" s="69"/>
      <c r="I3746" s="70"/>
      <c r="J3746" s="141">
        <v>0</v>
      </c>
    </row>
    <row r="3747" spans="1:10" ht="15.75" hidden="1" thickBot="1" x14ac:dyDescent="0.3">
      <c r="A3747" s="231"/>
      <c r="B3747" s="244"/>
      <c r="C3747" s="32" t="s">
        <v>1116</v>
      </c>
      <c r="D3747" s="46" t="s">
        <v>102</v>
      </c>
      <c r="E3747" s="33">
        <f>ROUND(1/12,4)</f>
        <v>8.3299999999999999E-2</v>
      </c>
      <c r="F3747" s="50" t="s">
        <v>523</v>
      </c>
      <c r="G3747" s="50" t="str">
        <f t="shared" si="63"/>
        <v/>
      </c>
      <c r="H3747" s="35">
        <f>SUM(G3747:G3749)</f>
        <v>20.460149999999999</v>
      </c>
      <c r="I3747" s="36"/>
      <c r="J3747" s="141">
        <v>0</v>
      </c>
    </row>
    <row r="3748" spans="1:10" ht="15.75" hidden="1" thickBot="1" x14ac:dyDescent="0.3">
      <c r="A3748" s="231"/>
      <c r="B3748" s="244"/>
      <c r="C3748" s="32" t="s">
        <v>1017</v>
      </c>
      <c r="D3748" s="32" t="s">
        <v>705</v>
      </c>
      <c r="E3748" s="33">
        <f>1.2/2</f>
        <v>0.6</v>
      </c>
      <c r="F3748" s="50">
        <v>24.889999999999997</v>
      </c>
      <c r="G3748" s="50">
        <f t="shared" si="63"/>
        <v>14.933999999999997</v>
      </c>
      <c r="H3748" s="69"/>
      <c r="I3748" s="70"/>
      <c r="J3748" s="141">
        <v>0</v>
      </c>
    </row>
    <row r="3749" spans="1:10" ht="15.75" hidden="1" thickBot="1" x14ac:dyDescent="0.3">
      <c r="A3749" s="231"/>
      <c r="B3749" s="244"/>
      <c r="C3749" s="32" t="s">
        <v>23</v>
      </c>
      <c r="D3749" s="32" t="s">
        <v>705</v>
      </c>
      <c r="E3749" s="33">
        <f>0.6/2</f>
        <v>0.3</v>
      </c>
      <c r="F3749" s="50">
        <v>18.420500000000001</v>
      </c>
      <c r="G3749" s="50">
        <f t="shared" si="63"/>
        <v>5.5261500000000003</v>
      </c>
      <c r="H3749" s="69"/>
      <c r="I3749" s="70"/>
      <c r="J3749" s="141">
        <v>0</v>
      </c>
    </row>
    <row r="3750" spans="1:10" ht="15.75" hidden="1" thickBot="1" x14ac:dyDescent="0.3">
      <c r="A3750" s="231"/>
      <c r="B3750" s="244"/>
      <c r="C3750" s="32"/>
      <c r="D3750" s="32"/>
      <c r="E3750" s="33"/>
      <c r="F3750" s="50" t="s">
        <v>523</v>
      </c>
      <c r="G3750" s="50" t="str">
        <f t="shared" si="63"/>
        <v/>
      </c>
      <c r="H3750" s="69"/>
      <c r="I3750" s="70"/>
      <c r="J3750" s="141">
        <v>0</v>
      </c>
    </row>
    <row r="3751" spans="1:10" ht="26.25" hidden="1" thickBot="1" x14ac:dyDescent="0.3">
      <c r="A3751" s="231"/>
      <c r="B3751" s="244"/>
      <c r="C3751" s="44" t="s">
        <v>1117</v>
      </c>
      <c r="D3751" s="32"/>
      <c r="E3751" s="33"/>
      <c r="F3751" s="50" t="s">
        <v>523</v>
      </c>
      <c r="G3751" s="50" t="str">
        <f t="shared" si="63"/>
        <v/>
      </c>
      <c r="H3751" s="69"/>
      <c r="I3751" s="70"/>
      <c r="J3751" s="141">
        <v>0</v>
      </c>
    </row>
    <row r="3752" spans="1:10" ht="15.75" hidden="1" thickBot="1" x14ac:dyDescent="0.3">
      <c r="A3752" s="231"/>
      <c r="B3752" s="244"/>
      <c r="C3752" s="44" t="s">
        <v>1118</v>
      </c>
      <c r="D3752" s="32"/>
      <c r="E3752" s="33"/>
      <c r="F3752" s="50" t="s">
        <v>523</v>
      </c>
      <c r="G3752" s="50" t="str">
        <f t="shared" si="63"/>
        <v/>
      </c>
      <c r="H3752" s="69"/>
      <c r="I3752" s="70"/>
      <c r="J3752" s="141">
        <v>0</v>
      </c>
    </row>
    <row r="3753" spans="1:10" ht="15.75" hidden="1" thickBot="1" x14ac:dyDescent="0.3">
      <c r="A3753" s="232"/>
      <c r="B3753" s="230"/>
      <c r="C3753" s="32"/>
      <c r="D3753" s="32"/>
      <c r="E3753" s="33"/>
      <c r="F3753" s="50" t="s">
        <v>523</v>
      </c>
      <c r="G3753" s="50" t="str">
        <f t="shared" si="63"/>
        <v/>
      </c>
      <c r="H3753" s="69"/>
      <c r="I3753" s="70"/>
      <c r="J3753" s="141">
        <v>0</v>
      </c>
    </row>
    <row r="3754" spans="1:10" ht="15.75" hidden="1" thickBot="1" x14ac:dyDescent="0.3">
      <c r="A3754" s="225" t="s">
        <v>1119</v>
      </c>
      <c r="B3754" s="228" t="str">
        <f>INDEX(Orçamentária!A:B,MATCH(Composições!A3754,Orçamentária!A:A,0),2)</f>
        <v>Piso vinílico semiflexível</v>
      </c>
      <c r="C3754" s="37"/>
      <c r="D3754" s="22" t="str">
        <f>TRIM(INDEX(Orçamentária!C:C,MATCH(Composições!A3754,Orçamentária!A:A,0),1))</f>
        <v>m2</v>
      </c>
      <c r="E3754" s="23"/>
      <c r="F3754" s="45" t="s">
        <v>523</v>
      </c>
      <c r="G3754" s="24" t="str">
        <f t="shared" si="63"/>
        <v/>
      </c>
      <c r="H3754" s="25"/>
      <c r="I3754" s="26"/>
      <c r="J3754" s="141">
        <v>0</v>
      </c>
    </row>
    <row r="3755" spans="1:10" ht="15.75" hidden="1" thickBot="1" x14ac:dyDescent="0.3">
      <c r="A3755" s="226"/>
      <c r="B3755" s="244"/>
      <c r="C3755" s="28"/>
      <c r="D3755" s="28"/>
      <c r="E3755" s="29"/>
      <c r="F3755" s="50" t="s">
        <v>523</v>
      </c>
      <c r="G3755" s="50" t="str">
        <f t="shared" si="63"/>
        <v/>
      </c>
      <c r="H3755" s="69"/>
      <c r="I3755" s="70"/>
      <c r="J3755" s="141">
        <v>0</v>
      </c>
    </row>
    <row r="3756" spans="1:10" ht="15.75" hidden="1" thickBot="1" x14ac:dyDescent="0.3">
      <c r="A3756" s="226"/>
      <c r="B3756" s="244"/>
      <c r="C3756" s="32" t="s">
        <v>6626</v>
      </c>
      <c r="D3756" s="32" t="s">
        <v>901</v>
      </c>
      <c r="E3756" s="33">
        <v>9.5000000000000001E-2</v>
      </c>
      <c r="F3756" s="50">
        <v>45.637999999999998</v>
      </c>
      <c r="G3756" s="50">
        <f t="shared" si="63"/>
        <v>4.33561</v>
      </c>
      <c r="H3756" s="35">
        <f>SUM(G3756:G3759)</f>
        <v>119.7833625</v>
      </c>
      <c r="I3756" s="36"/>
      <c r="J3756" s="141">
        <v>0</v>
      </c>
    </row>
    <row r="3757" spans="1:10" ht="26.25" hidden="1" thickBot="1" x14ac:dyDescent="0.3">
      <c r="A3757" s="226"/>
      <c r="B3757" s="244"/>
      <c r="C3757" s="32" t="s">
        <v>1120</v>
      </c>
      <c r="D3757" s="32" t="s">
        <v>995</v>
      </c>
      <c r="E3757" s="33">
        <v>1.1100000000000001</v>
      </c>
      <c r="F3757" s="50">
        <v>98.761999999999986</v>
      </c>
      <c r="G3757" s="50">
        <f t="shared" si="63"/>
        <v>109.62581999999999</v>
      </c>
      <c r="H3757" s="69"/>
      <c r="I3757" s="70"/>
      <c r="J3757" s="141">
        <v>0</v>
      </c>
    </row>
    <row r="3758" spans="1:10" ht="15.75" hidden="1" thickBot="1" x14ac:dyDescent="0.3">
      <c r="A3758" s="226"/>
      <c r="B3758" s="244"/>
      <c r="C3758" s="32" t="s">
        <v>713</v>
      </c>
      <c r="D3758" s="32" t="s">
        <v>705</v>
      </c>
      <c r="E3758" s="33">
        <v>0.17100000000000001</v>
      </c>
      <c r="F3758" s="50">
        <v>24.889999999999997</v>
      </c>
      <c r="G3758" s="50">
        <f t="shared" si="63"/>
        <v>4.2561900000000001</v>
      </c>
      <c r="H3758" s="69"/>
      <c r="I3758" s="70"/>
      <c r="J3758" s="141">
        <v>0</v>
      </c>
    </row>
    <row r="3759" spans="1:10" ht="15.75" hidden="1" thickBot="1" x14ac:dyDescent="0.3">
      <c r="A3759" s="226"/>
      <c r="B3759" s="244"/>
      <c r="C3759" s="32" t="s">
        <v>706</v>
      </c>
      <c r="D3759" s="32" t="s">
        <v>705</v>
      </c>
      <c r="E3759" s="33">
        <v>8.5000000000000006E-2</v>
      </c>
      <c r="F3759" s="50">
        <v>18.420500000000001</v>
      </c>
      <c r="G3759" s="50">
        <f t="shared" si="63"/>
        <v>1.5657425000000003</v>
      </c>
      <c r="H3759" s="69"/>
      <c r="I3759" s="70"/>
      <c r="J3759" s="141">
        <v>0</v>
      </c>
    </row>
    <row r="3760" spans="1:10" ht="15.75" hidden="1" thickBot="1" x14ac:dyDescent="0.3">
      <c r="A3760" s="226"/>
      <c r="B3760" s="244"/>
      <c r="C3760" s="32"/>
      <c r="D3760" s="32"/>
      <c r="E3760" s="33"/>
      <c r="F3760" s="50" t="s">
        <v>523</v>
      </c>
      <c r="G3760" s="50" t="str">
        <f t="shared" si="63"/>
        <v/>
      </c>
      <c r="H3760" s="69"/>
      <c r="I3760" s="70"/>
      <c r="J3760" s="141">
        <v>0</v>
      </c>
    </row>
    <row r="3761" spans="1:10" ht="15.75" hidden="1" thickBot="1" x14ac:dyDescent="0.3">
      <c r="A3761" s="225" t="s">
        <v>1121</v>
      </c>
      <c r="B3761" s="228" t="str">
        <f>INDEX(Orçamentária!A:B,MATCH(Composições!A3761,Orçamentária!A:A,0),2)</f>
        <v>Locação de Container - Sanitário</v>
      </c>
      <c r="C3761" s="37"/>
      <c r="D3761" s="22" t="str">
        <f>TRIM(INDEX(Orçamentária!C:C,MATCH(Composições!A3761,Orçamentária!A:A,0),1))</f>
        <v>mês</v>
      </c>
      <c r="E3761" s="23"/>
      <c r="F3761" s="45" t="s">
        <v>523</v>
      </c>
      <c r="G3761" s="24" t="str">
        <f t="shared" ref="G3761:G3824" si="64">IF(ISNUMBER(F3761),E3761*F3761,"")</f>
        <v/>
      </c>
      <c r="H3761" s="25"/>
      <c r="I3761" s="26"/>
      <c r="J3761" s="141">
        <v>0</v>
      </c>
    </row>
    <row r="3762" spans="1:10" ht="15.75" hidden="1" thickBot="1" x14ac:dyDescent="0.3">
      <c r="A3762" s="231"/>
      <c r="B3762" s="244"/>
      <c r="C3762" s="28"/>
      <c r="D3762" s="28"/>
      <c r="E3762" s="29"/>
      <c r="F3762" s="50" t="s">
        <v>523</v>
      </c>
      <c r="G3762" s="50" t="str">
        <f t="shared" si="64"/>
        <v/>
      </c>
      <c r="H3762" s="69"/>
      <c r="I3762" s="70"/>
      <c r="J3762" s="141">
        <v>0</v>
      </c>
    </row>
    <row r="3763" spans="1:10" ht="39" hidden="1" thickBot="1" x14ac:dyDescent="0.3">
      <c r="A3763" s="231"/>
      <c r="B3763" s="244"/>
      <c r="C3763" s="32" t="s">
        <v>7719</v>
      </c>
      <c r="D3763" s="46" t="s">
        <v>127</v>
      </c>
      <c r="E3763" s="33">
        <v>1</v>
      </c>
      <c r="F3763" s="50">
        <v>1425</v>
      </c>
      <c r="G3763" s="50">
        <f t="shared" si="64"/>
        <v>1425</v>
      </c>
      <c r="H3763" s="35">
        <f>SUM(G3763:G3763)</f>
        <v>1425</v>
      </c>
      <c r="I3763" s="36"/>
      <c r="J3763" s="141">
        <v>0</v>
      </c>
    </row>
    <row r="3764" spans="1:10" ht="15.75" hidden="1" thickBot="1" x14ac:dyDescent="0.3">
      <c r="A3764" s="232"/>
      <c r="B3764" s="230"/>
      <c r="C3764" s="32"/>
      <c r="D3764" s="32"/>
      <c r="E3764" s="33"/>
      <c r="F3764" s="50" t="s">
        <v>523</v>
      </c>
      <c r="G3764" s="50" t="str">
        <f t="shared" si="64"/>
        <v/>
      </c>
      <c r="H3764" s="69"/>
      <c r="I3764" s="70"/>
      <c r="J3764" s="141">
        <v>0</v>
      </c>
    </row>
    <row r="3765" spans="1:10" ht="15.75" hidden="1" thickBot="1" x14ac:dyDescent="0.3">
      <c r="A3765" s="225" t="s">
        <v>1122</v>
      </c>
      <c r="B3765" s="228" t="str">
        <f>INDEX(Orçamentária!A:B,MATCH(Composições!A3765,Orçamentária!A:A,0),2)</f>
        <v>Locação de Container - Almoxarifado</v>
      </c>
      <c r="C3765" s="37"/>
      <c r="D3765" s="22" t="str">
        <f>TRIM(INDEX(Orçamentária!C:C,MATCH(Composições!A3765,Orçamentária!A:A,0),1))</f>
        <v>mês</v>
      </c>
      <c r="E3765" s="23"/>
      <c r="F3765" s="45" t="s">
        <v>523</v>
      </c>
      <c r="G3765" s="24" t="str">
        <f t="shared" si="64"/>
        <v/>
      </c>
      <c r="H3765" s="25"/>
      <c r="I3765" s="26"/>
      <c r="J3765" s="141">
        <v>0</v>
      </c>
    </row>
    <row r="3766" spans="1:10" ht="15.75" hidden="1" thickBot="1" x14ac:dyDescent="0.3">
      <c r="A3766" s="231"/>
      <c r="B3766" s="244"/>
      <c r="C3766" s="28"/>
      <c r="D3766" s="28"/>
      <c r="E3766" s="29"/>
      <c r="F3766" s="50" t="s">
        <v>523</v>
      </c>
      <c r="G3766" s="50" t="str">
        <f t="shared" si="64"/>
        <v/>
      </c>
      <c r="H3766" s="69"/>
      <c r="I3766" s="70"/>
      <c r="J3766" s="141">
        <v>0</v>
      </c>
    </row>
    <row r="3767" spans="1:10" ht="39" hidden="1" thickBot="1" x14ac:dyDescent="0.3">
      <c r="A3767" s="231"/>
      <c r="B3767" s="244"/>
      <c r="C3767" s="32" t="s">
        <v>7718</v>
      </c>
      <c r="D3767" s="46" t="s">
        <v>127</v>
      </c>
      <c r="E3767" s="33">
        <v>1</v>
      </c>
      <c r="F3767" s="50">
        <v>890.625</v>
      </c>
      <c r="G3767" s="50">
        <f t="shared" si="64"/>
        <v>890.625</v>
      </c>
      <c r="H3767" s="35">
        <f>SUM(G3767:G3767)</f>
        <v>890.625</v>
      </c>
      <c r="I3767" s="36"/>
      <c r="J3767" s="141">
        <v>0</v>
      </c>
    </row>
    <row r="3768" spans="1:10" ht="15.75" hidden="1" thickBot="1" x14ac:dyDescent="0.3">
      <c r="A3768" s="232"/>
      <c r="B3768" s="230"/>
      <c r="C3768" s="32"/>
      <c r="D3768" s="32"/>
      <c r="E3768" s="33"/>
      <c r="F3768" s="50" t="s">
        <v>523</v>
      </c>
      <c r="G3768" s="50" t="str">
        <f t="shared" si="64"/>
        <v/>
      </c>
      <c r="H3768" s="69"/>
      <c r="I3768" s="70"/>
      <c r="J3768" s="141">
        <v>0</v>
      </c>
    </row>
    <row r="3769" spans="1:10" ht="15.75" hidden="1" thickBot="1" x14ac:dyDescent="0.3">
      <c r="A3769" s="225" t="s">
        <v>1123</v>
      </c>
      <c r="B3769" s="228" t="str">
        <f>INDEX(Orçamentária!A:B,MATCH(Composições!A3769,Orçamentária!A:A,0),2)</f>
        <v>Placa de Obra</v>
      </c>
      <c r="C3769" s="37"/>
      <c r="D3769" s="22" t="str">
        <f>TRIM(INDEX(Orçamentária!C:C,MATCH(Composições!A3769,Orçamentária!A:A,0),1))</f>
        <v>m2</v>
      </c>
      <c r="E3769" s="23"/>
      <c r="F3769" s="45" t="s">
        <v>523</v>
      </c>
      <c r="G3769" s="24" t="str">
        <f t="shared" si="64"/>
        <v/>
      </c>
      <c r="H3769" s="25"/>
      <c r="I3769" s="26"/>
      <c r="J3769" s="141">
        <v>0</v>
      </c>
    </row>
    <row r="3770" spans="1:10" ht="15.75" hidden="1" thickBot="1" x14ac:dyDescent="0.3">
      <c r="A3770" s="226"/>
      <c r="B3770" s="244"/>
      <c r="C3770" s="28"/>
      <c r="D3770" s="28"/>
      <c r="E3770" s="29"/>
      <c r="F3770" s="50" t="s">
        <v>523</v>
      </c>
      <c r="G3770" s="50" t="str">
        <f t="shared" si="64"/>
        <v/>
      </c>
      <c r="H3770" s="69"/>
      <c r="I3770" s="70"/>
      <c r="J3770" s="141">
        <v>0</v>
      </c>
    </row>
    <row r="3771" spans="1:10" ht="39" hidden="1" thickBot="1" x14ac:dyDescent="0.3">
      <c r="A3771" s="226"/>
      <c r="B3771" s="244"/>
      <c r="C3771" s="32" t="s">
        <v>6810</v>
      </c>
      <c r="D3771" s="32" t="s">
        <v>995</v>
      </c>
      <c r="E3771" s="33">
        <v>1</v>
      </c>
      <c r="F3771" s="50">
        <v>408.5</v>
      </c>
      <c r="G3771" s="50">
        <f t="shared" si="64"/>
        <v>408.5</v>
      </c>
      <c r="H3771" s="35">
        <f>SUM(G3771:G3772)</f>
        <v>408.5</v>
      </c>
      <c r="I3771" s="36"/>
      <c r="J3771" s="141">
        <v>0</v>
      </c>
    </row>
    <row r="3772" spans="1:10" ht="15.75" hidden="1" thickBot="1" x14ac:dyDescent="0.3">
      <c r="A3772" s="227"/>
      <c r="B3772" s="230"/>
      <c r="C3772" s="51"/>
      <c r="D3772" s="51"/>
      <c r="E3772" s="62"/>
      <c r="F3772" s="72" t="s">
        <v>523</v>
      </c>
      <c r="G3772" s="72" t="str">
        <f t="shared" si="64"/>
        <v/>
      </c>
      <c r="H3772" s="73"/>
      <c r="I3772" s="70"/>
      <c r="J3772" s="141">
        <v>0</v>
      </c>
    </row>
    <row r="3773" spans="1:10" ht="15.75" hidden="1" thickBot="1" x14ac:dyDescent="0.3">
      <c r="A3773" s="225" t="s">
        <v>2915</v>
      </c>
      <c r="B3773" s="228" t="str">
        <f>INDEX(Orçamentária!A:B,MATCH(Composições!A3773,Orçamentária!A:A,0),2)</f>
        <v>Supervisor(a) de Obras e Manutenção – Apoio a Projetos de Obras – Arquitetura, civil e hidrossanitária</v>
      </c>
      <c r="C3773" s="37"/>
      <c r="D3773" s="22" t="str">
        <f>TRIM(INDEX(Orçamentária!C:C,MATCH(Composições!A3773,Orçamentária!A:A,0),1))</f>
        <v>Profissional</v>
      </c>
      <c r="E3773" s="23"/>
      <c r="F3773" s="45" t="s">
        <v>523</v>
      </c>
      <c r="G3773" s="24" t="str">
        <f t="shared" si="64"/>
        <v/>
      </c>
      <c r="H3773" s="25"/>
      <c r="I3773" s="26"/>
      <c r="J3773" s="141">
        <v>0</v>
      </c>
    </row>
    <row r="3774" spans="1:10" ht="15.75" hidden="1" thickBot="1" x14ac:dyDescent="0.3">
      <c r="A3774" s="226"/>
      <c r="B3774" s="244"/>
      <c r="C3774" s="28"/>
      <c r="D3774" s="28"/>
      <c r="E3774" s="29"/>
      <c r="F3774" s="50" t="s">
        <v>523</v>
      </c>
      <c r="G3774" s="50" t="str">
        <f t="shared" si="64"/>
        <v/>
      </c>
      <c r="H3774" s="69"/>
      <c r="I3774" s="70"/>
      <c r="J3774" s="141">
        <v>0</v>
      </c>
    </row>
    <row r="3775" spans="1:10" ht="15.75" hidden="1" thickBot="1" x14ac:dyDescent="0.3">
      <c r="A3775" s="226"/>
      <c r="B3775" s="244"/>
      <c r="C3775" s="32" t="s">
        <v>1217</v>
      </c>
      <c r="D3775" s="32" t="s">
        <v>127</v>
      </c>
      <c r="E3775" s="33">
        <f>ROUND(1/(1+70.03%),4)</f>
        <v>0.58809999999999996</v>
      </c>
      <c r="F3775" s="50">
        <v>2852.1849999999999</v>
      </c>
      <c r="G3775" s="50">
        <f t="shared" si="64"/>
        <v>1677.3699984999998</v>
      </c>
      <c r="H3775" s="35">
        <f>SUM(G3775:G3778)</f>
        <v>1677.3699984999998</v>
      </c>
      <c r="I3775" s="36"/>
      <c r="J3775" s="141">
        <v>0</v>
      </c>
    </row>
    <row r="3776" spans="1:10" ht="15.75" hidden="1" thickBot="1" x14ac:dyDescent="0.3">
      <c r="A3776" s="226"/>
      <c r="B3776" s="244"/>
      <c r="C3776" s="32"/>
      <c r="D3776" s="32"/>
      <c r="E3776" s="33"/>
      <c r="F3776" s="50" t="s">
        <v>523</v>
      </c>
      <c r="G3776" s="50" t="str">
        <f t="shared" si="64"/>
        <v/>
      </c>
      <c r="H3776" s="69"/>
      <c r="I3776" s="70"/>
      <c r="J3776" s="141">
        <v>0</v>
      </c>
    </row>
    <row r="3777" spans="1:10" ht="26.25" hidden="1" thickBot="1" x14ac:dyDescent="0.3">
      <c r="A3777" s="226"/>
      <c r="B3777" s="244"/>
      <c r="C3777" s="44" t="s">
        <v>783</v>
      </c>
      <c r="D3777" s="32"/>
      <c r="E3777" s="33"/>
      <c r="F3777" s="50" t="s">
        <v>523</v>
      </c>
      <c r="G3777" s="50" t="str">
        <f t="shared" si="64"/>
        <v/>
      </c>
      <c r="H3777" s="69"/>
      <c r="I3777" s="70"/>
      <c r="J3777" s="141">
        <v>0</v>
      </c>
    </row>
    <row r="3778" spans="1:10" ht="15.75" hidden="1" thickBot="1" x14ac:dyDescent="0.3">
      <c r="A3778" s="227"/>
      <c r="B3778" s="230"/>
      <c r="C3778" s="51"/>
      <c r="D3778" s="51"/>
      <c r="E3778" s="62"/>
      <c r="F3778" s="72" t="s">
        <v>523</v>
      </c>
      <c r="G3778" s="72" t="str">
        <f t="shared" si="64"/>
        <v/>
      </c>
      <c r="H3778" s="73"/>
      <c r="I3778" s="70"/>
      <c r="J3778" s="141">
        <v>0</v>
      </c>
    </row>
    <row r="3779" spans="1:10" ht="15.75" hidden="1" thickBot="1" x14ac:dyDescent="0.3">
      <c r="A3779" s="225" t="s">
        <v>2917</v>
      </c>
      <c r="B3779" s="228" t="str">
        <f>INDEX(Orçamentária!A:B,MATCH(Composições!A3779,Orçamentária!A:A,0),2)</f>
        <v>Supervisor de Obras e Manutenção - Apoio a Projetos e Obras - Eletromecânico</v>
      </c>
      <c r="C3779" s="37"/>
      <c r="D3779" s="22" t="str">
        <f>TRIM(INDEX(Orçamentária!C:C,MATCH(Composições!A3779,Orçamentária!A:A,0),1))</f>
        <v>Profissional</v>
      </c>
      <c r="E3779" s="23"/>
      <c r="F3779" s="45" t="s">
        <v>523</v>
      </c>
      <c r="G3779" s="24" t="str">
        <f t="shared" si="64"/>
        <v/>
      </c>
      <c r="H3779" s="25"/>
      <c r="I3779" s="26"/>
      <c r="J3779" s="141">
        <v>0</v>
      </c>
    </row>
    <row r="3780" spans="1:10" ht="15.75" hidden="1" thickBot="1" x14ac:dyDescent="0.3">
      <c r="A3780" s="226"/>
      <c r="B3780" s="244"/>
      <c r="C3780" s="28"/>
      <c r="D3780" s="28"/>
      <c r="E3780" s="29"/>
      <c r="F3780" s="50" t="s">
        <v>523</v>
      </c>
      <c r="G3780" s="50" t="str">
        <f t="shared" si="64"/>
        <v/>
      </c>
      <c r="H3780" s="69"/>
      <c r="I3780" s="70"/>
      <c r="J3780" s="141">
        <v>0</v>
      </c>
    </row>
    <row r="3781" spans="1:10" ht="15.75" hidden="1" thickBot="1" x14ac:dyDescent="0.3">
      <c r="A3781" s="226"/>
      <c r="B3781" s="244"/>
      <c r="C3781" s="32" t="s">
        <v>1217</v>
      </c>
      <c r="D3781" s="32" t="s">
        <v>127</v>
      </c>
      <c r="E3781" s="33">
        <f t="shared" ref="E3781" si="65">ROUND(1/(1+70.03%),4)</f>
        <v>0.58809999999999996</v>
      </c>
      <c r="F3781" s="50">
        <v>2852.1849999999999</v>
      </c>
      <c r="G3781" s="50">
        <f t="shared" si="64"/>
        <v>1677.3699984999998</v>
      </c>
      <c r="H3781" s="35">
        <f>SUM(G3781:G3784)</f>
        <v>1677.3699984999998</v>
      </c>
      <c r="I3781" s="36"/>
      <c r="J3781" s="141">
        <v>0</v>
      </c>
    </row>
    <row r="3782" spans="1:10" ht="15.75" hidden="1" thickBot="1" x14ac:dyDescent="0.3">
      <c r="A3782" s="226"/>
      <c r="B3782" s="244"/>
      <c r="C3782" s="32"/>
      <c r="D3782" s="32"/>
      <c r="E3782" s="33"/>
      <c r="F3782" s="50" t="s">
        <v>523</v>
      </c>
      <c r="G3782" s="50" t="str">
        <f t="shared" si="64"/>
        <v/>
      </c>
      <c r="H3782" s="69"/>
      <c r="I3782" s="70"/>
      <c r="J3782" s="141">
        <v>0</v>
      </c>
    </row>
    <row r="3783" spans="1:10" ht="26.25" hidden="1" thickBot="1" x14ac:dyDescent="0.3">
      <c r="A3783" s="226"/>
      <c r="B3783" s="244"/>
      <c r="C3783" s="44" t="s">
        <v>783</v>
      </c>
      <c r="D3783" s="32"/>
      <c r="E3783" s="33"/>
      <c r="F3783" s="50" t="s">
        <v>523</v>
      </c>
      <c r="G3783" s="50" t="str">
        <f t="shared" si="64"/>
        <v/>
      </c>
      <c r="H3783" s="69"/>
      <c r="I3783" s="70"/>
      <c r="J3783" s="141">
        <v>0</v>
      </c>
    </row>
    <row r="3784" spans="1:10" ht="15.75" hidden="1" thickBot="1" x14ac:dyDescent="0.3">
      <c r="A3784" s="227"/>
      <c r="B3784" s="230"/>
      <c r="C3784" s="51"/>
      <c r="D3784" s="51"/>
      <c r="E3784" s="62"/>
      <c r="F3784" s="72" t="s">
        <v>523</v>
      </c>
      <c r="G3784" s="72" t="str">
        <f t="shared" si="64"/>
        <v/>
      </c>
      <c r="H3784" s="73"/>
      <c r="I3784" s="70"/>
      <c r="J3784" s="141">
        <v>0</v>
      </c>
    </row>
    <row r="3785" spans="1:10" ht="15.75" hidden="1" thickBot="1" x14ac:dyDescent="0.3">
      <c r="A3785" s="225" t="s">
        <v>2919</v>
      </c>
      <c r="B3785" s="228" t="str">
        <f>INDEX(Orçamentária!A:B,MATCH(Composições!A3785,Orçamentária!A:A,0),2)</f>
        <v>Supervisor de Obras e Manutenção – Apoio a projetos e obras - Orçamentos</v>
      </c>
      <c r="C3785" s="37"/>
      <c r="D3785" s="22" t="str">
        <f>TRIM(INDEX(Orçamentária!C:C,MATCH(Composições!A3785,Orçamentária!A:A,0),1))</f>
        <v>Profissional</v>
      </c>
      <c r="E3785" s="23"/>
      <c r="F3785" s="45" t="s">
        <v>523</v>
      </c>
      <c r="G3785" s="24" t="str">
        <f t="shared" si="64"/>
        <v/>
      </c>
      <c r="H3785" s="25"/>
      <c r="I3785" s="26"/>
      <c r="J3785" s="141">
        <v>0</v>
      </c>
    </row>
    <row r="3786" spans="1:10" ht="15.75" hidden="1" thickBot="1" x14ac:dyDescent="0.3">
      <c r="A3786" s="226"/>
      <c r="B3786" s="244"/>
      <c r="C3786" s="28"/>
      <c r="D3786" s="28"/>
      <c r="E3786" s="29"/>
      <c r="F3786" s="50" t="s">
        <v>523</v>
      </c>
      <c r="G3786" s="50" t="str">
        <f t="shared" si="64"/>
        <v/>
      </c>
      <c r="H3786" s="69"/>
      <c r="I3786" s="70"/>
      <c r="J3786" s="141">
        <v>0</v>
      </c>
    </row>
    <row r="3787" spans="1:10" ht="15.75" hidden="1" thickBot="1" x14ac:dyDescent="0.3">
      <c r="A3787" s="226"/>
      <c r="B3787" s="244"/>
      <c r="C3787" s="32" t="s">
        <v>1217</v>
      </c>
      <c r="D3787" s="32" t="s">
        <v>127</v>
      </c>
      <c r="E3787" s="33">
        <f t="shared" ref="E3787" si="66">ROUND(1/(1+70.03%),4)</f>
        <v>0.58809999999999996</v>
      </c>
      <c r="F3787" s="50">
        <v>2852.1849999999999</v>
      </c>
      <c r="G3787" s="50">
        <f t="shared" si="64"/>
        <v>1677.3699984999998</v>
      </c>
      <c r="H3787" s="35">
        <f>SUM(G3787:G3790)</f>
        <v>1677.3699984999998</v>
      </c>
      <c r="I3787" s="36"/>
      <c r="J3787" s="141">
        <v>0</v>
      </c>
    </row>
    <row r="3788" spans="1:10" ht="15.75" hidden="1" thickBot="1" x14ac:dyDescent="0.3">
      <c r="A3788" s="226"/>
      <c r="B3788" s="244"/>
      <c r="C3788" s="32"/>
      <c r="D3788" s="32"/>
      <c r="E3788" s="33"/>
      <c r="F3788" s="50" t="s">
        <v>523</v>
      </c>
      <c r="G3788" s="50" t="str">
        <f t="shared" si="64"/>
        <v/>
      </c>
      <c r="H3788" s="69"/>
      <c r="I3788" s="70"/>
      <c r="J3788" s="141">
        <v>0</v>
      </c>
    </row>
    <row r="3789" spans="1:10" ht="26.25" hidden="1" thickBot="1" x14ac:dyDescent="0.3">
      <c r="A3789" s="226"/>
      <c r="B3789" s="244"/>
      <c r="C3789" s="44" t="s">
        <v>783</v>
      </c>
      <c r="D3789" s="32"/>
      <c r="E3789" s="33"/>
      <c r="F3789" s="50" t="s">
        <v>523</v>
      </c>
      <c r="G3789" s="50" t="str">
        <f t="shared" si="64"/>
        <v/>
      </c>
      <c r="H3789" s="69"/>
      <c r="I3789" s="70"/>
      <c r="J3789" s="141">
        <v>0</v>
      </c>
    </row>
    <row r="3790" spans="1:10" ht="15.75" hidden="1" thickBot="1" x14ac:dyDescent="0.3">
      <c r="A3790" s="227"/>
      <c r="B3790" s="230"/>
      <c r="C3790" s="51"/>
      <c r="D3790" s="51"/>
      <c r="E3790" s="62"/>
      <c r="F3790" s="72" t="s">
        <v>523</v>
      </c>
      <c r="G3790" s="72" t="str">
        <f t="shared" si="64"/>
        <v/>
      </c>
      <c r="H3790" s="73"/>
      <c r="I3790" s="70"/>
      <c r="J3790" s="141">
        <v>0</v>
      </c>
    </row>
    <row r="3791" spans="1:10" ht="15.75" hidden="1" thickBot="1" x14ac:dyDescent="0.3">
      <c r="A3791" s="225" t="s">
        <v>2921</v>
      </c>
      <c r="B3791" s="228" t="str">
        <f>INDEX(Orçamentária!A:B,MATCH(Composições!A3791,Orçamentária!A:A,0),2)</f>
        <v>Supervisor de Obras e Manutenção – Apoio de campo – Sistemas de climatização</v>
      </c>
      <c r="C3791" s="37"/>
      <c r="D3791" s="22" t="str">
        <f>TRIM(INDEX(Orçamentária!C:C,MATCH(Composições!A3791,Orçamentária!A:A,0),1))</f>
        <v>Profissional</v>
      </c>
      <c r="E3791" s="23"/>
      <c r="F3791" s="45" t="s">
        <v>523</v>
      </c>
      <c r="G3791" s="24" t="str">
        <f t="shared" si="64"/>
        <v/>
      </c>
      <c r="H3791" s="25"/>
      <c r="I3791" s="26"/>
      <c r="J3791" s="141">
        <v>0</v>
      </c>
    </row>
    <row r="3792" spans="1:10" ht="15.75" hidden="1" thickBot="1" x14ac:dyDescent="0.3">
      <c r="A3792" s="226"/>
      <c r="B3792" s="244"/>
      <c r="C3792" s="28"/>
      <c r="D3792" s="28"/>
      <c r="E3792" s="29"/>
      <c r="F3792" s="50" t="s">
        <v>523</v>
      </c>
      <c r="G3792" s="50" t="str">
        <f t="shared" si="64"/>
        <v/>
      </c>
      <c r="H3792" s="69"/>
      <c r="I3792" s="70"/>
      <c r="J3792" s="141">
        <v>0</v>
      </c>
    </row>
    <row r="3793" spans="1:10" ht="15.75" hidden="1" thickBot="1" x14ac:dyDescent="0.3">
      <c r="A3793" s="226"/>
      <c r="B3793" s="244"/>
      <c r="C3793" s="32" t="s">
        <v>1217</v>
      </c>
      <c r="D3793" s="32" t="s">
        <v>127</v>
      </c>
      <c r="E3793" s="33">
        <f t="shared" ref="E3793" si="67">ROUND(1/(1+70.03%),4)</f>
        <v>0.58809999999999996</v>
      </c>
      <c r="F3793" s="50">
        <v>2852.1849999999999</v>
      </c>
      <c r="G3793" s="50">
        <f t="shared" si="64"/>
        <v>1677.3699984999998</v>
      </c>
      <c r="H3793" s="35">
        <f>SUM(G3793:G3796)</f>
        <v>1677.3699984999998</v>
      </c>
      <c r="I3793" s="36"/>
      <c r="J3793" s="141">
        <v>0</v>
      </c>
    </row>
    <row r="3794" spans="1:10" ht="15.75" hidden="1" thickBot="1" x14ac:dyDescent="0.3">
      <c r="A3794" s="226"/>
      <c r="B3794" s="244"/>
      <c r="C3794" s="32"/>
      <c r="D3794" s="32"/>
      <c r="E3794" s="33"/>
      <c r="F3794" s="50" t="s">
        <v>523</v>
      </c>
      <c r="G3794" s="50" t="str">
        <f t="shared" si="64"/>
        <v/>
      </c>
      <c r="H3794" s="69"/>
      <c r="I3794" s="70"/>
      <c r="J3794" s="141">
        <v>0</v>
      </c>
    </row>
    <row r="3795" spans="1:10" ht="26.25" hidden="1" thickBot="1" x14ac:dyDescent="0.3">
      <c r="A3795" s="226"/>
      <c r="B3795" s="244"/>
      <c r="C3795" s="44" t="s">
        <v>783</v>
      </c>
      <c r="D3795" s="32"/>
      <c r="E3795" s="33"/>
      <c r="F3795" s="50" t="s">
        <v>523</v>
      </c>
      <c r="G3795" s="50" t="str">
        <f t="shared" si="64"/>
        <v/>
      </c>
      <c r="H3795" s="69"/>
      <c r="I3795" s="70"/>
      <c r="J3795" s="141">
        <v>0</v>
      </c>
    </row>
    <row r="3796" spans="1:10" ht="15.75" hidden="1" thickBot="1" x14ac:dyDescent="0.3">
      <c r="A3796" s="227"/>
      <c r="B3796" s="230"/>
      <c r="C3796" s="51"/>
      <c r="D3796" s="51"/>
      <c r="E3796" s="62"/>
      <c r="F3796" s="72" t="s">
        <v>523</v>
      </c>
      <c r="G3796" s="72" t="str">
        <f t="shared" si="64"/>
        <v/>
      </c>
      <c r="H3796" s="73"/>
      <c r="I3796" s="70"/>
      <c r="J3796" s="141">
        <v>0</v>
      </c>
    </row>
    <row r="3797" spans="1:10" ht="15.75" hidden="1" thickBot="1" x14ac:dyDescent="0.3">
      <c r="A3797" s="225" t="s">
        <v>2923</v>
      </c>
      <c r="B3797" s="228" t="str">
        <f>INDEX(Orçamentária!A:B,MATCH(Composições!A3797,Orçamentária!A:A,0),2)</f>
        <v>Supervisor de Obras e Manutenção – Apoio de campo - Elevadores</v>
      </c>
      <c r="C3797" s="37"/>
      <c r="D3797" s="22" t="str">
        <f>TRIM(INDEX(Orçamentária!C:C,MATCH(Composições!A3797,Orçamentária!A:A,0),1))</f>
        <v>Profissional</v>
      </c>
      <c r="E3797" s="23"/>
      <c r="F3797" s="45" t="s">
        <v>523</v>
      </c>
      <c r="G3797" s="24" t="str">
        <f t="shared" si="64"/>
        <v/>
      </c>
      <c r="H3797" s="25"/>
      <c r="I3797" s="26"/>
      <c r="J3797" s="141">
        <v>0</v>
      </c>
    </row>
    <row r="3798" spans="1:10" ht="15.75" hidden="1" thickBot="1" x14ac:dyDescent="0.3">
      <c r="A3798" s="226"/>
      <c r="B3798" s="244"/>
      <c r="C3798" s="28"/>
      <c r="D3798" s="28"/>
      <c r="E3798" s="29"/>
      <c r="F3798" s="50" t="s">
        <v>523</v>
      </c>
      <c r="G3798" s="50" t="str">
        <f t="shared" si="64"/>
        <v/>
      </c>
      <c r="H3798" s="69"/>
      <c r="I3798" s="70"/>
      <c r="J3798" s="141">
        <v>0</v>
      </c>
    </row>
    <row r="3799" spans="1:10" ht="15.75" hidden="1" thickBot="1" x14ac:dyDescent="0.3">
      <c r="A3799" s="226"/>
      <c r="B3799" s="244"/>
      <c r="C3799" s="32" t="s">
        <v>1217</v>
      </c>
      <c r="D3799" s="32" t="s">
        <v>127</v>
      </c>
      <c r="E3799" s="33">
        <f t="shared" ref="E3799" si="68">ROUND(1/(1+70.03%),4)</f>
        <v>0.58809999999999996</v>
      </c>
      <c r="F3799" s="50">
        <v>2852.1849999999999</v>
      </c>
      <c r="G3799" s="50">
        <f t="shared" si="64"/>
        <v>1677.3699984999998</v>
      </c>
      <c r="H3799" s="35">
        <f>SUM(G3799:G3802)</f>
        <v>1677.3699984999998</v>
      </c>
      <c r="I3799" s="36"/>
      <c r="J3799" s="141">
        <v>0</v>
      </c>
    </row>
    <row r="3800" spans="1:10" ht="15.75" hidden="1" thickBot="1" x14ac:dyDescent="0.3">
      <c r="A3800" s="226"/>
      <c r="B3800" s="244"/>
      <c r="C3800" s="32"/>
      <c r="D3800" s="32"/>
      <c r="E3800" s="33"/>
      <c r="F3800" s="50" t="s">
        <v>523</v>
      </c>
      <c r="G3800" s="50" t="str">
        <f t="shared" si="64"/>
        <v/>
      </c>
      <c r="H3800" s="69"/>
      <c r="I3800" s="70"/>
      <c r="J3800" s="141">
        <v>0</v>
      </c>
    </row>
    <row r="3801" spans="1:10" ht="26.25" hidden="1" thickBot="1" x14ac:dyDescent="0.3">
      <c r="A3801" s="226"/>
      <c r="B3801" s="244"/>
      <c r="C3801" s="44" t="s">
        <v>783</v>
      </c>
      <c r="D3801" s="32"/>
      <c r="E3801" s="33"/>
      <c r="F3801" s="50" t="s">
        <v>523</v>
      </c>
      <c r="G3801" s="50" t="str">
        <f t="shared" si="64"/>
        <v/>
      </c>
      <c r="H3801" s="69"/>
      <c r="I3801" s="70"/>
      <c r="J3801" s="141">
        <v>0</v>
      </c>
    </row>
    <row r="3802" spans="1:10" ht="15.75" hidden="1" thickBot="1" x14ac:dyDescent="0.3">
      <c r="A3802" s="227"/>
      <c r="B3802" s="230"/>
      <c r="C3802" s="51"/>
      <c r="D3802" s="51"/>
      <c r="E3802" s="62"/>
      <c r="F3802" s="72" t="s">
        <v>523</v>
      </c>
      <c r="G3802" s="72" t="str">
        <f t="shared" si="64"/>
        <v/>
      </c>
      <c r="H3802" s="73"/>
      <c r="I3802" s="70"/>
      <c r="J3802" s="141">
        <v>0</v>
      </c>
    </row>
    <row r="3803" spans="1:10" ht="15.75" hidden="1" thickBot="1" x14ac:dyDescent="0.3">
      <c r="A3803" s="225" t="s">
        <v>2925</v>
      </c>
      <c r="B3803" s="228" t="str">
        <f>INDEX(Orçamentária!A:B,MATCH(Composições!A3803,Orçamentária!A:A,0),2)</f>
        <v>Supervisor de Obras e Manutenção – Apoio de campo - Eletrotécnico</v>
      </c>
      <c r="C3803" s="37"/>
      <c r="D3803" s="22" t="str">
        <f>TRIM(INDEX(Orçamentária!C:C,MATCH(Composições!A3803,Orçamentária!A:A,0),1))</f>
        <v>Profissional</v>
      </c>
      <c r="E3803" s="23"/>
      <c r="F3803" s="45" t="s">
        <v>523</v>
      </c>
      <c r="G3803" s="24" t="str">
        <f t="shared" si="64"/>
        <v/>
      </c>
      <c r="H3803" s="25"/>
      <c r="I3803" s="26"/>
      <c r="J3803" s="141">
        <v>0</v>
      </c>
    </row>
    <row r="3804" spans="1:10" ht="15.75" hidden="1" thickBot="1" x14ac:dyDescent="0.3">
      <c r="A3804" s="226"/>
      <c r="B3804" s="244"/>
      <c r="C3804" s="28"/>
      <c r="D3804" s="28"/>
      <c r="E3804" s="29"/>
      <c r="F3804" s="50" t="s">
        <v>523</v>
      </c>
      <c r="G3804" s="50" t="str">
        <f t="shared" si="64"/>
        <v/>
      </c>
      <c r="H3804" s="69"/>
      <c r="I3804" s="70"/>
      <c r="J3804" s="141">
        <v>0</v>
      </c>
    </row>
    <row r="3805" spans="1:10" ht="15.75" hidden="1" thickBot="1" x14ac:dyDescent="0.3">
      <c r="A3805" s="226"/>
      <c r="B3805" s="244"/>
      <c r="C3805" s="32" t="s">
        <v>1217</v>
      </c>
      <c r="D3805" s="32" t="s">
        <v>127</v>
      </c>
      <c r="E3805" s="33">
        <f t="shared" ref="E3805" si="69">ROUND(1/(1+70.03%),4)</f>
        <v>0.58809999999999996</v>
      </c>
      <c r="F3805" s="50">
        <v>2852.1849999999999</v>
      </c>
      <c r="G3805" s="50">
        <f t="shared" si="64"/>
        <v>1677.3699984999998</v>
      </c>
      <c r="H3805" s="35">
        <f>SUM(G3805:G3808)</f>
        <v>1677.3699984999998</v>
      </c>
      <c r="I3805" s="36"/>
      <c r="J3805" s="141">
        <v>0</v>
      </c>
    </row>
    <row r="3806" spans="1:10" ht="15.75" hidden="1" thickBot="1" x14ac:dyDescent="0.3">
      <c r="A3806" s="226"/>
      <c r="B3806" s="244"/>
      <c r="C3806" s="32"/>
      <c r="D3806" s="32"/>
      <c r="E3806" s="33"/>
      <c r="F3806" s="50" t="s">
        <v>523</v>
      </c>
      <c r="G3806" s="50" t="str">
        <f t="shared" si="64"/>
        <v/>
      </c>
      <c r="H3806" s="69"/>
      <c r="I3806" s="70"/>
      <c r="J3806" s="141">
        <v>0</v>
      </c>
    </row>
    <row r="3807" spans="1:10" ht="26.25" hidden="1" thickBot="1" x14ac:dyDescent="0.3">
      <c r="A3807" s="226"/>
      <c r="B3807" s="244"/>
      <c r="C3807" s="44" t="s">
        <v>783</v>
      </c>
      <c r="D3807" s="32"/>
      <c r="E3807" s="33"/>
      <c r="F3807" s="50" t="s">
        <v>523</v>
      </c>
      <c r="G3807" s="50" t="str">
        <f t="shared" si="64"/>
        <v/>
      </c>
      <c r="H3807" s="69"/>
      <c r="I3807" s="70"/>
      <c r="J3807" s="141">
        <v>0</v>
      </c>
    </row>
    <row r="3808" spans="1:10" ht="15.75" hidden="1" thickBot="1" x14ac:dyDescent="0.3">
      <c r="A3808" s="227"/>
      <c r="B3808" s="230"/>
      <c r="C3808" s="51"/>
      <c r="D3808" s="51"/>
      <c r="E3808" s="62"/>
      <c r="F3808" s="72" t="s">
        <v>523</v>
      </c>
      <c r="G3808" s="72" t="str">
        <f t="shared" si="64"/>
        <v/>
      </c>
      <c r="H3808" s="73"/>
      <c r="I3808" s="70"/>
      <c r="J3808" s="141">
        <v>0</v>
      </c>
    </row>
    <row r="3809" spans="1:10" ht="15.75" hidden="1" thickBot="1" x14ac:dyDescent="0.3">
      <c r="A3809" s="225" t="s">
        <v>2927</v>
      </c>
      <c r="B3809" s="228" t="str">
        <f>INDEX(Orçamentária!A:B,MATCH(Composições!A3809,Orçamentária!A:A,0),2)</f>
        <v>Supervisor de Obras e Manutenção – Apoio de Campo - Obras Civis</v>
      </c>
      <c r="C3809" s="37"/>
      <c r="D3809" s="22" t="str">
        <f>TRIM(INDEX(Orçamentária!C:C,MATCH(Composições!A3809,Orçamentária!A:A,0),1))</f>
        <v>Profissional</v>
      </c>
      <c r="E3809" s="23"/>
      <c r="F3809" s="45" t="s">
        <v>523</v>
      </c>
      <c r="G3809" s="24" t="str">
        <f t="shared" si="64"/>
        <v/>
      </c>
      <c r="H3809" s="25"/>
      <c r="I3809" s="26"/>
      <c r="J3809" s="141">
        <v>0</v>
      </c>
    </row>
    <row r="3810" spans="1:10" ht="15.75" hidden="1" thickBot="1" x14ac:dyDescent="0.3">
      <c r="A3810" s="226"/>
      <c r="B3810" s="244"/>
      <c r="C3810" s="28"/>
      <c r="D3810" s="28"/>
      <c r="E3810" s="29"/>
      <c r="F3810" s="50" t="s">
        <v>523</v>
      </c>
      <c r="G3810" s="50" t="str">
        <f t="shared" si="64"/>
        <v/>
      </c>
      <c r="H3810" s="69"/>
      <c r="I3810" s="70"/>
      <c r="J3810" s="141">
        <v>0</v>
      </c>
    </row>
    <row r="3811" spans="1:10" ht="15.75" hidden="1" thickBot="1" x14ac:dyDescent="0.3">
      <c r="A3811" s="226"/>
      <c r="B3811" s="244"/>
      <c r="C3811" s="32" t="s">
        <v>1217</v>
      </c>
      <c r="D3811" s="32" t="s">
        <v>127</v>
      </c>
      <c r="E3811" s="33">
        <f t="shared" ref="E3811" si="70">ROUND(1/(1+70.03%),4)</f>
        <v>0.58809999999999996</v>
      </c>
      <c r="F3811" s="50">
        <v>2852.1849999999999</v>
      </c>
      <c r="G3811" s="50">
        <f t="shared" si="64"/>
        <v>1677.3699984999998</v>
      </c>
      <c r="H3811" s="35">
        <f>SUM(G3811:G3814)</f>
        <v>1677.3699984999998</v>
      </c>
      <c r="I3811" s="36"/>
      <c r="J3811" s="141">
        <v>0</v>
      </c>
    </row>
    <row r="3812" spans="1:10" ht="15.75" hidden="1" thickBot="1" x14ac:dyDescent="0.3">
      <c r="A3812" s="226"/>
      <c r="B3812" s="244"/>
      <c r="C3812" s="32"/>
      <c r="D3812" s="32"/>
      <c r="E3812" s="33"/>
      <c r="F3812" s="50" t="s">
        <v>523</v>
      </c>
      <c r="G3812" s="50" t="str">
        <f t="shared" si="64"/>
        <v/>
      </c>
      <c r="H3812" s="69"/>
      <c r="I3812" s="70"/>
      <c r="J3812" s="141">
        <v>0</v>
      </c>
    </row>
    <row r="3813" spans="1:10" ht="26.25" hidden="1" thickBot="1" x14ac:dyDescent="0.3">
      <c r="A3813" s="226"/>
      <c r="B3813" s="244"/>
      <c r="C3813" s="44" t="s">
        <v>783</v>
      </c>
      <c r="D3813" s="32"/>
      <c r="E3813" s="33"/>
      <c r="F3813" s="50" t="s">
        <v>523</v>
      </c>
      <c r="G3813" s="50" t="str">
        <f t="shared" si="64"/>
        <v/>
      </c>
      <c r="H3813" s="69"/>
      <c r="I3813" s="70"/>
      <c r="J3813" s="141">
        <v>0</v>
      </c>
    </row>
    <row r="3814" spans="1:10" ht="15.75" hidden="1" thickBot="1" x14ac:dyDescent="0.3">
      <c r="A3814" s="227"/>
      <c r="B3814" s="230"/>
      <c r="C3814" s="51"/>
      <c r="D3814" s="51"/>
      <c r="E3814" s="62"/>
      <c r="F3814" s="72" t="s">
        <v>523</v>
      </c>
      <c r="G3814" s="72" t="str">
        <f t="shared" si="64"/>
        <v/>
      </c>
      <c r="H3814" s="73"/>
      <c r="I3814" s="70"/>
      <c r="J3814" s="141">
        <v>0</v>
      </c>
    </row>
    <row r="3815" spans="1:10" ht="15.75" hidden="1" thickBot="1" x14ac:dyDescent="0.3">
      <c r="A3815" s="225" t="s">
        <v>2929</v>
      </c>
      <c r="B3815" s="228" t="str">
        <f>INDEX(Orçamentária!A:B,MATCH(Composições!A3815,Orçamentária!A:A,0),2)</f>
        <v>Supervisor de Obras e Manutenção – Apoio de Campo - Hidrossanitário</v>
      </c>
      <c r="C3815" s="37"/>
      <c r="D3815" s="22" t="str">
        <f>TRIM(INDEX(Orçamentária!C:C,MATCH(Composições!A3815,Orçamentária!A:A,0),1))</f>
        <v>Profissional</v>
      </c>
      <c r="E3815" s="23"/>
      <c r="F3815" s="45" t="s">
        <v>523</v>
      </c>
      <c r="G3815" s="24" t="str">
        <f t="shared" si="64"/>
        <v/>
      </c>
      <c r="H3815" s="25"/>
      <c r="I3815" s="26"/>
      <c r="J3815" s="141">
        <v>0</v>
      </c>
    </row>
    <row r="3816" spans="1:10" ht="15.75" hidden="1" thickBot="1" x14ac:dyDescent="0.3">
      <c r="A3816" s="226"/>
      <c r="B3816" s="244"/>
      <c r="C3816" s="28"/>
      <c r="D3816" s="28"/>
      <c r="E3816" s="29"/>
      <c r="F3816" s="50" t="s">
        <v>523</v>
      </c>
      <c r="G3816" s="50" t="str">
        <f t="shared" si="64"/>
        <v/>
      </c>
      <c r="H3816" s="69"/>
      <c r="I3816" s="70"/>
      <c r="J3816" s="141">
        <v>0</v>
      </c>
    </row>
    <row r="3817" spans="1:10" ht="15.75" hidden="1" thickBot="1" x14ac:dyDescent="0.3">
      <c r="A3817" s="226"/>
      <c r="B3817" s="244"/>
      <c r="C3817" s="32" t="s">
        <v>1217</v>
      </c>
      <c r="D3817" s="32" t="s">
        <v>127</v>
      </c>
      <c r="E3817" s="33">
        <f t="shared" ref="E3817" si="71">ROUND(1/(1+70.03%),4)</f>
        <v>0.58809999999999996</v>
      </c>
      <c r="F3817" s="50">
        <v>2852.1849999999999</v>
      </c>
      <c r="G3817" s="50">
        <f t="shared" si="64"/>
        <v>1677.3699984999998</v>
      </c>
      <c r="H3817" s="35">
        <f>SUM(G3817:G3820)</f>
        <v>1677.3699984999998</v>
      </c>
      <c r="I3817" s="36"/>
      <c r="J3817" s="141">
        <v>0</v>
      </c>
    </row>
    <row r="3818" spans="1:10" ht="15.75" hidden="1" thickBot="1" x14ac:dyDescent="0.3">
      <c r="A3818" s="226"/>
      <c r="B3818" s="244"/>
      <c r="C3818" s="32"/>
      <c r="D3818" s="32"/>
      <c r="E3818" s="33"/>
      <c r="F3818" s="50" t="s">
        <v>523</v>
      </c>
      <c r="G3818" s="50" t="str">
        <f t="shared" si="64"/>
        <v/>
      </c>
      <c r="H3818" s="69"/>
      <c r="I3818" s="70"/>
      <c r="J3818" s="141">
        <v>0</v>
      </c>
    </row>
    <row r="3819" spans="1:10" ht="26.25" hidden="1" thickBot="1" x14ac:dyDescent="0.3">
      <c r="A3819" s="226"/>
      <c r="B3819" s="244"/>
      <c r="C3819" s="44" t="s">
        <v>783</v>
      </c>
      <c r="D3819" s="32"/>
      <c r="E3819" s="33"/>
      <c r="F3819" s="50" t="s">
        <v>523</v>
      </c>
      <c r="G3819" s="50" t="str">
        <f t="shared" si="64"/>
        <v/>
      </c>
      <c r="H3819" s="69"/>
      <c r="I3819" s="70"/>
      <c r="J3819" s="141">
        <v>0</v>
      </c>
    </row>
    <row r="3820" spans="1:10" ht="15.75" hidden="1" thickBot="1" x14ac:dyDescent="0.3">
      <c r="A3820" s="227"/>
      <c r="B3820" s="230"/>
      <c r="C3820" s="51"/>
      <c r="D3820" s="51"/>
      <c r="E3820" s="62"/>
      <c r="F3820" s="72" t="s">
        <v>523</v>
      </c>
      <c r="G3820" s="72" t="str">
        <f t="shared" si="64"/>
        <v/>
      </c>
      <c r="H3820" s="73"/>
      <c r="I3820" s="70"/>
      <c r="J3820" s="141">
        <v>0</v>
      </c>
    </row>
    <row r="3821" spans="1:10" ht="15.75" hidden="1" thickBot="1" x14ac:dyDescent="0.3">
      <c r="A3821" s="225" t="s">
        <v>2931</v>
      </c>
      <c r="B3821" s="228" t="str">
        <f>INDEX(Orçamentária!A:B,MATCH(Composições!A3821,Orçamentária!A:A,0),2)</f>
        <v>Supervisor de Obras e Manutenção – Apoio de campo – Planejamento</v>
      </c>
      <c r="C3821" s="37"/>
      <c r="D3821" s="22" t="str">
        <f>TRIM(INDEX(Orçamentária!C:C,MATCH(Composições!A3821,Orçamentária!A:A,0),1))</f>
        <v>Profissional</v>
      </c>
      <c r="E3821" s="23"/>
      <c r="F3821" s="45" t="s">
        <v>523</v>
      </c>
      <c r="G3821" s="24" t="str">
        <f t="shared" si="64"/>
        <v/>
      </c>
      <c r="H3821" s="25"/>
      <c r="I3821" s="26"/>
      <c r="J3821" s="141">
        <v>0</v>
      </c>
    </row>
    <row r="3822" spans="1:10" ht="15.75" hidden="1" thickBot="1" x14ac:dyDescent="0.3">
      <c r="A3822" s="226"/>
      <c r="B3822" s="244"/>
      <c r="C3822" s="28"/>
      <c r="D3822" s="28"/>
      <c r="E3822" s="29"/>
      <c r="F3822" s="50" t="s">
        <v>523</v>
      </c>
      <c r="G3822" s="50" t="str">
        <f t="shared" si="64"/>
        <v/>
      </c>
      <c r="H3822" s="69"/>
      <c r="I3822" s="70"/>
      <c r="J3822" s="141">
        <v>0</v>
      </c>
    </row>
    <row r="3823" spans="1:10" ht="15.75" hidden="1" thickBot="1" x14ac:dyDescent="0.3">
      <c r="A3823" s="226"/>
      <c r="B3823" s="244"/>
      <c r="C3823" s="32" t="s">
        <v>1217</v>
      </c>
      <c r="D3823" s="32" t="s">
        <v>127</v>
      </c>
      <c r="E3823" s="33">
        <f t="shared" ref="E3823" si="72">ROUND(1/(1+70.03%),4)</f>
        <v>0.58809999999999996</v>
      </c>
      <c r="F3823" s="50">
        <v>2852.1849999999999</v>
      </c>
      <c r="G3823" s="50">
        <f t="shared" si="64"/>
        <v>1677.3699984999998</v>
      </c>
      <c r="H3823" s="35">
        <f>SUM(G3823:G3826)</f>
        <v>1677.3699984999998</v>
      </c>
      <c r="I3823" s="36"/>
      <c r="J3823" s="141">
        <v>0</v>
      </c>
    </row>
    <row r="3824" spans="1:10" ht="15.75" hidden="1" thickBot="1" x14ac:dyDescent="0.3">
      <c r="A3824" s="226"/>
      <c r="B3824" s="244"/>
      <c r="C3824" s="32"/>
      <c r="D3824" s="32"/>
      <c r="E3824" s="33"/>
      <c r="F3824" s="50" t="s">
        <v>523</v>
      </c>
      <c r="G3824" s="50" t="str">
        <f t="shared" si="64"/>
        <v/>
      </c>
      <c r="H3824" s="69"/>
      <c r="I3824" s="70"/>
      <c r="J3824" s="141">
        <v>0</v>
      </c>
    </row>
    <row r="3825" spans="1:10" ht="26.25" hidden="1" thickBot="1" x14ac:dyDescent="0.3">
      <c r="A3825" s="226"/>
      <c r="B3825" s="244"/>
      <c r="C3825" s="44" t="s">
        <v>783</v>
      </c>
      <c r="D3825" s="32"/>
      <c r="E3825" s="33"/>
      <c r="F3825" s="50" t="s">
        <v>523</v>
      </c>
      <c r="G3825" s="50" t="str">
        <f t="shared" ref="G3825:G3888" si="73">IF(ISNUMBER(F3825),E3825*F3825,"")</f>
        <v/>
      </c>
      <c r="H3825" s="69"/>
      <c r="I3825" s="70"/>
      <c r="J3825" s="141">
        <v>0</v>
      </c>
    </row>
    <row r="3826" spans="1:10" ht="15.75" hidden="1" thickBot="1" x14ac:dyDescent="0.3">
      <c r="A3826" s="227"/>
      <c r="B3826" s="230"/>
      <c r="C3826" s="51"/>
      <c r="D3826" s="51"/>
      <c r="E3826" s="62"/>
      <c r="F3826" s="72" t="s">
        <v>523</v>
      </c>
      <c r="G3826" s="72" t="str">
        <f t="shared" si="73"/>
        <v/>
      </c>
      <c r="H3826" s="73"/>
      <c r="I3826" s="70"/>
      <c r="J3826" s="141">
        <v>0</v>
      </c>
    </row>
    <row r="3827" spans="1:10" ht="15.75" hidden="1" thickBot="1" x14ac:dyDescent="0.3">
      <c r="A3827" s="225" t="s">
        <v>1124</v>
      </c>
      <c r="B3827" s="228" t="str">
        <f>INDEX(Orçamentária!A:B,MATCH(Composições!A3827,Orçamentária!A:A,0),2)</f>
        <v>Supervisor de Obras e Manutenção – Apoio de campo – Segurança do Trabalho</v>
      </c>
      <c r="C3827" s="37"/>
      <c r="D3827" s="22" t="str">
        <f>TRIM(INDEX(Orçamentária!C:C,MATCH(Composições!A3827,Orçamentária!A:A,0),1))</f>
        <v>Profissional</v>
      </c>
      <c r="E3827" s="23"/>
      <c r="F3827" s="45" t="s">
        <v>523</v>
      </c>
      <c r="G3827" s="24" t="str">
        <f t="shared" si="73"/>
        <v/>
      </c>
      <c r="H3827" s="25"/>
      <c r="I3827" s="26"/>
      <c r="J3827" s="141">
        <v>0</v>
      </c>
    </row>
    <row r="3828" spans="1:10" ht="15.75" hidden="1" thickBot="1" x14ac:dyDescent="0.3">
      <c r="A3828" s="226"/>
      <c r="B3828" s="244"/>
      <c r="C3828" s="28"/>
      <c r="D3828" s="28"/>
      <c r="E3828" s="29"/>
      <c r="F3828" s="50" t="s">
        <v>523</v>
      </c>
      <c r="G3828" s="50" t="str">
        <f t="shared" si="73"/>
        <v/>
      </c>
      <c r="H3828" s="69"/>
      <c r="I3828" s="70"/>
      <c r="J3828" s="141">
        <v>0</v>
      </c>
    </row>
    <row r="3829" spans="1:10" ht="26.25" hidden="1" thickBot="1" x14ac:dyDescent="0.3">
      <c r="A3829" s="226"/>
      <c r="B3829" s="244"/>
      <c r="C3829" s="32" t="s">
        <v>1125</v>
      </c>
      <c r="D3829" s="32" t="s">
        <v>127</v>
      </c>
      <c r="E3829" s="33">
        <f>ROUND(1/(1+72.54%),4)</f>
        <v>0.5796</v>
      </c>
      <c r="F3829" s="50">
        <v>6736.8964999999998</v>
      </c>
      <c r="G3829" s="50">
        <f t="shared" si="73"/>
        <v>3904.7052113999998</v>
      </c>
      <c r="H3829" s="35">
        <f>SUM(G3829:G3832)</f>
        <v>3904.7052113999998</v>
      </c>
      <c r="I3829" s="36"/>
      <c r="J3829" s="141">
        <v>0</v>
      </c>
    </row>
    <row r="3830" spans="1:10" ht="15.75" hidden="1" thickBot="1" x14ac:dyDescent="0.3">
      <c r="A3830" s="226"/>
      <c r="B3830" s="244"/>
      <c r="C3830" s="32"/>
      <c r="D3830" s="32"/>
      <c r="E3830" s="33"/>
      <c r="F3830" s="50" t="s">
        <v>523</v>
      </c>
      <c r="G3830" s="50" t="str">
        <f t="shared" si="73"/>
        <v/>
      </c>
      <c r="H3830" s="69"/>
      <c r="I3830" s="70"/>
      <c r="J3830" s="141">
        <v>0</v>
      </c>
    </row>
    <row r="3831" spans="1:10" ht="26.25" hidden="1" thickBot="1" x14ac:dyDescent="0.3">
      <c r="A3831" s="226"/>
      <c r="B3831" s="244"/>
      <c r="C3831" s="44" t="s">
        <v>783</v>
      </c>
      <c r="D3831" s="32"/>
      <c r="E3831" s="33"/>
      <c r="F3831" s="50" t="s">
        <v>523</v>
      </c>
      <c r="G3831" s="50" t="str">
        <f t="shared" si="73"/>
        <v/>
      </c>
      <c r="H3831" s="69"/>
      <c r="I3831" s="70"/>
      <c r="J3831" s="141">
        <v>0</v>
      </c>
    </row>
    <row r="3832" spans="1:10" ht="15.75" hidden="1" thickBot="1" x14ac:dyDescent="0.3">
      <c r="A3832" s="227"/>
      <c r="B3832" s="230"/>
      <c r="C3832" s="51"/>
      <c r="D3832" s="51"/>
      <c r="E3832" s="62"/>
      <c r="F3832" s="72" t="s">
        <v>523</v>
      </c>
      <c r="G3832" s="72" t="str">
        <f t="shared" si="73"/>
        <v/>
      </c>
      <c r="H3832" s="73"/>
      <c r="I3832" s="70"/>
      <c r="J3832" s="141">
        <v>0</v>
      </c>
    </row>
    <row r="3833" spans="1:10" ht="15.75" hidden="1" thickBot="1" x14ac:dyDescent="0.3">
      <c r="A3833" s="225" t="s">
        <v>1126</v>
      </c>
      <c r="B3833" s="228" t="str">
        <f>INDEX(Orçamentária!A:B,MATCH(Composições!A3833,Orçamentária!A:A,0),2)</f>
        <v xml:space="preserve">Reparo de placas de mármore com adesivo estrutural epóxi branco/transparente </v>
      </c>
      <c r="C3833" s="37"/>
      <c r="D3833" s="22" t="str">
        <f>TRIM(INDEX(Orçamentária!C:C,MATCH(Composições!A3833,Orçamentária!A:A,0),1))</f>
        <v>cm3</v>
      </c>
      <c r="E3833" s="23"/>
      <c r="F3833" s="45" t="s">
        <v>523</v>
      </c>
      <c r="G3833" s="24" t="str">
        <f t="shared" si="73"/>
        <v/>
      </c>
      <c r="H3833" s="25"/>
      <c r="I3833" s="26"/>
      <c r="J3833" s="141">
        <v>0</v>
      </c>
    </row>
    <row r="3834" spans="1:10" ht="15.75" hidden="1" thickBot="1" x14ac:dyDescent="0.3">
      <c r="A3834" s="231"/>
      <c r="B3834" s="244"/>
      <c r="C3834" s="28"/>
      <c r="D3834" s="28"/>
      <c r="E3834" s="29"/>
      <c r="F3834" s="50" t="s">
        <v>523</v>
      </c>
      <c r="G3834" s="50" t="str">
        <f t="shared" si="73"/>
        <v/>
      </c>
      <c r="H3834" s="69"/>
      <c r="I3834" s="70"/>
      <c r="J3834" s="141">
        <v>0</v>
      </c>
    </row>
    <row r="3835" spans="1:10" ht="15.75" hidden="1" thickBot="1" x14ac:dyDescent="0.3">
      <c r="A3835" s="231"/>
      <c r="B3835" s="244"/>
      <c r="C3835" s="32" t="s">
        <v>54</v>
      </c>
      <c r="D3835" s="32" t="s">
        <v>12</v>
      </c>
      <c r="E3835" s="33">
        <f>0.5/50</f>
        <v>0.01</v>
      </c>
      <c r="F3835" s="50">
        <v>24.795000000000002</v>
      </c>
      <c r="G3835" s="50">
        <f t="shared" si="73"/>
        <v>0.24795000000000003</v>
      </c>
      <c r="H3835" s="35">
        <f>SUM(G3835:G3836)</f>
        <v>0.24795000000000003</v>
      </c>
      <c r="I3835" s="36"/>
      <c r="J3835" s="141">
        <v>0</v>
      </c>
    </row>
    <row r="3836" spans="1:10" ht="15.75" hidden="1" thickBot="1" x14ac:dyDescent="0.3">
      <c r="A3836" s="231"/>
      <c r="B3836" s="244"/>
      <c r="C3836" s="32" t="s">
        <v>1127</v>
      </c>
      <c r="D3836" s="32" t="s">
        <v>144</v>
      </c>
      <c r="E3836" s="33">
        <f>1/50</f>
        <v>0.02</v>
      </c>
      <c r="F3836" s="50" t="s">
        <v>523</v>
      </c>
      <c r="G3836" s="50" t="str">
        <f t="shared" si="73"/>
        <v/>
      </c>
      <c r="H3836" s="69"/>
      <c r="I3836" s="70"/>
      <c r="J3836" s="141">
        <v>0</v>
      </c>
    </row>
    <row r="3837" spans="1:10" ht="15.75" hidden="1" thickBot="1" x14ac:dyDescent="0.3">
      <c r="A3837" s="232"/>
      <c r="B3837" s="230"/>
      <c r="C3837" s="32"/>
      <c r="D3837" s="32"/>
      <c r="E3837" s="33"/>
      <c r="F3837" s="50" t="s">
        <v>523</v>
      </c>
      <c r="G3837" s="50" t="str">
        <f t="shared" si="73"/>
        <v/>
      </c>
      <c r="H3837" s="69"/>
      <c r="I3837" s="70"/>
      <c r="J3837" s="141">
        <v>0</v>
      </c>
    </row>
    <row r="3838" spans="1:10" ht="15.75" hidden="1" thickBot="1" x14ac:dyDescent="0.3">
      <c r="A3838" s="225" t="s">
        <v>1128</v>
      </c>
      <c r="B3838" s="228" t="str">
        <f>INDEX(Orçamentária!A:B,MATCH(Composições!A3838,Orçamentária!A:A,0),2)</f>
        <v>Perfil de chapa de aço galvanizado para esquadria (Anexo 1)</v>
      </c>
      <c r="C3838" s="37"/>
      <c r="D3838" s="22" t="str">
        <f>TRIM(INDEX(Orçamentária!C:C,MATCH(Composições!A3838,Orçamentária!A:A,0),1))</f>
        <v>m</v>
      </c>
      <c r="E3838" s="23"/>
      <c r="F3838" s="45" t="s">
        <v>523</v>
      </c>
      <c r="G3838" s="24" t="str">
        <f t="shared" si="73"/>
        <v/>
      </c>
      <c r="H3838" s="25"/>
      <c r="I3838" s="26"/>
      <c r="J3838" s="141">
        <v>0</v>
      </c>
    </row>
    <row r="3839" spans="1:10" ht="15.75" hidden="1" thickBot="1" x14ac:dyDescent="0.3">
      <c r="A3839" s="231"/>
      <c r="B3839" s="244"/>
      <c r="C3839" s="28"/>
      <c r="D3839" s="28"/>
      <c r="E3839" s="29"/>
      <c r="F3839" s="50" t="s">
        <v>523</v>
      </c>
      <c r="G3839" s="50" t="str">
        <f t="shared" si="73"/>
        <v/>
      </c>
      <c r="H3839" s="69"/>
      <c r="I3839" s="70"/>
      <c r="J3839" s="141">
        <v>0</v>
      </c>
    </row>
    <row r="3840" spans="1:10" ht="15.75" hidden="1" thickBot="1" x14ac:dyDescent="0.3">
      <c r="A3840" s="231"/>
      <c r="B3840" s="244"/>
      <c r="C3840" s="32" t="s">
        <v>22</v>
      </c>
      <c r="D3840" s="32" t="s">
        <v>12</v>
      </c>
      <c r="E3840" s="33">
        <v>0.5</v>
      </c>
      <c r="F3840" s="50">
        <v>24.889999999999997</v>
      </c>
      <c r="G3840" s="50">
        <f t="shared" si="73"/>
        <v>12.444999999999999</v>
      </c>
      <c r="H3840" s="35">
        <f>SUM(G3840:G3845)</f>
        <v>35.188289676679005</v>
      </c>
      <c r="I3840" s="36"/>
      <c r="J3840" s="141">
        <v>0</v>
      </c>
    </row>
    <row r="3841" spans="1:10" ht="15.75" hidden="1" thickBot="1" x14ac:dyDescent="0.3">
      <c r="A3841" s="231"/>
      <c r="B3841" s="244"/>
      <c r="C3841" s="32" t="s">
        <v>23</v>
      </c>
      <c r="D3841" s="32" t="s">
        <v>12</v>
      </c>
      <c r="E3841" s="33">
        <v>0.51</v>
      </c>
      <c r="F3841" s="50">
        <v>18.420500000000001</v>
      </c>
      <c r="G3841" s="50">
        <f t="shared" si="73"/>
        <v>9.3944550000000007</v>
      </c>
      <c r="H3841" s="69"/>
      <c r="I3841" s="70"/>
      <c r="J3841" s="141">
        <v>0</v>
      </c>
    </row>
    <row r="3842" spans="1:10" ht="39" hidden="1" thickBot="1" x14ac:dyDescent="0.3">
      <c r="A3842" s="231"/>
      <c r="B3842" s="244"/>
      <c r="C3842" s="32" t="s">
        <v>178</v>
      </c>
      <c r="D3842" s="43" t="s">
        <v>109</v>
      </c>
      <c r="E3842" s="33">
        <v>3.0999999999999999E-3</v>
      </c>
      <c r="F3842" s="50">
        <v>685.48044408999999</v>
      </c>
      <c r="G3842" s="50">
        <f t="shared" si="73"/>
        <v>2.1249893766789998</v>
      </c>
      <c r="H3842" s="69"/>
      <c r="I3842" s="70"/>
      <c r="J3842" s="141">
        <v>0</v>
      </c>
    </row>
    <row r="3843" spans="1:10" ht="15.75" hidden="1" thickBot="1" x14ac:dyDescent="0.3">
      <c r="A3843" s="231"/>
      <c r="B3843" s="244"/>
      <c r="C3843" s="32" t="s">
        <v>1129</v>
      </c>
      <c r="D3843" s="43" t="s">
        <v>93</v>
      </c>
      <c r="E3843" s="33">
        <v>1</v>
      </c>
      <c r="F3843" s="50" t="s">
        <v>523</v>
      </c>
      <c r="G3843" s="50" t="str">
        <f t="shared" si="73"/>
        <v/>
      </c>
      <c r="H3843" s="69"/>
      <c r="I3843" s="70"/>
      <c r="J3843" s="141">
        <v>0</v>
      </c>
    </row>
    <row r="3844" spans="1:10" ht="15.75" hidden="1" thickBot="1" x14ac:dyDescent="0.3">
      <c r="A3844" s="231"/>
      <c r="B3844" s="244"/>
      <c r="C3844" s="32" t="s">
        <v>23</v>
      </c>
      <c r="D3844" s="32" t="s">
        <v>12</v>
      </c>
      <c r="E3844" s="33">
        <v>0.15</v>
      </c>
      <c r="F3844" s="50">
        <v>18.420500000000001</v>
      </c>
      <c r="G3844" s="50">
        <f t="shared" si="73"/>
        <v>2.7630750000000002</v>
      </c>
      <c r="H3844" s="69"/>
      <c r="I3844" s="70"/>
      <c r="J3844" s="141">
        <v>0</v>
      </c>
    </row>
    <row r="3845" spans="1:10" ht="15.75" hidden="1" thickBot="1" x14ac:dyDescent="0.3">
      <c r="A3845" s="231"/>
      <c r="B3845" s="244"/>
      <c r="C3845" s="32" t="s">
        <v>1130</v>
      </c>
      <c r="D3845" s="32" t="s">
        <v>280</v>
      </c>
      <c r="E3845" s="33">
        <f>ROUND(0.1/0.28,4)</f>
        <v>0.35709999999999997</v>
      </c>
      <c r="F3845" s="50">
        <v>23.693000000000001</v>
      </c>
      <c r="G3845" s="50">
        <f t="shared" si="73"/>
        <v>8.4607703000000001</v>
      </c>
      <c r="H3845" s="69"/>
      <c r="I3845" s="70"/>
      <c r="J3845" s="141">
        <v>0</v>
      </c>
    </row>
    <row r="3846" spans="1:10" ht="15.75" hidden="1" thickBot="1" x14ac:dyDescent="0.3">
      <c r="A3846" s="231"/>
      <c r="B3846" s="244"/>
      <c r="C3846" s="32"/>
      <c r="D3846" s="43"/>
      <c r="E3846" s="33"/>
      <c r="F3846" s="50" t="s">
        <v>523</v>
      </c>
      <c r="G3846" s="50" t="str">
        <f t="shared" si="73"/>
        <v/>
      </c>
      <c r="H3846" s="69"/>
      <c r="I3846" s="70"/>
      <c r="J3846" s="141">
        <v>0</v>
      </c>
    </row>
    <row r="3847" spans="1:10" ht="15.75" hidden="1" thickBot="1" x14ac:dyDescent="0.3">
      <c r="A3847" s="231"/>
      <c r="B3847" s="244"/>
      <c r="C3847" s="138" t="s">
        <v>1131</v>
      </c>
      <c r="D3847" s="43"/>
      <c r="E3847" s="33"/>
      <c r="F3847" s="50" t="s">
        <v>523</v>
      </c>
      <c r="G3847" s="50" t="str">
        <f t="shared" si="73"/>
        <v/>
      </c>
      <c r="H3847" s="69"/>
      <c r="I3847" s="70"/>
      <c r="J3847" s="141">
        <v>0</v>
      </c>
    </row>
    <row r="3848" spans="1:10" ht="15.75" hidden="1" thickBot="1" x14ac:dyDescent="0.3">
      <c r="A3848" s="231"/>
      <c r="B3848" s="244"/>
      <c r="C3848" s="51"/>
      <c r="D3848" s="51"/>
      <c r="E3848" s="62"/>
      <c r="F3848" s="72" t="s">
        <v>523</v>
      </c>
      <c r="G3848" s="72" t="str">
        <f t="shared" si="73"/>
        <v/>
      </c>
      <c r="H3848" s="73"/>
      <c r="I3848" s="70"/>
      <c r="J3848" s="141">
        <v>0</v>
      </c>
    </row>
    <row r="3849" spans="1:10" ht="15.75" hidden="1" thickBot="1" x14ac:dyDescent="0.3">
      <c r="A3849" s="225" t="s">
        <v>1132</v>
      </c>
      <c r="B3849" s="228" t="str">
        <f>INDEX(Orçamentária!A:B,MATCH(Composições!A3849,Orçamentária!A:A,0),2)</f>
        <v>Granito Vermelho Brasília 20 mm para bancadas</v>
      </c>
      <c r="C3849" s="37"/>
      <c r="D3849" s="22" t="str">
        <f>TRIM(INDEX(Orçamentária!C:C,MATCH(Composições!A3849,Orçamentária!A:A,0),1))</f>
        <v>m2</v>
      </c>
      <c r="E3849" s="23"/>
      <c r="F3849" s="45" t="s">
        <v>523</v>
      </c>
      <c r="G3849" s="24" t="str">
        <f t="shared" si="73"/>
        <v/>
      </c>
      <c r="H3849" s="25"/>
      <c r="I3849" s="26"/>
      <c r="J3849" s="141">
        <v>0</v>
      </c>
    </row>
    <row r="3850" spans="1:10" ht="15.75" hidden="1" thickBot="1" x14ac:dyDescent="0.3">
      <c r="A3850" s="231"/>
      <c r="B3850" s="244"/>
      <c r="C3850" s="28"/>
      <c r="D3850" s="28"/>
      <c r="E3850" s="29"/>
      <c r="F3850" s="50" t="s">
        <v>523</v>
      </c>
      <c r="G3850" s="50" t="str">
        <f t="shared" si="73"/>
        <v/>
      </c>
      <c r="H3850" s="69"/>
      <c r="I3850" s="70"/>
      <c r="J3850" s="141">
        <v>0</v>
      </c>
    </row>
    <row r="3851" spans="1:10" ht="15.75" hidden="1" thickBot="1" x14ac:dyDescent="0.3">
      <c r="A3851" s="231"/>
      <c r="B3851" s="244"/>
      <c r="C3851" s="32" t="s">
        <v>3349</v>
      </c>
      <c r="D3851" s="32" t="s">
        <v>901</v>
      </c>
      <c r="E3851" s="33">
        <f>ROUND(0.5228/(1.5*0.6),4)</f>
        <v>0.58089999999999997</v>
      </c>
      <c r="F3851" s="50">
        <v>39.424999999999997</v>
      </c>
      <c r="G3851" s="50">
        <f t="shared" si="73"/>
        <v>22.901982499999995</v>
      </c>
      <c r="H3851" s="35">
        <f>SUM(G3851:G3857)</f>
        <v>159.98002755000002</v>
      </c>
      <c r="I3851" s="36"/>
      <c r="J3851" s="141">
        <v>0</v>
      </c>
    </row>
    <row r="3852" spans="1:10" ht="39" hidden="1" thickBot="1" x14ac:dyDescent="0.3">
      <c r="A3852" s="231"/>
      <c r="B3852" s="244"/>
      <c r="C3852" s="32" t="s">
        <v>1135</v>
      </c>
      <c r="D3852" s="32" t="s">
        <v>280</v>
      </c>
      <c r="E3852" s="33">
        <f>ROUND(6/(1.5*0.6),4)</f>
        <v>6.6666999999999996</v>
      </c>
      <c r="F3852" s="50">
        <v>1.159</v>
      </c>
      <c r="G3852" s="50">
        <f t="shared" si="73"/>
        <v>7.7267052999999999</v>
      </c>
      <c r="H3852" s="69"/>
      <c r="I3852" s="70"/>
      <c r="J3852" s="141">
        <v>0</v>
      </c>
    </row>
    <row r="3853" spans="1:10" ht="26.25" hidden="1" thickBot="1" x14ac:dyDescent="0.3">
      <c r="A3853" s="231"/>
      <c r="B3853" s="244"/>
      <c r="C3853" s="32" t="s">
        <v>1133</v>
      </c>
      <c r="D3853" s="32" t="s">
        <v>995</v>
      </c>
      <c r="E3853" s="33">
        <f>ROUND(1.005/(1.5*0.6),4)</f>
        <v>1.1167</v>
      </c>
      <c r="F3853" s="50" t="s">
        <v>523</v>
      </c>
      <c r="G3853" s="50" t="str">
        <f t="shared" si="73"/>
        <v/>
      </c>
      <c r="H3853" s="69"/>
      <c r="I3853" s="70"/>
      <c r="J3853" s="141">
        <v>0</v>
      </c>
    </row>
    <row r="3854" spans="1:10" ht="15.75" hidden="1" thickBot="1" x14ac:dyDescent="0.3">
      <c r="A3854" s="231"/>
      <c r="B3854" s="244"/>
      <c r="C3854" s="32" t="s">
        <v>3522</v>
      </c>
      <c r="D3854" s="32" t="s">
        <v>901</v>
      </c>
      <c r="E3854" s="33">
        <f>ROUND(0.0211/(1.5*0.6),4)</f>
        <v>2.3400000000000001E-2</v>
      </c>
      <c r="F3854" s="50">
        <v>64.619</v>
      </c>
      <c r="G3854" s="50">
        <f t="shared" si="73"/>
        <v>1.5120846000000001</v>
      </c>
      <c r="H3854" s="69"/>
      <c r="I3854" s="70"/>
      <c r="J3854" s="141">
        <v>0</v>
      </c>
    </row>
    <row r="3855" spans="1:10" ht="26.25" hidden="1" thickBot="1" x14ac:dyDescent="0.3">
      <c r="A3855" s="231"/>
      <c r="B3855" s="244"/>
      <c r="C3855" s="32" t="s">
        <v>3365</v>
      </c>
      <c r="D3855" s="32" t="s">
        <v>280</v>
      </c>
      <c r="E3855" s="33">
        <f>ROUND(2/(1.5*0.6),4)</f>
        <v>2.2222</v>
      </c>
      <c r="F3855" s="50">
        <v>29.943999999999999</v>
      </c>
      <c r="G3855" s="50">
        <f t="shared" si="73"/>
        <v>66.541556799999995</v>
      </c>
      <c r="H3855" s="69"/>
      <c r="I3855" s="70"/>
      <c r="J3855" s="141">
        <v>0</v>
      </c>
    </row>
    <row r="3856" spans="1:10" ht="15.75" hidden="1" thickBot="1" x14ac:dyDescent="0.3">
      <c r="A3856" s="231"/>
      <c r="B3856" s="244"/>
      <c r="C3856" s="32" t="s">
        <v>3242</v>
      </c>
      <c r="D3856" s="32" t="s">
        <v>705</v>
      </c>
      <c r="E3856" s="33">
        <f>ROUND(1.4944/(1.5*0.6),4)</f>
        <v>1.6604000000000001</v>
      </c>
      <c r="F3856" s="50">
        <v>24.795000000000002</v>
      </c>
      <c r="G3856" s="50">
        <f t="shared" si="73"/>
        <v>41.169618000000007</v>
      </c>
      <c r="H3856" s="69"/>
      <c r="I3856" s="70"/>
      <c r="J3856" s="141">
        <v>0</v>
      </c>
    </row>
    <row r="3857" spans="1:10" ht="15.75" hidden="1" thickBot="1" x14ac:dyDescent="0.3">
      <c r="A3857" s="231"/>
      <c r="B3857" s="244"/>
      <c r="C3857" s="32" t="s">
        <v>706</v>
      </c>
      <c r="D3857" s="32" t="s">
        <v>705</v>
      </c>
      <c r="E3857" s="33">
        <f>ROUND(0.9834/(1.5*0.6),4)</f>
        <v>1.0927</v>
      </c>
      <c r="F3857" s="50">
        <v>18.420500000000001</v>
      </c>
      <c r="G3857" s="50">
        <f t="shared" si="73"/>
        <v>20.128080350000001</v>
      </c>
      <c r="H3857" s="69"/>
      <c r="I3857" s="70"/>
      <c r="J3857" s="141">
        <v>0</v>
      </c>
    </row>
    <row r="3858" spans="1:10" ht="15.75" hidden="1" thickBot="1" x14ac:dyDescent="0.3">
      <c r="A3858" s="231"/>
      <c r="B3858" s="244"/>
      <c r="C3858" s="32"/>
      <c r="D3858" s="32"/>
      <c r="E3858" s="33"/>
      <c r="F3858" s="50" t="s">
        <v>523</v>
      </c>
      <c r="G3858" s="50" t="str">
        <f t="shared" si="73"/>
        <v/>
      </c>
      <c r="H3858" s="69"/>
      <c r="I3858" s="70"/>
      <c r="J3858" s="141">
        <v>0</v>
      </c>
    </row>
    <row r="3859" spans="1:10" ht="15.75" hidden="1" thickBot="1" x14ac:dyDescent="0.3">
      <c r="A3859" s="225" t="s">
        <v>1134</v>
      </c>
      <c r="B3859" s="228" t="str">
        <f>INDEX(Orçamentária!A:B,MATCH(Composições!A3859,Orçamentária!A:A,0),2)</f>
        <v>Porta em alumínio tipo veneziana</v>
      </c>
      <c r="C3859" s="37"/>
      <c r="D3859" s="22" t="str">
        <f>TRIM(INDEX(Orçamentária!C:C,MATCH(Composições!A3859,Orçamentária!A:A,0),1))</f>
        <v>m2</v>
      </c>
      <c r="E3859" s="23"/>
      <c r="F3859" s="45" t="s">
        <v>523</v>
      </c>
      <c r="G3859" s="24" t="str">
        <f t="shared" si="73"/>
        <v/>
      </c>
      <c r="H3859" s="25"/>
      <c r="I3859" s="26"/>
      <c r="J3859" s="141">
        <v>0</v>
      </c>
    </row>
    <row r="3860" spans="1:10" ht="15.75" hidden="1" thickBot="1" x14ac:dyDescent="0.3">
      <c r="A3860" s="231"/>
      <c r="B3860" s="244"/>
      <c r="C3860" s="28"/>
      <c r="D3860" s="28"/>
      <c r="E3860" s="29"/>
      <c r="F3860" s="50" t="s">
        <v>523</v>
      </c>
      <c r="G3860" s="50" t="str">
        <f t="shared" si="73"/>
        <v/>
      </c>
      <c r="H3860" s="69"/>
      <c r="I3860" s="70"/>
      <c r="J3860" s="141">
        <v>0</v>
      </c>
    </row>
    <row r="3861" spans="1:10" ht="26.25" hidden="1" thickBot="1" x14ac:dyDescent="0.3">
      <c r="A3861" s="231"/>
      <c r="B3861" s="244"/>
      <c r="C3861" s="32" t="s">
        <v>1066</v>
      </c>
      <c r="D3861" s="43" t="s">
        <v>1077</v>
      </c>
      <c r="E3861" s="33">
        <v>0.88290000000000002</v>
      </c>
      <c r="F3861" s="50">
        <v>35.853000000000002</v>
      </c>
      <c r="G3861" s="50">
        <f t="shared" si="73"/>
        <v>31.654613700000002</v>
      </c>
      <c r="H3861" s="35">
        <f>SUM(G3861:G3866)</f>
        <v>592.89477484999998</v>
      </c>
      <c r="I3861" s="36"/>
      <c r="J3861" s="141">
        <v>0</v>
      </c>
    </row>
    <row r="3862" spans="1:10" ht="39" hidden="1" thickBot="1" x14ac:dyDescent="0.3">
      <c r="A3862" s="231"/>
      <c r="B3862" s="244"/>
      <c r="C3862" s="32" t="s">
        <v>1135</v>
      </c>
      <c r="D3862" s="43" t="s">
        <v>280</v>
      </c>
      <c r="E3862" s="33">
        <v>4.8166000000000002</v>
      </c>
      <c r="F3862" s="50">
        <v>1.159</v>
      </c>
      <c r="G3862" s="50">
        <f t="shared" si="73"/>
        <v>5.5824394000000002</v>
      </c>
      <c r="H3862" s="69"/>
      <c r="I3862" s="70"/>
      <c r="J3862" s="141">
        <v>0</v>
      </c>
    </row>
    <row r="3863" spans="1:10" ht="39" hidden="1" thickBot="1" x14ac:dyDescent="0.3">
      <c r="A3863" s="231"/>
      <c r="B3863" s="244"/>
      <c r="C3863" s="32" t="s">
        <v>6800</v>
      </c>
      <c r="D3863" s="32" t="s">
        <v>480</v>
      </c>
      <c r="E3863" s="33">
        <v>6.8503999999999996</v>
      </c>
      <c r="F3863" s="50">
        <v>25.212999999999997</v>
      </c>
      <c r="G3863" s="50">
        <f t="shared" si="73"/>
        <v>172.71913519999998</v>
      </c>
      <c r="H3863" s="69"/>
      <c r="I3863" s="70"/>
      <c r="J3863" s="141">
        <v>0</v>
      </c>
    </row>
    <row r="3864" spans="1:10" ht="26.25" hidden="1" thickBot="1" x14ac:dyDescent="0.3">
      <c r="A3864" s="231"/>
      <c r="B3864" s="244"/>
      <c r="C3864" s="32" t="s">
        <v>1136</v>
      </c>
      <c r="D3864" s="32" t="s">
        <v>280</v>
      </c>
      <c r="E3864" s="33">
        <v>0.54730000000000001</v>
      </c>
      <c r="F3864" s="50">
        <v>675.85849999999994</v>
      </c>
      <c r="G3864" s="50">
        <f t="shared" si="73"/>
        <v>369.89735704999998</v>
      </c>
      <c r="H3864" s="69"/>
      <c r="I3864" s="70"/>
      <c r="J3864" s="141">
        <v>0</v>
      </c>
    </row>
    <row r="3865" spans="1:10" ht="15.75" hidden="1" thickBot="1" x14ac:dyDescent="0.3">
      <c r="A3865" s="231"/>
      <c r="B3865" s="244"/>
      <c r="C3865" s="32" t="s">
        <v>1137</v>
      </c>
      <c r="D3865" s="43" t="s">
        <v>705</v>
      </c>
      <c r="E3865" s="33">
        <v>0.3826</v>
      </c>
      <c r="F3865" s="50">
        <v>24.889999999999997</v>
      </c>
      <c r="G3865" s="50">
        <f t="shared" si="73"/>
        <v>9.5229139999999983</v>
      </c>
      <c r="H3865" s="69"/>
      <c r="I3865" s="70"/>
      <c r="J3865" s="141">
        <v>0</v>
      </c>
    </row>
    <row r="3866" spans="1:10" ht="15.75" hidden="1" thickBot="1" x14ac:dyDescent="0.3">
      <c r="A3866" s="231"/>
      <c r="B3866" s="244"/>
      <c r="C3866" s="32" t="s">
        <v>23</v>
      </c>
      <c r="D3866" s="43" t="s">
        <v>705</v>
      </c>
      <c r="E3866" s="33">
        <v>0.191</v>
      </c>
      <c r="F3866" s="50">
        <v>18.420500000000001</v>
      </c>
      <c r="G3866" s="50">
        <f t="shared" si="73"/>
        <v>3.5183155000000004</v>
      </c>
      <c r="H3866" s="69"/>
      <c r="I3866" s="70"/>
      <c r="J3866" s="141">
        <v>0</v>
      </c>
    </row>
    <row r="3867" spans="1:10" ht="15.75" hidden="1" thickBot="1" x14ac:dyDescent="0.3">
      <c r="A3867" s="231"/>
      <c r="B3867" s="244"/>
      <c r="C3867" s="32"/>
      <c r="D3867" s="43"/>
      <c r="E3867" s="33"/>
      <c r="F3867" s="50" t="s">
        <v>523</v>
      </c>
      <c r="G3867" s="50" t="str">
        <f t="shared" si="73"/>
        <v/>
      </c>
      <c r="H3867" s="69"/>
      <c r="I3867" s="70"/>
      <c r="J3867" s="141">
        <v>0</v>
      </c>
    </row>
    <row r="3868" spans="1:10" ht="15.75" hidden="1" thickBot="1" x14ac:dyDescent="0.3">
      <c r="A3868" s="225" t="s">
        <v>1138</v>
      </c>
      <c r="B3868" s="228" t="str">
        <f>INDEX(Orçamentária!A:B,MATCH(Composições!A3868,Orçamentária!A:A,0),2)</f>
        <v>Janela em alumínio</v>
      </c>
      <c r="C3868" s="37"/>
      <c r="D3868" s="22" t="str">
        <f>TRIM(INDEX(Orçamentária!C:C,MATCH(Composições!A3868,Orçamentária!A:A,0),1))</f>
        <v>m2</v>
      </c>
      <c r="E3868" s="23"/>
      <c r="F3868" s="45" t="s">
        <v>523</v>
      </c>
      <c r="G3868" s="24" t="str">
        <f t="shared" si="73"/>
        <v/>
      </c>
      <c r="H3868" s="25"/>
      <c r="I3868" s="26"/>
      <c r="J3868" s="141">
        <v>0</v>
      </c>
    </row>
    <row r="3869" spans="1:10" ht="15.75" hidden="1" thickBot="1" x14ac:dyDescent="0.3">
      <c r="A3869" s="231"/>
      <c r="B3869" s="244"/>
      <c r="C3869" s="28"/>
      <c r="D3869" s="28"/>
      <c r="E3869" s="29"/>
      <c r="F3869" s="50" t="s">
        <v>523</v>
      </c>
      <c r="G3869" s="50" t="str">
        <f t="shared" si="73"/>
        <v/>
      </c>
      <c r="H3869" s="69"/>
      <c r="I3869" s="70"/>
      <c r="J3869" s="141">
        <v>0</v>
      </c>
    </row>
    <row r="3870" spans="1:10" ht="39" hidden="1" thickBot="1" x14ac:dyDescent="0.3">
      <c r="A3870" s="231"/>
      <c r="B3870" s="244"/>
      <c r="C3870" s="32" t="s">
        <v>1139</v>
      </c>
      <c r="D3870" s="43" t="s">
        <v>280</v>
      </c>
      <c r="E3870" s="33">
        <v>24.4</v>
      </c>
      <c r="F3870" s="50">
        <v>0.17099999999999999</v>
      </c>
      <c r="G3870" s="50">
        <f t="shared" si="73"/>
        <v>4.1723999999999997</v>
      </c>
      <c r="H3870" s="35">
        <f>SUM(G3870:G3874)</f>
        <v>619.42902249999997</v>
      </c>
      <c r="I3870" s="36"/>
      <c r="J3870" s="141">
        <v>0</v>
      </c>
    </row>
    <row r="3871" spans="1:10" ht="39" hidden="1" thickBot="1" x14ac:dyDescent="0.3">
      <c r="A3871" s="231"/>
      <c r="B3871" s="244"/>
      <c r="C3871" s="32" t="s">
        <v>6801</v>
      </c>
      <c r="D3871" s="43" t="s">
        <v>280</v>
      </c>
      <c r="E3871" s="33">
        <v>2.0832999999999999</v>
      </c>
      <c r="F3871" s="50">
        <v>253.21299999999999</v>
      </c>
      <c r="G3871" s="50">
        <f t="shared" si="73"/>
        <v>527.51864289999992</v>
      </c>
      <c r="H3871" s="69"/>
      <c r="I3871" s="70"/>
      <c r="J3871" s="141">
        <v>0</v>
      </c>
    </row>
    <row r="3872" spans="1:10" ht="15.75" hidden="1" thickBot="1" x14ac:dyDescent="0.3">
      <c r="A3872" s="231"/>
      <c r="B3872" s="244"/>
      <c r="C3872" s="32" t="s">
        <v>1130</v>
      </c>
      <c r="D3872" s="32" t="s">
        <v>280</v>
      </c>
      <c r="E3872" s="33">
        <v>1.2466999999999999</v>
      </c>
      <c r="F3872" s="50">
        <v>23.693000000000001</v>
      </c>
      <c r="G3872" s="50">
        <f t="shared" si="73"/>
        <v>29.538063099999999</v>
      </c>
      <c r="H3872" s="69"/>
      <c r="I3872" s="70"/>
      <c r="J3872" s="141">
        <v>0</v>
      </c>
    </row>
    <row r="3873" spans="1:10" ht="15.75" hidden="1" thickBot="1" x14ac:dyDescent="0.3">
      <c r="A3873" s="231"/>
      <c r="B3873" s="244"/>
      <c r="C3873" s="32" t="s">
        <v>713</v>
      </c>
      <c r="D3873" s="32" t="s">
        <v>705</v>
      </c>
      <c r="E3873" s="33">
        <v>1.7070000000000001</v>
      </c>
      <c r="F3873" s="50">
        <v>24.889999999999997</v>
      </c>
      <c r="G3873" s="50">
        <f t="shared" si="73"/>
        <v>42.487229999999997</v>
      </c>
      <c r="H3873" s="69"/>
      <c r="I3873" s="70"/>
      <c r="J3873" s="141">
        <v>0</v>
      </c>
    </row>
    <row r="3874" spans="1:10" ht="15.75" hidden="1" thickBot="1" x14ac:dyDescent="0.3">
      <c r="A3874" s="231"/>
      <c r="B3874" s="244"/>
      <c r="C3874" s="32" t="s">
        <v>706</v>
      </c>
      <c r="D3874" s="43" t="s">
        <v>705</v>
      </c>
      <c r="E3874" s="33">
        <v>0.85299999999999998</v>
      </c>
      <c r="F3874" s="50">
        <v>18.420500000000001</v>
      </c>
      <c r="G3874" s="50">
        <f t="shared" si="73"/>
        <v>15.7126865</v>
      </c>
      <c r="H3874" s="69"/>
      <c r="I3874" s="70"/>
      <c r="J3874" s="141">
        <v>0</v>
      </c>
    </row>
    <row r="3875" spans="1:10" ht="15.75" hidden="1" thickBot="1" x14ac:dyDescent="0.3">
      <c r="A3875" s="231"/>
      <c r="B3875" s="244"/>
      <c r="C3875" s="32"/>
      <c r="D3875" s="43"/>
      <c r="E3875" s="33"/>
      <c r="F3875" s="50" t="s">
        <v>523</v>
      </c>
      <c r="G3875" s="50" t="str">
        <f t="shared" si="73"/>
        <v/>
      </c>
      <c r="H3875" s="69"/>
      <c r="I3875" s="70"/>
      <c r="J3875" s="141">
        <v>0</v>
      </c>
    </row>
    <row r="3876" spans="1:10" ht="15.75" hidden="1" thickBot="1" x14ac:dyDescent="0.3">
      <c r="A3876" s="225" t="s">
        <v>1140</v>
      </c>
      <c r="B3876" s="228" t="str">
        <f>INDEX(Orçamentária!A:B,MATCH(Composições!A3876,Orçamentária!A:A,0),2)</f>
        <v>Porta metálica de enrolar</v>
      </c>
      <c r="C3876" s="37"/>
      <c r="D3876" s="22" t="str">
        <f>TRIM(INDEX(Orçamentária!C:C,MATCH(Composições!A3876,Orçamentária!A:A,0),1))</f>
        <v>m2</v>
      </c>
      <c r="E3876" s="23"/>
      <c r="F3876" s="45" t="s">
        <v>523</v>
      </c>
      <c r="G3876" s="24" t="str">
        <f t="shared" si="73"/>
        <v/>
      </c>
      <c r="H3876" s="25"/>
      <c r="I3876" s="26"/>
      <c r="J3876" s="141">
        <v>0</v>
      </c>
    </row>
    <row r="3877" spans="1:10" ht="15.75" hidden="1" thickBot="1" x14ac:dyDescent="0.3">
      <c r="A3877" s="231"/>
      <c r="B3877" s="244"/>
      <c r="C3877" s="28"/>
      <c r="D3877" s="28"/>
      <c r="E3877" s="29"/>
      <c r="F3877" s="50" t="s">
        <v>523</v>
      </c>
      <c r="G3877" s="50" t="str">
        <f t="shared" si="73"/>
        <v/>
      </c>
      <c r="H3877" s="69"/>
      <c r="I3877" s="70"/>
      <c r="J3877" s="141">
        <v>0</v>
      </c>
    </row>
    <row r="3878" spans="1:10" ht="39" hidden="1" thickBot="1" x14ac:dyDescent="0.3">
      <c r="A3878" s="231"/>
      <c r="B3878" s="244"/>
      <c r="C3878" s="32" t="s">
        <v>1141</v>
      </c>
      <c r="D3878" s="43" t="s">
        <v>995</v>
      </c>
      <c r="E3878" s="33">
        <v>1</v>
      </c>
      <c r="F3878" s="50">
        <v>424.00399999999996</v>
      </c>
      <c r="G3878" s="50">
        <f t="shared" si="73"/>
        <v>424.00399999999996</v>
      </c>
      <c r="H3878" s="35">
        <f>SUM(G3878:G3884)</f>
        <v>474.98268634499993</v>
      </c>
      <c r="I3878" s="36"/>
      <c r="J3878" s="141">
        <v>0</v>
      </c>
    </row>
    <row r="3879" spans="1:10" ht="15.75" hidden="1" thickBot="1" x14ac:dyDescent="0.3">
      <c r="A3879" s="231"/>
      <c r="B3879" s="244"/>
      <c r="C3879" s="32" t="s">
        <v>713</v>
      </c>
      <c r="D3879" s="43" t="s">
        <v>705</v>
      </c>
      <c r="E3879" s="33">
        <v>1</v>
      </c>
      <c r="F3879" s="50">
        <v>24.889999999999997</v>
      </c>
      <c r="G3879" s="50">
        <f t="shared" si="73"/>
        <v>24.889999999999997</v>
      </c>
      <c r="H3879" s="69"/>
      <c r="I3879" s="70"/>
      <c r="J3879" s="141">
        <v>0</v>
      </c>
    </row>
    <row r="3880" spans="1:10" ht="15.75" hidden="1" thickBot="1" x14ac:dyDescent="0.3">
      <c r="A3880" s="231"/>
      <c r="B3880" s="244"/>
      <c r="C3880" s="32" t="s">
        <v>706</v>
      </c>
      <c r="D3880" s="32" t="s">
        <v>705</v>
      </c>
      <c r="E3880" s="33">
        <v>1.1000000000000001</v>
      </c>
      <c r="F3880" s="50">
        <v>18.420500000000001</v>
      </c>
      <c r="G3880" s="50">
        <f t="shared" si="73"/>
        <v>20.262550000000001</v>
      </c>
      <c r="H3880" s="69"/>
      <c r="I3880" s="70"/>
      <c r="J3880" s="141">
        <v>0</v>
      </c>
    </row>
    <row r="3881" spans="1:10" ht="26.25" hidden="1" thickBot="1" x14ac:dyDescent="0.3">
      <c r="A3881" s="231"/>
      <c r="B3881" s="244"/>
      <c r="C3881" s="32" t="s">
        <v>754</v>
      </c>
      <c r="D3881" s="43" t="s">
        <v>120</v>
      </c>
      <c r="E3881" s="33">
        <v>1.2999999999999999E-2</v>
      </c>
      <c r="F3881" s="50">
        <v>160.53099999999998</v>
      </c>
      <c r="G3881" s="50">
        <f t="shared" si="73"/>
        <v>2.0869029999999995</v>
      </c>
      <c r="H3881" s="69"/>
      <c r="I3881" s="70"/>
      <c r="J3881" s="141">
        <v>0</v>
      </c>
    </row>
    <row r="3882" spans="1:10" ht="15.75" hidden="1" thickBot="1" x14ac:dyDescent="0.3">
      <c r="A3882" s="231"/>
      <c r="B3882" s="244"/>
      <c r="C3882" s="32" t="s">
        <v>750</v>
      </c>
      <c r="D3882" s="43" t="s">
        <v>901</v>
      </c>
      <c r="E3882" s="33">
        <v>4.58</v>
      </c>
      <c r="F3882" s="50">
        <v>0.64600000000000002</v>
      </c>
      <c r="G3882" s="50">
        <f t="shared" si="73"/>
        <v>2.9586800000000002</v>
      </c>
      <c r="H3882" s="69"/>
      <c r="I3882" s="70"/>
      <c r="J3882" s="141">
        <v>0</v>
      </c>
    </row>
    <row r="3883" spans="1:10" ht="51.75" hidden="1" thickBot="1" x14ac:dyDescent="0.3">
      <c r="A3883" s="231"/>
      <c r="B3883" s="244"/>
      <c r="C3883" s="32" t="s">
        <v>3532</v>
      </c>
      <c r="D3883" s="32" t="s">
        <v>109</v>
      </c>
      <c r="E3883" s="33">
        <f>1*E3881</f>
        <v>1.2999999999999999E-2</v>
      </c>
      <c r="F3883" s="30">
        <v>7.6983819999999996</v>
      </c>
      <c r="G3883" s="30">
        <f t="shared" si="73"/>
        <v>0.10007896599999999</v>
      </c>
      <c r="H3883" s="31"/>
      <c r="I3883" s="27"/>
      <c r="J3883" s="141">
        <v>0</v>
      </c>
    </row>
    <row r="3884" spans="1:10" ht="39" hidden="1" thickBot="1" x14ac:dyDescent="0.3">
      <c r="A3884" s="231"/>
      <c r="B3884" s="244"/>
      <c r="C3884" s="32" t="s">
        <v>121</v>
      </c>
      <c r="D3884" s="43" t="s">
        <v>122</v>
      </c>
      <c r="E3884" s="33">
        <f>E3881*20</f>
        <v>0.26</v>
      </c>
      <c r="F3884" s="50">
        <v>2.6172091499999994</v>
      </c>
      <c r="G3884" s="50">
        <f t="shared" si="73"/>
        <v>0.68047437899999985</v>
      </c>
      <c r="H3884" s="69"/>
      <c r="I3884" s="70"/>
      <c r="J3884" s="141">
        <v>0</v>
      </c>
    </row>
    <row r="3885" spans="1:10" ht="15.75" hidden="1" thickBot="1" x14ac:dyDescent="0.3">
      <c r="A3885" s="231"/>
      <c r="B3885" s="244"/>
      <c r="C3885" s="47"/>
      <c r="D3885" s="43"/>
      <c r="E3885" s="33"/>
      <c r="F3885" s="50" t="s">
        <v>523</v>
      </c>
      <c r="G3885" s="50" t="str">
        <f t="shared" si="73"/>
        <v/>
      </c>
      <c r="H3885" s="69"/>
      <c r="I3885" s="70"/>
      <c r="J3885" s="141">
        <v>0</v>
      </c>
    </row>
    <row r="3886" spans="1:10" ht="15.75" hidden="1" thickBot="1" x14ac:dyDescent="0.3">
      <c r="A3886" s="231"/>
      <c r="B3886" s="244"/>
      <c r="C3886" s="44" t="s">
        <v>757</v>
      </c>
      <c r="D3886" s="43"/>
      <c r="E3886" s="33"/>
      <c r="F3886" s="50" t="s">
        <v>523</v>
      </c>
      <c r="G3886" s="50" t="str">
        <f t="shared" si="73"/>
        <v/>
      </c>
      <c r="H3886" s="69"/>
      <c r="I3886" s="70"/>
      <c r="J3886" s="141">
        <v>0</v>
      </c>
    </row>
    <row r="3887" spans="1:10" ht="15.75" hidden="1" thickBot="1" x14ac:dyDescent="0.3">
      <c r="A3887" s="232"/>
      <c r="B3887" s="230"/>
      <c r="C3887" s="44"/>
      <c r="D3887" s="43"/>
      <c r="E3887" s="33"/>
      <c r="F3887" s="50" t="s">
        <v>523</v>
      </c>
      <c r="G3887" s="50" t="str">
        <f t="shared" si="73"/>
        <v/>
      </c>
      <c r="H3887" s="69"/>
      <c r="I3887" s="70"/>
      <c r="J3887" s="141">
        <v>0</v>
      </c>
    </row>
    <row r="3888" spans="1:10" ht="15.75" hidden="1" thickBot="1" x14ac:dyDescent="0.3">
      <c r="A3888" s="225" t="s">
        <v>1142</v>
      </c>
      <c r="B3888" s="228" t="str">
        <f>INDEX(Orçamentária!A:B,MATCH(Composições!A3888,Orçamentária!A:A,0),2)</f>
        <v>Medidor de Gás</v>
      </c>
      <c r="C3888" s="37"/>
      <c r="D3888" s="22" t="str">
        <f>TRIM(INDEX(Orçamentária!C:C,MATCH(Composições!A3888,Orçamentária!A:A,0),1))</f>
        <v>un</v>
      </c>
      <c r="E3888" s="23"/>
      <c r="F3888" s="45" t="s">
        <v>523</v>
      </c>
      <c r="G3888" s="24" t="str">
        <f t="shared" si="73"/>
        <v/>
      </c>
      <c r="H3888" s="25"/>
      <c r="I3888" s="26"/>
      <c r="J3888" s="141">
        <v>0</v>
      </c>
    </row>
    <row r="3889" spans="1:10" ht="15.75" hidden="1" thickBot="1" x14ac:dyDescent="0.3">
      <c r="A3889" s="231"/>
      <c r="B3889" s="244"/>
      <c r="C3889" s="28"/>
      <c r="D3889" s="28"/>
      <c r="E3889" s="29"/>
      <c r="F3889" s="50" t="s">
        <v>523</v>
      </c>
      <c r="G3889" s="50" t="str">
        <f t="shared" ref="G3889:G3952" si="74">IF(ISNUMBER(F3889),E3889*F3889,"")</f>
        <v/>
      </c>
      <c r="H3889" s="69"/>
      <c r="I3889" s="70"/>
      <c r="J3889" s="141">
        <v>0</v>
      </c>
    </row>
    <row r="3890" spans="1:10" ht="15.75" hidden="1" thickBot="1" x14ac:dyDescent="0.3">
      <c r="A3890" s="231"/>
      <c r="B3890" s="244"/>
      <c r="C3890" s="32" t="s">
        <v>319</v>
      </c>
      <c r="D3890" s="43" t="s">
        <v>280</v>
      </c>
      <c r="E3890" s="33">
        <v>0.20519999999999999</v>
      </c>
      <c r="F3890" s="50">
        <v>16.111999999999998</v>
      </c>
      <c r="G3890" s="50">
        <f t="shared" si="74"/>
        <v>3.3061823999999995</v>
      </c>
      <c r="H3890" s="35">
        <f>SUM(G3890:G3901)</f>
        <v>679.45291144999987</v>
      </c>
      <c r="I3890" s="36"/>
      <c r="J3890" s="141">
        <v>0</v>
      </c>
    </row>
    <row r="3891" spans="1:10" ht="26.25" hidden="1" thickBot="1" x14ac:dyDescent="0.3">
      <c r="A3891" s="231"/>
      <c r="B3891" s="244"/>
      <c r="C3891" s="32" t="s">
        <v>1143</v>
      </c>
      <c r="D3891" s="43" t="s">
        <v>280</v>
      </c>
      <c r="E3891" s="33">
        <v>2</v>
      </c>
      <c r="F3891" s="50">
        <v>15.513499999999997</v>
      </c>
      <c r="G3891" s="50">
        <f t="shared" si="74"/>
        <v>31.026999999999994</v>
      </c>
      <c r="H3891" s="69"/>
      <c r="I3891" s="70"/>
      <c r="J3891" s="141">
        <v>0</v>
      </c>
    </row>
    <row r="3892" spans="1:10" ht="15.75" hidden="1" thickBot="1" x14ac:dyDescent="0.3">
      <c r="A3892" s="231"/>
      <c r="B3892" s="244"/>
      <c r="C3892" s="32" t="s">
        <v>1144</v>
      </c>
      <c r="D3892" s="43" t="s">
        <v>280</v>
      </c>
      <c r="E3892" s="33">
        <v>4</v>
      </c>
      <c r="F3892" s="50">
        <v>11.504499999999998</v>
      </c>
      <c r="G3892" s="50">
        <f t="shared" si="74"/>
        <v>46.017999999999994</v>
      </c>
      <c r="H3892" s="69"/>
      <c r="I3892" s="70"/>
      <c r="J3892" s="141">
        <v>0</v>
      </c>
    </row>
    <row r="3893" spans="1:10" ht="15.75" hidden="1" thickBot="1" x14ac:dyDescent="0.3">
      <c r="A3893" s="231"/>
      <c r="B3893" s="244"/>
      <c r="C3893" s="32" t="s">
        <v>1145</v>
      </c>
      <c r="D3893" s="43" t="s">
        <v>280</v>
      </c>
      <c r="E3893" s="33">
        <v>2</v>
      </c>
      <c r="F3893" s="50">
        <v>4.1040000000000001</v>
      </c>
      <c r="G3893" s="50">
        <f t="shared" si="74"/>
        <v>8.2080000000000002</v>
      </c>
      <c r="H3893" s="69"/>
      <c r="I3893" s="70"/>
      <c r="J3893" s="141">
        <v>0</v>
      </c>
    </row>
    <row r="3894" spans="1:10" ht="26.25" hidden="1" thickBot="1" x14ac:dyDescent="0.3">
      <c r="A3894" s="231"/>
      <c r="B3894" s="244"/>
      <c r="C3894" s="32" t="s">
        <v>1146</v>
      </c>
      <c r="D3894" s="43" t="s">
        <v>280</v>
      </c>
      <c r="E3894" s="33">
        <v>2</v>
      </c>
      <c r="F3894" s="50">
        <v>25.231999999999999</v>
      </c>
      <c r="G3894" s="50">
        <f t="shared" si="74"/>
        <v>50.463999999999999</v>
      </c>
      <c r="H3894" s="69"/>
      <c r="I3894" s="70"/>
      <c r="J3894" s="141">
        <v>0</v>
      </c>
    </row>
    <row r="3895" spans="1:10" ht="26.25" hidden="1" thickBot="1" x14ac:dyDescent="0.3">
      <c r="A3895" s="231"/>
      <c r="B3895" s="244"/>
      <c r="C3895" s="32" t="s">
        <v>1147</v>
      </c>
      <c r="D3895" s="43" t="s">
        <v>280</v>
      </c>
      <c r="E3895" s="33">
        <v>1</v>
      </c>
      <c r="F3895" s="50">
        <v>33.126499999999993</v>
      </c>
      <c r="G3895" s="50">
        <f t="shared" si="74"/>
        <v>33.126499999999993</v>
      </c>
      <c r="H3895" s="69"/>
      <c r="I3895" s="70"/>
      <c r="J3895" s="141">
        <v>0</v>
      </c>
    </row>
    <row r="3896" spans="1:10" ht="15.75" hidden="1" thickBot="1" x14ac:dyDescent="0.3">
      <c r="A3896" s="231"/>
      <c r="B3896" s="244"/>
      <c r="C3896" s="32" t="s">
        <v>1148</v>
      </c>
      <c r="D3896" s="43" t="s">
        <v>280</v>
      </c>
      <c r="E3896" s="33">
        <v>3</v>
      </c>
      <c r="F3896" s="50">
        <v>72.826999999999998</v>
      </c>
      <c r="G3896" s="50">
        <f t="shared" si="74"/>
        <v>218.48099999999999</v>
      </c>
      <c r="H3896" s="69"/>
      <c r="I3896" s="70"/>
      <c r="J3896" s="141">
        <v>0</v>
      </c>
    </row>
    <row r="3897" spans="1:10" ht="15.75" hidden="1" thickBot="1" x14ac:dyDescent="0.3">
      <c r="A3897" s="231"/>
      <c r="B3897" s="244"/>
      <c r="C3897" s="32" t="s">
        <v>1149</v>
      </c>
      <c r="D3897" s="43" t="s">
        <v>280</v>
      </c>
      <c r="E3897" s="33">
        <v>2</v>
      </c>
      <c r="F3897" s="50">
        <v>46.730499999999992</v>
      </c>
      <c r="G3897" s="50">
        <f t="shared" si="74"/>
        <v>93.460999999999984</v>
      </c>
      <c r="H3897" s="69"/>
      <c r="I3897" s="70"/>
      <c r="J3897" s="141">
        <v>0</v>
      </c>
    </row>
    <row r="3898" spans="1:10" ht="26.25" hidden="1" thickBot="1" x14ac:dyDescent="0.3">
      <c r="A3898" s="231"/>
      <c r="B3898" s="244"/>
      <c r="C3898" s="32" t="s">
        <v>1150</v>
      </c>
      <c r="D3898" s="43" t="s">
        <v>480</v>
      </c>
      <c r="E3898" s="33">
        <v>0.72729999999999995</v>
      </c>
      <c r="F3898" s="50">
        <v>43.880499999999998</v>
      </c>
      <c r="G3898" s="50">
        <f t="shared" si="74"/>
        <v>31.914287649999995</v>
      </c>
      <c r="H3898" s="69"/>
      <c r="I3898" s="70"/>
      <c r="J3898" s="141">
        <v>0</v>
      </c>
    </row>
    <row r="3899" spans="1:10" ht="26.25" hidden="1" thickBot="1" x14ac:dyDescent="0.3">
      <c r="A3899" s="231"/>
      <c r="B3899" s="244"/>
      <c r="C3899" s="32" t="s">
        <v>956</v>
      </c>
      <c r="D3899" s="43" t="s">
        <v>705</v>
      </c>
      <c r="E3899" s="33">
        <v>1.6462000000000001</v>
      </c>
      <c r="F3899" s="50">
        <v>19.094999999999999</v>
      </c>
      <c r="G3899" s="50">
        <f t="shared" si="74"/>
        <v>31.434189</v>
      </c>
      <c r="H3899" s="69"/>
      <c r="I3899" s="70"/>
      <c r="J3899" s="141">
        <v>0</v>
      </c>
    </row>
    <row r="3900" spans="1:10" ht="26.25" hidden="1" thickBot="1" x14ac:dyDescent="0.3">
      <c r="A3900" s="231"/>
      <c r="B3900" s="244"/>
      <c r="C3900" s="32" t="s">
        <v>957</v>
      </c>
      <c r="D3900" s="43" t="s">
        <v>705</v>
      </c>
      <c r="E3900" s="33">
        <v>5.4324000000000003</v>
      </c>
      <c r="F3900" s="50">
        <v>24.300999999999998</v>
      </c>
      <c r="G3900" s="50">
        <f t="shared" si="74"/>
        <v>132.01275240000001</v>
      </c>
      <c r="H3900" s="69"/>
      <c r="I3900" s="70"/>
      <c r="J3900" s="141">
        <v>0</v>
      </c>
    </row>
    <row r="3901" spans="1:10" ht="15.75" hidden="1" thickBot="1" x14ac:dyDescent="0.3">
      <c r="A3901" s="231"/>
      <c r="B3901" s="244"/>
      <c r="C3901" s="32" t="s">
        <v>1151</v>
      </c>
      <c r="D3901" s="43" t="s">
        <v>280</v>
      </c>
      <c r="E3901" s="33">
        <v>1</v>
      </c>
      <c r="F3901" s="50" t="s">
        <v>523</v>
      </c>
      <c r="G3901" s="50" t="str">
        <f t="shared" si="74"/>
        <v/>
      </c>
      <c r="H3901" s="69"/>
      <c r="I3901" s="70"/>
      <c r="J3901" s="141">
        <v>0</v>
      </c>
    </row>
    <row r="3902" spans="1:10" ht="15.75" hidden="1" thickBot="1" x14ac:dyDescent="0.3">
      <c r="A3902" s="231"/>
      <c r="B3902" s="244"/>
      <c r="C3902" s="51"/>
      <c r="D3902" s="51"/>
      <c r="E3902" s="62"/>
      <c r="F3902" s="72" t="s">
        <v>523</v>
      </c>
      <c r="G3902" s="72" t="str">
        <f t="shared" si="74"/>
        <v/>
      </c>
      <c r="H3902" s="73"/>
      <c r="I3902" s="70"/>
      <c r="J3902" s="141">
        <v>0</v>
      </c>
    </row>
    <row r="3903" spans="1:10" ht="15.75" hidden="1" thickBot="1" x14ac:dyDescent="0.3">
      <c r="A3903" s="225" t="s">
        <v>1152</v>
      </c>
      <c r="B3903" s="228" t="str">
        <f>INDEX(Orçamentária!A:B,MATCH(Composições!A3903,Orçamentária!A:A,0),2)</f>
        <v>Registro Esfera para Gás 3/4”</v>
      </c>
      <c r="C3903" s="37"/>
      <c r="D3903" s="22" t="str">
        <f>TRIM(INDEX(Orçamentária!C:C,MATCH(Composições!A3903,Orçamentária!A:A,0),1))</f>
        <v>un</v>
      </c>
      <c r="E3903" s="23"/>
      <c r="F3903" s="45" t="s">
        <v>523</v>
      </c>
      <c r="G3903" s="24" t="str">
        <f t="shared" si="74"/>
        <v/>
      </c>
      <c r="H3903" s="25"/>
      <c r="I3903" s="26"/>
      <c r="J3903" s="141">
        <v>0</v>
      </c>
    </row>
    <row r="3904" spans="1:10" ht="15.75" hidden="1" thickBot="1" x14ac:dyDescent="0.3">
      <c r="A3904" s="231"/>
      <c r="B3904" s="244"/>
      <c r="C3904" s="28"/>
      <c r="D3904" s="28"/>
      <c r="E3904" s="29"/>
      <c r="F3904" s="50" t="s">
        <v>523</v>
      </c>
      <c r="G3904" s="50" t="str">
        <f t="shared" si="74"/>
        <v/>
      </c>
      <c r="H3904" s="69"/>
      <c r="I3904" s="70"/>
      <c r="J3904" s="141">
        <v>0</v>
      </c>
    </row>
    <row r="3905" spans="1:10" ht="15.75" hidden="1" thickBot="1" x14ac:dyDescent="0.3">
      <c r="A3905" s="231"/>
      <c r="B3905" s="244"/>
      <c r="C3905" s="32" t="s">
        <v>319</v>
      </c>
      <c r="D3905" s="32" t="s">
        <v>280</v>
      </c>
      <c r="E3905" s="33">
        <v>1.06E-2</v>
      </c>
      <c r="F3905" s="50">
        <v>16.111999999999998</v>
      </c>
      <c r="G3905" s="50">
        <f t="shared" si="74"/>
        <v>0.17078719999999997</v>
      </c>
      <c r="H3905" s="35">
        <f>SUM(G3905:G3908)</f>
        <v>4.9530263999999997</v>
      </c>
      <c r="I3905" s="36"/>
      <c r="J3905" s="141">
        <v>0</v>
      </c>
    </row>
    <row r="3906" spans="1:10" ht="15.75" hidden="1" thickBot="1" x14ac:dyDescent="0.3">
      <c r="A3906" s="231"/>
      <c r="B3906" s="244"/>
      <c r="C3906" s="32" t="s">
        <v>1153</v>
      </c>
      <c r="D3906" s="32" t="s">
        <v>280</v>
      </c>
      <c r="E3906" s="33">
        <v>1</v>
      </c>
      <c r="F3906" s="50" t="s">
        <v>523</v>
      </c>
      <c r="G3906" s="50" t="str">
        <f t="shared" si="74"/>
        <v/>
      </c>
      <c r="H3906" s="69"/>
      <c r="I3906" s="70"/>
      <c r="J3906" s="141">
        <v>0</v>
      </c>
    </row>
    <row r="3907" spans="1:10" ht="26.25" hidden="1" thickBot="1" x14ac:dyDescent="0.3">
      <c r="A3907" s="231"/>
      <c r="B3907" s="244"/>
      <c r="C3907" s="32" t="s">
        <v>956</v>
      </c>
      <c r="D3907" s="32" t="s">
        <v>705</v>
      </c>
      <c r="E3907" s="33">
        <v>0.11020000000000001</v>
      </c>
      <c r="F3907" s="50">
        <v>19.094999999999999</v>
      </c>
      <c r="G3907" s="50">
        <f t="shared" si="74"/>
        <v>2.1042689999999999</v>
      </c>
      <c r="H3907" s="69"/>
      <c r="I3907" s="70"/>
      <c r="J3907" s="141">
        <v>0</v>
      </c>
    </row>
    <row r="3908" spans="1:10" ht="26.25" hidden="1" thickBot="1" x14ac:dyDescent="0.3">
      <c r="A3908" s="231"/>
      <c r="B3908" s="244"/>
      <c r="C3908" s="32" t="s">
        <v>957</v>
      </c>
      <c r="D3908" s="32" t="s">
        <v>705</v>
      </c>
      <c r="E3908" s="33">
        <v>0.11020000000000001</v>
      </c>
      <c r="F3908" s="50">
        <v>24.300999999999998</v>
      </c>
      <c r="G3908" s="50">
        <f t="shared" si="74"/>
        <v>2.6779701999999999</v>
      </c>
      <c r="H3908" s="69"/>
      <c r="I3908" s="70"/>
      <c r="J3908" s="141">
        <v>0</v>
      </c>
    </row>
    <row r="3909" spans="1:10" ht="15.75" hidden="1" thickBot="1" x14ac:dyDescent="0.3">
      <c r="A3909" s="231"/>
      <c r="B3909" s="244"/>
      <c r="C3909" s="51"/>
      <c r="D3909" s="51"/>
      <c r="E3909" s="62"/>
      <c r="F3909" s="72" t="s">
        <v>523</v>
      </c>
      <c r="G3909" s="72" t="str">
        <f t="shared" si="74"/>
        <v/>
      </c>
      <c r="H3909" s="73"/>
      <c r="I3909" s="70"/>
      <c r="J3909" s="141">
        <v>0</v>
      </c>
    </row>
    <row r="3910" spans="1:10" ht="15.75" hidden="1" thickBot="1" x14ac:dyDescent="0.3">
      <c r="A3910" s="225" t="s">
        <v>1154</v>
      </c>
      <c r="B3910" s="228" t="str">
        <f>INDEX(Orçamentária!A:B,MATCH(Composições!A3910,Orçamentária!A:A,0),2)</f>
        <v>Placa de Concreto Pré-Moldado 15 Mpa</v>
      </c>
      <c r="C3910" s="37"/>
      <c r="D3910" s="22" t="str">
        <f>TRIM(INDEX(Orçamentária!C:C,MATCH(Composições!A3910,Orçamentária!A:A,0),1))</f>
        <v>m3</v>
      </c>
      <c r="E3910" s="23"/>
      <c r="F3910" s="45" t="s">
        <v>523</v>
      </c>
      <c r="G3910" s="24" t="str">
        <f t="shared" si="74"/>
        <v/>
      </c>
      <c r="H3910" s="25"/>
      <c r="I3910" s="26"/>
      <c r="J3910" s="141">
        <v>0</v>
      </c>
    </row>
    <row r="3911" spans="1:10" ht="15.75" hidden="1" thickBot="1" x14ac:dyDescent="0.3">
      <c r="A3911" s="231"/>
      <c r="B3911" s="244"/>
      <c r="C3911" s="28"/>
      <c r="D3911" s="28"/>
      <c r="E3911" s="29"/>
      <c r="F3911" s="50" t="s">
        <v>523</v>
      </c>
      <c r="G3911" s="50" t="str">
        <f t="shared" si="74"/>
        <v/>
      </c>
      <c r="H3911" s="69"/>
      <c r="I3911" s="70"/>
      <c r="J3911" s="141">
        <v>0</v>
      </c>
    </row>
    <row r="3912" spans="1:10" ht="39" hidden="1" thickBot="1" x14ac:dyDescent="0.3">
      <c r="A3912" s="231"/>
      <c r="B3912" s="244"/>
      <c r="C3912" s="32" t="s">
        <v>6799</v>
      </c>
      <c r="D3912" s="32" t="s">
        <v>995</v>
      </c>
      <c r="E3912" s="33">
        <v>0.75829999999999997</v>
      </c>
      <c r="F3912" s="50">
        <v>52.953000000000003</v>
      </c>
      <c r="G3912" s="50">
        <f t="shared" si="74"/>
        <v>40.1542599</v>
      </c>
      <c r="H3912" s="35">
        <f>SUM(G3912:G3926)</f>
        <v>1024.9289914163924</v>
      </c>
      <c r="I3912" s="36"/>
      <c r="J3912" s="141">
        <v>0</v>
      </c>
    </row>
    <row r="3913" spans="1:10" ht="26.25" hidden="1" thickBot="1" x14ac:dyDescent="0.3">
      <c r="A3913" s="231"/>
      <c r="B3913" s="244"/>
      <c r="C3913" s="32" t="s">
        <v>1155</v>
      </c>
      <c r="D3913" s="32" t="s">
        <v>102</v>
      </c>
      <c r="E3913" s="33">
        <v>3.3399999999999999E-2</v>
      </c>
      <c r="F3913" s="50">
        <v>7.1819999999999995</v>
      </c>
      <c r="G3913" s="50">
        <f t="shared" si="74"/>
        <v>0.23987879999999998</v>
      </c>
      <c r="H3913" s="69"/>
      <c r="I3913" s="70"/>
      <c r="J3913" s="141">
        <v>0</v>
      </c>
    </row>
    <row r="3914" spans="1:10" ht="26.25" hidden="1" thickBot="1" x14ac:dyDescent="0.3">
      <c r="A3914" s="231"/>
      <c r="B3914" s="244"/>
      <c r="C3914" s="32" t="s">
        <v>3711</v>
      </c>
      <c r="D3914" s="32" t="s">
        <v>480</v>
      </c>
      <c r="E3914" s="33">
        <v>2.8315999999999999</v>
      </c>
      <c r="F3914" s="50">
        <v>3.0019999999999998</v>
      </c>
      <c r="G3914" s="50">
        <f t="shared" si="74"/>
        <v>8.5004631999999987</v>
      </c>
      <c r="H3914" s="69"/>
      <c r="I3914" s="70"/>
      <c r="J3914" s="141">
        <v>0</v>
      </c>
    </row>
    <row r="3915" spans="1:10" ht="15.75" hidden="1" thickBot="1" x14ac:dyDescent="0.3">
      <c r="A3915" s="231"/>
      <c r="B3915" s="244"/>
      <c r="C3915" s="32" t="s">
        <v>1156</v>
      </c>
      <c r="D3915" s="32" t="s">
        <v>901</v>
      </c>
      <c r="E3915" s="33">
        <v>6.0100000000000001E-2</v>
      </c>
      <c r="F3915" s="50">
        <v>24.452999999999996</v>
      </c>
      <c r="G3915" s="50">
        <f t="shared" si="74"/>
        <v>1.4696252999999997</v>
      </c>
      <c r="H3915" s="69"/>
      <c r="I3915" s="70"/>
      <c r="J3915" s="141">
        <v>0</v>
      </c>
    </row>
    <row r="3916" spans="1:10" ht="15.75" hidden="1" thickBot="1" x14ac:dyDescent="0.3">
      <c r="A3916" s="231"/>
      <c r="B3916" s="244"/>
      <c r="C3916" s="32" t="s">
        <v>6816</v>
      </c>
      <c r="D3916" s="32" t="s">
        <v>120</v>
      </c>
      <c r="E3916" s="33">
        <v>0.18540000000000001</v>
      </c>
      <c r="F3916" s="50">
        <v>292.67599999999999</v>
      </c>
      <c r="G3916" s="50">
        <f t="shared" si="74"/>
        <v>54.262130400000004</v>
      </c>
      <c r="H3916" s="69"/>
      <c r="I3916" s="70"/>
      <c r="J3916" s="141">
        <v>0</v>
      </c>
    </row>
    <row r="3917" spans="1:10" ht="15.75" hidden="1" thickBot="1" x14ac:dyDescent="0.3">
      <c r="A3917" s="231"/>
      <c r="B3917" s="244"/>
      <c r="C3917" s="32" t="s">
        <v>788</v>
      </c>
      <c r="D3917" s="32" t="s">
        <v>705</v>
      </c>
      <c r="E3917" s="33">
        <v>0.1865</v>
      </c>
      <c r="F3917" s="50">
        <v>19.494</v>
      </c>
      <c r="G3917" s="50">
        <f t="shared" si="74"/>
        <v>3.6356310000000001</v>
      </c>
      <c r="H3917" s="69"/>
      <c r="I3917" s="70"/>
      <c r="J3917" s="141">
        <v>0</v>
      </c>
    </row>
    <row r="3918" spans="1:10" ht="15.75" hidden="1" thickBot="1" x14ac:dyDescent="0.3">
      <c r="A3918" s="231"/>
      <c r="B3918" s="244"/>
      <c r="C3918" s="32" t="s">
        <v>704</v>
      </c>
      <c r="D3918" s="32" t="s">
        <v>705</v>
      </c>
      <c r="E3918" s="33">
        <v>0.93259999999999998</v>
      </c>
      <c r="F3918" s="50">
        <v>23.616999999999997</v>
      </c>
      <c r="G3918" s="50">
        <f t="shared" si="74"/>
        <v>22.025214199999997</v>
      </c>
      <c r="H3918" s="69"/>
      <c r="I3918" s="70"/>
      <c r="J3918" s="141">
        <v>0</v>
      </c>
    </row>
    <row r="3919" spans="1:10" ht="15.75" hidden="1" thickBot="1" x14ac:dyDescent="0.3">
      <c r="A3919" s="231"/>
      <c r="B3919" s="244"/>
      <c r="C3919" s="32" t="s">
        <v>713</v>
      </c>
      <c r="D3919" s="32" t="s">
        <v>705</v>
      </c>
      <c r="E3919" s="33">
        <v>6.7480000000000002</v>
      </c>
      <c r="F3919" s="50">
        <v>24.889999999999997</v>
      </c>
      <c r="G3919" s="50">
        <f t="shared" si="74"/>
        <v>167.95771999999999</v>
      </c>
      <c r="H3919" s="69"/>
      <c r="I3919" s="70"/>
      <c r="J3919" s="141">
        <v>0</v>
      </c>
    </row>
    <row r="3920" spans="1:10" ht="15.75" hidden="1" thickBot="1" x14ac:dyDescent="0.3">
      <c r="A3920" s="231"/>
      <c r="B3920" s="244"/>
      <c r="C3920" s="32" t="s">
        <v>706</v>
      </c>
      <c r="D3920" s="32" t="s">
        <v>705</v>
      </c>
      <c r="E3920" s="33">
        <v>6.7480000000000002</v>
      </c>
      <c r="F3920" s="50">
        <v>18.420500000000001</v>
      </c>
      <c r="G3920" s="50">
        <f t="shared" si="74"/>
        <v>124.301534</v>
      </c>
      <c r="H3920" s="69"/>
      <c r="I3920" s="70"/>
      <c r="J3920" s="141">
        <v>0</v>
      </c>
    </row>
    <row r="3921" spans="1:10" ht="26.25" hidden="1" thickBot="1" x14ac:dyDescent="0.3">
      <c r="A3921" s="231"/>
      <c r="B3921" s="244"/>
      <c r="C3921" s="32" t="s">
        <v>1157</v>
      </c>
      <c r="D3921" s="32" t="s">
        <v>945</v>
      </c>
      <c r="E3921" s="33">
        <v>0.86770000000000003</v>
      </c>
      <c r="F3921" s="50">
        <v>1.1779999999999999</v>
      </c>
      <c r="G3921" s="50">
        <f t="shared" si="74"/>
        <v>1.0221506</v>
      </c>
      <c r="H3921" s="69"/>
      <c r="I3921" s="70"/>
      <c r="J3921" s="141">
        <v>0</v>
      </c>
    </row>
    <row r="3922" spans="1:10" ht="26.25" hidden="1" thickBot="1" x14ac:dyDescent="0.3">
      <c r="A3922" s="231"/>
      <c r="B3922" s="244"/>
      <c r="C3922" s="32" t="s">
        <v>1158</v>
      </c>
      <c r="D3922" s="32" t="s">
        <v>947</v>
      </c>
      <c r="E3922" s="33">
        <v>2.3860000000000001</v>
      </c>
      <c r="F3922" s="50">
        <v>0.53200000000000003</v>
      </c>
      <c r="G3922" s="50">
        <f t="shared" si="74"/>
        <v>1.269352</v>
      </c>
      <c r="H3922" s="69"/>
      <c r="I3922" s="70"/>
      <c r="J3922" s="141">
        <v>0</v>
      </c>
    </row>
    <row r="3923" spans="1:10" ht="26.25" hidden="1" thickBot="1" x14ac:dyDescent="0.3">
      <c r="A3923" s="231"/>
      <c r="B3923" s="244"/>
      <c r="C3923" s="32" t="s">
        <v>1159</v>
      </c>
      <c r="D3923" s="32" t="s">
        <v>945</v>
      </c>
      <c r="E3923" s="33">
        <v>8.9399999999999993E-2</v>
      </c>
      <c r="F3923" s="50">
        <v>20.225499999999997</v>
      </c>
      <c r="G3923" s="50">
        <f t="shared" si="74"/>
        <v>1.8081596999999996</v>
      </c>
      <c r="H3923" s="69"/>
      <c r="I3923" s="70"/>
      <c r="J3923" s="141">
        <v>0</v>
      </c>
    </row>
    <row r="3924" spans="1:10" ht="26.25" hidden="1" thickBot="1" x14ac:dyDescent="0.3">
      <c r="A3924" s="231"/>
      <c r="B3924" s="244"/>
      <c r="C3924" s="32" t="s">
        <v>1160</v>
      </c>
      <c r="D3924" s="32" t="s">
        <v>947</v>
      </c>
      <c r="E3924" s="33">
        <v>9.7100000000000006E-2</v>
      </c>
      <c r="F3924" s="50">
        <v>19.446499999999997</v>
      </c>
      <c r="G3924" s="50">
        <f t="shared" si="74"/>
        <v>1.8882551499999998</v>
      </c>
      <c r="H3924" s="69"/>
      <c r="I3924" s="70"/>
      <c r="J3924" s="141">
        <v>0</v>
      </c>
    </row>
    <row r="3925" spans="1:10" ht="39" hidden="1" thickBot="1" x14ac:dyDescent="0.3">
      <c r="A3925" s="231"/>
      <c r="B3925" s="244"/>
      <c r="C3925" s="32" t="s">
        <v>3212</v>
      </c>
      <c r="D3925" s="32" t="s">
        <v>901</v>
      </c>
      <c r="E3925" s="33">
        <v>31.7318</v>
      </c>
      <c r="F3925" s="50" t="s">
        <v>523</v>
      </c>
      <c r="G3925" s="50" t="str">
        <f t="shared" si="74"/>
        <v/>
      </c>
      <c r="H3925" s="69"/>
      <c r="I3925" s="70"/>
      <c r="J3925" s="141">
        <v>0</v>
      </c>
    </row>
    <row r="3926" spans="1:10" ht="26.25" hidden="1" thickBot="1" x14ac:dyDescent="0.3">
      <c r="A3926" s="231"/>
      <c r="B3926" s="244"/>
      <c r="C3926" s="32" t="s">
        <v>1162</v>
      </c>
      <c r="D3926" s="32" t="s">
        <v>120</v>
      </c>
      <c r="E3926" s="33">
        <v>1.103</v>
      </c>
      <c r="F3926" s="50">
        <v>540.70228210914991</v>
      </c>
      <c r="G3926" s="50">
        <f t="shared" si="74"/>
        <v>596.39461716639232</v>
      </c>
      <c r="H3926" s="69"/>
      <c r="I3926" s="70"/>
      <c r="J3926" s="141">
        <v>0</v>
      </c>
    </row>
    <row r="3927" spans="1:10" ht="15.75" hidden="1" thickBot="1" x14ac:dyDescent="0.3">
      <c r="A3927" s="232"/>
      <c r="B3927" s="230"/>
      <c r="C3927" s="51"/>
      <c r="D3927" s="51"/>
      <c r="E3927" s="62"/>
      <c r="F3927" s="72" t="s">
        <v>523</v>
      </c>
      <c r="G3927" s="72" t="str">
        <f t="shared" si="74"/>
        <v/>
      </c>
      <c r="H3927" s="73"/>
      <c r="I3927" s="70"/>
      <c r="J3927" s="141">
        <v>0</v>
      </c>
    </row>
    <row r="3928" spans="1:10" ht="15.75" hidden="1" thickBot="1" x14ac:dyDescent="0.3">
      <c r="A3928" s="225" t="s">
        <v>1163</v>
      </c>
      <c r="B3928" s="228" t="str">
        <f>INDEX(Orçamentária!A:B,MATCH(Composições!A3928,Orçamentária!A:A,0),2)</f>
        <v>Eletroduto PEAD 3”</v>
      </c>
      <c r="C3928" s="37"/>
      <c r="D3928" s="22" t="str">
        <f>TRIM(INDEX(Orçamentária!C:C,MATCH(Composições!A3928,Orçamentária!A:A,0),1))</f>
        <v>m</v>
      </c>
      <c r="E3928" s="23"/>
      <c r="F3928" s="45" t="s">
        <v>523</v>
      </c>
      <c r="G3928" s="24" t="str">
        <f t="shared" si="74"/>
        <v/>
      </c>
      <c r="H3928" s="25"/>
      <c r="I3928" s="26"/>
      <c r="J3928" s="141">
        <v>0</v>
      </c>
    </row>
    <row r="3929" spans="1:10" ht="15.75" hidden="1" thickBot="1" x14ac:dyDescent="0.3">
      <c r="A3929" s="231"/>
      <c r="B3929" s="244"/>
      <c r="C3929" s="28"/>
      <c r="D3929" s="28"/>
      <c r="E3929" s="29"/>
      <c r="F3929" s="50" t="s">
        <v>523</v>
      </c>
      <c r="G3929" s="50" t="str">
        <f t="shared" si="74"/>
        <v/>
      </c>
      <c r="H3929" s="69"/>
      <c r="I3929" s="70"/>
      <c r="J3929" s="141">
        <v>0</v>
      </c>
    </row>
    <row r="3930" spans="1:10" ht="39" hidden="1" thickBot="1" x14ac:dyDescent="0.3">
      <c r="A3930" s="231"/>
      <c r="B3930" s="244"/>
      <c r="C3930" s="32" t="s">
        <v>6643</v>
      </c>
      <c r="D3930" s="32" t="s">
        <v>480</v>
      </c>
      <c r="E3930" s="33">
        <v>1.1000000000000001</v>
      </c>
      <c r="F3930" s="50">
        <v>7.8090000000000002</v>
      </c>
      <c r="G3930" s="50">
        <f t="shared" si="74"/>
        <v>8.5899000000000001</v>
      </c>
      <c r="H3930" s="35">
        <f>SUM(G3930:G3932)</f>
        <v>15.322160500000001</v>
      </c>
      <c r="I3930" s="36"/>
      <c r="J3930" s="141">
        <v>0</v>
      </c>
    </row>
    <row r="3931" spans="1:10" ht="15.75" hidden="1" thickBot="1" x14ac:dyDescent="0.3">
      <c r="A3931" s="231"/>
      <c r="B3931" s="244"/>
      <c r="C3931" s="32" t="s">
        <v>1164</v>
      </c>
      <c r="D3931" s="32" t="s">
        <v>705</v>
      </c>
      <c r="E3931" s="33">
        <v>0.15110000000000001</v>
      </c>
      <c r="F3931" s="50">
        <v>19.4085</v>
      </c>
      <c r="G3931" s="50">
        <f t="shared" si="74"/>
        <v>2.9326243500000002</v>
      </c>
      <c r="H3931" s="69"/>
      <c r="I3931" s="70"/>
      <c r="J3931" s="141">
        <v>0</v>
      </c>
    </row>
    <row r="3932" spans="1:10" ht="15.75" hidden="1" thickBot="1" x14ac:dyDescent="0.3">
      <c r="A3932" s="231"/>
      <c r="B3932" s="244"/>
      <c r="C3932" s="32" t="s">
        <v>1165</v>
      </c>
      <c r="D3932" s="32" t="s">
        <v>705</v>
      </c>
      <c r="E3932" s="33">
        <v>0.15110000000000001</v>
      </c>
      <c r="F3932" s="50">
        <v>25.146499999999996</v>
      </c>
      <c r="G3932" s="50">
        <f t="shared" si="74"/>
        <v>3.7996361499999995</v>
      </c>
      <c r="H3932" s="69"/>
      <c r="I3932" s="70"/>
      <c r="J3932" s="141">
        <v>0</v>
      </c>
    </row>
    <row r="3933" spans="1:10" ht="15.75" hidden="1" thickBot="1" x14ac:dyDescent="0.3">
      <c r="A3933" s="231"/>
      <c r="B3933" s="244"/>
      <c r="C3933" s="51"/>
      <c r="D3933" s="51"/>
      <c r="E3933" s="62"/>
      <c r="F3933" s="72" t="s">
        <v>523</v>
      </c>
      <c r="G3933" s="72" t="str">
        <f t="shared" si="74"/>
        <v/>
      </c>
      <c r="H3933" s="73"/>
      <c r="I3933" s="70"/>
      <c r="J3933" s="141">
        <v>0</v>
      </c>
    </row>
    <row r="3934" spans="1:10" ht="15.75" hidden="1" thickBot="1" x14ac:dyDescent="0.3">
      <c r="A3934" s="225" t="s">
        <v>1166</v>
      </c>
      <c r="B3934" s="228" t="str">
        <f>INDEX(Orçamentária!A:B,MATCH(Composições!A3934,Orçamentária!A:A,0),2)</f>
        <v>Eletroduto de aço galvanizado de 3”</v>
      </c>
      <c r="C3934" s="37"/>
      <c r="D3934" s="22" t="str">
        <f>TRIM(INDEX(Orçamentária!C:C,MATCH(Composições!A3934,Orçamentária!A:A,0),1))</f>
        <v>m</v>
      </c>
      <c r="E3934" s="23"/>
      <c r="F3934" s="45" t="s">
        <v>523</v>
      </c>
      <c r="G3934" s="24" t="str">
        <f t="shared" si="74"/>
        <v/>
      </c>
      <c r="H3934" s="25"/>
      <c r="I3934" s="26"/>
      <c r="J3934" s="141">
        <v>0</v>
      </c>
    </row>
    <row r="3935" spans="1:10" ht="15.75" hidden="1" thickBot="1" x14ac:dyDescent="0.3">
      <c r="A3935" s="231"/>
      <c r="B3935" s="244"/>
      <c r="C3935" s="28"/>
      <c r="D3935" s="28"/>
      <c r="E3935" s="29"/>
      <c r="F3935" s="50" t="s">
        <v>523</v>
      </c>
      <c r="G3935" s="50" t="str">
        <f t="shared" si="74"/>
        <v/>
      </c>
      <c r="H3935" s="69"/>
      <c r="I3935" s="70"/>
      <c r="J3935" s="141">
        <v>0</v>
      </c>
    </row>
    <row r="3936" spans="1:10" ht="15.75" hidden="1" thickBot="1" x14ac:dyDescent="0.3">
      <c r="A3936" s="231"/>
      <c r="B3936" s="244"/>
      <c r="C3936" s="32" t="s">
        <v>1167</v>
      </c>
      <c r="D3936" s="32" t="s">
        <v>93</v>
      </c>
      <c r="E3936" s="33">
        <v>1.05</v>
      </c>
      <c r="F3936" s="50">
        <v>0</v>
      </c>
      <c r="G3936" s="50">
        <f t="shared" si="74"/>
        <v>0</v>
      </c>
      <c r="H3936" s="35">
        <f>SUM(G3936:G3938)</f>
        <v>44.554999999999993</v>
      </c>
      <c r="I3936" s="36"/>
      <c r="J3936" s="141">
        <v>0</v>
      </c>
    </row>
    <row r="3937" spans="1:10" ht="15.75" hidden="1" thickBot="1" x14ac:dyDescent="0.3">
      <c r="A3937" s="231"/>
      <c r="B3937" s="244"/>
      <c r="C3937" s="32" t="s">
        <v>1164</v>
      </c>
      <c r="D3937" s="32" t="s">
        <v>705</v>
      </c>
      <c r="E3937" s="33">
        <v>1</v>
      </c>
      <c r="F3937" s="50">
        <v>19.4085</v>
      </c>
      <c r="G3937" s="50">
        <f t="shared" si="74"/>
        <v>19.4085</v>
      </c>
      <c r="H3937" s="69"/>
      <c r="I3937" s="70"/>
      <c r="J3937" s="141">
        <v>0</v>
      </c>
    </row>
    <row r="3938" spans="1:10" ht="15.75" hidden="1" thickBot="1" x14ac:dyDescent="0.3">
      <c r="A3938" s="231"/>
      <c r="B3938" s="244"/>
      <c r="C3938" s="32" t="s">
        <v>1165</v>
      </c>
      <c r="D3938" s="32" t="s">
        <v>705</v>
      </c>
      <c r="E3938" s="33">
        <v>1</v>
      </c>
      <c r="F3938" s="50">
        <v>25.146499999999996</v>
      </c>
      <c r="G3938" s="50">
        <f t="shared" si="74"/>
        <v>25.146499999999996</v>
      </c>
      <c r="H3938" s="69"/>
      <c r="I3938" s="70"/>
      <c r="J3938" s="141">
        <v>0</v>
      </c>
    </row>
    <row r="3939" spans="1:10" ht="15.75" hidden="1" thickBot="1" x14ac:dyDescent="0.3">
      <c r="A3939" s="231"/>
      <c r="B3939" s="244"/>
      <c r="C3939" s="51"/>
      <c r="D3939" s="51"/>
      <c r="E3939" s="62"/>
      <c r="F3939" s="72" t="s">
        <v>523</v>
      </c>
      <c r="G3939" s="72" t="str">
        <f t="shared" si="74"/>
        <v/>
      </c>
      <c r="H3939" s="73"/>
      <c r="I3939" s="70"/>
      <c r="J3939" s="141">
        <v>0</v>
      </c>
    </row>
    <row r="3940" spans="1:10" ht="15.75" hidden="1" thickBot="1" x14ac:dyDescent="0.3">
      <c r="A3940" s="225" t="s">
        <v>1168</v>
      </c>
      <c r="B3940" s="228" t="str">
        <f>INDEX(Orçamentária!A:B,MATCH(Composições!A3940,Orçamentária!A:A,0),2)</f>
        <v>Grelha reta para ralo</v>
      </c>
      <c r="C3940" s="37"/>
      <c r="D3940" s="22" t="str">
        <f>TRIM(INDEX(Orçamentária!C:C,MATCH(Composições!A3940,Orçamentária!A:A,0),1))</f>
        <v>m</v>
      </c>
      <c r="E3940" s="23"/>
      <c r="F3940" s="45" t="s">
        <v>523</v>
      </c>
      <c r="G3940" s="24" t="str">
        <f t="shared" si="74"/>
        <v/>
      </c>
      <c r="H3940" s="25"/>
      <c r="I3940" s="26"/>
      <c r="J3940" s="141">
        <v>0</v>
      </c>
    </row>
    <row r="3941" spans="1:10" ht="15.75" hidden="1" thickBot="1" x14ac:dyDescent="0.3">
      <c r="A3941" s="231"/>
      <c r="B3941" s="244"/>
      <c r="C3941" s="28"/>
      <c r="D3941" s="28"/>
      <c r="E3941" s="29"/>
      <c r="F3941" s="50" t="s">
        <v>523</v>
      </c>
      <c r="G3941" s="50" t="str">
        <f t="shared" si="74"/>
        <v/>
      </c>
      <c r="H3941" s="69"/>
      <c r="I3941" s="70"/>
      <c r="J3941" s="141">
        <v>0</v>
      </c>
    </row>
    <row r="3942" spans="1:10" ht="26.25" hidden="1" thickBot="1" x14ac:dyDescent="0.3">
      <c r="A3942" s="231"/>
      <c r="B3942" s="244"/>
      <c r="C3942" s="32" t="s">
        <v>1169</v>
      </c>
      <c r="D3942" s="32" t="s">
        <v>93</v>
      </c>
      <c r="E3942" s="33">
        <v>1</v>
      </c>
      <c r="F3942" s="50">
        <v>0</v>
      </c>
      <c r="G3942" s="50">
        <f t="shared" si="74"/>
        <v>0</v>
      </c>
      <c r="H3942" s="35">
        <f>SUM(G3942:G3944)</f>
        <v>29.018034999999998</v>
      </c>
      <c r="I3942" s="36"/>
      <c r="J3942" s="141">
        <v>0</v>
      </c>
    </row>
    <row r="3943" spans="1:10" ht="15.75" hidden="1" thickBot="1" x14ac:dyDescent="0.3">
      <c r="A3943" s="231"/>
      <c r="B3943" s="244"/>
      <c r="C3943" s="32" t="s">
        <v>713</v>
      </c>
      <c r="D3943" s="32" t="s">
        <v>705</v>
      </c>
      <c r="E3943" s="33">
        <v>0.67</v>
      </c>
      <c r="F3943" s="50">
        <v>24.889999999999997</v>
      </c>
      <c r="G3943" s="50">
        <f t="shared" si="74"/>
        <v>16.676299999999998</v>
      </c>
      <c r="H3943" s="69"/>
      <c r="I3943" s="70"/>
      <c r="J3943" s="141">
        <v>0</v>
      </c>
    </row>
    <row r="3944" spans="1:10" ht="15.75" hidden="1" thickBot="1" x14ac:dyDescent="0.3">
      <c r="A3944" s="231"/>
      <c r="B3944" s="244"/>
      <c r="C3944" s="32" t="s">
        <v>706</v>
      </c>
      <c r="D3944" s="32" t="s">
        <v>705</v>
      </c>
      <c r="E3944" s="33">
        <v>0.67</v>
      </c>
      <c r="F3944" s="50">
        <v>18.420500000000001</v>
      </c>
      <c r="G3944" s="50">
        <f t="shared" si="74"/>
        <v>12.341735000000002</v>
      </c>
      <c r="H3944" s="69"/>
      <c r="I3944" s="70"/>
      <c r="J3944" s="141">
        <v>0</v>
      </c>
    </row>
    <row r="3945" spans="1:10" ht="15.75" hidden="1" thickBot="1" x14ac:dyDescent="0.3">
      <c r="A3945" s="231"/>
      <c r="B3945" s="244"/>
      <c r="C3945" s="51"/>
      <c r="D3945" s="51"/>
      <c r="E3945" s="62"/>
      <c r="F3945" s="72" t="s">
        <v>523</v>
      </c>
      <c r="G3945" s="72" t="str">
        <f t="shared" si="74"/>
        <v/>
      </c>
      <c r="H3945" s="73"/>
      <c r="I3945" s="70"/>
      <c r="J3945" s="141">
        <v>0</v>
      </c>
    </row>
    <row r="3946" spans="1:10" ht="15.75" hidden="1" thickBot="1" x14ac:dyDescent="0.3">
      <c r="A3946" s="225" t="s">
        <v>1170</v>
      </c>
      <c r="B3946" s="228" t="str">
        <f>INDEX(Orçamentária!A:B,MATCH(Composições!A3946,Orçamentária!A:A,0),2)</f>
        <v>Granito Vermelho Brasília para soleira e peitoril</v>
      </c>
      <c r="C3946" s="37"/>
      <c r="D3946" s="22" t="str">
        <f>TRIM(INDEX(Orçamentária!C:C,MATCH(Composições!A3946,Orçamentária!A:A,0),1))</f>
        <v>m2</v>
      </c>
      <c r="E3946" s="23"/>
      <c r="F3946" s="45" t="s">
        <v>523</v>
      </c>
      <c r="G3946" s="24" t="str">
        <f t="shared" si="74"/>
        <v/>
      </c>
      <c r="H3946" s="25"/>
      <c r="I3946" s="26"/>
      <c r="J3946" s="141">
        <v>0</v>
      </c>
    </row>
    <row r="3947" spans="1:10" ht="15.75" hidden="1" thickBot="1" x14ac:dyDescent="0.3">
      <c r="A3947" s="231"/>
      <c r="B3947" s="244"/>
      <c r="C3947" s="28"/>
      <c r="D3947" s="28"/>
      <c r="E3947" s="29"/>
      <c r="F3947" s="50" t="s">
        <v>523</v>
      </c>
      <c r="G3947" s="50" t="str">
        <f t="shared" si="74"/>
        <v/>
      </c>
      <c r="H3947" s="69"/>
      <c r="I3947" s="70"/>
      <c r="J3947" s="141">
        <v>0</v>
      </c>
    </row>
    <row r="3948" spans="1:10" ht="26.25" hidden="1" thickBot="1" x14ac:dyDescent="0.3">
      <c r="A3948" s="231"/>
      <c r="B3948" s="244"/>
      <c r="C3948" s="32" t="s">
        <v>1171</v>
      </c>
      <c r="D3948" s="32" t="s">
        <v>93</v>
      </c>
      <c r="E3948" s="33">
        <f>ROUND(1/0.15,4)</f>
        <v>6.6666999999999996</v>
      </c>
      <c r="F3948" s="50" t="s">
        <v>523</v>
      </c>
      <c r="G3948" s="50" t="str">
        <f t="shared" si="74"/>
        <v/>
      </c>
      <c r="H3948" s="35">
        <f>SUM(G3948:G3951)</f>
        <v>137.75253650000002</v>
      </c>
      <c r="I3948" s="36"/>
      <c r="J3948" s="141">
        <v>0</v>
      </c>
    </row>
    <row r="3949" spans="1:10" ht="15.75" hidden="1" thickBot="1" x14ac:dyDescent="0.3">
      <c r="A3949" s="231"/>
      <c r="B3949" s="244"/>
      <c r="C3949" s="32" t="s">
        <v>3537</v>
      </c>
      <c r="D3949" s="32" t="s">
        <v>42</v>
      </c>
      <c r="E3949" s="33">
        <f>1.29/0.15</f>
        <v>8.6000000000000014</v>
      </c>
      <c r="F3949" s="50">
        <v>1.6054999999999999</v>
      </c>
      <c r="G3949" s="50">
        <f t="shared" si="74"/>
        <v>13.807300000000001</v>
      </c>
      <c r="H3949" s="69"/>
      <c r="I3949" s="70"/>
      <c r="J3949" s="141">
        <v>0</v>
      </c>
    </row>
    <row r="3950" spans="1:10" ht="15.75" hidden="1" thickBot="1" x14ac:dyDescent="0.3">
      <c r="A3950" s="231"/>
      <c r="B3950" s="244"/>
      <c r="C3950" s="32" t="s">
        <v>54</v>
      </c>
      <c r="D3950" s="32" t="s">
        <v>12</v>
      </c>
      <c r="E3950" s="33">
        <f>ROUND(0.547/0.15,4)</f>
        <v>3.6467000000000001</v>
      </c>
      <c r="F3950" s="50">
        <v>24.795000000000002</v>
      </c>
      <c r="G3950" s="50">
        <f t="shared" si="74"/>
        <v>90.419926500000003</v>
      </c>
      <c r="H3950" s="69"/>
      <c r="I3950" s="70"/>
      <c r="J3950" s="141">
        <v>0</v>
      </c>
    </row>
    <row r="3951" spans="1:10" ht="15.75" hidden="1" thickBot="1" x14ac:dyDescent="0.3">
      <c r="A3951" s="231"/>
      <c r="B3951" s="244"/>
      <c r="C3951" s="32" t="s">
        <v>23</v>
      </c>
      <c r="D3951" s="32" t="s">
        <v>12</v>
      </c>
      <c r="E3951" s="33">
        <f>0.273/0.15</f>
        <v>1.8200000000000003</v>
      </c>
      <c r="F3951" s="50">
        <v>18.420500000000001</v>
      </c>
      <c r="G3951" s="50">
        <f t="shared" si="74"/>
        <v>33.525310000000005</v>
      </c>
      <c r="H3951" s="69"/>
      <c r="I3951" s="70"/>
      <c r="J3951" s="141">
        <v>0</v>
      </c>
    </row>
    <row r="3952" spans="1:10" ht="15.75" hidden="1" thickBot="1" x14ac:dyDescent="0.3">
      <c r="A3952" s="231"/>
      <c r="B3952" s="244"/>
      <c r="C3952" s="32"/>
      <c r="D3952" s="32"/>
      <c r="E3952" s="33"/>
      <c r="F3952" s="50" t="s">
        <v>523</v>
      </c>
      <c r="G3952" s="50" t="str">
        <f t="shared" si="74"/>
        <v/>
      </c>
      <c r="H3952" s="69"/>
      <c r="I3952" s="70"/>
      <c r="J3952" s="141">
        <v>0</v>
      </c>
    </row>
    <row r="3953" spans="1:10" ht="15.75" hidden="1" thickBot="1" x14ac:dyDescent="0.3">
      <c r="A3953" s="225" t="s">
        <v>1172</v>
      </c>
      <c r="B3953" s="228" t="str">
        <f>INDEX(Orçamentária!A:B,MATCH(Composições!A3953,Orçamentária!A:A,0),2)</f>
        <v>Luminária LED redonda de embutir</v>
      </c>
      <c r="C3953" s="37"/>
      <c r="D3953" s="22" t="str">
        <f>TRIM(INDEX(Orçamentária!C:C,MATCH(Composições!A3953,Orçamentária!A:A,0),1))</f>
        <v>un</v>
      </c>
      <c r="E3953" s="23"/>
      <c r="F3953" s="45" t="s">
        <v>523</v>
      </c>
      <c r="G3953" s="24" t="str">
        <f t="shared" ref="G3953:G4016" si="75">IF(ISNUMBER(F3953),E3953*F3953,"")</f>
        <v/>
      </c>
      <c r="H3953" s="25"/>
      <c r="I3953" s="26"/>
      <c r="J3953" s="141">
        <v>0</v>
      </c>
    </row>
    <row r="3954" spans="1:10" ht="15.75" hidden="1" thickBot="1" x14ac:dyDescent="0.3">
      <c r="A3954" s="231"/>
      <c r="B3954" s="244"/>
      <c r="C3954" s="28"/>
      <c r="D3954" s="28"/>
      <c r="E3954" s="29"/>
      <c r="F3954" s="50" t="s">
        <v>523</v>
      </c>
      <c r="G3954" s="50" t="str">
        <f t="shared" si="75"/>
        <v/>
      </c>
      <c r="H3954" s="69"/>
      <c r="I3954" s="70"/>
      <c r="J3954" s="141">
        <v>0</v>
      </c>
    </row>
    <row r="3955" spans="1:10" ht="39" hidden="1" thickBot="1" x14ac:dyDescent="0.3">
      <c r="A3955" s="231"/>
      <c r="B3955" s="244"/>
      <c r="C3955" s="32" t="s">
        <v>1173</v>
      </c>
      <c r="D3955" s="32" t="s">
        <v>144</v>
      </c>
      <c r="E3955" s="33">
        <v>1</v>
      </c>
      <c r="F3955" s="50" t="s">
        <v>523</v>
      </c>
      <c r="G3955" s="50" t="str">
        <f t="shared" si="75"/>
        <v/>
      </c>
      <c r="H3955" s="35">
        <f>SUM(G3955:G3960)</f>
        <v>36.601980149999996</v>
      </c>
      <c r="I3955" s="36"/>
      <c r="J3955" s="141">
        <v>0</v>
      </c>
    </row>
    <row r="3956" spans="1:10" ht="26.25" hidden="1" thickBot="1" x14ac:dyDescent="0.3">
      <c r="A3956" s="231"/>
      <c r="B3956" s="244"/>
      <c r="C3956" s="32" t="s">
        <v>540</v>
      </c>
      <c r="D3956" s="32" t="s">
        <v>93</v>
      </c>
      <c r="E3956" s="33">
        <v>1.5</v>
      </c>
      <c r="F3956" s="50">
        <v>8.1999999999999993</v>
      </c>
      <c r="G3956" s="50">
        <f t="shared" si="75"/>
        <v>12.299999999999999</v>
      </c>
      <c r="H3956" s="69"/>
      <c r="I3956" s="70"/>
      <c r="J3956" s="141">
        <v>0</v>
      </c>
    </row>
    <row r="3957" spans="1:10" ht="15.75" hidden="1" thickBot="1" x14ac:dyDescent="0.3">
      <c r="A3957" s="231"/>
      <c r="B3957" s="244"/>
      <c r="C3957" s="32" t="s">
        <v>541</v>
      </c>
      <c r="D3957" s="32" t="s">
        <v>144</v>
      </c>
      <c r="E3957" s="33">
        <v>1</v>
      </c>
      <c r="F3957" s="50">
        <v>6.31</v>
      </c>
      <c r="G3957" s="50">
        <f t="shared" si="75"/>
        <v>6.31</v>
      </c>
      <c r="H3957" s="69"/>
      <c r="I3957" s="70"/>
      <c r="J3957" s="141">
        <v>0</v>
      </c>
    </row>
    <row r="3958" spans="1:10" ht="15.75" hidden="1" thickBot="1" x14ac:dyDescent="0.3">
      <c r="A3958" s="231"/>
      <c r="B3958" s="244"/>
      <c r="C3958" s="32" t="s">
        <v>542</v>
      </c>
      <c r="D3958" s="32" t="s">
        <v>144</v>
      </c>
      <c r="E3958" s="33">
        <v>1</v>
      </c>
      <c r="F3958" s="50">
        <v>6.19</v>
      </c>
      <c r="G3958" s="50">
        <f t="shared" si="75"/>
        <v>6.19</v>
      </c>
      <c r="H3958" s="69"/>
      <c r="I3958" s="70"/>
      <c r="J3958" s="141">
        <v>0</v>
      </c>
    </row>
    <row r="3959" spans="1:10" ht="15.75" hidden="1" thickBot="1" x14ac:dyDescent="0.3">
      <c r="A3959" s="231"/>
      <c r="B3959" s="244"/>
      <c r="C3959" s="32" t="s">
        <v>74</v>
      </c>
      <c r="D3959" s="32" t="s">
        <v>12</v>
      </c>
      <c r="E3959" s="33">
        <v>0.14799999999999999</v>
      </c>
      <c r="F3959" s="50">
        <v>19.4085</v>
      </c>
      <c r="G3959" s="50">
        <f t="shared" si="75"/>
        <v>2.872458</v>
      </c>
      <c r="H3959" s="69"/>
      <c r="I3959" s="70"/>
      <c r="J3959" s="141">
        <v>0</v>
      </c>
    </row>
    <row r="3960" spans="1:10" ht="15.75" hidden="1" thickBot="1" x14ac:dyDescent="0.3">
      <c r="A3960" s="231"/>
      <c r="B3960" s="244"/>
      <c r="C3960" s="32" t="s">
        <v>30</v>
      </c>
      <c r="D3960" s="32" t="s">
        <v>12</v>
      </c>
      <c r="E3960" s="33">
        <v>0.35510000000000003</v>
      </c>
      <c r="F3960" s="50">
        <v>25.146499999999996</v>
      </c>
      <c r="G3960" s="50">
        <f t="shared" si="75"/>
        <v>8.9295221499999986</v>
      </c>
      <c r="H3960" s="69"/>
      <c r="I3960" s="70"/>
      <c r="J3960" s="141">
        <v>0</v>
      </c>
    </row>
    <row r="3961" spans="1:10" ht="15.75" hidden="1" thickBot="1" x14ac:dyDescent="0.3">
      <c r="A3961" s="231"/>
      <c r="B3961" s="244"/>
      <c r="C3961" s="32"/>
      <c r="D3961" s="43"/>
      <c r="E3961" s="33"/>
      <c r="F3961" s="50" t="s">
        <v>523</v>
      </c>
      <c r="G3961" s="50" t="str">
        <f t="shared" si="75"/>
        <v/>
      </c>
      <c r="H3961" s="69"/>
      <c r="I3961" s="70"/>
      <c r="J3961" s="141">
        <v>0</v>
      </c>
    </row>
    <row r="3962" spans="1:10" ht="15.75" hidden="1" thickBot="1" x14ac:dyDescent="0.3">
      <c r="A3962" s="225" t="s">
        <v>1174</v>
      </c>
      <c r="B3962" s="228" t="str">
        <f>INDEX(Orçamentária!A:B,MATCH(Composições!A3962,Orçamentária!A:A,0),2)</f>
        <v>Piso tátil de borracha</v>
      </c>
      <c r="C3962" s="37"/>
      <c r="D3962" s="22" t="s">
        <v>93</v>
      </c>
      <c r="E3962" s="23"/>
      <c r="F3962" s="45" t="s">
        <v>523</v>
      </c>
      <c r="G3962" s="24" t="str">
        <f t="shared" si="75"/>
        <v/>
      </c>
      <c r="H3962" s="25"/>
      <c r="I3962" s="26"/>
      <c r="J3962" s="141">
        <v>0</v>
      </c>
    </row>
    <row r="3963" spans="1:10" ht="15.75" hidden="1" thickBot="1" x14ac:dyDescent="0.3">
      <c r="A3963" s="231"/>
      <c r="B3963" s="244"/>
      <c r="C3963" s="28"/>
      <c r="D3963" s="28"/>
      <c r="E3963" s="29"/>
      <c r="F3963" s="50" t="s">
        <v>523</v>
      </c>
      <c r="G3963" s="50" t="str">
        <f t="shared" si="75"/>
        <v/>
      </c>
      <c r="H3963" s="69"/>
      <c r="I3963" s="70"/>
      <c r="J3963" s="141">
        <v>0</v>
      </c>
    </row>
    <row r="3964" spans="1:10" ht="15.75" hidden="1" thickBot="1" x14ac:dyDescent="0.3">
      <c r="A3964" s="231"/>
      <c r="B3964" s="244"/>
      <c r="C3964" s="32" t="s">
        <v>750</v>
      </c>
      <c r="D3964" s="32" t="s">
        <v>901</v>
      </c>
      <c r="E3964" s="33">
        <v>0.24</v>
      </c>
      <c r="F3964" s="50">
        <v>0.64600000000000002</v>
      </c>
      <c r="G3964" s="50">
        <f t="shared" si="75"/>
        <v>0.15504000000000001</v>
      </c>
      <c r="H3964" s="35">
        <f>SUM(G3964:G3968)</f>
        <v>161.59544650000001</v>
      </c>
      <c r="I3964" s="36"/>
      <c r="J3964" s="141">
        <v>0</v>
      </c>
    </row>
    <row r="3965" spans="1:10" ht="15.75" hidden="1" thickBot="1" x14ac:dyDescent="0.3">
      <c r="A3965" s="231"/>
      <c r="B3965" s="244"/>
      <c r="C3965" s="32" t="s">
        <v>6659</v>
      </c>
      <c r="D3965" s="32" t="s">
        <v>901</v>
      </c>
      <c r="E3965" s="33">
        <v>1.2150000000000001</v>
      </c>
      <c r="F3965" s="50">
        <v>1.6054999999999999</v>
      </c>
      <c r="G3965" s="50">
        <f t="shared" si="75"/>
        <v>1.9506825000000001</v>
      </c>
      <c r="H3965" s="69"/>
      <c r="I3965" s="70"/>
      <c r="J3965" s="141">
        <v>0</v>
      </c>
    </row>
    <row r="3966" spans="1:10" ht="26.25" hidden="1" thickBot="1" x14ac:dyDescent="0.3">
      <c r="A3966" s="231"/>
      <c r="B3966" s="244"/>
      <c r="C3966" s="32" t="s">
        <v>6660</v>
      </c>
      <c r="D3966" s="32" t="s">
        <v>995</v>
      </c>
      <c r="E3966" s="33">
        <v>0.25</v>
      </c>
      <c r="F3966" s="50">
        <v>578.38850000000002</v>
      </c>
      <c r="G3966" s="50">
        <f t="shared" si="75"/>
        <v>144.59712500000001</v>
      </c>
      <c r="H3966" s="69"/>
      <c r="I3966" s="70"/>
      <c r="J3966" s="141">
        <v>0</v>
      </c>
    </row>
    <row r="3967" spans="1:10" ht="15.75" hidden="1" thickBot="1" x14ac:dyDescent="0.3">
      <c r="A3967" s="231"/>
      <c r="B3967" s="244"/>
      <c r="C3967" s="32" t="s">
        <v>713</v>
      </c>
      <c r="D3967" s="32" t="s">
        <v>705</v>
      </c>
      <c r="E3967" s="33">
        <v>0.437</v>
      </c>
      <c r="F3967" s="50">
        <v>24.889999999999997</v>
      </c>
      <c r="G3967" s="50">
        <f t="shared" si="75"/>
        <v>10.876929999999998</v>
      </c>
      <c r="H3967" s="69"/>
      <c r="I3967" s="70"/>
      <c r="J3967" s="141">
        <v>0</v>
      </c>
    </row>
    <row r="3968" spans="1:10" ht="15.75" hidden="1" thickBot="1" x14ac:dyDescent="0.3">
      <c r="A3968" s="231"/>
      <c r="B3968" s="244"/>
      <c r="C3968" s="32" t="s">
        <v>706</v>
      </c>
      <c r="D3968" s="32" t="s">
        <v>705</v>
      </c>
      <c r="E3968" s="33">
        <v>0.218</v>
      </c>
      <c r="F3968" s="50">
        <v>18.420500000000001</v>
      </c>
      <c r="G3968" s="50">
        <f t="shared" si="75"/>
        <v>4.0156689999999999</v>
      </c>
      <c r="H3968" s="69"/>
      <c r="I3968" s="70"/>
      <c r="J3968" s="141">
        <v>0</v>
      </c>
    </row>
    <row r="3969" spans="1:10" ht="15.75" hidden="1" thickBot="1" x14ac:dyDescent="0.3">
      <c r="A3969" s="231"/>
      <c r="B3969" s="244"/>
      <c r="C3969" s="51"/>
      <c r="D3969" s="51"/>
      <c r="E3969" s="62"/>
      <c r="F3969" s="72" t="s">
        <v>523</v>
      </c>
      <c r="G3969" s="72" t="str">
        <f t="shared" si="75"/>
        <v/>
      </c>
      <c r="H3969" s="73"/>
      <c r="I3969" s="70"/>
      <c r="J3969" s="141">
        <v>0</v>
      </c>
    </row>
    <row r="3970" spans="1:10" ht="15.75" hidden="1" thickBot="1" x14ac:dyDescent="0.3">
      <c r="A3970" s="225" t="s">
        <v>1175</v>
      </c>
      <c r="B3970" s="228" t="str">
        <f>INDEX(Orçamentária!A:B,MATCH(Composições!A3970,Orçamentária!A:A,0),2)</f>
        <v>Granito Vermelho Brasília 20 mm para divisória</v>
      </c>
      <c r="C3970" s="37"/>
      <c r="D3970" s="22" t="str">
        <f>TRIM(INDEX(Orçamentária!C:C,MATCH(Composições!A3970,Orçamentária!A:A,0),1))</f>
        <v>m2</v>
      </c>
      <c r="E3970" s="23"/>
      <c r="F3970" s="45" t="s">
        <v>523</v>
      </c>
      <c r="G3970" s="24" t="str">
        <f t="shared" si="75"/>
        <v/>
      </c>
      <c r="H3970" s="25"/>
      <c r="I3970" s="26"/>
      <c r="J3970" s="141">
        <v>0</v>
      </c>
    </row>
    <row r="3971" spans="1:10" ht="15.75" hidden="1" thickBot="1" x14ac:dyDescent="0.3">
      <c r="A3971" s="231"/>
      <c r="B3971" s="244"/>
      <c r="C3971" s="28"/>
      <c r="D3971" s="28"/>
      <c r="E3971" s="29"/>
      <c r="F3971" s="50" t="s">
        <v>523</v>
      </c>
      <c r="G3971" s="50" t="str">
        <f t="shared" si="75"/>
        <v/>
      </c>
      <c r="H3971" s="69"/>
      <c r="I3971" s="70"/>
      <c r="J3971" s="141">
        <v>0</v>
      </c>
    </row>
    <row r="3972" spans="1:10" ht="26.25" hidden="1" thickBot="1" x14ac:dyDescent="0.3">
      <c r="A3972" s="231"/>
      <c r="B3972" s="244"/>
      <c r="C3972" s="32" t="s">
        <v>778</v>
      </c>
      <c r="D3972" s="32" t="s">
        <v>901</v>
      </c>
      <c r="E3972" s="33">
        <v>0.53</v>
      </c>
      <c r="F3972" s="50">
        <v>47.386000000000003</v>
      </c>
      <c r="G3972" s="50">
        <f t="shared" si="75"/>
        <v>25.114580000000004</v>
      </c>
      <c r="H3972" s="35">
        <f>SUM(G3972:G3978)</f>
        <v>102.06211950000001</v>
      </c>
      <c r="I3972" s="36"/>
      <c r="J3972" s="141">
        <v>0</v>
      </c>
    </row>
    <row r="3973" spans="1:10" ht="39" hidden="1" thickBot="1" x14ac:dyDescent="0.3">
      <c r="A3973" s="231"/>
      <c r="B3973" s="244"/>
      <c r="C3973" s="32" t="s">
        <v>6407</v>
      </c>
      <c r="D3973" s="32" t="s">
        <v>995</v>
      </c>
      <c r="E3973" s="33">
        <v>1.05</v>
      </c>
      <c r="F3973" s="50" t="s">
        <v>523</v>
      </c>
      <c r="G3973" s="50" t="str">
        <f t="shared" si="75"/>
        <v/>
      </c>
      <c r="H3973" s="69"/>
      <c r="I3973" s="70"/>
      <c r="J3973" s="141">
        <v>0</v>
      </c>
    </row>
    <row r="3974" spans="1:10" ht="15.75" hidden="1" thickBot="1" x14ac:dyDescent="0.3">
      <c r="A3974" s="231"/>
      <c r="B3974" s="244"/>
      <c r="C3974" s="32" t="s">
        <v>3514</v>
      </c>
      <c r="D3974" s="32" t="s">
        <v>901</v>
      </c>
      <c r="E3974" s="33">
        <v>0.97</v>
      </c>
      <c r="F3974" s="50">
        <v>1.843</v>
      </c>
      <c r="G3974" s="50">
        <f t="shared" si="75"/>
        <v>1.7877099999999999</v>
      </c>
      <c r="H3974" s="69"/>
      <c r="I3974" s="70"/>
      <c r="J3974" s="141">
        <v>0</v>
      </c>
    </row>
    <row r="3975" spans="1:10" ht="15.75" hidden="1" thickBot="1" x14ac:dyDescent="0.3">
      <c r="A3975" s="231"/>
      <c r="B3975" s="244"/>
      <c r="C3975" s="32" t="s">
        <v>3242</v>
      </c>
      <c r="D3975" s="32" t="s">
        <v>705</v>
      </c>
      <c r="E3975" s="33">
        <v>1.405</v>
      </c>
      <c r="F3975" s="50">
        <v>24.795000000000002</v>
      </c>
      <c r="G3975" s="50">
        <f t="shared" si="75"/>
        <v>34.836975000000002</v>
      </c>
      <c r="H3975" s="69"/>
      <c r="I3975" s="70"/>
      <c r="J3975" s="141">
        <v>0</v>
      </c>
    </row>
    <row r="3976" spans="1:10" ht="15.75" hidden="1" thickBot="1" x14ac:dyDescent="0.3">
      <c r="A3976" s="231"/>
      <c r="B3976" s="244"/>
      <c r="C3976" s="32" t="s">
        <v>706</v>
      </c>
      <c r="D3976" s="32" t="s">
        <v>705</v>
      </c>
      <c r="E3976" s="33">
        <v>0.70199999999999996</v>
      </c>
      <c r="F3976" s="50">
        <v>18.420500000000001</v>
      </c>
      <c r="G3976" s="50">
        <f t="shared" si="75"/>
        <v>12.931191</v>
      </c>
      <c r="H3976" s="69"/>
      <c r="I3976" s="70"/>
      <c r="J3976" s="141">
        <v>0</v>
      </c>
    </row>
    <row r="3977" spans="1:10" ht="26.25" hidden="1" thickBot="1" x14ac:dyDescent="0.3">
      <c r="A3977" s="231"/>
      <c r="B3977" s="244"/>
      <c r="C3977" s="32" t="s">
        <v>1159</v>
      </c>
      <c r="D3977" s="32" t="s">
        <v>945</v>
      </c>
      <c r="E3977" s="33">
        <v>8.8999999999999996E-2</v>
      </c>
      <c r="F3977" s="50">
        <v>20.225499999999997</v>
      </c>
      <c r="G3977" s="50">
        <f t="shared" si="75"/>
        <v>1.8000694999999995</v>
      </c>
      <c r="H3977" s="69"/>
      <c r="I3977" s="70"/>
      <c r="J3977" s="141">
        <v>0</v>
      </c>
    </row>
    <row r="3978" spans="1:10" ht="26.25" hidden="1" thickBot="1" x14ac:dyDescent="0.3">
      <c r="A3978" s="231"/>
      <c r="B3978" s="244"/>
      <c r="C3978" s="32" t="s">
        <v>1160</v>
      </c>
      <c r="D3978" s="32" t="s">
        <v>947</v>
      </c>
      <c r="E3978" s="33">
        <v>1.3160000000000001</v>
      </c>
      <c r="F3978" s="50">
        <v>19.446499999999997</v>
      </c>
      <c r="G3978" s="50">
        <f t="shared" si="75"/>
        <v>25.591593999999997</v>
      </c>
      <c r="H3978" s="69"/>
      <c r="I3978" s="70"/>
      <c r="J3978" s="141">
        <v>0</v>
      </c>
    </row>
    <row r="3979" spans="1:10" ht="15.75" hidden="1" thickBot="1" x14ac:dyDescent="0.3">
      <c r="A3979" s="231"/>
      <c r="B3979" s="244"/>
      <c r="C3979" s="32"/>
      <c r="D3979" s="32"/>
      <c r="E3979" s="33"/>
      <c r="F3979" s="50" t="s">
        <v>523</v>
      </c>
      <c r="G3979" s="50" t="str">
        <f t="shared" si="75"/>
        <v/>
      </c>
      <c r="H3979" s="69"/>
      <c r="I3979" s="70"/>
      <c r="J3979" s="141">
        <v>0</v>
      </c>
    </row>
    <row r="3980" spans="1:10" ht="15.75" hidden="1" thickBot="1" x14ac:dyDescent="0.3">
      <c r="A3980" s="225" t="s">
        <v>1176</v>
      </c>
      <c r="B3980" s="228" t="str">
        <f>INDEX(Orçamentária!A:B,MATCH(Composições!A3980,Orçamentária!A:A,0),2)</f>
        <v>Tampa em ferro fundido 20x20 cm</v>
      </c>
      <c r="C3980" s="37"/>
      <c r="D3980" s="22" t="str">
        <f>TRIM(INDEX(Orçamentária!C:C,MATCH(Composições!A3980,Orçamentária!A:A,0),1))</f>
        <v>un</v>
      </c>
      <c r="E3980" s="23"/>
      <c r="F3980" s="45" t="s">
        <v>523</v>
      </c>
      <c r="G3980" s="24" t="str">
        <f t="shared" si="75"/>
        <v/>
      </c>
      <c r="H3980" s="25"/>
      <c r="I3980" s="26"/>
      <c r="J3980" s="141">
        <v>0</v>
      </c>
    </row>
    <row r="3981" spans="1:10" ht="15.75" hidden="1" thickBot="1" x14ac:dyDescent="0.3">
      <c r="A3981" s="231"/>
      <c r="B3981" s="244"/>
      <c r="C3981" s="28"/>
      <c r="D3981" s="28"/>
      <c r="E3981" s="29"/>
      <c r="F3981" s="50" t="s">
        <v>523</v>
      </c>
      <c r="G3981" s="50" t="str">
        <f t="shared" si="75"/>
        <v/>
      </c>
      <c r="H3981" s="69"/>
      <c r="I3981" s="70"/>
      <c r="J3981" s="141">
        <v>0</v>
      </c>
    </row>
    <row r="3982" spans="1:10" ht="26.25" hidden="1" thickBot="1" x14ac:dyDescent="0.3">
      <c r="A3982" s="231"/>
      <c r="B3982" s="244"/>
      <c r="C3982" s="32" t="s">
        <v>1177</v>
      </c>
      <c r="D3982" s="43" t="s">
        <v>280</v>
      </c>
      <c r="E3982" s="33">
        <v>1</v>
      </c>
      <c r="F3982" s="50">
        <v>82.478999999999985</v>
      </c>
      <c r="G3982" s="50">
        <f t="shared" si="75"/>
        <v>82.478999999999985</v>
      </c>
      <c r="H3982" s="35">
        <f>SUM(G3982:G3985)</f>
        <v>124.89469494303799</v>
      </c>
      <c r="I3982" s="36"/>
      <c r="J3982" s="141">
        <v>0</v>
      </c>
    </row>
    <row r="3983" spans="1:10" ht="26.25" hidden="1" thickBot="1" x14ac:dyDescent="0.3">
      <c r="A3983" s="231"/>
      <c r="B3983" s="244"/>
      <c r="C3983" s="32" t="s">
        <v>3236</v>
      </c>
      <c r="D3983" s="43" t="s">
        <v>120</v>
      </c>
      <c r="E3983" s="33">
        <v>4.4000000000000003E-3</v>
      </c>
      <c r="F3983" s="50">
        <v>614.14627114500001</v>
      </c>
      <c r="G3983" s="50">
        <f t="shared" si="75"/>
        <v>2.7022435930380002</v>
      </c>
      <c r="H3983" s="69"/>
      <c r="I3983" s="70"/>
      <c r="J3983" s="141">
        <v>0</v>
      </c>
    </row>
    <row r="3984" spans="1:10" ht="15.75" hidden="1" thickBot="1" x14ac:dyDescent="0.3">
      <c r="A3984" s="231"/>
      <c r="B3984" s="244"/>
      <c r="C3984" s="32" t="s">
        <v>22</v>
      </c>
      <c r="D3984" s="32" t="s">
        <v>12</v>
      </c>
      <c r="E3984" s="33">
        <v>1.0088999999999999</v>
      </c>
      <c r="F3984" s="50">
        <v>24.889999999999997</v>
      </c>
      <c r="G3984" s="50">
        <f t="shared" si="75"/>
        <v>25.111520999999996</v>
      </c>
      <c r="H3984" s="69"/>
      <c r="I3984" s="70"/>
      <c r="J3984" s="141">
        <v>0</v>
      </c>
    </row>
    <row r="3985" spans="1:10" ht="15.75" hidden="1" thickBot="1" x14ac:dyDescent="0.3">
      <c r="A3985" s="231"/>
      <c r="B3985" s="244"/>
      <c r="C3985" s="32" t="s">
        <v>23</v>
      </c>
      <c r="D3985" s="32" t="s">
        <v>12</v>
      </c>
      <c r="E3985" s="33">
        <v>0.79269999999999996</v>
      </c>
      <c r="F3985" s="50">
        <v>18.420500000000001</v>
      </c>
      <c r="G3985" s="50">
        <f t="shared" si="75"/>
        <v>14.60193035</v>
      </c>
      <c r="H3985" s="69"/>
      <c r="I3985" s="70"/>
      <c r="J3985" s="141">
        <v>0</v>
      </c>
    </row>
    <row r="3986" spans="1:10" ht="15.75" hidden="1" thickBot="1" x14ac:dyDescent="0.3">
      <c r="A3986" s="231"/>
      <c r="B3986" s="244"/>
      <c r="C3986" s="51"/>
      <c r="D3986" s="51"/>
      <c r="E3986" s="62"/>
      <c r="F3986" s="72" t="s">
        <v>523</v>
      </c>
      <c r="G3986" s="72" t="str">
        <f t="shared" si="75"/>
        <v/>
      </c>
      <c r="H3986" s="73"/>
      <c r="I3986" s="70"/>
      <c r="J3986" s="141">
        <v>0</v>
      </c>
    </row>
    <row r="3987" spans="1:10" ht="15.75" hidden="1" thickBot="1" x14ac:dyDescent="0.3">
      <c r="A3987" s="225" t="s">
        <v>1178</v>
      </c>
      <c r="B3987" s="228" t="str">
        <f>INDEX(Orçamentária!A:B,MATCH(Composições!A3987,Orçamentária!A:A,0),2)</f>
        <v>Cerâmica para revestimento de superfícies internas ou externas – Linha GAIL</v>
      </c>
      <c r="C3987" s="37"/>
      <c r="D3987" s="22" t="str">
        <f>TRIM(INDEX(Orçamentária!C:C,MATCH(Composições!A3987,Orçamentária!A:A,0),1))</f>
        <v>m2</v>
      </c>
      <c r="E3987" s="23"/>
      <c r="F3987" s="45" t="s">
        <v>523</v>
      </c>
      <c r="G3987" s="24" t="str">
        <f t="shared" si="75"/>
        <v/>
      </c>
      <c r="H3987" s="25"/>
      <c r="I3987" s="26"/>
      <c r="J3987" s="141">
        <v>0</v>
      </c>
    </row>
    <row r="3988" spans="1:10" ht="15.75" hidden="1" thickBot="1" x14ac:dyDescent="0.3">
      <c r="A3988" s="231"/>
      <c r="B3988" s="244"/>
      <c r="C3988" s="28"/>
      <c r="D3988" s="28"/>
      <c r="E3988" s="29"/>
      <c r="F3988" s="50" t="s">
        <v>523</v>
      </c>
      <c r="G3988" s="50" t="str">
        <f t="shared" si="75"/>
        <v/>
      </c>
      <c r="H3988" s="69"/>
      <c r="I3988" s="70"/>
      <c r="J3988" s="141">
        <v>0</v>
      </c>
    </row>
    <row r="3989" spans="1:10" ht="26.25" hidden="1" thickBot="1" x14ac:dyDescent="0.3">
      <c r="A3989" s="231"/>
      <c r="B3989" s="244"/>
      <c r="C3989" s="32" t="s">
        <v>1179</v>
      </c>
      <c r="D3989" s="32" t="s">
        <v>95</v>
      </c>
      <c r="E3989" s="33">
        <v>1.08</v>
      </c>
      <c r="F3989" s="50" t="s">
        <v>523</v>
      </c>
      <c r="G3989" s="50" t="str">
        <f t="shared" si="75"/>
        <v/>
      </c>
      <c r="H3989" s="35">
        <f>SUM(G3989:G3993)</f>
        <v>29.618720000000003</v>
      </c>
      <c r="I3989" s="36"/>
      <c r="J3989" s="141">
        <v>0</v>
      </c>
    </row>
    <row r="3990" spans="1:10" ht="15.75" hidden="1" thickBot="1" x14ac:dyDescent="0.3">
      <c r="A3990" s="231"/>
      <c r="B3990" s="244"/>
      <c r="C3990" s="32" t="s">
        <v>3538</v>
      </c>
      <c r="D3990" s="32" t="s">
        <v>42</v>
      </c>
      <c r="E3990" s="33">
        <v>6.14</v>
      </c>
      <c r="F3990" s="50">
        <v>0.96899999999999997</v>
      </c>
      <c r="G3990" s="50">
        <f t="shared" si="75"/>
        <v>5.9496599999999997</v>
      </c>
      <c r="H3990" s="69"/>
      <c r="I3990" s="70"/>
      <c r="J3990" s="141">
        <v>0</v>
      </c>
    </row>
    <row r="3991" spans="1:10" ht="15.75" hidden="1" thickBot="1" x14ac:dyDescent="0.3">
      <c r="A3991" s="231"/>
      <c r="B3991" s="244"/>
      <c r="C3991" s="32" t="s">
        <v>3536</v>
      </c>
      <c r="D3991" s="32" t="s">
        <v>42</v>
      </c>
      <c r="E3991" s="33">
        <v>0.22</v>
      </c>
      <c r="F3991" s="50">
        <v>3.0590000000000002</v>
      </c>
      <c r="G3991" s="50">
        <f t="shared" si="75"/>
        <v>0.67298000000000002</v>
      </c>
      <c r="H3991" s="69"/>
      <c r="I3991" s="70"/>
      <c r="J3991" s="141">
        <v>0</v>
      </c>
    </row>
    <row r="3992" spans="1:10" ht="15.75" hidden="1" thickBot="1" x14ac:dyDescent="0.3">
      <c r="A3992" s="231"/>
      <c r="B3992" s="244"/>
      <c r="C3992" s="32" t="s">
        <v>36</v>
      </c>
      <c r="D3992" s="32" t="s">
        <v>12</v>
      </c>
      <c r="E3992" s="33">
        <v>0.66</v>
      </c>
      <c r="F3992" s="50">
        <v>24.795000000000002</v>
      </c>
      <c r="G3992" s="50">
        <f t="shared" si="75"/>
        <v>16.364700000000003</v>
      </c>
      <c r="H3992" s="69"/>
      <c r="I3992" s="70"/>
      <c r="J3992" s="141">
        <v>0</v>
      </c>
    </row>
    <row r="3993" spans="1:10" ht="15.75" hidden="1" thickBot="1" x14ac:dyDescent="0.3">
      <c r="A3993" s="231"/>
      <c r="B3993" s="244"/>
      <c r="C3993" s="32" t="s">
        <v>23</v>
      </c>
      <c r="D3993" s="32" t="s">
        <v>12</v>
      </c>
      <c r="E3993" s="33">
        <v>0.36</v>
      </c>
      <c r="F3993" s="50">
        <v>18.420500000000001</v>
      </c>
      <c r="G3993" s="50">
        <f t="shared" si="75"/>
        <v>6.6313800000000001</v>
      </c>
      <c r="H3993" s="69"/>
      <c r="I3993" s="70"/>
      <c r="J3993" s="141">
        <v>0</v>
      </c>
    </row>
    <row r="3994" spans="1:10" ht="15.75" hidden="1" thickBot="1" x14ac:dyDescent="0.3">
      <c r="A3994" s="231"/>
      <c r="B3994" s="244"/>
      <c r="C3994" s="32"/>
      <c r="D3994" s="43"/>
      <c r="E3994" s="33"/>
      <c r="F3994" s="50" t="s">
        <v>523</v>
      </c>
      <c r="G3994" s="50" t="str">
        <f t="shared" si="75"/>
        <v/>
      </c>
      <c r="H3994" s="69"/>
      <c r="I3994" s="70"/>
      <c r="J3994" s="141">
        <v>0</v>
      </c>
    </row>
    <row r="3995" spans="1:10" ht="15.75" hidden="1" thickBot="1" x14ac:dyDescent="0.3">
      <c r="A3995" s="225" t="s">
        <v>1180</v>
      </c>
      <c r="B3995" s="228" t="str">
        <f>INDEX(Orçamentária!A:B,MATCH(Composições!A3995,Orçamentária!A:A,0),2)</f>
        <v>Aterro de vala com areia média e compactação mecanizada</v>
      </c>
      <c r="C3995" s="37"/>
      <c r="D3995" s="22" t="str">
        <f>TRIM(INDEX(Orçamentária!C:C,MATCH(Composições!A3995,Orçamentária!A:A,0),1))</f>
        <v>m3</v>
      </c>
      <c r="E3995" s="23"/>
      <c r="F3995" s="45" t="s">
        <v>523</v>
      </c>
      <c r="G3995" s="24" t="str">
        <f t="shared" si="75"/>
        <v/>
      </c>
      <c r="H3995" s="25"/>
      <c r="I3995" s="26"/>
      <c r="J3995" s="141">
        <v>0</v>
      </c>
    </row>
    <row r="3996" spans="1:10" ht="15.75" hidden="1" thickBot="1" x14ac:dyDescent="0.3">
      <c r="A3996" s="231"/>
      <c r="B3996" s="244"/>
      <c r="C3996" s="28"/>
      <c r="D3996" s="28"/>
      <c r="E3996" s="29"/>
      <c r="F3996" s="50" t="s">
        <v>523</v>
      </c>
      <c r="G3996" s="50" t="str">
        <f t="shared" si="75"/>
        <v/>
      </c>
      <c r="H3996" s="69"/>
      <c r="I3996" s="70"/>
      <c r="J3996" s="141">
        <v>0</v>
      </c>
    </row>
    <row r="3997" spans="1:10" ht="26.25" hidden="1" thickBot="1" x14ac:dyDescent="0.3">
      <c r="A3997" s="231"/>
      <c r="B3997" s="244"/>
      <c r="C3997" s="32" t="s">
        <v>1181</v>
      </c>
      <c r="D3997" s="43" t="s">
        <v>120</v>
      </c>
      <c r="E3997" s="33">
        <v>1.25</v>
      </c>
      <c r="F3997" s="50">
        <v>80.265499999999989</v>
      </c>
      <c r="G3997" s="50">
        <f t="shared" si="75"/>
        <v>100.33187499999998</v>
      </c>
      <c r="H3997" s="35">
        <f>SUM(G3997:G4004)</f>
        <v>202.46837474999995</v>
      </c>
      <c r="I3997" s="36"/>
      <c r="J3997" s="141">
        <v>0</v>
      </c>
    </row>
    <row r="3998" spans="1:10" ht="51.75" hidden="1" thickBot="1" x14ac:dyDescent="0.3">
      <c r="A3998" s="231"/>
      <c r="B3998" s="244"/>
      <c r="C3998" s="32" t="s">
        <v>950</v>
      </c>
      <c r="D3998" s="43" t="s">
        <v>945</v>
      </c>
      <c r="E3998" s="33">
        <v>6.0000000000000001E-3</v>
      </c>
      <c r="F3998" s="50">
        <v>312.83499999999998</v>
      </c>
      <c r="G3998" s="50">
        <f t="shared" si="75"/>
        <v>1.8770099999999998</v>
      </c>
      <c r="H3998" s="69"/>
      <c r="I3998" s="70"/>
      <c r="J3998" s="141">
        <v>0</v>
      </c>
    </row>
    <row r="3999" spans="1:10" ht="51.75" hidden="1" thickBot="1" x14ac:dyDescent="0.3">
      <c r="A3999" s="231"/>
      <c r="B3999" s="244"/>
      <c r="C3999" s="32" t="s">
        <v>951</v>
      </c>
      <c r="D3999" s="32" t="s">
        <v>947</v>
      </c>
      <c r="E3999" s="33">
        <v>3.0000000000000001E-3</v>
      </c>
      <c r="F3999" s="50">
        <v>52.192999999999998</v>
      </c>
      <c r="G3999" s="50">
        <f t="shared" si="75"/>
        <v>0.156579</v>
      </c>
      <c r="H3999" s="69"/>
      <c r="I3999" s="70"/>
      <c r="J3999" s="141">
        <v>0</v>
      </c>
    </row>
    <row r="4000" spans="1:10" ht="15.75" hidden="1" thickBot="1" x14ac:dyDescent="0.3">
      <c r="A4000" s="231"/>
      <c r="B4000" s="244"/>
      <c r="C4000" s="32" t="s">
        <v>706</v>
      </c>
      <c r="D4000" s="32" t="s">
        <v>705</v>
      </c>
      <c r="E4000" s="33">
        <v>0.65900000000000003</v>
      </c>
      <c r="F4000" s="50">
        <v>18.420500000000001</v>
      </c>
      <c r="G4000" s="50">
        <f t="shared" si="75"/>
        <v>12.139109500000002</v>
      </c>
      <c r="H4000" s="69"/>
      <c r="I4000" s="70"/>
      <c r="J4000" s="141">
        <v>0</v>
      </c>
    </row>
    <row r="4001" spans="1:10" ht="26.25" hidden="1" thickBot="1" x14ac:dyDescent="0.3">
      <c r="A4001" s="231"/>
      <c r="B4001" s="244"/>
      <c r="C4001" s="32" t="s">
        <v>944</v>
      </c>
      <c r="D4001" s="43" t="s">
        <v>945</v>
      </c>
      <c r="E4001" s="33">
        <v>0.27400000000000002</v>
      </c>
      <c r="F4001" s="50">
        <v>28.404999999999998</v>
      </c>
      <c r="G4001" s="50">
        <f t="shared" si="75"/>
        <v>7.7829699999999997</v>
      </c>
      <c r="H4001" s="69"/>
      <c r="I4001" s="70"/>
      <c r="J4001" s="141">
        <v>0</v>
      </c>
    </row>
    <row r="4002" spans="1:10" ht="26.25" hidden="1" thickBot="1" x14ac:dyDescent="0.3">
      <c r="A4002" s="231"/>
      <c r="B4002" s="244"/>
      <c r="C4002" s="32" t="s">
        <v>946</v>
      </c>
      <c r="D4002" s="43" t="s">
        <v>947</v>
      </c>
      <c r="E4002" s="33">
        <v>0.254</v>
      </c>
      <c r="F4002" s="50">
        <v>20.1875</v>
      </c>
      <c r="G4002" s="50">
        <f t="shared" si="75"/>
        <v>5.1276250000000001</v>
      </c>
      <c r="H4002" s="69"/>
      <c r="I4002" s="70"/>
      <c r="J4002" s="141">
        <v>0</v>
      </c>
    </row>
    <row r="4003" spans="1:10" ht="51.75" hidden="1" thickBot="1" x14ac:dyDescent="0.3">
      <c r="A4003" s="231"/>
      <c r="B4003" s="244"/>
      <c r="C4003" s="32" t="s">
        <v>3532</v>
      </c>
      <c r="D4003" s="32" t="s">
        <v>109</v>
      </c>
      <c r="E4003" s="33">
        <f>1*E3997</f>
        <v>1.25</v>
      </c>
      <c r="F4003" s="30">
        <v>7.6983819999999996</v>
      </c>
      <c r="G4003" s="30">
        <f t="shared" si="75"/>
        <v>9.6229774999999993</v>
      </c>
      <c r="H4003" s="31"/>
      <c r="I4003" s="27"/>
      <c r="J4003" s="141">
        <v>0</v>
      </c>
    </row>
    <row r="4004" spans="1:10" ht="39" hidden="1" thickBot="1" x14ac:dyDescent="0.3">
      <c r="A4004" s="231"/>
      <c r="B4004" s="244"/>
      <c r="C4004" s="32" t="s">
        <v>121</v>
      </c>
      <c r="D4004" s="43" t="s">
        <v>122</v>
      </c>
      <c r="E4004" s="33">
        <f>E3997*20</f>
        <v>25</v>
      </c>
      <c r="F4004" s="50">
        <v>2.6172091499999994</v>
      </c>
      <c r="G4004" s="50">
        <f t="shared" si="75"/>
        <v>65.430228749999984</v>
      </c>
      <c r="H4004" s="69"/>
      <c r="I4004" s="70"/>
      <c r="J4004" s="141">
        <v>0</v>
      </c>
    </row>
    <row r="4005" spans="1:10" ht="15.75" hidden="1" thickBot="1" x14ac:dyDescent="0.3">
      <c r="A4005" s="231"/>
      <c r="B4005" s="244"/>
      <c r="C4005" s="47"/>
      <c r="D4005" s="43"/>
      <c r="E4005" s="33"/>
      <c r="F4005" s="50" t="s">
        <v>523</v>
      </c>
      <c r="G4005" s="50" t="str">
        <f t="shared" si="75"/>
        <v/>
      </c>
      <c r="H4005" s="69"/>
      <c r="I4005" s="70"/>
      <c r="J4005" s="141">
        <v>0</v>
      </c>
    </row>
    <row r="4006" spans="1:10" ht="15.75" hidden="1" thickBot="1" x14ac:dyDescent="0.3">
      <c r="A4006" s="231"/>
      <c r="B4006" s="244"/>
      <c r="C4006" s="44" t="s">
        <v>757</v>
      </c>
      <c r="D4006" s="43"/>
      <c r="E4006" s="33"/>
      <c r="F4006" s="50" t="s">
        <v>523</v>
      </c>
      <c r="G4006" s="50" t="str">
        <f t="shared" si="75"/>
        <v/>
      </c>
      <c r="H4006" s="69"/>
      <c r="I4006" s="70"/>
      <c r="J4006" s="141">
        <v>0</v>
      </c>
    </row>
    <row r="4007" spans="1:10" ht="15.75" hidden="1" thickBot="1" x14ac:dyDescent="0.3">
      <c r="A4007" s="231"/>
      <c r="B4007" s="244"/>
      <c r="C4007" s="51"/>
      <c r="D4007" s="51"/>
      <c r="E4007" s="62"/>
      <c r="F4007" s="72" t="s">
        <v>523</v>
      </c>
      <c r="G4007" s="72" t="str">
        <f t="shared" si="75"/>
        <v/>
      </c>
      <c r="H4007" s="73"/>
      <c r="I4007" s="70"/>
      <c r="J4007" s="141">
        <v>0</v>
      </c>
    </row>
    <row r="4008" spans="1:10" ht="15.75" hidden="1" thickBot="1" x14ac:dyDescent="0.3">
      <c r="A4008" s="225" t="s">
        <v>1182</v>
      </c>
      <c r="B4008" s="228" t="str">
        <f>INDEX(Orçamentária!A:B,MATCH(Composições!A4008,Orçamentária!A:A,0),2)</f>
        <v>Guarda-corpo panorâmico</v>
      </c>
      <c r="C4008" s="37"/>
      <c r="D4008" s="22" t="str">
        <f>TRIM(INDEX(Orçamentária!C:C,MATCH(Composições!A4008,Orçamentária!A:A,0),1))</f>
        <v>m</v>
      </c>
      <c r="E4008" s="23"/>
      <c r="F4008" s="45" t="s">
        <v>523</v>
      </c>
      <c r="G4008" s="24" t="str">
        <f t="shared" si="75"/>
        <v/>
      </c>
      <c r="H4008" s="25"/>
      <c r="I4008" s="26"/>
      <c r="J4008" s="141">
        <v>0</v>
      </c>
    </row>
    <row r="4009" spans="1:10" ht="15.75" hidden="1" thickBot="1" x14ac:dyDescent="0.3">
      <c r="A4009" s="231"/>
      <c r="B4009" s="244"/>
      <c r="C4009" s="28"/>
      <c r="D4009" s="28"/>
      <c r="E4009" s="29"/>
      <c r="F4009" s="50" t="s">
        <v>523</v>
      </c>
      <c r="G4009" s="50" t="str">
        <f t="shared" si="75"/>
        <v/>
      </c>
      <c r="H4009" s="69"/>
      <c r="I4009" s="70"/>
      <c r="J4009" s="141">
        <v>0</v>
      </c>
    </row>
    <row r="4010" spans="1:10" ht="15.75" hidden="1" thickBot="1" x14ac:dyDescent="0.3">
      <c r="A4010" s="231"/>
      <c r="B4010" s="244"/>
      <c r="C4010" s="32" t="s">
        <v>1183</v>
      </c>
      <c r="D4010" s="43" t="s">
        <v>901</v>
      </c>
      <c r="E4010" s="33">
        <v>1.4</v>
      </c>
      <c r="F4010" s="50">
        <v>11.7325</v>
      </c>
      <c r="G4010" s="50">
        <f t="shared" si="75"/>
        <v>16.4255</v>
      </c>
      <c r="H4010" s="35">
        <f>SUM(G4010:G4019)</f>
        <v>814.34247949999997</v>
      </c>
      <c r="I4010" s="36"/>
      <c r="J4010" s="141">
        <v>0</v>
      </c>
    </row>
    <row r="4011" spans="1:10" ht="15.75" hidden="1" thickBot="1" x14ac:dyDescent="0.3">
      <c r="A4011" s="231"/>
      <c r="B4011" s="244"/>
      <c r="C4011" s="32" t="s">
        <v>1184</v>
      </c>
      <c r="D4011" s="43" t="s">
        <v>901</v>
      </c>
      <c r="E4011" s="33">
        <v>3.0000000000000001E-3</v>
      </c>
      <c r="F4011" s="50">
        <v>32.746499999999997</v>
      </c>
      <c r="G4011" s="50">
        <f t="shared" si="75"/>
        <v>9.8239499999999993E-2</v>
      </c>
      <c r="H4011" s="69"/>
      <c r="I4011" s="70"/>
      <c r="J4011" s="141">
        <v>0</v>
      </c>
    </row>
    <row r="4012" spans="1:10" ht="26.25" hidden="1" thickBot="1" x14ac:dyDescent="0.3">
      <c r="A4012" s="231"/>
      <c r="B4012" s="244"/>
      <c r="C4012" s="32" t="s">
        <v>1040</v>
      </c>
      <c r="D4012" s="32" t="s">
        <v>280</v>
      </c>
      <c r="E4012" s="33">
        <v>3.3330000000000002</v>
      </c>
      <c r="F4012" s="50">
        <v>2.1945000000000001</v>
      </c>
      <c r="G4012" s="50">
        <f t="shared" si="75"/>
        <v>7.3142685000000007</v>
      </c>
      <c r="H4012" s="69"/>
      <c r="I4012" s="70"/>
      <c r="J4012" s="141">
        <v>0</v>
      </c>
    </row>
    <row r="4013" spans="1:10" ht="39" hidden="1" thickBot="1" x14ac:dyDescent="0.3">
      <c r="A4013" s="231"/>
      <c r="B4013" s="244"/>
      <c r="C4013" s="32" t="s">
        <v>1185</v>
      </c>
      <c r="D4013" s="32" t="s">
        <v>280</v>
      </c>
      <c r="E4013" s="33">
        <v>5</v>
      </c>
      <c r="F4013" s="50">
        <v>0.40849999999999997</v>
      </c>
      <c r="G4013" s="50">
        <f t="shared" si="75"/>
        <v>2.0425</v>
      </c>
      <c r="H4013" s="69"/>
      <c r="I4013" s="70"/>
      <c r="J4013" s="141">
        <v>0</v>
      </c>
    </row>
    <row r="4014" spans="1:10" ht="26.25" hidden="1" thickBot="1" x14ac:dyDescent="0.3">
      <c r="A4014" s="231"/>
      <c r="B4014" s="244"/>
      <c r="C4014" s="32" t="s">
        <v>1186</v>
      </c>
      <c r="D4014" s="32" t="s">
        <v>480</v>
      </c>
      <c r="E4014" s="33">
        <v>3.149</v>
      </c>
      <c r="F4014" s="50">
        <v>13.299999999999999</v>
      </c>
      <c r="G4014" s="50">
        <f t="shared" si="75"/>
        <v>41.881699999999995</v>
      </c>
      <c r="H4014" s="69"/>
      <c r="I4014" s="70"/>
      <c r="J4014" s="141">
        <v>0</v>
      </c>
    </row>
    <row r="4015" spans="1:10" ht="15.75" hidden="1" thickBot="1" x14ac:dyDescent="0.3">
      <c r="A4015" s="231"/>
      <c r="B4015" s="244"/>
      <c r="C4015" s="32" t="s">
        <v>837</v>
      </c>
      <c r="D4015" s="32" t="s">
        <v>901</v>
      </c>
      <c r="E4015" s="33">
        <v>3.4089999999999998</v>
      </c>
      <c r="F4015" s="50">
        <v>41.192</v>
      </c>
      <c r="G4015" s="50">
        <f t="shared" si="75"/>
        <v>140.423528</v>
      </c>
      <c r="H4015" s="69"/>
      <c r="I4015" s="70"/>
      <c r="J4015" s="141">
        <v>0</v>
      </c>
    </row>
    <row r="4016" spans="1:10" ht="26.25" hidden="1" thickBot="1" x14ac:dyDescent="0.3">
      <c r="A4016" s="231"/>
      <c r="B4016" s="244"/>
      <c r="C4016" s="32" t="s">
        <v>1187</v>
      </c>
      <c r="D4016" s="32" t="s">
        <v>995</v>
      </c>
      <c r="E4016" s="33">
        <v>0.998</v>
      </c>
      <c r="F4016" s="50">
        <v>449.8725</v>
      </c>
      <c r="G4016" s="50">
        <f t="shared" si="75"/>
        <v>448.97275500000001</v>
      </c>
      <c r="H4016" s="69"/>
      <c r="I4016" s="70"/>
      <c r="J4016" s="141">
        <v>0</v>
      </c>
    </row>
    <row r="4017" spans="1:10" ht="15.75" hidden="1" thickBot="1" x14ac:dyDescent="0.3">
      <c r="A4017" s="231"/>
      <c r="B4017" s="244"/>
      <c r="C4017" s="32" t="s">
        <v>1130</v>
      </c>
      <c r="D4017" s="43" t="s">
        <v>280</v>
      </c>
      <c r="E4017" s="33">
        <v>0.85499999999999998</v>
      </c>
      <c r="F4017" s="50">
        <v>23.693000000000001</v>
      </c>
      <c r="G4017" s="50">
        <f t="shared" ref="G4017:G4080" si="76">IF(ISNUMBER(F4017),E4017*F4017,"")</f>
        <v>20.257515000000001</v>
      </c>
      <c r="H4017" s="69"/>
      <c r="I4017" s="70"/>
      <c r="J4017" s="141">
        <v>0</v>
      </c>
    </row>
    <row r="4018" spans="1:10" ht="15.75" hidden="1" thickBot="1" x14ac:dyDescent="0.3">
      <c r="A4018" s="231"/>
      <c r="B4018" s="244"/>
      <c r="C4018" s="32" t="s">
        <v>790</v>
      </c>
      <c r="D4018" s="43" t="s">
        <v>705</v>
      </c>
      <c r="E4018" s="33">
        <v>2.754</v>
      </c>
      <c r="F4018" s="50">
        <v>19.588999999999999</v>
      </c>
      <c r="G4018" s="50">
        <f t="shared" si="76"/>
        <v>53.948105999999996</v>
      </c>
      <c r="H4018" s="69"/>
      <c r="I4018" s="70"/>
      <c r="J4018" s="141">
        <v>0</v>
      </c>
    </row>
    <row r="4019" spans="1:10" ht="15.75" hidden="1" thickBot="1" x14ac:dyDescent="0.3">
      <c r="A4019" s="231"/>
      <c r="B4019" s="244"/>
      <c r="C4019" s="32" t="s">
        <v>1188</v>
      </c>
      <c r="D4019" s="43" t="s">
        <v>705</v>
      </c>
      <c r="E4019" s="33">
        <v>3.3530000000000002</v>
      </c>
      <c r="F4019" s="50">
        <v>24.747499999999999</v>
      </c>
      <c r="G4019" s="50">
        <f t="shared" si="76"/>
        <v>82.978367500000004</v>
      </c>
      <c r="H4019" s="69"/>
      <c r="I4019" s="70"/>
      <c r="J4019" s="141">
        <v>0</v>
      </c>
    </row>
    <row r="4020" spans="1:10" ht="15.75" hidden="1" thickBot="1" x14ac:dyDescent="0.3">
      <c r="A4020" s="232"/>
      <c r="B4020" s="230"/>
      <c r="C4020" s="51"/>
      <c r="D4020" s="51"/>
      <c r="E4020" s="62"/>
      <c r="F4020" s="72" t="s">
        <v>523</v>
      </c>
      <c r="G4020" s="72" t="str">
        <f t="shared" si="76"/>
        <v/>
      </c>
      <c r="H4020" s="73"/>
      <c r="I4020" s="70"/>
      <c r="J4020" s="141">
        <v>0</v>
      </c>
    </row>
    <row r="4021" spans="1:10" ht="15.75" hidden="1" thickBot="1" x14ac:dyDescent="0.3">
      <c r="A4021" s="225" t="s">
        <v>1189</v>
      </c>
      <c r="B4021" s="228" t="str">
        <f>INDEX(Orçamentária!A:B,MATCH(Composições!A4021,Orçamentária!A:A,0),2)</f>
        <v>Perfil “U” em aço 25 x 25mm</v>
      </c>
      <c r="C4021" s="37"/>
      <c r="D4021" s="22" t="str">
        <f>TRIM(INDEX(Orçamentária!C:C,MATCH(Composições!A4021,Orçamentária!A:A,0),1))</f>
        <v>m</v>
      </c>
      <c r="E4021" s="23"/>
      <c r="F4021" s="38" t="s">
        <v>523</v>
      </c>
      <c r="G4021" s="24" t="str">
        <f t="shared" si="76"/>
        <v/>
      </c>
      <c r="H4021" s="25"/>
      <c r="I4021" s="26"/>
      <c r="J4021" s="141">
        <v>0</v>
      </c>
    </row>
    <row r="4022" spans="1:10" ht="15.75" hidden="1" thickBot="1" x14ac:dyDescent="0.3">
      <c r="A4022" s="231"/>
      <c r="B4022" s="244"/>
      <c r="C4022" s="28"/>
      <c r="D4022" s="28"/>
      <c r="E4022" s="29"/>
      <c r="F4022" s="39" t="s">
        <v>523</v>
      </c>
      <c r="G4022" s="27" t="str">
        <f t="shared" si="76"/>
        <v/>
      </c>
      <c r="H4022" s="31"/>
      <c r="I4022" s="27"/>
      <c r="J4022" s="141">
        <v>0</v>
      </c>
    </row>
    <row r="4023" spans="1:10" ht="15.75" hidden="1" thickBot="1" x14ac:dyDescent="0.3">
      <c r="A4023" s="231"/>
      <c r="B4023" s="244"/>
      <c r="C4023" s="32" t="s">
        <v>68</v>
      </c>
      <c r="D4023" s="43" t="s">
        <v>12</v>
      </c>
      <c r="E4023" s="33">
        <f>1/10</f>
        <v>0.1</v>
      </c>
      <c r="F4023" s="27">
        <v>22.961500000000001</v>
      </c>
      <c r="G4023" s="30">
        <f t="shared" si="76"/>
        <v>2.2961500000000004</v>
      </c>
      <c r="H4023" s="35">
        <f>SUM(G4023:G4024)</f>
        <v>2.2961500000000004</v>
      </c>
      <c r="I4023" s="36"/>
      <c r="J4023" s="141">
        <v>0</v>
      </c>
    </row>
    <row r="4024" spans="1:10" ht="15.75" hidden="1" thickBot="1" x14ac:dyDescent="0.3">
      <c r="A4024" s="231"/>
      <c r="B4024" s="244"/>
      <c r="C4024" s="32" t="s">
        <v>1190</v>
      </c>
      <c r="D4024" s="43" t="s">
        <v>93</v>
      </c>
      <c r="E4024" s="33">
        <v>1.05</v>
      </c>
      <c r="F4024" s="30" t="s">
        <v>523</v>
      </c>
      <c r="G4024" s="30" t="str">
        <f t="shared" si="76"/>
        <v/>
      </c>
      <c r="H4024" s="31"/>
      <c r="I4024" s="27"/>
      <c r="J4024" s="141">
        <v>0</v>
      </c>
    </row>
    <row r="4025" spans="1:10" ht="15.75" hidden="1" thickBot="1" x14ac:dyDescent="0.3">
      <c r="A4025" s="232"/>
      <c r="B4025" s="230"/>
      <c r="C4025" s="32"/>
      <c r="D4025" s="43"/>
      <c r="E4025" s="33"/>
      <c r="F4025" s="30" t="s">
        <v>523</v>
      </c>
      <c r="G4025" s="30" t="str">
        <f t="shared" si="76"/>
        <v/>
      </c>
      <c r="H4025" s="31"/>
      <c r="I4025" s="27"/>
      <c r="J4025" s="141">
        <v>0</v>
      </c>
    </row>
    <row r="4026" spans="1:10" ht="15.75" hidden="1" thickBot="1" x14ac:dyDescent="0.3">
      <c r="A4026" s="225" t="s">
        <v>1191</v>
      </c>
      <c r="B4026" s="228" t="str">
        <f>INDEX(Orçamentária!A:B,MATCH(Composições!A4026,Orçamentária!A:A,0),2)</f>
        <v>Alimentação para mão-de-obra indireta</v>
      </c>
      <c r="C4026" s="37"/>
      <c r="D4026" s="22" t="str">
        <f>TRIM(INDEX(Orçamentária!C:C,MATCH(Composições!A4026,Orçamentária!A:A,0),1))</f>
        <v>h</v>
      </c>
      <c r="E4026" s="23"/>
      <c r="F4026" s="45" t="s">
        <v>523</v>
      </c>
      <c r="G4026" s="24" t="str">
        <f t="shared" si="76"/>
        <v/>
      </c>
      <c r="H4026" s="25"/>
      <c r="I4026" s="26"/>
      <c r="J4026" s="141">
        <v>0</v>
      </c>
    </row>
    <row r="4027" spans="1:10" ht="15.75" hidden="1" thickBot="1" x14ac:dyDescent="0.3">
      <c r="A4027" s="231"/>
      <c r="B4027" s="244"/>
      <c r="C4027" s="28"/>
      <c r="D4027" s="28"/>
      <c r="E4027" s="29"/>
      <c r="F4027" s="50" t="s">
        <v>523</v>
      </c>
      <c r="G4027" s="50" t="str">
        <f t="shared" si="76"/>
        <v/>
      </c>
      <c r="H4027" s="69"/>
      <c r="I4027" s="70"/>
      <c r="J4027" s="141">
        <v>0</v>
      </c>
    </row>
    <row r="4028" spans="1:10" ht="15.75" hidden="1" thickBot="1" x14ac:dyDescent="0.3">
      <c r="A4028" s="231"/>
      <c r="B4028" s="244"/>
      <c r="C4028" s="32" t="s">
        <v>1192</v>
      </c>
      <c r="D4028" s="32" t="s">
        <v>12</v>
      </c>
      <c r="E4028" s="33">
        <v>1</v>
      </c>
      <c r="F4028" s="50">
        <v>2.7075</v>
      </c>
      <c r="G4028" s="50">
        <f t="shared" si="76"/>
        <v>2.7075</v>
      </c>
      <c r="H4028" s="35">
        <f>SUM(G4028:G4028)</f>
        <v>2.7075</v>
      </c>
      <c r="I4028" s="36"/>
      <c r="J4028" s="141">
        <v>0</v>
      </c>
    </row>
    <row r="4029" spans="1:10" ht="15.75" hidden="1" thickBot="1" x14ac:dyDescent="0.3">
      <c r="A4029" s="231"/>
      <c r="B4029" s="244"/>
      <c r="C4029" s="51"/>
      <c r="D4029" s="51"/>
      <c r="E4029" s="62"/>
      <c r="F4029" s="72" t="s">
        <v>523</v>
      </c>
      <c r="G4029" s="72" t="str">
        <f t="shared" si="76"/>
        <v/>
      </c>
      <c r="H4029" s="73"/>
      <c r="I4029" s="70"/>
      <c r="J4029" s="141">
        <v>0</v>
      </c>
    </row>
    <row r="4030" spans="1:10" ht="15.75" hidden="1" thickBot="1" x14ac:dyDescent="0.3">
      <c r="A4030" s="225" t="s">
        <v>1193</v>
      </c>
      <c r="B4030" s="228" t="str">
        <f>INDEX(Orçamentária!A:B,MATCH(Composições!A4030,Orçamentária!A:A,0),2)</f>
        <v>Transporte para mão-de-obra indireta</v>
      </c>
      <c r="C4030" s="37"/>
      <c r="D4030" s="22" t="str">
        <f>TRIM(INDEX(Orçamentária!C:C,MATCH(Composições!A4030,Orçamentária!A:A,0),1))</f>
        <v>h</v>
      </c>
      <c r="E4030" s="23"/>
      <c r="F4030" s="45" t="s">
        <v>523</v>
      </c>
      <c r="G4030" s="24" t="str">
        <f t="shared" si="76"/>
        <v/>
      </c>
      <c r="H4030" s="25"/>
      <c r="I4030" s="26"/>
      <c r="J4030" s="141">
        <v>0</v>
      </c>
    </row>
    <row r="4031" spans="1:10" ht="15.75" hidden="1" thickBot="1" x14ac:dyDescent="0.3">
      <c r="A4031" s="231"/>
      <c r="B4031" s="244"/>
      <c r="C4031" s="28"/>
      <c r="D4031" s="28"/>
      <c r="E4031" s="29"/>
      <c r="F4031" s="50" t="s">
        <v>523</v>
      </c>
      <c r="G4031" s="50" t="str">
        <f t="shared" si="76"/>
        <v/>
      </c>
      <c r="H4031" s="69"/>
      <c r="I4031" s="70"/>
      <c r="J4031" s="141">
        <v>0</v>
      </c>
    </row>
    <row r="4032" spans="1:10" ht="15.75" hidden="1" thickBot="1" x14ac:dyDescent="0.3">
      <c r="A4032" s="231"/>
      <c r="B4032" s="244"/>
      <c r="C4032" s="32" t="s">
        <v>1194</v>
      </c>
      <c r="D4032" s="32" t="s">
        <v>705</v>
      </c>
      <c r="E4032" s="33">
        <v>1.05</v>
      </c>
      <c r="F4032" s="50">
        <v>1.292</v>
      </c>
      <c r="G4032" s="50">
        <f t="shared" si="76"/>
        <v>1.3566</v>
      </c>
      <c r="H4032" s="35">
        <f>SUM(G4032:G4032)</f>
        <v>1.3566</v>
      </c>
      <c r="I4032" s="36"/>
      <c r="J4032" s="141">
        <v>0</v>
      </c>
    </row>
    <row r="4033" spans="1:10" ht="15.75" hidden="1" thickBot="1" x14ac:dyDescent="0.3">
      <c r="A4033" s="232"/>
      <c r="B4033" s="230"/>
      <c r="C4033" s="51"/>
      <c r="D4033" s="51"/>
      <c r="E4033" s="62"/>
      <c r="F4033" s="72" t="s">
        <v>523</v>
      </c>
      <c r="G4033" s="72" t="str">
        <f t="shared" si="76"/>
        <v/>
      </c>
      <c r="H4033" s="73"/>
      <c r="I4033" s="70"/>
      <c r="J4033" s="141">
        <v>0</v>
      </c>
    </row>
    <row r="4034" spans="1:10" ht="15.75" hidden="1" thickBot="1" x14ac:dyDescent="0.3">
      <c r="A4034" s="225" t="s">
        <v>1195</v>
      </c>
      <c r="B4034" s="228" t="str">
        <f>INDEX(Orçamentária!A:B,MATCH(Composições!A4034,Orçamentária!A:A,0),2)</f>
        <v>Cotovelo de cobre de 1 3/8”</v>
      </c>
      <c r="C4034" s="37"/>
      <c r="D4034" s="22" t="str">
        <f>TRIM(INDEX(Orçamentária!C:C,MATCH(Composições!A4034,Orçamentária!A:A,0),1))</f>
        <v>un</v>
      </c>
      <c r="E4034" s="23"/>
      <c r="F4034" s="45" t="s">
        <v>523</v>
      </c>
      <c r="G4034" s="24" t="str">
        <f t="shared" si="76"/>
        <v/>
      </c>
      <c r="H4034" s="25"/>
      <c r="I4034" s="26"/>
      <c r="J4034" s="141">
        <v>0</v>
      </c>
    </row>
    <row r="4035" spans="1:10" ht="15.75" hidden="1" thickBot="1" x14ac:dyDescent="0.3">
      <c r="A4035" s="231"/>
      <c r="B4035" s="244"/>
      <c r="C4035" s="28"/>
      <c r="D4035" s="28"/>
      <c r="E4035" s="29"/>
      <c r="F4035" s="50" t="s">
        <v>523</v>
      </c>
      <c r="G4035" s="50" t="str">
        <f t="shared" si="76"/>
        <v/>
      </c>
      <c r="H4035" s="69"/>
      <c r="I4035" s="70"/>
      <c r="J4035" s="141">
        <v>0</v>
      </c>
    </row>
    <row r="4036" spans="1:10" ht="26.25" hidden="1" thickBot="1" x14ac:dyDescent="0.3">
      <c r="A4036" s="231"/>
      <c r="B4036" s="244"/>
      <c r="C4036" s="32" t="s">
        <v>1196</v>
      </c>
      <c r="D4036" s="43" t="s">
        <v>280</v>
      </c>
      <c r="E4036" s="33">
        <v>1</v>
      </c>
      <c r="F4036" s="50">
        <v>40.0045</v>
      </c>
      <c r="G4036" s="50">
        <f t="shared" si="76"/>
        <v>40.0045</v>
      </c>
      <c r="H4036" s="35">
        <f>SUM(G4036:G4041)</f>
        <v>49.006479599999992</v>
      </c>
      <c r="I4036" s="36"/>
      <c r="J4036" s="141">
        <v>0</v>
      </c>
    </row>
    <row r="4037" spans="1:10" ht="26.25" hidden="1" thickBot="1" x14ac:dyDescent="0.3">
      <c r="A4037" s="231"/>
      <c r="B4037" s="244"/>
      <c r="C4037" s="32" t="s">
        <v>1197</v>
      </c>
      <c r="D4037" s="43" t="s">
        <v>280</v>
      </c>
      <c r="E4037" s="33">
        <v>8.3999999999999995E-3</v>
      </c>
      <c r="F4037" s="50">
        <v>295.50700000000001</v>
      </c>
      <c r="G4037" s="50">
        <f t="shared" si="76"/>
        <v>2.4822587999999999</v>
      </c>
      <c r="H4037" s="69"/>
      <c r="I4037" s="70"/>
      <c r="J4037" s="141">
        <v>0</v>
      </c>
    </row>
    <row r="4038" spans="1:10" ht="15.75" hidden="1" thickBot="1" x14ac:dyDescent="0.3">
      <c r="A4038" s="231"/>
      <c r="B4038" s="244"/>
      <c r="C4038" s="32" t="s">
        <v>1198</v>
      </c>
      <c r="D4038" s="32" t="s">
        <v>280</v>
      </c>
      <c r="E4038" s="33">
        <v>5.9400000000000001E-2</v>
      </c>
      <c r="F4038" s="50">
        <v>2.0139999999999998</v>
      </c>
      <c r="G4038" s="50">
        <f t="shared" si="76"/>
        <v>0.11963159999999999</v>
      </c>
      <c r="H4038" s="69"/>
      <c r="I4038" s="70"/>
      <c r="J4038" s="141">
        <v>0</v>
      </c>
    </row>
    <row r="4039" spans="1:10" ht="26.25" hidden="1" thickBot="1" x14ac:dyDescent="0.3">
      <c r="A4039" s="231"/>
      <c r="B4039" s="244"/>
      <c r="C4039" s="32" t="s">
        <v>1199</v>
      </c>
      <c r="D4039" s="32" t="s">
        <v>280</v>
      </c>
      <c r="E4039" s="33">
        <v>1.0800000000000001E-2</v>
      </c>
      <c r="F4039" s="50">
        <v>54.168999999999997</v>
      </c>
      <c r="G4039" s="50">
        <f t="shared" si="76"/>
        <v>0.58502520000000002</v>
      </c>
      <c r="H4039" s="69"/>
      <c r="I4039" s="70"/>
      <c r="J4039" s="141">
        <v>0</v>
      </c>
    </row>
    <row r="4040" spans="1:10" ht="26.25" hidden="1" thickBot="1" x14ac:dyDescent="0.3">
      <c r="A4040" s="231"/>
      <c r="B4040" s="244"/>
      <c r="C4040" s="32" t="s">
        <v>956</v>
      </c>
      <c r="D4040" s="32" t="s">
        <v>705</v>
      </c>
      <c r="E4040" s="33">
        <v>0.13400000000000001</v>
      </c>
      <c r="F4040" s="50">
        <v>19.094999999999999</v>
      </c>
      <c r="G4040" s="50">
        <f t="shared" si="76"/>
        <v>2.5587300000000002</v>
      </c>
      <c r="H4040" s="69"/>
      <c r="I4040" s="70"/>
      <c r="J4040" s="141">
        <v>0</v>
      </c>
    </row>
    <row r="4041" spans="1:10" ht="26.25" hidden="1" thickBot="1" x14ac:dyDescent="0.3">
      <c r="A4041" s="231"/>
      <c r="B4041" s="244"/>
      <c r="C4041" s="32" t="s">
        <v>957</v>
      </c>
      <c r="D4041" s="32" t="s">
        <v>705</v>
      </c>
      <c r="E4041" s="33">
        <v>0.13400000000000001</v>
      </c>
      <c r="F4041" s="50">
        <v>24.300999999999998</v>
      </c>
      <c r="G4041" s="50">
        <f t="shared" si="76"/>
        <v>3.2563339999999998</v>
      </c>
      <c r="H4041" s="69"/>
      <c r="I4041" s="70"/>
      <c r="J4041" s="141">
        <v>0</v>
      </c>
    </row>
    <row r="4042" spans="1:10" ht="15.75" hidden="1" thickBot="1" x14ac:dyDescent="0.3">
      <c r="A4042" s="232"/>
      <c r="B4042" s="230"/>
      <c r="C4042" s="51"/>
      <c r="D4042" s="51"/>
      <c r="E4042" s="62"/>
      <c r="F4042" s="72" t="s">
        <v>523</v>
      </c>
      <c r="G4042" s="72" t="str">
        <f t="shared" si="76"/>
        <v/>
      </c>
      <c r="H4042" s="73"/>
      <c r="I4042" s="70"/>
      <c r="J4042" s="141">
        <v>0</v>
      </c>
    </row>
    <row r="4043" spans="1:10" ht="15.75" hidden="1" thickBot="1" x14ac:dyDescent="0.3">
      <c r="A4043" s="225" t="s">
        <v>1200</v>
      </c>
      <c r="B4043" s="228" t="str">
        <f>INDEX(Orçamentária!A:B,MATCH(Composições!A4043,Orçamentária!A:A,0),2)</f>
        <v>Cotovelo de cobre de 1 5/8”</v>
      </c>
      <c r="C4043" s="37"/>
      <c r="D4043" s="22" t="str">
        <f>TRIM(INDEX(Orçamentária!C:C,MATCH(Composições!A4043,Orçamentária!A:A,0),1))</f>
        <v>un</v>
      </c>
      <c r="E4043" s="23"/>
      <c r="F4043" s="45" t="s">
        <v>523</v>
      </c>
      <c r="G4043" s="24" t="str">
        <f t="shared" si="76"/>
        <v/>
      </c>
      <c r="H4043" s="25"/>
      <c r="I4043" s="26"/>
      <c r="J4043" s="141">
        <v>0</v>
      </c>
    </row>
    <row r="4044" spans="1:10" ht="15.75" hidden="1" thickBot="1" x14ac:dyDescent="0.3">
      <c r="A4044" s="231"/>
      <c r="B4044" s="244"/>
      <c r="C4044" s="28"/>
      <c r="D4044" s="28"/>
      <c r="E4044" s="29"/>
      <c r="F4044" s="50" t="s">
        <v>523</v>
      </c>
      <c r="G4044" s="50" t="str">
        <f t="shared" si="76"/>
        <v/>
      </c>
      <c r="H4044" s="69"/>
      <c r="I4044" s="70"/>
      <c r="J4044" s="141">
        <v>0</v>
      </c>
    </row>
    <row r="4045" spans="1:10" ht="26.25" hidden="1" thickBot="1" x14ac:dyDescent="0.3">
      <c r="A4045" s="231"/>
      <c r="B4045" s="244"/>
      <c r="C4045" s="32" t="s">
        <v>1201</v>
      </c>
      <c r="D4045" s="43" t="s">
        <v>280</v>
      </c>
      <c r="E4045" s="33">
        <v>1</v>
      </c>
      <c r="F4045" s="50">
        <v>61.398499999999991</v>
      </c>
      <c r="G4045" s="50">
        <f t="shared" si="76"/>
        <v>61.398499999999991</v>
      </c>
      <c r="H4045" s="35">
        <f>SUM(G4045:G4050)</f>
        <v>74.705843499999986</v>
      </c>
      <c r="I4045" s="36"/>
      <c r="J4045" s="141">
        <v>0</v>
      </c>
    </row>
    <row r="4046" spans="1:10" ht="26.25" hidden="1" thickBot="1" x14ac:dyDescent="0.3">
      <c r="A4046" s="231"/>
      <c r="B4046" s="244"/>
      <c r="C4046" s="32" t="s">
        <v>1197</v>
      </c>
      <c r="D4046" s="43" t="s">
        <v>280</v>
      </c>
      <c r="E4046" s="33">
        <v>1.7600000000000001E-2</v>
      </c>
      <c r="F4046" s="50">
        <v>295.50700000000001</v>
      </c>
      <c r="G4046" s="50">
        <f t="shared" si="76"/>
        <v>5.2009232000000001</v>
      </c>
      <c r="H4046" s="69"/>
      <c r="I4046" s="70"/>
      <c r="J4046" s="141">
        <v>0</v>
      </c>
    </row>
    <row r="4047" spans="1:10" ht="15.75" hidden="1" thickBot="1" x14ac:dyDescent="0.3">
      <c r="A4047" s="231"/>
      <c r="B4047" s="244"/>
      <c r="C4047" s="32" t="s">
        <v>1198</v>
      </c>
      <c r="D4047" s="32" t="s">
        <v>280</v>
      </c>
      <c r="E4047" s="33">
        <v>6.93E-2</v>
      </c>
      <c r="F4047" s="50">
        <v>2.0139999999999998</v>
      </c>
      <c r="G4047" s="50">
        <f t="shared" si="76"/>
        <v>0.13957019999999998</v>
      </c>
      <c r="H4047" s="69"/>
      <c r="I4047" s="70"/>
      <c r="J4047" s="141">
        <v>0</v>
      </c>
    </row>
    <row r="4048" spans="1:10" ht="26.25" hidden="1" thickBot="1" x14ac:dyDescent="0.3">
      <c r="A4048" s="231"/>
      <c r="B4048" s="244"/>
      <c r="C4048" s="32" t="s">
        <v>1199</v>
      </c>
      <c r="D4048" s="32" t="s">
        <v>280</v>
      </c>
      <c r="E4048" s="33">
        <v>2.29E-2</v>
      </c>
      <c r="F4048" s="50">
        <v>54.168999999999997</v>
      </c>
      <c r="G4048" s="50">
        <f t="shared" si="76"/>
        <v>1.2404701</v>
      </c>
      <c r="H4048" s="69"/>
      <c r="I4048" s="70"/>
      <c r="J4048" s="141">
        <v>0</v>
      </c>
    </row>
    <row r="4049" spans="1:10" ht="26.25" hidden="1" thickBot="1" x14ac:dyDescent="0.3">
      <c r="A4049" s="231"/>
      <c r="B4049" s="244"/>
      <c r="C4049" s="32" t="s">
        <v>956</v>
      </c>
      <c r="D4049" s="32" t="s">
        <v>705</v>
      </c>
      <c r="E4049" s="33">
        <v>0.155</v>
      </c>
      <c r="F4049" s="50">
        <v>19.094999999999999</v>
      </c>
      <c r="G4049" s="50">
        <f t="shared" si="76"/>
        <v>2.9597249999999997</v>
      </c>
      <c r="H4049" s="69"/>
      <c r="I4049" s="70"/>
      <c r="J4049" s="141">
        <v>0</v>
      </c>
    </row>
    <row r="4050" spans="1:10" ht="26.25" hidden="1" thickBot="1" x14ac:dyDescent="0.3">
      <c r="A4050" s="231"/>
      <c r="B4050" s="244"/>
      <c r="C4050" s="32" t="s">
        <v>957</v>
      </c>
      <c r="D4050" s="32" t="s">
        <v>705</v>
      </c>
      <c r="E4050" s="33">
        <v>0.155</v>
      </c>
      <c r="F4050" s="50">
        <v>24.300999999999998</v>
      </c>
      <c r="G4050" s="50">
        <f t="shared" si="76"/>
        <v>3.7666549999999996</v>
      </c>
      <c r="H4050" s="69"/>
      <c r="I4050" s="70"/>
      <c r="J4050" s="141">
        <v>0</v>
      </c>
    </row>
    <row r="4051" spans="1:10" ht="15.75" hidden="1" thickBot="1" x14ac:dyDescent="0.3">
      <c r="A4051" s="232"/>
      <c r="B4051" s="230"/>
      <c r="C4051" s="51"/>
      <c r="D4051" s="51"/>
      <c r="E4051" s="62"/>
      <c r="F4051" s="72" t="s">
        <v>523</v>
      </c>
      <c r="G4051" s="72" t="str">
        <f t="shared" si="76"/>
        <v/>
      </c>
      <c r="H4051" s="73"/>
      <c r="I4051" s="70"/>
      <c r="J4051" s="141">
        <v>0</v>
      </c>
    </row>
    <row r="4052" spans="1:10" ht="15.75" hidden="1" thickBot="1" x14ac:dyDescent="0.3">
      <c r="A4052" s="225" t="s">
        <v>1202</v>
      </c>
      <c r="B4052" s="228" t="str">
        <f>INDEX(Orçamentária!A:B,MATCH(Composições!A4052,Orçamentária!A:A,0),2)</f>
        <v>Cotovelo de cobre de 7/8”</v>
      </c>
      <c r="C4052" s="37"/>
      <c r="D4052" s="22" t="str">
        <f>TRIM(INDEX(Orçamentária!C:C,MATCH(Composições!A4052,Orçamentária!A:A,0),1))</f>
        <v>un</v>
      </c>
      <c r="E4052" s="23"/>
      <c r="F4052" s="45" t="s">
        <v>523</v>
      </c>
      <c r="G4052" s="24" t="str">
        <f t="shared" si="76"/>
        <v/>
      </c>
      <c r="H4052" s="25"/>
      <c r="I4052" s="26"/>
      <c r="J4052" s="141">
        <v>0</v>
      </c>
    </row>
    <row r="4053" spans="1:10" ht="15.75" hidden="1" thickBot="1" x14ac:dyDescent="0.3">
      <c r="A4053" s="231"/>
      <c r="B4053" s="244"/>
      <c r="C4053" s="28"/>
      <c r="D4053" s="28"/>
      <c r="E4053" s="29"/>
      <c r="F4053" s="50" t="s">
        <v>523</v>
      </c>
      <c r="G4053" s="50" t="str">
        <f t="shared" si="76"/>
        <v/>
      </c>
      <c r="H4053" s="69"/>
      <c r="I4053" s="70"/>
      <c r="J4053" s="141">
        <v>0</v>
      </c>
    </row>
    <row r="4054" spans="1:10" ht="26.25" hidden="1" thickBot="1" x14ac:dyDescent="0.3">
      <c r="A4054" s="231"/>
      <c r="B4054" s="244"/>
      <c r="C4054" s="32" t="s">
        <v>1203</v>
      </c>
      <c r="D4054" s="43" t="s">
        <v>280</v>
      </c>
      <c r="E4054" s="33">
        <v>1</v>
      </c>
      <c r="F4054" s="50">
        <v>11.846500000000001</v>
      </c>
      <c r="G4054" s="50">
        <f t="shared" si="76"/>
        <v>11.846500000000001</v>
      </c>
      <c r="H4054" s="35">
        <f>SUM(G4054:G4059)</f>
        <v>17.859219100000001</v>
      </c>
      <c r="I4054" s="36"/>
      <c r="J4054" s="141">
        <v>0</v>
      </c>
    </row>
    <row r="4055" spans="1:10" ht="26.25" hidden="1" thickBot="1" x14ac:dyDescent="0.3">
      <c r="A4055" s="231"/>
      <c r="B4055" s="244"/>
      <c r="C4055" s="32" t="s">
        <v>1197</v>
      </c>
      <c r="D4055" s="43" t="s">
        <v>280</v>
      </c>
      <c r="E4055" s="33">
        <v>4.7999999999999996E-3</v>
      </c>
      <c r="F4055" s="50">
        <v>295.50700000000001</v>
      </c>
      <c r="G4055" s="50">
        <f t="shared" si="76"/>
        <v>1.4184336</v>
      </c>
      <c r="H4055" s="69"/>
      <c r="I4055" s="70"/>
      <c r="J4055" s="141">
        <v>0</v>
      </c>
    </row>
    <row r="4056" spans="1:10" ht="15.75" hidden="1" thickBot="1" x14ac:dyDescent="0.3">
      <c r="A4056" s="231"/>
      <c r="B4056" s="244"/>
      <c r="C4056" s="32" t="s">
        <v>1198</v>
      </c>
      <c r="D4056" s="32" t="s">
        <v>280</v>
      </c>
      <c r="E4056" s="33">
        <v>4.3200000000000002E-2</v>
      </c>
      <c r="F4056" s="50">
        <v>2.0139999999999998</v>
      </c>
      <c r="G4056" s="50">
        <f t="shared" si="76"/>
        <v>8.7004799999999993E-2</v>
      </c>
      <c r="H4056" s="69"/>
      <c r="I4056" s="70"/>
      <c r="J4056" s="141">
        <v>0</v>
      </c>
    </row>
    <row r="4057" spans="1:10" ht="26.25" hidden="1" thickBot="1" x14ac:dyDescent="0.3">
      <c r="A4057" s="231"/>
      <c r="B4057" s="244"/>
      <c r="C4057" s="32" t="s">
        <v>1199</v>
      </c>
      <c r="D4057" s="32" t="s">
        <v>280</v>
      </c>
      <c r="E4057" s="33">
        <v>6.3E-3</v>
      </c>
      <c r="F4057" s="50">
        <v>54.168999999999997</v>
      </c>
      <c r="G4057" s="50">
        <f t="shared" si="76"/>
        <v>0.34126469999999998</v>
      </c>
      <c r="H4057" s="69"/>
      <c r="I4057" s="70"/>
      <c r="J4057" s="141">
        <v>0</v>
      </c>
    </row>
    <row r="4058" spans="1:10" ht="26.25" hidden="1" thickBot="1" x14ac:dyDescent="0.3">
      <c r="A4058" s="231"/>
      <c r="B4058" s="244"/>
      <c r="C4058" s="32" t="s">
        <v>956</v>
      </c>
      <c r="D4058" s="32" t="s">
        <v>705</v>
      </c>
      <c r="E4058" s="33">
        <v>9.6000000000000002E-2</v>
      </c>
      <c r="F4058" s="50">
        <v>19.094999999999999</v>
      </c>
      <c r="G4058" s="50">
        <f t="shared" si="76"/>
        <v>1.8331199999999999</v>
      </c>
      <c r="H4058" s="69"/>
      <c r="I4058" s="70"/>
      <c r="J4058" s="141">
        <v>0</v>
      </c>
    </row>
    <row r="4059" spans="1:10" ht="26.25" hidden="1" thickBot="1" x14ac:dyDescent="0.3">
      <c r="A4059" s="231"/>
      <c r="B4059" s="244"/>
      <c r="C4059" s="32" t="s">
        <v>957</v>
      </c>
      <c r="D4059" s="32" t="s">
        <v>705</v>
      </c>
      <c r="E4059" s="33">
        <v>9.6000000000000002E-2</v>
      </c>
      <c r="F4059" s="50">
        <v>24.300999999999998</v>
      </c>
      <c r="G4059" s="50">
        <f t="shared" si="76"/>
        <v>2.3328959999999999</v>
      </c>
      <c r="H4059" s="69"/>
      <c r="I4059" s="70"/>
      <c r="J4059" s="141">
        <v>0</v>
      </c>
    </row>
    <row r="4060" spans="1:10" ht="15.75" hidden="1" thickBot="1" x14ac:dyDescent="0.3">
      <c r="A4060" s="232"/>
      <c r="B4060" s="230"/>
      <c r="C4060" s="51"/>
      <c r="D4060" s="51"/>
      <c r="E4060" s="62"/>
      <c r="F4060" s="72" t="s">
        <v>523</v>
      </c>
      <c r="G4060" s="72" t="str">
        <f t="shared" si="76"/>
        <v/>
      </c>
      <c r="H4060" s="73"/>
      <c r="I4060" s="70"/>
      <c r="J4060" s="141">
        <v>0</v>
      </c>
    </row>
    <row r="4061" spans="1:10" ht="15.75" hidden="1" thickBot="1" x14ac:dyDescent="0.3">
      <c r="A4061" s="225" t="s">
        <v>1204</v>
      </c>
      <c r="B4061" s="228" t="str">
        <f>INDEX(Orçamentária!A:B,MATCH(Composições!A4061,Orçamentária!A:A,0),2)</f>
        <v>Luva de cobre de 1 3/8”</v>
      </c>
      <c r="C4061" s="37"/>
      <c r="D4061" s="22" t="str">
        <f>TRIM(INDEX(Orçamentária!C:C,MATCH(Composições!A4061,Orçamentária!A:A,0),1))</f>
        <v>un</v>
      </c>
      <c r="E4061" s="23"/>
      <c r="F4061" s="45" t="s">
        <v>523</v>
      </c>
      <c r="G4061" s="24" t="str">
        <f t="shared" si="76"/>
        <v/>
      </c>
      <c r="H4061" s="25"/>
      <c r="I4061" s="26"/>
      <c r="J4061" s="141">
        <v>0</v>
      </c>
    </row>
    <row r="4062" spans="1:10" ht="15.75" hidden="1" thickBot="1" x14ac:dyDescent="0.3">
      <c r="A4062" s="231"/>
      <c r="B4062" s="244"/>
      <c r="C4062" s="28"/>
      <c r="D4062" s="28"/>
      <c r="E4062" s="29"/>
      <c r="F4062" s="50" t="s">
        <v>523</v>
      </c>
      <c r="G4062" s="50" t="str">
        <f t="shared" si="76"/>
        <v/>
      </c>
      <c r="H4062" s="69"/>
      <c r="I4062" s="70"/>
      <c r="J4062" s="141">
        <v>0</v>
      </c>
    </row>
    <row r="4063" spans="1:10" ht="26.25" hidden="1" thickBot="1" x14ac:dyDescent="0.3">
      <c r="A4063" s="231"/>
      <c r="B4063" s="244"/>
      <c r="C4063" s="32" t="s">
        <v>1205</v>
      </c>
      <c r="D4063" s="43" t="s">
        <v>280</v>
      </c>
      <c r="E4063" s="33">
        <v>1</v>
      </c>
      <c r="F4063" s="50">
        <v>24.852</v>
      </c>
      <c r="G4063" s="50">
        <f t="shared" si="76"/>
        <v>24.852</v>
      </c>
      <c r="H4063" s="35">
        <f>SUM(G4063:G4068)</f>
        <v>31.901159600000003</v>
      </c>
      <c r="I4063" s="36"/>
      <c r="J4063" s="141">
        <v>0</v>
      </c>
    </row>
    <row r="4064" spans="1:10" ht="26.25" hidden="1" thickBot="1" x14ac:dyDescent="0.3">
      <c r="A4064" s="231"/>
      <c r="B4064" s="244"/>
      <c r="C4064" s="32" t="s">
        <v>1197</v>
      </c>
      <c r="D4064" s="43" t="s">
        <v>280</v>
      </c>
      <c r="E4064" s="33">
        <v>8.3999999999999995E-3</v>
      </c>
      <c r="F4064" s="50">
        <v>295.50700000000001</v>
      </c>
      <c r="G4064" s="50">
        <f t="shared" si="76"/>
        <v>2.4822587999999999</v>
      </c>
      <c r="H4064" s="69"/>
      <c r="I4064" s="70"/>
      <c r="J4064" s="141">
        <v>0</v>
      </c>
    </row>
    <row r="4065" spans="1:10" ht="15.75" hidden="1" thickBot="1" x14ac:dyDescent="0.3">
      <c r="A4065" s="231"/>
      <c r="B4065" s="244"/>
      <c r="C4065" s="32" t="s">
        <v>1198</v>
      </c>
      <c r="D4065" s="32" t="s">
        <v>280</v>
      </c>
      <c r="E4065" s="33">
        <v>5.9400000000000001E-2</v>
      </c>
      <c r="F4065" s="50">
        <v>2.0139999999999998</v>
      </c>
      <c r="G4065" s="50">
        <f t="shared" si="76"/>
        <v>0.11963159999999999</v>
      </c>
      <c r="H4065" s="69"/>
      <c r="I4065" s="70"/>
      <c r="J4065" s="141">
        <v>0</v>
      </c>
    </row>
    <row r="4066" spans="1:10" ht="26.25" hidden="1" thickBot="1" x14ac:dyDescent="0.3">
      <c r="A4066" s="231"/>
      <c r="B4066" s="244"/>
      <c r="C4066" s="32" t="s">
        <v>1199</v>
      </c>
      <c r="D4066" s="32" t="s">
        <v>280</v>
      </c>
      <c r="E4066" s="33">
        <v>1.0800000000000001E-2</v>
      </c>
      <c r="F4066" s="50">
        <v>54.168999999999997</v>
      </c>
      <c r="G4066" s="50">
        <f t="shared" si="76"/>
        <v>0.58502520000000002</v>
      </c>
      <c r="H4066" s="69"/>
      <c r="I4066" s="70"/>
      <c r="J4066" s="141">
        <v>0</v>
      </c>
    </row>
    <row r="4067" spans="1:10" ht="26.25" hidden="1" thickBot="1" x14ac:dyDescent="0.3">
      <c r="A4067" s="231"/>
      <c r="B4067" s="244"/>
      <c r="C4067" s="32" t="s">
        <v>956</v>
      </c>
      <c r="D4067" s="32" t="s">
        <v>705</v>
      </c>
      <c r="E4067" s="33">
        <v>8.8999999999999996E-2</v>
      </c>
      <c r="F4067" s="50">
        <v>19.094999999999999</v>
      </c>
      <c r="G4067" s="50">
        <f t="shared" si="76"/>
        <v>1.6994549999999997</v>
      </c>
      <c r="H4067" s="69"/>
      <c r="I4067" s="70"/>
      <c r="J4067" s="141">
        <v>0</v>
      </c>
    </row>
    <row r="4068" spans="1:10" ht="26.25" hidden="1" thickBot="1" x14ac:dyDescent="0.3">
      <c r="A4068" s="231"/>
      <c r="B4068" s="244"/>
      <c r="C4068" s="32" t="s">
        <v>957</v>
      </c>
      <c r="D4068" s="32" t="s">
        <v>705</v>
      </c>
      <c r="E4068" s="33">
        <v>8.8999999999999996E-2</v>
      </c>
      <c r="F4068" s="50">
        <v>24.300999999999998</v>
      </c>
      <c r="G4068" s="50">
        <f t="shared" si="76"/>
        <v>2.1627889999999996</v>
      </c>
      <c r="H4068" s="69"/>
      <c r="I4068" s="70"/>
      <c r="J4068" s="141">
        <v>0</v>
      </c>
    </row>
    <row r="4069" spans="1:10" ht="15.75" hidden="1" thickBot="1" x14ac:dyDescent="0.3">
      <c r="A4069" s="232"/>
      <c r="B4069" s="230"/>
      <c r="C4069" s="51"/>
      <c r="D4069" s="51"/>
      <c r="E4069" s="62"/>
      <c r="F4069" s="72" t="s">
        <v>523</v>
      </c>
      <c r="G4069" s="72" t="str">
        <f t="shared" si="76"/>
        <v/>
      </c>
      <c r="H4069" s="73"/>
      <c r="I4069" s="70"/>
      <c r="J4069" s="141">
        <v>0</v>
      </c>
    </row>
    <row r="4070" spans="1:10" ht="15.75" hidden="1" thickBot="1" x14ac:dyDescent="0.3">
      <c r="A4070" s="225" t="s">
        <v>1206</v>
      </c>
      <c r="B4070" s="228" t="str">
        <f>INDEX(Orçamentária!A:B,MATCH(Composições!A4070,Orçamentária!A:A,0),2)</f>
        <v>Luva de cobre de 1 5/8”</v>
      </c>
      <c r="C4070" s="37"/>
      <c r="D4070" s="22" t="str">
        <f>TRIM(INDEX(Orçamentária!C:C,MATCH(Composições!A4070,Orçamentária!A:A,0),1))</f>
        <v>un</v>
      </c>
      <c r="E4070" s="23"/>
      <c r="F4070" s="45" t="s">
        <v>523</v>
      </c>
      <c r="G4070" s="24" t="str">
        <f t="shared" si="76"/>
        <v/>
      </c>
      <c r="H4070" s="25"/>
      <c r="I4070" s="26"/>
      <c r="J4070" s="141">
        <v>0</v>
      </c>
    </row>
    <row r="4071" spans="1:10" ht="15.75" hidden="1" thickBot="1" x14ac:dyDescent="0.3">
      <c r="A4071" s="231"/>
      <c r="B4071" s="244"/>
      <c r="C4071" s="28"/>
      <c r="D4071" s="28"/>
      <c r="E4071" s="29"/>
      <c r="F4071" s="50" t="s">
        <v>523</v>
      </c>
      <c r="G4071" s="50" t="str">
        <f t="shared" si="76"/>
        <v/>
      </c>
      <c r="H4071" s="69"/>
      <c r="I4071" s="70"/>
      <c r="J4071" s="141">
        <v>0</v>
      </c>
    </row>
    <row r="4072" spans="1:10" ht="26.25" hidden="1" thickBot="1" x14ac:dyDescent="0.3">
      <c r="A4072" s="231"/>
      <c r="B4072" s="244"/>
      <c r="C4072" s="32" t="s">
        <v>1207</v>
      </c>
      <c r="D4072" s="43" t="s">
        <v>280</v>
      </c>
      <c r="E4072" s="33">
        <v>1</v>
      </c>
      <c r="F4072" s="50">
        <v>31.511500000000002</v>
      </c>
      <c r="G4072" s="50">
        <f t="shared" si="76"/>
        <v>31.511500000000002</v>
      </c>
      <c r="H4072" s="35">
        <f>SUM(G4072:G4077)</f>
        <v>42.562251500000009</v>
      </c>
      <c r="I4072" s="36"/>
      <c r="J4072" s="141">
        <v>0</v>
      </c>
    </row>
    <row r="4073" spans="1:10" ht="26.25" hidden="1" thickBot="1" x14ac:dyDescent="0.3">
      <c r="A4073" s="231"/>
      <c r="B4073" s="244"/>
      <c r="C4073" s="32" t="s">
        <v>1197</v>
      </c>
      <c r="D4073" s="43" t="s">
        <v>280</v>
      </c>
      <c r="E4073" s="33">
        <v>1.7600000000000001E-2</v>
      </c>
      <c r="F4073" s="50">
        <v>295.50700000000001</v>
      </c>
      <c r="G4073" s="50">
        <f t="shared" si="76"/>
        <v>5.2009232000000001</v>
      </c>
      <c r="H4073" s="69"/>
      <c r="I4073" s="70"/>
      <c r="J4073" s="141">
        <v>0</v>
      </c>
    </row>
    <row r="4074" spans="1:10" ht="15.75" hidden="1" thickBot="1" x14ac:dyDescent="0.3">
      <c r="A4074" s="231"/>
      <c r="B4074" s="244"/>
      <c r="C4074" s="32" t="s">
        <v>1198</v>
      </c>
      <c r="D4074" s="32" t="s">
        <v>280</v>
      </c>
      <c r="E4074" s="33">
        <v>6.93E-2</v>
      </c>
      <c r="F4074" s="50">
        <v>2.0139999999999998</v>
      </c>
      <c r="G4074" s="50">
        <f t="shared" si="76"/>
        <v>0.13957019999999998</v>
      </c>
      <c r="H4074" s="69"/>
      <c r="I4074" s="70"/>
      <c r="J4074" s="141">
        <v>0</v>
      </c>
    </row>
    <row r="4075" spans="1:10" ht="26.25" hidden="1" thickBot="1" x14ac:dyDescent="0.3">
      <c r="A4075" s="231"/>
      <c r="B4075" s="244"/>
      <c r="C4075" s="32" t="s">
        <v>1199</v>
      </c>
      <c r="D4075" s="32" t="s">
        <v>280</v>
      </c>
      <c r="E4075" s="33">
        <v>2.29E-2</v>
      </c>
      <c r="F4075" s="50">
        <v>54.168999999999997</v>
      </c>
      <c r="G4075" s="50">
        <f t="shared" si="76"/>
        <v>1.2404701</v>
      </c>
      <c r="H4075" s="69"/>
      <c r="I4075" s="70"/>
      <c r="J4075" s="141">
        <v>0</v>
      </c>
    </row>
    <row r="4076" spans="1:10" ht="26.25" hidden="1" thickBot="1" x14ac:dyDescent="0.3">
      <c r="A4076" s="231"/>
      <c r="B4076" s="244"/>
      <c r="C4076" s="32" t="s">
        <v>956</v>
      </c>
      <c r="D4076" s="32" t="s">
        <v>705</v>
      </c>
      <c r="E4076" s="33">
        <v>0.10299999999999999</v>
      </c>
      <c r="F4076" s="50">
        <v>19.094999999999999</v>
      </c>
      <c r="G4076" s="50">
        <f t="shared" si="76"/>
        <v>1.9667849999999998</v>
      </c>
      <c r="H4076" s="69"/>
      <c r="I4076" s="70"/>
      <c r="J4076" s="141">
        <v>0</v>
      </c>
    </row>
    <row r="4077" spans="1:10" ht="26.25" hidden="1" thickBot="1" x14ac:dyDescent="0.3">
      <c r="A4077" s="231"/>
      <c r="B4077" s="244"/>
      <c r="C4077" s="32" t="s">
        <v>957</v>
      </c>
      <c r="D4077" s="32" t="s">
        <v>705</v>
      </c>
      <c r="E4077" s="33">
        <v>0.10299999999999999</v>
      </c>
      <c r="F4077" s="50">
        <v>24.300999999999998</v>
      </c>
      <c r="G4077" s="50">
        <f t="shared" si="76"/>
        <v>2.5030029999999996</v>
      </c>
      <c r="H4077" s="69"/>
      <c r="I4077" s="70"/>
      <c r="J4077" s="141">
        <v>0</v>
      </c>
    </row>
    <row r="4078" spans="1:10" ht="15.75" hidden="1" thickBot="1" x14ac:dyDescent="0.3">
      <c r="A4078" s="232"/>
      <c r="B4078" s="230"/>
      <c r="C4078" s="51"/>
      <c r="D4078" s="51"/>
      <c r="E4078" s="62"/>
      <c r="F4078" s="72" t="s">
        <v>523</v>
      </c>
      <c r="G4078" s="72" t="str">
        <f t="shared" si="76"/>
        <v/>
      </c>
      <c r="H4078" s="73"/>
      <c r="I4078" s="70"/>
      <c r="J4078" s="141">
        <v>0</v>
      </c>
    </row>
    <row r="4079" spans="1:10" ht="15.75" hidden="1" thickBot="1" x14ac:dyDescent="0.3">
      <c r="A4079" s="225" t="s">
        <v>1208</v>
      </c>
      <c r="B4079" s="228" t="str">
        <f>INDEX(Orçamentária!A:B,MATCH(Composições!A4079,Orçamentária!A:A,0),2)</f>
        <v>Luva de cobre de 7/8”</v>
      </c>
      <c r="C4079" s="37"/>
      <c r="D4079" s="22" t="str">
        <f>TRIM(INDEX(Orçamentária!C:C,MATCH(Composições!A4079,Orçamentária!A:A,0),1))</f>
        <v>un</v>
      </c>
      <c r="E4079" s="23"/>
      <c r="F4079" s="45" t="s">
        <v>523</v>
      </c>
      <c r="G4079" s="24" t="str">
        <f t="shared" si="76"/>
        <v/>
      </c>
      <c r="H4079" s="25"/>
      <c r="I4079" s="26"/>
      <c r="J4079" s="141">
        <v>0</v>
      </c>
    </row>
    <row r="4080" spans="1:10" ht="15.75" hidden="1" thickBot="1" x14ac:dyDescent="0.3">
      <c r="A4080" s="231"/>
      <c r="B4080" s="244"/>
      <c r="C4080" s="28"/>
      <c r="D4080" s="28"/>
      <c r="E4080" s="29"/>
      <c r="F4080" s="50" t="s">
        <v>523</v>
      </c>
      <c r="G4080" s="50" t="str">
        <f t="shared" si="76"/>
        <v/>
      </c>
      <c r="H4080" s="69"/>
      <c r="I4080" s="70"/>
      <c r="J4080" s="141">
        <v>0</v>
      </c>
    </row>
    <row r="4081" spans="1:10" ht="26.25" hidden="1" thickBot="1" x14ac:dyDescent="0.3">
      <c r="A4081" s="231"/>
      <c r="B4081" s="244"/>
      <c r="C4081" s="32" t="s">
        <v>1209</v>
      </c>
      <c r="D4081" s="43" t="s">
        <v>280</v>
      </c>
      <c r="E4081" s="33">
        <v>1</v>
      </c>
      <c r="F4081" s="50">
        <v>5.6144999999999996</v>
      </c>
      <c r="G4081" s="50">
        <f t="shared" ref="G4081:G4144" si="77">IF(ISNUMBER(F4081),E4081*F4081,"")</f>
        <v>5.6144999999999996</v>
      </c>
      <c r="H4081" s="35">
        <f>SUM(G4081:G4086)</f>
        <v>10.2385471</v>
      </c>
      <c r="I4081" s="36"/>
      <c r="J4081" s="141">
        <v>0</v>
      </c>
    </row>
    <row r="4082" spans="1:10" ht="26.25" hidden="1" thickBot="1" x14ac:dyDescent="0.3">
      <c r="A4082" s="231"/>
      <c r="B4082" s="244"/>
      <c r="C4082" s="32" t="s">
        <v>1197</v>
      </c>
      <c r="D4082" s="43" t="s">
        <v>280</v>
      </c>
      <c r="E4082" s="33">
        <v>4.7999999999999996E-3</v>
      </c>
      <c r="F4082" s="50">
        <v>295.50700000000001</v>
      </c>
      <c r="G4082" s="50">
        <f t="shared" si="77"/>
        <v>1.4184336</v>
      </c>
      <c r="H4082" s="69"/>
      <c r="I4082" s="70"/>
      <c r="J4082" s="141">
        <v>0</v>
      </c>
    </row>
    <row r="4083" spans="1:10" ht="15.75" hidden="1" thickBot="1" x14ac:dyDescent="0.3">
      <c r="A4083" s="231"/>
      <c r="B4083" s="244"/>
      <c r="C4083" s="32" t="s">
        <v>1198</v>
      </c>
      <c r="D4083" s="32" t="s">
        <v>280</v>
      </c>
      <c r="E4083" s="33">
        <v>4.3200000000000002E-2</v>
      </c>
      <c r="F4083" s="50">
        <v>2.0139999999999998</v>
      </c>
      <c r="G4083" s="50">
        <f t="shared" si="77"/>
        <v>8.7004799999999993E-2</v>
      </c>
      <c r="H4083" s="69"/>
      <c r="I4083" s="70"/>
      <c r="J4083" s="141">
        <v>0</v>
      </c>
    </row>
    <row r="4084" spans="1:10" ht="26.25" hidden="1" thickBot="1" x14ac:dyDescent="0.3">
      <c r="A4084" s="231"/>
      <c r="B4084" s="244"/>
      <c r="C4084" s="32" t="s">
        <v>1199</v>
      </c>
      <c r="D4084" s="32" t="s">
        <v>280</v>
      </c>
      <c r="E4084" s="33">
        <v>6.3E-3</v>
      </c>
      <c r="F4084" s="50">
        <v>54.168999999999997</v>
      </c>
      <c r="G4084" s="50">
        <f t="shared" si="77"/>
        <v>0.34126469999999998</v>
      </c>
      <c r="H4084" s="69"/>
      <c r="I4084" s="70"/>
      <c r="J4084" s="141">
        <v>0</v>
      </c>
    </row>
    <row r="4085" spans="1:10" ht="26.25" hidden="1" thickBot="1" x14ac:dyDescent="0.3">
      <c r="A4085" s="231"/>
      <c r="B4085" s="244"/>
      <c r="C4085" s="32" t="s">
        <v>956</v>
      </c>
      <c r="D4085" s="32" t="s">
        <v>705</v>
      </c>
      <c r="E4085" s="33">
        <v>6.4000000000000001E-2</v>
      </c>
      <c r="F4085" s="50">
        <v>19.094999999999999</v>
      </c>
      <c r="G4085" s="50">
        <f t="shared" si="77"/>
        <v>1.2220800000000001</v>
      </c>
      <c r="H4085" s="69"/>
      <c r="I4085" s="70"/>
      <c r="J4085" s="141">
        <v>0</v>
      </c>
    </row>
    <row r="4086" spans="1:10" ht="26.25" hidden="1" thickBot="1" x14ac:dyDescent="0.3">
      <c r="A4086" s="231"/>
      <c r="B4086" s="244"/>
      <c r="C4086" s="32" t="s">
        <v>957</v>
      </c>
      <c r="D4086" s="32" t="s">
        <v>705</v>
      </c>
      <c r="E4086" s="33">
        <v>6.4000000000000001E-2</v>
      </c>
      <c r="F4086" s="50">
        <v>24.300999999999998</v>
      </c>
      <c r="G4086" s="50">
        <f t="shared" si="77"/>
        <v>1.555264</v>
      </c>
      <c r="H4086" s="69"/>
      <c r="I4086" s="70"/>
      <c r="J4086" s="141">
        <v>0</v>
      </c>
    </row>
    <row r="4087" spans="1:10" ht="15.75" hidden="1" thickBot="1" x14ac:dyDescent="0.3">
      <c r="A4087" s="232"/>
      <c r="B4087" s="230"/>
      <c r="C4087" s="51"/>
      <c r="D4087" s="51"/>
      <c r="E4087" s="62"/>
      <c r="F4087" s="72" t="s">
        <v>523</v>
      </c>
      <c r="G4087" s="72" t="str">
        <f t="shared" si="77"/>
        <v/>
      </c>
      <c r="H4087" s="73"/>
      <c r="I4087" s="70"/>
      <c r="J4087" s="141">
        <v>0</v>
      </c>
    </row>
    <row r="4088" spans="1:10" ht="15.75" hidden="1" thickBot="1" x14ac:dyDescent="0.3">
      <c r="A4088" s="225" t="s">
        <v>1210</v>
      </c>
      <c r="B4088" s="228" t="str">
        <f>INDEX(Orçamentária!A:B,MATCH(Composições!A4088,Orçamentária!A:A,0),2)</f>
        <v>Tubo de cobre de 1 3/8”</v>
      </c>
      <c r="C4088" s="37"/>
      <c r="D4088" s="22" t="str">
        <f>TRIM(INDEX(Orçamentária!C:C,MATCH(Composições!A4088,Orçamentária!A:A,0),1))</f>
        <v>m</v>
      </c>
      <c r="E4088" s="23"/>
      <c r="F4088" s="45" t="s">
        <v>523</v>
      </c>
      <c r="G4088" s="24" t="str">
        <f t="shared" si="77"/>
        <v/>
      </c>
      <c r="H4088" s="25"/>
      <c r="I4088" s="26"/>
      <c r="J4088" s="141">
        <v>0</v>
      </c>
    </row>
    <row r="4089" spans="1:10" ht="15.75" hidden="1" thickBot="1" x14ac:dyDescent="0.3">
      <c r="A4089" s="231"/>
      <c r="B4089" s="244"/>
      <c r="C4089" s="28"/>
      <c r="D4089" s="28"/>
      <c r="E4089" s="29"/>
      <c r="F4089" s="50" t="s">
        <v>523</v>
      </c>
      <c r="G4089" s="50" t="str">
        <f t="shared" si="77"/>
        <v/>
      </c>
      <c r="H4089" s="69"/>
      <c r="I4089" s="70"/>
      <c r="J4089" s="141">
        <v>0</v>
      </c>
    </row>
    <row r="4090" spans="1:10" ht="39" hidden="1" thickBot="1" x14ac:dyDescent="0.3">
      <c r="A4090" s="231"/>
      <c r="B4090" s="244"/>
      <c r="C4090" s="32" t="s">
        <v>1211</v>
      </c>
      <c r="D4090" s="32" t="s">
        <v>480</v>
      </c>
      <c r="E4090" s="33">
        <v>1.0210999999999999</v>
      </c>
      <c r="F4090" s="50">
        <v>150.44200000000001</v>
      </c>
      <c r="G4090" s="50">
        <f t="shared" si="77"/>
        <v>153.6163262</v>
      </c>
      <c r="H4090" s="35">
        <f>SUM(G4090:G4092)</f>
        <v>156.48046220000001</v>
      </c>
      <c r="I4090" s="36"/>
      <c r="J4090" s="141">
        <v>0</v>
      </c>
    </row>
    <row r="4091" spans="1:10" ht="26.25" hidden="1" thickBot="1" x14ac:dyDescent="0.3">
      <c r="A4091" s="231"/>
      <c r="B4091" s="244"/>
      <c r="C4091" s="32" t="s">
        <v>956</v>
      </c>
      <c r="D4091" s="32" t="s">
        <v>705</v>
      </c>
      <c r="E4091" s="33">
        <v>6.6000000000000003E-2</v>
      </c>
      <c r="F4091" s="50">
        <v>19.094999999999999</v>
      </c>
      <c r="G4091" s="50">
        <f t="shared" si="77"/>
        <v>1.26027</v>
      </c>
      <c r="H4091" s="69"/>
      <c r="I4091" s="70"/>
      <c r="J4091" s="141">
        <v>0</v>
      </c>
    </row>
    <row r="4092" spans="1:10" ht="26.25" hidden="1" thickBot="1" x14ac:dyDescent="0.3">
      <c r="A4092" s="231"/>
      <c r="B4092" s="244"/>
      <c r="C4092" s="32" t="s">
        <v>957</v>
      </c>
      <c r="D4092" s="32" t="s">
        <v>705</v>
      </c>
      <c r="E4092" s="33">
        <v>6.6000000000000003E-2</v>
      </c>
      <c r="F4092" s="50">
        <v>24.300999999999998</v>
      </c>
      <c r="G4092" s="50">
        <f t="shared" si="77"/>
        <v>1.603866</v>
      </c>
      <c r="H4092" s="69"/>
      <c r="I4092" s="70"/>
      <c r="J4092" s="141">
        <v>0</v>
      </c>
    </row>
    <row r="4093" spans="1:10" ht="15.75" hidden="1" thickBot="1" x14ac:dyDescent="0.3">
      <c r="A4093" s="231"/>
      <c r="B4093" s="244"/>
      <c r="C4093" s="51"/>
      <c r="D4093" s="51"/>
      <c r="E4093" s="62"/>
      <c r="F4093" s="72" t="s">
        <v>523</v>
      </c>
      <c r="G4093" s="72" t="str">
        <f t="shared" si="77"/>
        <v/>
      </c>
      <c r="H4093" s="73"/>
      <c r="I4093" s="70"/>
      <c r="J4093" s="141">
        <v>0</v>
      </c>
    </row>
    <row r="4094" spans="1:10" ht="15.75" hidden="1" thickBot="1" x14ac:dyDescent="0.3">
      <c r="A4094" s="225" t="s">
        <v>1212</v>
      </c>
      <c r="B4094" s="228" t="str">
        <f>INDEX(Orçamentária!A:B,MATCH(Composições!A4094,Orçamentária!A:A,0),2)</f>
        <v>Tubo de cobre de 1 5/8”</v>
      </c>
      <c r="C4094" s="37"/>
      <c r="D4094" s="22" t="str">
        <f>TRIM(INDEX(Orçamentária!C:C,MATCH(Composições!A4094,Orçamentária!A:A,0),1))</f>
        <v>m</v>
      </c>
      <c r="E4094" s="23"/>
      <c r="F4094" s="45" t="s">
        <v>523</v>
      </c>
      <c r="G4094" s="24" t="str">
        <f t="shared" si="77"/>
        <v/>
      </c>
      <c r="H4094" s="25"/>
      <c r="I4094" s="26"/>
      <c r="J4094" s="141">
        <v>0</v>
      </c>
    </row>
    <row r="4095" spans="1:10" ht="15.75" hidden="1" thickBot="1" x14ac:dyDescent="0.3">
      <c r="A4095" s="231"/>
      <c r="B4095" s="244"/>
      <c r="C4095" s="28"/>
      <c r="D4095" s="28"/>
      <c r="E4095" s="29"/>
      <c r="F4095" s="50" t="s">
        <v>523</v>
      </c>
      <c r="G4095" s="50" t="str">
        <f t="shared" si="77"/>
        <v/>
      </c>
      <c r="H4095" s="69"/>
      <c r="I4095" s="70"/>
      <c r="J4095" s="141">
        <v>0</v>
      </c>
    </row>
    <row r="4096" spans="1:10" ht="39" hidden="1" thickBot="1" x14ac:dyDescent="0.3">
      <c r="A4096" s="231"/>
      <c r="B4096" s="244"/>
      <c r="C4096" s="32" t="s">
        <v>1213</v>
      </c>
      <c r="D4096" s="32" t="s">
        <v>480</v>
      </c>
      <c r="E4096" s="33">
        <v>1.0210999999999999</v>
      </c>
      <c r="F4096" s="50">
        <v>180.994</v>
      </c>
      <c r="G4096" s="50">
        <f t="shared" si="77"/>
        <v>184.81297339999998</v>
      </c>
      <c r="H4096" s="35">
        <f>SUM(G4096:G4098)</f>
        <v>188.11106939999999</v>
      </c>
      <c r="I4096" s="36"/>
      <c r="J4096" s="141">
        <v>0</v>
      </c>
    </row>
    <row r="4097" spans="1:10" ht="26.25" hidden="1" thickBot="1" x14ac:dyDescent="0.3">
      <c r="A4097" s="231"/>
      <c r="B4097" s="244"/>
      <c r="C4097" s="32" t="s">
        <v>956</v>
      </c>
      <c r="D4097" s="32" t="s">
        <v>705</v>
      </c>
      <c r="E4097" s="33">
        <v>7.5999999999999998E-2</v>
      </c>
      <c r="F4097" s="50">
        <v>19.094999999999999</v>
      </c>
      <c r="G4097" s="50">
        <f t="shared" si="77"/>
        <v>1.45122</v>
      </c>
      <c r="H4097" s="69"/>
      <c r="I4097" s="70"/>
      <c r="J4097" s="141">
        <v>0</v>
      </c>
    </row>
    <row r="4098" spans="1:10" ht="26.25" hidden="1" thickBot="1" x14ac:dyDescent="0.3">
      <c r="A4098" s="231"/>
      <c r="B4098" s="244"/>
      <c r="C4098" s="32" t="s">
        <v>957</v>
      </c>
      <c r="D4098" s="32" t="s">
        <v>705</v>
      </c>
      <c r="E4098" s="33">
        <v>7.5999999999999998E-2</v>
      </c>
      <c r="F4098" s="50">
        <v>24.300999999999998</v>
      </c>
      <c r="G4098" s="50">
        <f t="shared" si="77"/>
        <v>1.8468759999999997</v>
      </c>
      <c r="H4098" s="69"/>
      <c r="I4098" s="70"/>
      <c r="J4098" s="141">
        <v>0</v>
      </c>
    </row>
    <row r="4099" spans="1:10" ht="15.75" hidden="1" thickBot="1" x14ac:dyDescent="0.3">
      <c r="A4099" s="231"/>
      <c r="B4099" s="244"/>
      <c r="C4099" s="51"/>
      <c r="D4099" s="51"/>
      <c r="E4099" s="62"/>
      <c r="F4099" s="72" t="s">
        <v>523</v>
      </c>
      <c r="G4099" s="72" t="str">
        <f t="shared" si="77"/>
        <v/>
      </c>
      <c r="H4099" s="73"/>
      <c r="I4099" s="70"/>
      <c r="J4099" s="141">
        <v>0</v>
      </c>
    </row>
    <row r="4100" spans="1:10" ht="15.75" hidden="1" thickBot="1" x14ac:dyDescent="0.3">
      <c r="A4100" s="225" t="s">
        <v>1214</v>
      </c>
      <c r="B4100" s="228" t="str">
        <f>INDEX(Orçamentária!A:B,MATCH(Composições!A4100,Orçamentária!A:A,0),2)</f>
        <v>Eletroduto flexível metálico com capa de PVC 1 1/2"</v>
      </c>
      <c r="C4100" s="37"/>
      <c r="D4100" s="22" t="str">
        <f>TRIM(INDEX(Orçamentária!C:C,MATCH(Composições!A4100,Orçamentária!A:A,0),1))</f>
        <v>m</v>
      </c>
      <c r="E4100" s="23"/>
      <c r="F4100" s="45" t="s">
        <v>523</v>
      </c>
      <c r="G4100" s="24" t="str">
        <f t="shared" si="77"/>
        <v/>
      </c>
      <c r="H4100" s="25"/>
      <c r="I4100" s="26"/>
      <c r="J4100" s="141">
        <v>0</v>
      </c>
    </row>
    <row r="4101" spans="1:10" ht="15.75" hidden="1" thickBot="1" x14ac:dyDescent="0.3">
      <c r="A4101" s="231"/>
      <c r="B4101" s="244"/>
      <c r="C4101" s="28"/>
      <c r="D4101" s="28"/>
      <c r="E4101" s="29"/>
      <c r="F4101" s="50" t="s">
        <v>523</v>
      </c>
      <c r="G4101" s="50" t="str">
        <f t="shared" si="77"/>
        <v/>
      </c>
      <c r="H4101" s="69"/>
      <c r="I4101" s="70"/>
      <c r="J4101" s="141">
        <v>0</v>
      </c>
    </row>
    <row r="4102" spans="1:10" ht="39" hidden="1" thickBot="1" x14ac:dyDescent="0.3">
      <c r="A4102" s="231"/>
      <c r="B4102" s="244"/>
      <c r="C4102" s="32" t="s">
        <v>1215</v>
      </c>
      <c r="D4102" s="43" t="s">
        <v>480</v>
      </c>
      <c r="E4102" s="33">
        <v>1.1000000000000001</v>
      </c>
      <c r="F4102" s="50">
        <v>37.316000000000003</v>
      </c>
      <c r="G4102" s="50">
        <f t="shared" si="77"/>
        <v>41.047600000000003</v>
      </c>
      <c r="H4102" s="35">
        <f>SUM(G4102:G4105)</f>
        <v>46.936307999999997</v>
      </c>
      <c r="I4102" s="36"/>
      <c r="J4102" s="141">
        <v>0</v>
      </c>
    </row>
    <row r="4103" spans="1:10" ht="26.25" hidden="1" thickBot="1" x14ac:dyDescent="0.3">
      <c r="A4103" s="231"/>
      <c r="B4103" s="244"/>
      <c r="C4103" s="32" t="s">
        <v>3513</v>
      </c>
      <c r="D4103" s="43" t="s">
        <v>901</v>
      </c>
      <c r="E4103" s="33">
        <v>2.3E-3</v>
      </c>
      <c r="F4103" s="50">
        <v>22.61</v>
      </c>
      <c r="G4103" s="50">
        <f t="shared" si="77"/>
        <v>5.2003000000000001E-2</v>
      </c>
      <c r="H4103" s="69"/>
      <c r="I4103" s="70"/>
      <c r="J4103" s="141">
        <v>0</v>
      </c>
    </row>
    <row r="4104" spans="1:10" ht="15.75" hidden="1" thickBot="1" x14ac:dyDescent="0.3">
      <c r="A4104" s="231"/>
      <c r="B4104" s="244"/>
      <c r="C4104" s="32" t="s">
        <v>1164</v>
      </c>
      <c r="D4104" s="32" t="s">
        <v>705</v>
      </c>
      <c r="E4104" s="33">
        <v>0.13100000000000001</v>
      </c>
      <c r="F4104" s="50">
        <v>19.4085</v>
      </c>
      <c r="G4104" s="50">
        <f t="shared" si="77"/>
        <v>2.5425135000000001</v>
      </c>
      <c r="H4104" s="69"/>
      <c r="I4104" s="70"/>
      <c r="J4104" s="141">
        <v>0</v>
      </c>
    </row>
    <row r="4105" spans="1:10" ht="15.75" hidden="1" thickBot="1" x14ac:dyDescent="0.3">
      <c r="A4105" s="231"/>
      <c r="B4105" s="244"/>
      <c r="C4105" s="32" t="s">
        <v>1165</v>
      </c>
      <c r="D4105" s="32" t="s">
        <v>705</v>
      </c>
      <c r="E4105" s="33">
        <v>0.13100000000000001</v>
      </c>
      <c r="F4105" s="50">
        <v>25.146499999999996</v>
      </c>
      <c r="G4105" s="50">
        <f t="shared" si="77"/>
        <v>3.2941914999999997</v>
      </c>
      <c r="H4105" s="69"/>
      <c r="I4105" s="70"/>
      <c r="J4105" s="141">
        <v>0</v>
      </c>
    </row>
    <row r="4106" spans="1:10" ht="15.75" hidden="1" thickBot="1" x14ac:dyDescent="0.3">
      <c r="A4106" s="231"/>
      <c r="B4106" s="244"/>
      <c r="C4106" s="51"/>
      <c r="D4106" s="51"/>
      <c r="E4106" s="62"/>
      <c r="F4106" s="72" t="s">
        <v>523</v>
      </c>
      <c r="G4106" s="72" t="str">
        <f t="shared" si="77"/>
        <v/>
      </c>
      <c r="H4106" s="73"/>
      <c r="I4106" s="70"/>
      <c r="J4106" s="141">
        <v>0</v>
      </c>
    </row>
    <row r="4107" spans="1:10" ht="15.75" hidden="1" thickBot="1" x14ac:dyDescent="0.3">
      <c r="A4107" s="225" t="s">
        <v>1216</v>
      </c>
      <c r="B4107" s="228" t="str">
        <f>INDEX(Orçamentária!A:B,MATCH(Composições!A4107,Orçamentária!A:A,0),2)</f>
        <v>Técnico(a) em Edificações - Planejamento de Manutenção</v>
      </c>
      <c r="C4107" s="37"/>
      <c r="D4107" s="22" t="str">
        <f>TRIM(INDEX(Orçamentária!C:C,MATCH(Composições!A4107,Orçamentária!A:A,0),1))</f>
        <v>Profissional</v>
      </c>
      <c r="E4107" s="23"/>
      <c r="F4107" s="45" t="s">
        <v>523</v>
      </c>
      <c r="G4107" s="24" t="str">
        <f t="shared" si="77"/>
        <v/>
      </c>
      <c r="H4107" s="25"/>
      <c r="I4107" s="26"/>
      <c r="J4107" s="141">
        <v>0</v>
      </c>
    </row>
    <row r="4108" spans="1:10" ht="15.75" hidden="1" thickBot="1" x14ac:dyDescent="0.3">
      <c r="A4108" s="231"/>
      <c r="B4108" s="244"/>
      <c r="C4108" s="28"/>
      <c r="D4108" s="28"/>
      <c r="E4108" s="29"/>
      <c r="F4108" s="50" t="s">
        <v>523</v>
      </c>
      <c r="G4108" s="50" t="str">
        <f t="shared" si="77"/>
        <v/>
      </c>
      <c r="H4108" s="69"/>
      <c r="I4108" s="70"/>
      <c r="J4108" s="141">
        <v>0</v>
      </c>
    </row>
    <row r="4109" spans="1:10" ht="15.75" hidden="1" thickBot="1" x14ac:dyDescent="0.3">
      <c r="A4109" s="231"/>
      <c r="B4109" s="244"/>
      <c r="C4109" s="32" t="s">
        <v>1217</v>
      </c>
      <c r="D4109" s="32" t="s">
        <v>705</v>
      </c>
      <c r="E4109" s="33">
        <f>ROUND(1/(1+70.03%),2)</f>
        <v>0.59</v>
      </c>
      <c r="F4109" s="50">
        <v>2852.1849999999999</v>
      </c>
      <c r="G4109" s="50">
        <f t="shared" si="77"/>
        <v>1682.7891499999998</v>
      </c>
      <c r="H4109" s="35">
        <f>SUM(G4109:G4109)</f>
        <v>1682.7891499999998</v>
      </c>
      <c r="I4109" s="36"/>
      <c r="J4109" s="141">
        <v>0</v>
      </c>
    </row>
    <row r="4110" spans="1:10" ht="15.75" hidden="1" thickBot="1" x14ac:dyDescent="0.3">
      <c r="A4110" s="231"/>
      <c r="B4110" s="244"/>
      <c r="C4110" s="32"/>
      <c r="D4110" s="43"/>
      <c r="E4110" s="33"/>
      <c r="F4110" s="50" t="s">
        <v>523</v>
      </c>
      <c r="G4110" s="50" t="str">
        <f t="shared" si="77"/>
        <v/>
      </c>
      <c r="H4110" s="69"/>
      <c r="I4110" s="70"/>
      <c r="J4110" s="141">
        <v>0</v>
      </c>
    </row>
    <row r="4111" spans="1:10" ht="26.25" hidden="1" thickBot="1" x14ac:dyDescent="0.3">
      <c r="A4111" s="231"/>
      <c r="B4111" s="244"/>
      <c r="C4111" s="44" t="s">
        <v>783</v>
      </c>
      <c r="D4111" s="43"/>
      <c r="E4111" s="33"/>
      <c r="F4111" s="50" t="s">
        <v>523</v>
      </c>
      <c r="G4111" s="50" t="str">
        <f t="shared" si="77"/>
        <v/>
      </c>
      <c r="H4111" s="69"/>
      <c r="I4111" s="70"/>
      <c r="J4111" s="141">
        <v>0</v>
      </c>
    </row>
    <row r="4112" spans="1:10" ht="15.75" hidden="1" thickBot="1" x14ac:dyDescent="0.3">
      <c r="A4112" s="231"/>
      <c r="B4112" s="244"/>
      <c r="C4112" s="51"/>
      <c r="D4112" s="51"/>
      <c r="E4112" s="62"/>
      <c r="F4112" s="72" t="s">
        <v>523</v>
      </c>
      <c r="G4112" s="72" t="str">
        <f t="shared" si="77"/>
        <v/>
      </c>
      <c r="H4112" s="73"/>
      <c r="I4112" s="70"/>
      <c r="J4112" s="141">
        <v>0</v>
      </c>
    </row>
    <row r="4113" spans="1:10" ht="15.75" hidden="1" thickBot="1" x14ac:dyDescent="0.3">
      <c r="A4113" s="225" t="s">
        <v>1218</v>
      </c>
      <c r="B4113" s="228" t="str">
        <f>INDEX(Orçamentária!A:B,MATCH(Composições!A4113,Orçamentária!A:A,0),2)</f>
        <v>Projeto de Impermeabilização</v>
      </c>
      <c r="C4113" s="37"/>
      <c r="D4113" s="22" t="str">
        <f>TRIM(INDEX(Orçamentária!C:C,MATCH(Composições!A4113,Orçamentária!A:A,0),1))</f>
        <v>m2</v>
      </c>
      <c r="E4113" s="23"/>
      <c r="F4113" s="45" t="s">
        <v>523</v>
      </c>
      <c r="G4113" s="24" t="str">
        <f t="shared" si="77"/>
        <v/>
      </c>
      <c r="H4113" s="25"/>
      <c r="I4113" s="26"/>
      <c r="J4113" s="141">
        <v>0</v>
      </c>
    </row>
    <row r="4114" spans="1:10" ht="15.75" hidden="1" thickBot="1" x14ac:dyDescent="0.3">
      <c r="A4114" s="231"/>
      <c r="B4114" s="244"/>
      <c r="C4114" s="28"/>
      <c r="D4114" s="28"/>
      <c r="E4114" s="29"/>
      <c r="F4114" s="50" t="s">
        <v>523</v>
      </c>
      <c r="G4114" s="50" t="str">
        <f t="shared" si="77"/>
        <v/>
      </c>
      <c r="H4114" s="69"/>
      <c r="I4114" s="70"/>
      <c r="J4114" s="141">
        <v>0</v>
      </c>
    </row>
    <row r="4115" spans="1:10" ht="15.75" hidden="1" thickBot="1" x14ac:dyDescent="0.3">
      <c r="A4115" s="231"/>
      <c r="B4115" s="244"/>
      <c r="C4115" s="32" t="s">
        <v>1219</v>
      </c>
      <c r="D4115" s="32" t="s">
        <v>705</v>
      </c>
      <c r="E4115" s="33">
        <f>ROUND(1/10,4)</f>
        <v>0.1</v>
      </c>
      <c r="F4115" s="50">
        <v>99.474499999999992</v>
      </c>
      <c r="G4115" s="50">
        <f t="shared" si="77"/>
        <v>9.9474499999999999</v>
      </c>
      <c r="H4115" s="35">
        <f>SUM(G4115:G4115)</f>
        <v>9.9474499999999999</v>
      </c>
      <c r="I4115" s="36"/>
      <c r="J4115" s="141">
        <v>0</v>
      </c>
    </row>
    <row r="4116" spans="1:10" ht="15.75" hidden="1" thickBot="1" x14ac:dyDescent="0.3">
      <c r="A4116" s="231"/>
      <c r="B4116" s="244"/>
      <c r="C4116" s="32"/>
      <c r="D4116" s="43"/>
      <c r="E4116" s="33"/>
      <c r="F4116" s="50" t="s">
        <v>523</v>
      </c>
      <c r="G4116" s="50" t="str">
        <f t="shared" si="77"/>
        <v/>
      </c>
      <c r="H4116" s="69"/>
      <c r="I4116" s="70"/>
      <c r="J4116" s="141">
        <v>0</v>
      </c>
    </row>
    <row r="4117" spans="1:10" ht="15.75" hidden="1" thickBot="1" x14ac:dyDescent="0.3">
      <c r="A4117" s="225" t="s">
        <v>1220</v>
      </c>
      <c r="B4117" s="228" t="str">
        <f>INDEX(Orçamentária!A:B,MATCH(Composições!A4117,Orçamentária!A:A,0),2)</f>
        <v>Laminado decorativo de alta pressão (LDAP)</v>
      </c>
      <c r="C4117" s="37"/>
      <c r="D4117" s="22" t="str">
        <f>TRIM(INDEX(Orçamentária!C:C,MATCH(Composições!A4117,Orçamentária!A:A,0),1))</f>
        <v>m2</v>
      </c>
      <c r="E4117" s="23"/>
      <c r="F4117" s="45" t="s">
        <v>523</v>
      </c>
      <c r="G4117" s="24" t="str">
        <f t="shared" si="77"/>
        <v/>
      </c>
      <c r="H4117" s="25"/>
      <c r="I4117" s="26"/>
      <c r="J4117" s="141">
        <v>0</v>
      </c>
    </row>
    <row r="4118" spans="1:10" ht="15.75" hidden="1" thickBot="1" x14ac:dyDescent="0.3">
      <c r="A4118" s="231"/>
      <c r="B4118" s="244"/>
      <c r="C4118" s="28"/>
      <c r="D4118" s="28"/>
      <c r="E4118" s="29"/>
      <c r="F4118" s="50" t="s">
        <v>523</v>
      </c>
      <c r="G4118" s="50" t="str">
        <f t="shared" si="77"/>
        <v/>
      </c>
      <c r="H4118" s="69"/>
      <c r="I4118" s="70"/>
      <c r="J4118" s="141">
        <v>0</v>
      </c>
    </row>
    <row r="4119" spans="1:10" ht="15.75" hidden="1" thickBot="1" x14ac:dyDescent="0.3">
      <c r="A4119" s="231"/>
      <c r="B4119" s="244"/>
      <c r="C4119" s="32" t="s">
        <v>23</v>
      </c>
      <c r="D4119" s="43" t="s">
        <v>12</v>
      </c>
      <c r="E4119" s="33">
        <v>0.18</v>
      </c>
      <c r="F4119" s="50">
        <v>18.420500000000001</v>
      </c>
      <c r="G4119" s="50">
        <f t="shared" si="77"/>
        <v>3.31569</v>
      </c>
      <c r="H4119" s="35">
        <f>SUM(G4119:G4122)</f>
        <v>49.815719999999999</v>
      </c>
      <c r="I4119" s="36"/>
      <c r="J4119" s="141">
        <v>0</v>
      </c>
    </row>
    <row r="4120" spans="1:10" ht="15.75" hidden="1" thickBot="1" x14ac:dyDescent="0.3">
      <c r="A4120" s="231"/>
      <c r="B4120" s="244"/>
      <c r="C4120" s="32" t="s">
        <v>1221</v>
      </c>
      <c r="D4120" s="43" t="s">
        <v>12</v>
      </c>
      <c r="E4120" s="33">
        <v>0.18</v>
      </c>
      <c r="F4120" s="50">
        <v>24.633499999999998</v>
      </c>
      <c r="G4120" s="50">
        <f t="shared" si="77"/>
        <v>4.434029999999999</v>
      </c>
      <c r="H4120" s="69"/>
      <c r="I4120" s="70"/>
      <c r="J4120" s="141">
        <v>0</v>
      </c>
    </row>
    <row r="4121" spans="1:10" ht="15.75" hidden="1" thickBot="1" x14ac:dyDescent="0.3">
      <c r="A4121" s="231"/>
      <c r="B4121" s="244"/>
      <c r="C4121" s="32" t="s">
        <v>233</v>
      </c>
      <c r="D4121" s="32" t="s">
        <v>42</v>
      </c>
      <c r="E4121" s="33">
        <v>0.9</v>
      </c>
      <c r="F4121" s="50">
        <v>46.74</v>
      </c>
      <c r="G4121" s="50">
        <f t="shared" si="77"/>
        <v>42.066000000000003</v>
      </c>
      <c r="H4121" s="69"/>
      <c r="I4121" s="70"/>
      <c r="J4121" s="141">
        <v>0</v>
      </c>
    </row>
    <row r="4122" spans="1:10" ht="15.75" hidden="1" thickBot="1" x14ac:dyDescent="0.3">
      <c r="A4122" s="231"/>
      <c r="B4122" s="244"/>
      <c r="C4122" s="32" t="s">
        <v>1222</v>
      </c>
      <c r="D4122" s="32" t="s">
        <v>95</v>
      </c>
      <c r="E4122" s="33">
        <v>1.05</v>
      </c>
      <c r="F4122" s="50">
        <v>0</v>
      </c>
      <c r="G4122" s="50">
        <f t="shared" si="77"/>
        <v>0</v>
      </c>
      <c r="H4122" s="69"/>
      <c r="I4122" s="70"/>
      <c r="J4122" s="141">
        <v>0</v>
      </c>
    </row>
    <row r="4123" spans="1:10" ht="15.75" hidden="1" thickBot="1" x14ac:dyDescent="0.3">
      <c r="A4123" s="231"/>
      <c r="B4123" s="244"/>
      <c r="C4123" s="51"/>
      <c r="D4123" s="51"/>
      <c r="E4123" s="62"/>
      <c r="F4123" s="72" t="s">
        <v>523</v>
      </c>
      <c r="G4123" s="72" t="str">
        <f t="shared" si="77"/>
        <v/>
      </c>
      <c r="H4123" s="73"/>
      <c r="I4123" s="70"/>
      <c r="J4123" s="141">
        <v>0</v>
      </c>
    </row>
    <row r="4124" spans="1:10" ht="15.75" hidden="1" thickBot="1" x14ac:dyDescent="0.3">
      <c r="A4124" s="225" t="s">
        <v>1223</v>
      </c>
      <c r="B4124" s="228" t="str">
        <f>INDEX(Orçamentária!A:B,MATCH(Composições!A4124,Orçamentária!A:A,0),2)</f>
        <v>Granito Preto Absoluto para revestimento de superfícies internas e externas – Linha Administrativa</v>
      </c>
      <c r="C4124" s="37"/>
      <c r="D4124" s="22" t="str">
        <f>TRIM(INDEX(Orçamentária!C:C,MATCH(Composições!A4124,Orçamentária!A:A,0),1))</f>
        <v>m2</v>
      </c>
      <c r="E4124" s="23"/>
      <c r="F4124" s="38" t="s">
        <v>523</v>
      </c>
      <c r="G4124" s="24" t="str">
        <f t="shared" si="77"/>
        <v/>
      </c>
      <c r="H4124" s="25"/>
      <c r="I4124" s="26"/>
      <c r="J4124" s="141">
        <v>0</v>
      </c>
    </row>
    <row r="4125" spans="1:10" ht="15.75" hidden="1" thickBot="1" x14ac:dyDescent="0.3">
      <c r="A4125" s="226"/>
      <c r="B4125" s="244"/>
      <c r="C4125" s="28"/>
      <c r="D4125" s="28"/>
      <c r="E4125" s="29"/>
      <c r="F4125" s="39" t="s">
        <v>523</v>
      </c>
      <c r="G4125" s="27" t="str">
        <f t="shared" si="77"/>
        <v/>
      </c>
      <c r="H4125" s="31"/>
      <c r="I4125" s="27"/>
      <c r="J4125" s="141">
        <v>0</v>
      </c>
    </row>
    <row r="4126" spans="1:10" ht="15.75" hidden="1" thickBot="1" x14ac:dyDescent="0.3">
      <c r="A4126" s="226"/>
      <c r="B4126" s="244"/>
      <c r="C4126" s="32" t="s">
        <v>3537</v>
      </c>
      <c r="D4126" s="32" t="s">
        <v>42</v>
      </c>
      <c r="E4126" s="33">
        <v>8.6199999999999992</v>
      </c>
      <c r="F4126" s="30">
        <v>1.6054999999999999</v>
      </c>
      <c r="G4126" s="30">
        <f t="shared" si="77"/>
        <v>13.839409999999997</v>
      </c>
      <c r="H4126" s="35">
        <f>SUM(G4126:G4130)</f>
        <v>54.665906999999997</v>
      </c>
      <c r="I4126" s="36"/>
      <c r="J4126" s="141">
        <v>0</v>
      </c>
    </row>
    <row r="4127" spans="1:10" ht="15.75" hidden="1" thickBot="1" x14ac:dyDescent="0.3">
      <c r="A4127" s="226"/>
      <c r="B4127" s="244"/>
      <c r="C4127" s="32" t="s">
        <v>54</v>
      </c>
      <c r="D4127" s="32" t="s">
        <v>12</v>
      </c>
      <c r="E4127" s="33">
        <v>1.1879999999999999</v>
      </c>
      <c r="F4127" s="27">
        <v>24.795000000000002</v>
      </c>
      <c r="G4127" s="30">
        <f t="shared" si="77"/>
        <v>29.45646</v>
      </c>
      <c r="H4127" s="31"/>
      <c r="I4127" s="27"/>
      <c r="J4127" s="141">
        <v>0</v>
      </c>
    </row>
    <row r="4128" spans="1:10" ht="15.75" hidden="1" thickBot="1" x14ac:dyDescent="0.3">
      <c r="A4128" s="226"/>
      <c r="B4128" s="244"/>
      <c r="C4128" s="32" t="s">
        <v>23</v>
      </c>
      <c r="D4128" s="32" t="s">
        <v>12</v>
      </c>
      <c r="E4128" s="33">
        <v>0.59399999999999997</v>
      </c>
      <c r="F4128" s="27">
        <v>18.420500000000001</v>
      </c>
      <c r="G4128" s="30">
        <f t="shared" si="77"/>
        <v>10.941777</v>
      </c>
      <c r="H4128" s="31"/>
      <c r="I4128" s="27"/>
      <c r="J4128" s="141">
        <v>0</v>
      </c>
    </row>
    <row r="4129" spans="1:10" ht="15.75" hidden="1" thickBot="1" x14ac:dyDescent="0.3">
      <c r="A4129" s="226"/>
      <c r="B4129" s="244"/>
      <c r="C4129" s="32" t="s">
        <v>3536</v>
      </c>
      <c r="D4129" s="32" t="s">
        <v>42</v>
      </c>
      <c r="E4129" s="33">
        <v>0.14000000000000001</v>
      </c>
      <c r="F4129" s="30">
        <v>3.0590000000000002</v>
      </c>
      <c r="G4129" s="30">
        <f t="shared" si="77"/>
        <v>0.42826000000000009</v>
      </c>
      <c r="H4129" s="31"/>
      <c r="I4129" s="27"/>
      <c r="J4129" s="141">
        <v>0</v>
      </c>
    </row>
    <row r="4130" spans="1:10" ht="15.75" hidden="1" thickBot="1" x14ac:dyDescent="0.3">
      <c r="A4130" s="226"/>
      <c r="B4130" s="244"/>
      <c r="C4130" s="32" t="s">
        <v>1224</v>
      </c>
      <c r="D4130" s="32" t="s">
        <v>95</v>
      </c>
      <c r="E4130" s="33">
        <v>1.1599999999999999</v>
      </c>
      <c r="F4130" s="30" t="s">
        <v>523</v>
      </c>
      <c r="G4130" s="50" t="str">
        <f t="shared" si="77"/>
        <v/>
      </c>
      <c r="H4130" s="31"/>
      <c r="I4130" s="27"/>
      <c r="J4130" s="141">
        <v>0</v>
      </c>
    </row>
    <row r="4131" spans="1:10" ht="15.75" hidden="1" thickBot="1" x14ac:dyDescent="0.3">
      <c r="A4131" s="227"/>
      <c r="B4131" s="230"/>
      <c r="C4131" s="32"/>
      <c r="D4131" s="32"/>
      <c r="E4131" s="33"/>
      <c r="F4131" s="27" t="s">
        <v>523</v>
      </c>
      <c r="G4131" s="27" t="str">
        <f t="shared" si="77"/>
        <v/>
      </c>
      <c r="H4131" s="31"/>
      <c r="I4131" s="27"/>
      <c r="J4131" s="141">
        <v>0</v>
      </c>
    </row>
    <row r="4132" spans="1:10" ht="15.75" hidden="1" thickBot="1" x14ac:dyDescent="0.3">
      <c r="A4132" s="225" t="s">
        <v>1225</v>
      </c>
      <c r="B4132" s="228" t="str">
        <f>INDEX(Orçamentária!A:B,MATCH(Composições!A4132,Orçamentária!A:A,0),2)</f>
        <v>Granito Arabesco para revestimento de superfícies internas e externas – Linha Administrativa</v>
      </c>
      <c r="C4132" s="37"/>
      <c r="D4132" s="22" t="str">
        <f>TRIM(INDEX(Orçamentária!C:C,MATCH(Composições!A4132,Orçamentária!A:A,0),1))</f>
        <v>m2</v>
      </c>
      <c r="E4132" s="23"/>
      <c r="F4132" s="38" t="s">
        <v>523</v>
      </c>
      <c r="G4132" s="24" t="str">
        <f t="shared" si="77"/>
        <v/>
      </c>
      <c r="H4132" s="25"/>
      <c r="I4132" s="26"/>
      <c r="J4132" s="141">
        <v>0</v>
      </c>
    </row>
    <row r="4133" spans="1:10" ht="15.75" hidden="1" thickBot="1" x14ac:dyDescent="0.3">
      <c r="A4133" s="226"/>
      <c r="B4133" s="244"/>
      <c r="C4133" s="28"/>
      <c r="D4133" s="28"/>
      <c r="E4133" s="29"/>
      <c r="F4133" s="39" t="s">
        <v>523</v>
      </c>
      <c r="G4133" s="27" t="str">
        <f t="shared" si="77"/>
        <v/>
      </c>
      <c r="H4133" s="31"/>
      <c r="I4133" s="27"/>
      <c r="J4133" s="141">
        <v>0</v>
      </c>
    </row>
    <row r="4134" spans="1:10" ht="15.75" hidden="1" thickBot="1" x14ac:dyDescent="0.3">
      <c r="A4134" s="226"/>
      <c r="B4134" s="244"/>
      <c r="C4134" s="32" t="s">
        <v>3537</v>
      </c>
      <c r="D4134" s="32" t="s">
        <v>42</v>
      </c>
      <c r="E4134" s="33">
        <v>8.6199999999999992</v>
      </c>
      <c r="F4134" s="30">
        <v>1.6054999999999999</v>
      </c>
      <c r="G4134" s="30">
        <f t="shared" si="77"/>
        <v>13.839409999999997</v>
      </c>
      <c r="H4134" s="35">
        <f>SUM(G4134:G4138)</f>
        <v>54.665906999999997</v>
      </c>
      <c r="I4134" s="36"/>
      <c r="J4134" s="141">
        <v>0</v>
      </c>
    </row>
    <row r="4135" spans="1:10" ht="15.75" hidden="1" thickBot="1" x14ac:dyDescent="0.3">
      <c r="A4135" s="226"/>
      <c r="B4135" s="244"/>
      <c r="C4135" s="32" t="s">
        <v>54</v>
      </c>
      <c r="D4135" s="32" t="s">
        <v>12</v>
      </c>
      <c r="E4135" s="33">
        <v>1.1879999999999999</v>
      </c>
      <c r="F4135" s="27">
        <v>24.795000000000002</v>
      </c>
      <c r="G4135" s="30">
        <f t="shared" si="77"/>
        <v>29.45646</v>
      </c>
      <c r="H4135" s="31"/>
      <c r="I4135" s="27"/>
      <c r="J4135" s="141">
        <v>0</v>
      </c>
    </row>
    <row r="4136" spans="1:10" ht="15.75" hidden="1" thickBot="1" x14ac:dyDescent="0.3">
      <c r="A4136" s="226"/>
      <c r="B4136" s="244"/>
      <c r="C4136" s="32" t="s">
        <v>23</v>
      </c>
      <c r="D4136" s="32" t="s">
        <v>12</v>
      </c>
      <c r="E4136" s="33">
        <v>0.59399999999999997</v>
      </c>
      <c r="F4136" s="27">
        <v>18.420500000000001</v>
      </c>
      <c r="G4136" s="30">
        <f t="shared" si="77"/>
        <v>10.941777</v>
      </c>
      <c r="H4136" s="31"/>
      <c r="I4136" s="27"/>
      <c r="J4136" s="141">
        <v>0</v>
      </c>
    </row>
    <row r="4137" spans="1:10" ht="15.75" hidden="1" thickBot="1" x14ac:dyDescent="0.3">
      <c r="A4137" s="226"/>
      <c r="B4137" s="244"/>
      <c r="C4137" s="32" t="s">
        <v>3536</v>
      </c>
      <c r="D4137" s="32" t="s">
        <v>42</v>
      </c>
      <c r="E4137" s="33">
        <v>0.14000000000000001</v>
      </c>
      <c r="F4137" s="30">
        <v>3.0590000000000002</v>
      </c>
      <c r="G4137" s="30">
        <f t="shared" si="77"/>
        <v>0.42826000000000009</v>
      </c>
      <c r="H4137" s="31"/>
      <c r="I4137" s="27"/>
      <c r="J4137" s="141">
        <v>0</v>
      </c>
    </row>
    <row r="4138" spans="1:10" ht="15.75" hidden="1" thickBot="1" x14ac:dyDescent="0.3">
      <c r="A4138" s="226"/>
      <c r="B4138" s="244"/>
      <c r="C4138" s="32" t="s">
        <v>1226</v>
      </c>
      <c r="D4138" s="32" t="s">
        <v>95</v>
      </c>
      <c r="E4138" s="33">
        <v>1.1599999999999999</v>
      </c>
      <c r="F4138" s="30" t="s">
        <v>523</v>
      </c>
      <c r="G4138" s="50" t="str">
        <f t="shared" si="77"/>
        <v/>
      </c>
      <c r="H4138" s="31"/>
      <c r="I4138" s="27"/>
      <c r="J4138" s="141">
        <v>0</v>
      </c>
    </row>
    <row r="4139" spans="1:10" ht="15.75" hidden="1" thickBot="1" x14ac:dyDescent="0.3">
      <c r="A4139" s="227"/>
      <c r="B4139" s="230"/>
      <c r="C4139" s="32"/>
      <c r="D4139" s="32"/>
      <c r="E4139" s="33"/>
      <c r="F4139" s="27" t="s">
        <v>523</v>
      </c>
      <c r="G4139" s="27" t="str">
        <f t="shared" si="77"/>
        <v/>
      </c>
      <c r="H4139" s="31"/>
      <c r="I4139" s="27"/>
      <c r="J4139" s="141">
        <v>0</v>
      </c>
    </row>
    <row r="4140" spans="1:10" ht="15.75" hidden="1" thickBot="1" x14ac:dyDescent="0.3">
      <c r="A4140" s="225" t="s">
        <v>1227</v>
      </c>
      <c r="B4140" s="228" t="str">
        <f>INDEX(Orçamentária!A:B,MATCH(Composições!A4140,Orçamentária!A:A,0),2)</f>
        <v>Porcelanato para revestimento de superfícies internas e externas – Linha Residencial</v>
      </c>
      <c r="C4140" s="37"/>
      <c r="D4140" s="22" t="str">
        <f>TRIM(INDEX(Orçamentária!C:C,MATCH(Composições!A4140,Orçamentária!A:A,0),1))</f>
        <v>m2</v>
      </c>
      <c r="E4140" s="23"/>
      <c r="F4140" s="45" t="s">
        <v>523</v>
      </c>
      <c r="G4140" s="24" t="str">
        <f t="shared" si="77"/>
        <v/>
      </c>
      <c r="H4140" s="25"/>
      <c r="I4140" s="26"/>
      <c r="J4140" s="141">
        <v>0</v>
      </c>
    </row>
    <row r="4141" spans="1:10" ht="15.75" hidden="1" thickBot="1" x14ac:dyDescent="0.3">
      <c r="A4141" s="231"/>
      <c r="B4141" s="244"/>
      <c r="C4141" s="28"/>
      <c r="D4141" s="28"/>
      <c r="E4141" s="29"/>
      <c r="F4141" s="50" t="s">
        <v>523</v>
      </c>
      <c r="G4141" s="50" t="str">
        <f t="shared" si="77"/>
        <v/>
      </c>
      <c r="H4141" s="69"/>
      <c r="I4141" s="70"/>
      <c r="J4141" s="141">
        <v>0</v>
      </c>
    </row>
    <row r="4142" spans="1:10" ht="26.25" hidden="1" thickBot="1" x14ac:dyDescent="0.3">
      <c r="A4142" s="231"/>
      <c r="B4142" s="244"/>
      <c r="C4142" s="32" t="s">
        <v>1228</v>
      </c>
      <c r="D4142" s="32" t="s">
        <v>995</v>
      </c>
      <c r="E4142" s="33">
        <v>1.07</v>
      </c>
      <c r="F4142" s="50">
        <v>74.593999999999994</v>
      </c>
      <c r="G4142" s="50">
        <f t="shared" si="77"/>
        <v>79.815579999999997</v>
      </c>
      <c r="H4142" s="35">
        <f>SUM(G4142:G4146)</f>
        <v>114.119225</v>
      </c>
      <c r="I4142" s="36"/>
      <c r="J4142" s="141">
        <v>0</v>
      </c>
    </row>
    <row r="4143" spans="1:10" ht="15.75" hidden="1" thickBot="1" x14ac:dyDescent="0.3">
      <c r="A4143" s="231"/>
      <c r="B4143" s="244"/>
      <c r="C4143" s="32" t="s">
        <v>3536</v>
      </c>
      <c r="D4143" s="32" t="s">
        <v>901</v>
      </c>
      <c r="E4143" s="33">
        <v>0.24</v>
      </c>
      <c r="F4143" s="50">
        <v>3.0590000000000002</v>
      </c>
      <c r="G4143" s="50">
        <f t="shared" si="77"/>
        <v>0.73416000000000003</v>
      </c>
      <c r="H4143" s="69"/>
      <c r="I4143" s="70"/>
      <c r="J4143" s="141">
        <v>0</v>
      </c>
    </row>
    <row r="4144" spans="1:10" ht="15.75" hidden="1" thickBot="1" x14ac:dyDescent="0.3">
      <c r="A4144" s="231"/>
      <c r="B4144" s="244"/>
      <c r="C4144" s="32" t="s">
        <v>3537</v>
      </c>
      <c r="D4144" s="32" t="s">
        <v>901</v>
      </c>
      <c r="E4144" s="33">
        <v>8.6199999999999992</v>
      </c>
      <c r="F4144" s="50">
        <v>1.6054999999999999</v>
      </c>
      <c r="G4144" s="50">
        <f t="shared" si="77"/>
        <v>13.839409999999997</v>
      </c>
      <c r="H4144" s="69"/>
      <c r="I4144" s="70"/>
      <c r="J4144" s="141">
        <v>0</v>
      </c>
    </row>
    <row r="4145" spans="1:10" ht="15.75" hidden="1" thickBot="1" x14ac:dyDescent="0.3">
      <c r="A4145" s="231"/>
      <c r="B4145" s="244"/>
      <c r="C4145" s="32" t="s">
        <v>1229</v>
      </c>
      <c r="D4145" s="32" t="s">
        <v>705</v>
      </c>
      <c r="E4145" s="33">
        <v>0.61</v>
      </c>
      <c r="F4145" s="50">
        <v>24.795000000000002</v>
      </c>
      <c r="G4145" s="50">
        <f t="shared" ref="G4145:G4165" si="78">IF(ISNUMBER(F4145),E4145*F4145,"")</f>
        <v>15.12495</v>
      </c>
      <c r="H4145" s="69"/>
      <c r="I4145" s="70"/>
      <c r="J4145" s="141">
        <v>0</v>
      </c>
    </row>
    <row r="4146" spans="1:10" ht="15.75" hidden="1" thickBot="1" x14ac:dyDescent="0.3">
      <c r="A4146" s="231"/>
      <c r="B4146" s="244"/>
      <c r="C4146" s="32" t="s">
        <v>706</v>
      </c>
      <c r="D4146" s="32" t="s">
        <v>705</v>
      </c>
      <c r="E4146" s="33">
        <v>0.25</v>
      </c>
      <c r="F4146" s="50">
        <v>18.420500000000001</v>
      </c>
      <c r="G4146" s="50">
        <f t="shared" si="78"/>
        <v>4.6051250000000001</v>
      </c>
      <c r="H4146" s="69"/>
      <c r="I4146" s="70"/>
      <c r="J4146" s="141">
        <v>0</v>
      </c>
    </row>
    <row r="4147" spans="1:10" ht="15.75" hidden="1" thickBot="1" x14ac:dyDescent="0.3">
      <c r="A4147" s="231"/>
      <c r="B4147" s="244"/>
      <c r="C4147" s="32"/>
      <c r="D4147" s="43"/>
      <c r="E4147" s="33"/>
      <c r="F4147" s="50" t="s">
        <v>523</v>
      </c>
      <c r="G4147" s="50" t="str">
        <f t="shared" si="78"/>
        <v/>
      </c>
      <c r="H4147" s="69"/>
      <c r="I4147" s="70"/>
      <c r="J4147" s="141">
        <v>0</v>
      </c>
    </row>
    <row r="4148" spans="1:10" ht="15.75" hidden="1" thickBot="1" x14ac:dyDescent="0.3">
      <c r="A4148" s="225" t="s">
        <v>1230</v>
      </c>
      <c r="B4148" s="228" t="str">
        <f>INDEX(Orçamentária!A:B,MATCH(Composições!A4148,Orçamentária!A:A,0),2)</f>
        <v>Granitina para revestimento de pisos</v>
      </c>
      <c r="C4148" s="37"/>
      <c r="D4148" s="22" t="str">
        <f>TRIM(INDEX(Orçamentária!C:C,MATCH(Composições!A4148,Orçamentária!A:A,0),1))</f>
        <v>m2</v>
      </c>
      <c r="E4148" s="23"/>
      <c r="F4148" s="45" t="s">
        <v>523</v>
      </c>
      <c r="G4148" s="24" t="str">
        <f t="shared" si="78"/>
        <v/>
      </c>
      <c r="H4148" s="25"/>
      <c r="I4148" s="26"/>
      <c r="J4148" s="141">
        <v>0</v>
      </c>
    </row>
    <row r="4149" spans="1:10" ht="15.75" hidden="1" thickBot="1" x14ac:dyDescent="0.3">
      <c r="A4149" s="231"/>
      <c r="B4149" s="244"/>
      <c r="C4149" s="28"/>
      <c r="D4149" s="28"/>
      <c r="E4149" s="29"/>
      <c r="F4149" s="50" t="s">
        <v>523</v>
      </c>
      <c r="G4149" s="50" t="str">
        <f t="shared" si="78"/>
        <v/>
      </c>
      <c r="H4149" s="69"/>
      <c r="I4149" s="70"/>
      <c r="J4149" s="141">
        <v>0</v>
      </c>
    </row>
    <row r="4150" spans="1:10" ht="26.25" hidden="1" thickBot="1" x14ac:dyDescent="0.3">
      <c r="A4150" s="231"/>
      <c r="B4150" s="244"/>
      <c r="C4150" s="32" t="s">
        <v>6661</v>
      </c>
      <c r="D4150" s="32" t="s">
        <v>995</v>
      </c>
      <c r="E4150" s="33">
        <v>1</v>
      </c>
      <c r="F4150" s="50">
        <v>92.149999999999991</v>
      </c>
      <c r="G4150" s="50">
        <f t="shared" si="78"/>
        <v>92.149999999999991</v>
      </c>
      <c r="H4150" s="35">
        <f>SUM(G4150:G4150)</f>
        <v>92.149999999999991</v>
      </c>
      <c r="I4150" s="36"/>
      <c r="J4150" s="141">
        <v>0</v>
      </c>
    </row>
    <row r="4151" spans="1:10" ht="15.75" hidden="1" thickBot="1" x14ac:dyDescent="0.3">
      <c r="A4151" s="231"/>
      <c r="B4151" s="244"/>
      <c r="C4151" s="32"/>
      <c r="D4151" s="43"/>
      <c r="E4151" s="33"/>
      <c r="F4151" s="50" t="s">
        <v>523</v>
      </c>
      <c r="G4151" s="50" t="str">
        <f t="shared" si="78"/>
        <v/>
      </c>
      <c r="H4151" s="69"/>
      <c r="I4151" s="70"/>
      <c r="J4151" s="141">
        <v>0</v>
      </c>
    </row>
    <row r="4152" spans="1:10" ht="15.75" hidden="1" thickBot="1" x14ac:dyDescent="0.3">
      <c r="A4152" s="225" t="s">
        <v>1231</v>
      </c>
      <c r="B4152" s="228" t="str">
        <f>INDEX(Orçamentária!A:B,MATCH(Composições!A4152,Orçamentária!A:A,0),2)</f>
        <v>Piso vinílico flexível em manta</v>
      </c>
      <c r="C4152" s="37"/>
      <c r="D4152" s="22" t="str">
        <f>TRIM(INDEX(Orçamentária!C:C,MATCH(Composições!A4152,Orçamentária!A:A,0),1))</f>
        <v>m2</v>
      </c>
      <c r="E4152" s="23"/>
      <c r="F4152" s="45" t="s">
        <v>523</v>
      </c>
      <c r="G4152" s="24" t="str">
        <f t="shared" si="78"/>
        <v/>
      </c>
      <c r="H4152" s="25"/>
      <c r="I4152" s="26"/>
      <c r="J4152" s="141">
        <v>0</v>
      </c>
    </row>
    <row r="4153" spans="1:10" ht="15.75" hidden="1" thickBot="1" x14ac:dyDescent="0.3">
      <c r="A4153" s="231"/>
      <c r="B4153" s="244"/>
      <c r="C4153" s="28"/>
      <c r="D4153" s="28"/>
      <c r="E4153" s="29"/>
      <c r="F4153" s="50" t="s">
        <v>523</v>
      </c>
      <c r="G4153" s="50" t="str">
        <f t="shared" si="78"/>
        <v/>
      </c>
      <c r="H4153" s="69"/>
      <c r="I4153" s="70"/>
      <c r="J4153" s="141">
        <v>0</v>
      </c>
    </row>
    <row r="4154" spans="1:10" ht="15.75" hidden="1" thickBot="1" x14ac:dyDescent="0.3">
      <c r="A4154" s="231"/>
      <c r="B4154" s="244"/>
      <c r="C4154" s="32" t="s">
        <v>1232</v>
      </c>
      <c r="D4154" s="43" t="s">
        <v>95</v>
      </c>
      <c r="E4154" s="33">
        <v>1.05</v>
      </c>
      <c r="F4154" s="50" t="s">
        <v>523</v>
      </c>
      <c r="G4154" s="50" t="str">
        <f t="shared" si="78"/>
        <v/>
      </c>
      <c r="H4154" s="35">
        <f>SUM(G4154:G4157)</f>
        <v>22.469874999999998</v>
      </c>
      <c r="I4154" s="36"/>
      <c r="J4154" s="141">
        <v>0</v>
      </c>
    </row>
    <row r="4155" spans="1:10" ht="15.75" hidden="1" thickBot="1" x14ac:dyDescent="0.3">
      <c r="A4155" s="231"/>
      <c r="B4155" s="244"/>
      <c r="C4155" s="32" t="s">
        <v>6626</v>
      </c>
      <c r="D4155" s="43" t="s">
        <v>42</v>
      </c>
      <c r="E4155" s="33">
        <v>0.35</v>
      </c>
      <c r="F4155" s="50">
        <v>45.637999999999998</v>
      </c>
      <c r="G4155" s="50">
        <f t="shared" si="78"/>
        <v>15.973299999999998</v>
      </c>
      <c r="H4155" s="69"/>
      <c r="I4155" s="70"/>
      <c r="J4155" s="141">
        <v>0</v>
      </c>
    </row>
    <row r="4156" spans="1:10" ht="15.75" hidden="1" thickBot="1" x14ac:dyDescent="0.3">
      <c r="A4156" s="231"/>
      <c r="B4156" s="244"/>
      <c r="C4156" s="32" t="s">
        <v>22</v>
      </c>
      <c r="D4156" s="32" t="s">
        <v>12</v>
      </c>
      <c r="E4156" s="33">
        <v>0.15</v>
      </c>
      <c r="F4156" s="50">
        <v>24.889999999999997</v>
      </c>
      <c r="G4156" s="50">
        <f t="shared" si="78"/>
        <v>3.7334999999999994</v>
      </c>
      <c r="H4156" s="69"/>
      <c r="I4156" s="70"/>
      <c r="J4156" s="141">
        <v>0</v>
      </c>
    </row>
    <row r="4157" spans="1:10" ht="15.75" hidden="1" thickBot="1" x14ac:dyDescent="0.3">
      <c r="A4157" s="231"/>
      <c r="B4157" s="244"/>
      <c r="C4157" s="32" t="s">
        <v>23</v>
      </c>
      <c r="D4157" s="32" t="s">
        <v>12</v>
      </c>
      <c r="E4157" s="33">
        <v>0.15</v>
      </c>
      <c r="F4157" s="50">
        <v>18.420500000000001</v>
      </c>
      <c r="G4157" s="50">
        <f t="shared" si="78"/>
        <v>2.7630750000000002</v>
      </c>
      <c r="H4157" s="69"/>
      <c r="I4157" s="70"/>
      <c r="J4157" s="141">
        <v>0</v>
      </c>
    </row>
    <row r="4158" spans="1:10" ht="15.75" hidden="1" thickBot="1" x14ac:dyDescent="0.3">
      <c r="A4158" s="231"/>
      <c r="B4158" s="244"/>
      <c r="C4158" s="51"/>
      <c r="D4158" s="51"/>
      <c r="E4158" s="62"/>
      <c r="F4158" s="72" t="s">
        <v>523</v>
      </c>
      <c r="G4158" s="72" t="str">
        <f t="shared" si="78"/>
        <v/>
      </c>
      <c r="H4158" s="73"/>
      <c r="I4158" s="70"/>
      <c r="J4158" s="141">
        <v>0</v>
      </c>
    </row>
    <row r="4159" spans="1:10" ht="15.75" hidden="1" thickBot="1" x14ac:dyDescent="0.3">
      <c r="A4159" s="225" t="s">
        <v>1233</v>
      </c>
      <c r="B4159" s="228" t="str">
        <f>INDEX(Orçamentária!A:B,MATCH(Composições!A4159,Orçamentária!A:A,0),2)</f>
        <v>Tratamento de juntas de dilatação ou movimentação</v>
      </c>
      <c r="C4159" s="37"/>
      <c r="D4159" s="22" t="str">
        <f>TRIM(INDEX(Orçamentária!C:C,MATCH(Composições!A4159,Orçamentária!A:A,0),1))</f>
        <v>m</v>
      </c>
      <c r="E4159" s="23"/>
      <c r="F4159" s="45" t="s">
        <v>523</v>
      </c>
      <c r="G4159" s="24" t="str">
        <f t="shared" si="78"/>
        <v/>
      </c>
      <c r="H4159" s="25"/>
      <c r="I4159" s="26"/>
      <c r="J4159" s="141">
        <v>0</v>
      </c>
    </row>
    <row r="4160" spans="1:10" ht="15.75" hidden="1" thickBot="1" x14ac:dyDescent="0.3">
      <c r="A4160" s="231"/>
      <c r="B4160" s="244"/>
      <c r="C4160" s="28"/>
      <c r="D4160" s="28"/>
      <c r="E4160" s="29"/>
      <c r="F4160" s="50" t="s">
        <v>523</v>
      </c>
      <c r="G4160" s="50" t="str">
        <f t="shared" si="78"/>
        <v/>
      </c>
      <c r="H4160" s="69"/>
      <c r="I4160" s="70"/>
      <c r="J4160" s="141">
        <v>0</v>
      </c>
    </row>
    <row r="4161" spans="1:10" ht="15.75" hidden="1" thickBot="1" x14ac:dyDescent="0.3">
      <c r="A4161" s="231"/>
      <c r="B4161" s="244"/>
      <c r="C4161" s="32" t="s">
        <v>22</v>
      </c>
      <c r="D4161" s="32" t="s">
        <v>12</v>
      </c>
      <c r="E4161" s="33">
        <v>0.35</v>
      </c>
      <c r="F4161" s="50">
        <v>24.889999999999997</v>
      </c>
      <c r="G4161" s="50">
        <f t="shared" si="78"/>
        <v>8.7114999999999991</v>
      </c>
      <c r="H4161" s="35">
        <f>SUM(G4161:G4165)</f>
        <v>64.791235</v>
      </c>
      <c r="I4161" s="36"/>
      <c r="J4161" s="141">
        <v>0</v>
      </c>
    </row>
    <row r="4162" spans="1:10" ht="15.75" hidden="1" thickBot="1" x14ac:dyDescent="0.3">
      <c r="A4162" s="231"/>
      <c r="B4162" s="244"/>
      <c r="C4162" s="32" t="s">
        <v>23</v>
      </c>
      <c r="D4162" s="32" t="s">
        <v>12</v>
      </c>
      <c r="E4162" s="33">
        <v>0.35</v>
      </c>
      <c r="F4162" s="50">
        <v>18.420500000000001</v>
      </c>
      <c r="G4162" s="50">
        <f t="shared" si="78"/>
        <v>6.4471749999999997</v>
      </c>
      <c r="H4162" s="69"/>
      <c r="I4162" s="70"/>
      <c r="J4162" s="141">
        <v>0</v>
      </c>
    </row>
    <row r="4163" spans="1:10" ht="26.25" hidden="1" thickBot="1" x14ac:dyDescent="0.3">
      <c r="A4163" s="231"/>
      <c r="B4163" s="244"/>
      <c r="C4163" s="32" t="s">
        <v>1234</v>
      </c>
      <c r="D4163" s="32" t="s">
        <v>102</v>
      </c>
      <c r="E4163" s="33">
        <v>0.2</v>
      </c>
      <c r="F4163" s="50">
        <v>162.86799999999999</v>
      </c>
      <c r="G4163" s="50">
        <f t="shared" si="78"/>
        <v>32.573599999999999</v>
      </c>
      <c r="H4163" s="69"/>
      <c r="I4163" s="70"/>
      <c r="J4163" s="141">
        <v>0</v>
      </c>
    </row>
    <row r="4164" spans="1:10" ht="15.75" hidden="1" thickBot="1" x14ac:dyDescent="0.3">
      <c r="A4164" s="231"/>
      <c r="B4164" s="244"/>
      <c r="C4164" s="32" t="s">
        <v>1065</v>
      </c>
      <c r="D4164" s="32" t="s">
        <v>93</v>
      </c>
      <c r="E4164" s="33">
        <v>1</v>
      </c>
      <c r="F4164" s="50">
        <v>0</v>
      </c>
      <c r="G4164" s="50">
        <f t="shared" si="78"/>
        <v>0</v>
      </c>
      <c r="H4164" s="69"/>
      <c r="I4164" s="70"/>
      <c r="J4164" s="141">
        <v>0</v>
      </c>
    </row>
    <row r="4165" spans="1:10" ht="26.25" hidden="1" thickBot="1" x14ac:dyDescent="0.3">
      <c r="A4165" s="231"/>
      <c r="B4165" s="244"/>
      <c r="C4165" s="32" t="s">
        <v>778</v>
      </c>
      <c r="D4165" s="32" t="s">
        <v>42</v>
      </c>
      <c r="E4165" s="33">
        <f>1.8*1*(0.01+0.01)*10</f>
        <v>0.36000000000000004</v>
      </c>
      <c r="F4165" s="50">
        <v>47.386000000000003</v>
      </c>
      <c r="G4165" s="50">
        <f t="shared" si="78"/>
        <v>17.058960000000003</v>
      </c>
      <c r="H4165" s="69"/>
      <c r="I4165" s="70"/>
      <c r="J4165" s="141">
        <v>0</v>
      </c>
    </row>
    <row r="4166" spans="1:10" ht="15.75" hidden="1" thickBot="1" x14ac:dyDescent="0.3">
      <c r="A4166" s="231"/>
      <c r="B4166" s="244"/>
      <c r="C4166" s="32"/>
      <c r="D4166" s="32"/>
      <c r="E4166" s="33"/>
      <c r="F4166" s="50" t="s">
        <v>523</v>
      </c>
      <c r="G4166" s="50"/>
      <c r="H4166" s="69"/>
      <c r="I4166" s="70"/>
      <c r="J4166" s="141">
        <v>0</v>
      </c>
    </row>
    <row r="4167" spans="1:10" ht="15.75" hidden="1" thickBot="1" x14ac:dyDescent="0.3">
      <c r="A4167" s="231"/>
      <c r="B4167" s="244"/>
      <c r="C4167" s="44" t="s">
        <v>3547</v>
      </c>
      <c r="D4167" s="32"/>
      <c r="E4167" s="33"/>
      <c r="F4167" s="50" t="s">
        <v>523</v>
      </c>
      <c r="G4167" s="50"/>
      <c r="H4167" s="69"/>
      <c r="I4167" s="70"/>
      <c r="J4167" s="141">
        <v>0</v>
      </c>
    </row>
    <row r="4168" spans="1:10" ht="15.75" hidden="1" thickBot="1" x14ac:dyDescent="0.3">
      <c r="A4168" s="231"/>
      <c r="B4168" s="244"/>
      <c r="C4168" s="44" t="s">
        <v>3548</v>
      </c>
      <c r="D4168" s="32"/>
      <c r="E4168" s="33"/>
      <c r="F4168" s="50" t="s">
        <v>523</v>
      </c>
      <c r="G4168" s="50"/>
      <c r="H4168" s="69"/>
      <c r="I4168" s="70"/>
      <c r="J4168" s="141">
        <v>0</v>
      </c>
    </row>
    <row r="4169" spans="1:10" ht="15.75" hidden="1" thickBot="1" x14ac:dyDescent="0.3">
      <c r="A4169" s="232"/>
      <c r="B4169" s="230"/>
      <c r="C4169" s="51"/>
      <c r="D4169" s="51"/>
      <c r="E4169" s="62"/>
      <c r="F4169" s="72" t="s">
        <v>523</v>
      </c>
      <c r="G4169" s="72" t="str">
        <f t="shared" ref="G4169:G4232" si="79">IF(ISNUMBER(F4169),E4169*F4169,"")</f>
        <v/>
      </c>
      <c r="H4169" s="73"/>
      <c r="I4169" s="70"/>
      <c r="J4169" s="141">
        <v>0</v>
      </c>
    </row>
    <row r="4170" spans="1:10" ht="15.75" hidden="1" thickBot="1" x14ac:dyDescent="0.3">
      <c r="A4170" s="225" t="s">
        <v>1235</v>
      </c>
      <c r="B4170" s="228" t="str">
        <f>INDEX(Orçamentária!A:B,MATCH(Composições!A4170,Orçamentária!A:A,0),2)</f>
        <v>Recuperação superficial de preparação para pintura epóxi de alto desempenho</v>
      </c>
      <c r="C4170" s="37"/>
      <c r="D4170" s="22" t="str">
        <f>TRIM(INDEX(Orçamentária!C:C,MATCH(Composições!A4170,Orçamentária!A:A,0),1))</f>
        <v>m2</v>
      </c>
      <c r="E4170" s="23"/>
      <c r="F4170" s="45" t="s">
        <v>523</v>
      </c>
      <c r="G4170" s="24" t="str">
        <f t="shared" si="79"/>
        <v/>
      </c>
      <c r="H4170" s="25"/>
      <c r="I4170" s="26"/>
      <c r="J4170" s="141">
        <v>0</v>
      </c>
    </row>
    <row r="4171" spans="1:10" ht="15.75" hidden="1" thickBot="1" x14ac:dyDescent="0.3">
      <c r="A4171" s="231"/>
      <c r="B4171" s="244"/>
      <c r="C4171" s="28"/>
      <c r="D4171" s="28"/>
      <c r="E4171" s="29"/>
      <c r="F4171" s="50" t="s">
        <v>523</v>
      </c>
      <c r="G4171" s="50" t="str">
        <f t="shared" si="79"/>
        <v/>
      </c>
      <c r="H4171" s="69"/>
      <c r="I4171" s="70"/>
      <c r="J4171" s="141">
        <v>0</v>
      </c>
    </row>
    <row r="4172" spans="1:10" ht="15.75" hidden="1" thickBot="1" x14ac:dyDescent="0.3">
      <c r="A4172" s="231"/>
      <c r="B4172" s="244"/>
      <c r="C4172" s="32" t="s">
        <v>22</v>
      </c>
      <c r="D4172" s="32" t="s">
        <v>12</v>
      </c>
      <c r="E4172" s="33">
        <v>0.3</v>
      </c>
      <c r="F4172" s="50">
        <v>24.889999999999997</v>
      </c>
      <c r="G4172" s="50">
        <f t="shared" si="79"/>
        <v>7.4669999999999987</v>
      </c>
      <c r="H4172" s="35">
        <f>SUM(G4172:G4177)</f>
        <v>17.598275000000001</v>
      </c>
      <c r="I4172" s="36"/>
      <c r="J4172" s="141">
        <v>0</v>
      </c>
    </row>
    <row r="4173" spans="1:10" ht="15.75" hidden="1" thickBot="1" x14ac:dyDescent="0.3">
      <c r="A4173" s="231"/>
      <c r="B4173" s="244"/>
      <c r="C4173" s="32" t="s">
        <v>23</v>
      </c>
      <c r="D4173" s="32" t="s">
        <v>12</v>
      </c>
      <c r="E4173" s="33">
        <f>0.3+0.25</f>
        <v>0.55000000000000004</v>
      </c>
      <c r="F4173" s="50">
        <v>18.420500000000001</v>
      </c>
      <c r="G4173" s="50">
        <f t="shared" si="79"/>
        <v>10.131275</v>
      </c>
      <c r="H4173" s="69"/>
      <c r="I4173" s="70"/>
      <c r="J4173" s="141">
        <v>0</v>
      </c>
    </row>
    <row r="4174" spans="1:10" ht="15.75" hidden="1" thickBot="1" x14ac:dyDescent="0.3">
      <c r="A4174" s="231"/>
      <c r="B4174" s="244"/>
      <c r="C4174" s="32" t="s">
        <v>3541</v>
      </c>
      <c r="D4174" s="32" t="s">
        <v>42</v>
      </c>
      <c r="E4174" s="33">
        <v>5</v>
      </c>
      <c r="F4174" s="50" t="s">
        <v>523</v>
      </c>
      <c r="G4174" s="50" t="str">
        <f t="shared" si="79"/>
        <v/>
      </c>
      <c r="H4174" s="69"/>
      <c r="I4174" s="70"/>
      <c r="J4174" s="141">
        <v>0</v>
      </c>
    </row>
    <row r="4175" spans="1:10" ht="15.75" hidden="1" thickBot="1" x14ac:dyDescent="0.3">
      <c r="A4175" s="231"/>
      <c r="B4175" s="244"/>
      <c r="C4175" s="32" t="s">
        <v>3542</v>
      </c>
      <c r="D4175" s="32" t="s">
        <v>42</v>
      </c>
      <c r="E4175" s="33">
        <v>0.5</v>
      </c>
      <c r="F4175" s="50" t="s">
        <v>523</v>
      </c>
      <c r="G4175" s="50" t="str">
        <f t="shared" si="79"/>
        <v/>
      </c>
      <c r="H4175" s="69"/>
      <c r="I4175" s="70"/>
      <c r="J4175" s="141">
        <v>0</v>
      </c>
    </row>
    <row r="4176" spans="1:10" ht="15.75" hidden="1" thickBot="1" x14ac:dyDescent="0.3">
      <c r="A4176" s="231"/>
      <c r="B4176" s="244"/>
      <c r="C4176" s="32" t="s">
        <v>3543</v>
      </c>
      <c r="D4176" s="32" t="s">
        <v>42</v>
      </c>
      <c r="E4176" s="33">
        <v>0.1</v>
      </c>
      <c r="F4176" s="50" t="s">
        <v>523</v>
      </c>
      <c r="G4176" s="50" t="str">
        <f t="shared" si="79"/>
        <v/>
      </c>
      <c r="H4176" s="69"/>
      <c r="I4176" s="70"/>
      <c r="J4176" s="141">
        <v>0</v>
      </c>
    </row>
    <row r="4177" spans="1:10" ht="15.75" hidden="1" thickBot="1" x14ac:dyDescent="0.3">
      <c r="A4177" s="231"/>
      <c r="B4177" s="244"/>
      <c r="C4177" s="32" t="s">
        <v>1236</v>
      </c>
      <c r="D4177" s="32" t="s">
        <v>280</v>
      </c>
      <c r="E4177" s="33">
        <v>0.5</v>
      </c>
      <c r="F4177" s="50">
        <v>0</v>
      </c>
      <c r="G4177" s="50">
        <f t="shared" si="79"/>
        <v>0</v>
      </c>
      <c r="H4177" s="69"/>
      <c r="I4177" s="70"/>
      <c r="J4177" s="141">
        <v>0</v>
      </c>
    </row>
    <row r="4178" spans="1:10" ht="15.75" hidden="1" thickBot="1" x14ac:dyDescent="0.3">
      <c r="A4178" s="231"/>
      <c r="B4178" s="244"/>
      <c r="C4178" s="32"/>
      <c r="D4178" s="32"/>
      <c r="E4178" s="33"/>
      <c r="F4178" s="50" t="s">
        <v>523</v>
      </c>
      <c r="G4178" s="50" t="str">
        <f t="shared" si="79"/>
        <v/>
      </c>
      <c r="H4178" s="69"/>
      <c r="I4178" s="70"/>
      <c r="J4178" s="141">
        <v>0</v>
      </c>
    </row>
    <row r="4179" spans="1:10" ht="15.75" hidden="1" thickBot="1" x14ac:dyDescent="0.3">
      <c r="A4179" s="231"/>
      <c r="B4179" s="244"/>
      <c r="C4179" s="44" t="s">
        <v>1237</v>
      </c>
      <c r="D4179" s="32"/>
      <c r="E4179" s="33"/>
      <c r="F4179" s="50" t="s">
        <v>523</v>
      </c>
      <c r="G4179" s="50" t="str">
        <f t="shared" si="79"/>
        <v/>
      </c>
      <c r="H4179" s="69"/>
      <c r="I4179" s="70"/>
      <c r="J4179" s="141">
        <v>0</v>
      </c>
    </row>
    <row r="4180" spans="1:10" ht="15.75" hidden="1" thickBot="1" x14ac:dyDescent="0.3">
      <c r="A4180" s="232"/>
      <c r="B4180" s="230"/>
      <c r="C4180" s="51"/>
      <c r="D4180" s="51"/>
      <c r="E4180" s="62"/>
      <c r="F4180" s="50" t="s">
        <v>523</v>
      </c>
      <c r="G4180" s="50" t="str">
        <f t="shared" si="79"/>
        <v/>
      </c>
      <c r="H4180" s="73"/>
      <c r="I4180" s="70"/>
      <c r="J4180" s="141">
        <v>0</v>
      </c>
    </row>
    <row r="4181" spans="1:10" ht="15.75" hidden="1" thickBot="1" x14ac:dyDescent="0.3">
      <c r="A4181" s="225" t="s">
        <v>1238</v>
      </c>
      <c r="B4181" s="228" t="str">
        <f>INDEX(Orçamentária!A:B,MATCH(Composições!A4181,Orçamentária!A:A,0),2)</f>
        <v>Lixamento, calafetação e aplicação de sinteco em piso de madeira – Linha Residencial</v>
      </c>
      <c r="C4181" s="37"/>
      <c r="D4181" s="22" t="str">
        <f>TRIM(INDEX(Orçamentária!C:C,MATCH(Composições!A4181,Orçamentária!A:A,0),1))</f>
        <v>m2</v>
      </c>
      <c r="E4181" s="23"/>
      <c r="F4181" s="45" t="s">
        <v>523</v>
      </c>
      <c r="G4181" s="24" t="str">
        <f t="shared" si="79"/>
        <v/>
      </c>
      <c r="H4181" s="25"/>
      <c r="I4181" s="26"/>
      <c r="J4181" s="141">
        <v>0</v>
      </c>
    </row>
    <row r="4182" spans="1:10" ht="15.75" hidden="1" thickBot="1" x14ac:dyDescent="0.3">
      <c r="A4182" s="231"/>
      <c r="B4182" s="244"/>
      <c r="C4182" s="28"/>
      <c r="D4182" s="28"/>
      <c r="E4182" s="29"/>
      <c r="F4182" s="50" t="s">
        <v>523</v>
      </c>
      <c r="G4182" s="50" t="str">
        <f t="shared" si="79"/>
        <v/>
      </c>
      <c r="H4182" s="69"/>
      <c r="I4182" s="70"/>
      <c r="J4182" s="141">
        <v>0</v>
      </c>
    </row>
    <row r="4183" spans="1:10" ht="26.25" hidden="1" thickBot="1" x14ac:dyDescent="0.3">
      <c r="A4183" s="231"/>
      <c r="B4183" s="244"/>
      <c r="C4183" s="32" t="s">
        <v>1239</v>
      </c>
      <c r="D4183" s="32" t="s">
        <v>95</v>
      </c>
      <c r="E4183" s="33">
        <v>1</v>
      </c>
      <c r="F4183" s="50">
        <v>0</v>
      </c>
      <c r="G4183" s="50">
        <f t="shared" si="79"/>
        <v>0</v>
      </c>
      <c r="H4183" s="35">
        <f>SUM(G4183:G4183)</f>
        <v>0</v>
      </c>
      <c r="I4183" s="36"/>
      <c r="J4183" s="141">
        <v>0</v>
      </c>
    </row>
    <row r="4184" spans="1:10" ht="15.75" hidden="1" thickBot="1" x14ac:dyDescent="0.3">
      <c r="A4184" s="232"/>
      <c r="B4184" s="230"/>
      <c r="C4184" s="51"/>
      <c r="D4184" s="51"/>
      <c r="E4184" s="62"/>
      <c r="F4184" s="72" t="s">
        <v>523</v>
      </c>
      <c r="G4184" s="72" t="str">
        <f t="shared" si="79"/>
        <v/>
      </c>
      <c r="H4184" s="73"/>
      <c r="I4184" s="70"/>
      <c r="J4184" s="141">
        <v>0</v>
      </c>
    </row>
    <row r="4185" spans="1:10" ht="15.75" hidden="1" thickBot="1" x14ac:dyDescent="0.3">
      <c r="A4185" s="225" t="s">
        <v>1240</v>
      </c>
      <c r="B4185" s="228" t="str">
        <f>INDEX(Orçamentária!A:B,MATCH(Composições!A4185,Orçamentária!A:A,0),2)</f>
        <v>Piso em taco de madeira – Linha Residencial</v>
      </c>
      <c r="C4185" s="37"/>
      <c r="D4185" s="22" t="str">
        <f>TRIM(INDEX(Orçamentária!C:C,MATCH(Composições!A4185,Orçamentária!A:A,0),1))</f>
        <v>m2</v>
      </c>
      <c r="E4185" s="23"/>
      <c r="F4185" s="45" t="s">
        <v>523</v>
      </c>
      <c r="G4185" s="24" t="str">
        <f t="shared" si="79"/>
        <v/>
      </c>
      <c r="H4185" s="25"/>
      <c r="I4185" s="26"/>
      <c r="J4185" s="141">
        <v>0</v>
      </c>
    </row>
    <row r="4186" spans="1:10" ht="15.75" hidden="1" thickBot="1" x14ac:dyDescent="0.3">
      <c r="A4186" s="231"/>
      <c r="B4186" s="244"/>
      <c r="C4186" s="28"/>
      <c r="D4186" s="28"/>
      <c r="E4186" s="29"/>
      <c r="F4186" s="50" t="s">
        <v>523</v>
      </c>
      <c r="G4186" s="50" t="str">
        <f t="shared" si="79"/>
        <v/>
      </c>
      <c r="H4186" s="69"/>
      <c r="I4186" s="70"/>
      <c r="J4186" s="141">
        <v>0</v>
      </c>
    </row>
    <row r="4187" spans="1:10" ht="26.25" hidden="1" thickBot="1" x14ac:dyDescent="0.3">
      <c r="A4187" s="231"/>
      <c r="B4187" s="244"/>
      <c r="C4187" s="32" t="s">
        <v>1241</v>
      </c>
      <c r="D4187" s="43" t="s">
        <v>995</v>
      </c>
      <c r="E4187" s="33">
        <v>1.05</v>
      </c>
      <c r="F4187" s="50">
        <v>159.89449999999999</v>
      </c>
      <c r="G4187" s="50">
        <f t="shared" si="79"/>
        <v>167.88922500000001</v>
      </c>
      <c r="H4187" s="35">
        <f>SUM(G4187:G4190)</f>
        <v>210.21291060000001</v>
      </c>
      <c r="I4187" s="36"/>
      <c r="J4187" s="141">
        <v>0</v>
      </c>
    </row>
    <row r="4188" spans="1:10" ht="15.75" hidden="1" thickBot="1" x14ac:dyDescent="0.3">
      <c r="A4188" s="231"/>
      <c r="B4188" s="244"/>
      <c r="C4188" s="32" t="s">
        <v>1242</v>
      </c>
      <c r="D4188" s="148" t="s">
        <v>42</v>
      </c>
      <c r="E4188" s="33">
        <v>0.57499999999999996</v>
      </c>
      <c r="F4188" s="50">
        <v>41.249000000000002</v>
      </c>
      <c r="G4188" s="50">
        <f t="shared" si="79"/>
        <v>23.718174999999999</v>
      </c>
      <c r="H4188" s="69"/>
      <c r="I4188" s="70"/>
      <c r="J4188" s="141">
        <v>0</v>
      </c>
    </row>
    <row r="4189" spans="1:10" ht="15.75" hidden="1" thickBot="1" x14ac:dyDescent="0.3">
      <c r="A4189" s="231"/>
      <c r="B4189" s="244"/>
      <c r="C4189" s="32" t="s">
        <v>706</v>
      </c>
      <c r="D4189" s="32" t="s">
        <v>705</v>
      </c>
      <c r="E4189" s="33">
        <v>0.2399</v>
      </c>
      <c r="F4189" s="50">
        <v>18.420500000000001</v>
      </c>
      <c r="G4189" s="50">
        <f t="shared" si="79"/>
        <v>4.4190779500000001</v>
      </c>
      <c r="H4189" s="69"/>
      <c r="I4189" s="70"/>
      <c r="J4189" s="141">
        <v>0</v>
      </c>
    </row>
    <row r="4190" spans="1:10" ht="15.75" hidden="1" thickBot="1" x14ac:dyDescent="0.3">
      <c r="A4190" s="231"/>
      <c r="B4190" s="244"/>
      <c r="C4190" s="32" t="s">
        <v>1221</v>
      </c>
      <c r="D4190" s="32" t="s">
        <v>705</v>
      </c>
      <c r="E4190" s="33">
        <v>0.57589999999999997</v>
      </c>
      <c r="F4190" s="50">
        <v>24.633499999999998</v>
      </c>
      <c r="G4190" s="50">
        <f t="shared" si="79"/>
        <v>14.186432649999999</v>
      </c>
      <c r="H4190" s="69"/>
      <c r="I4190" s="70"/>
      <c r="J4190" s="141">
        <v>0</v>
      </c>
    </row>
    <row r="4191" spans="1:10" ht="15.75" hidden="1" thickBot="1" x14ac:dyDescent="0.3">
      <c r="A4191" s="231"/>
      <c r="B4191" s="244"/>
      <c r="C4191" s="51"/>
      <c r="D4191" s="51"/>
      <c r="E4191" s="62"/>
      <c r="F4191" s="72" t="s">
        <v>523</v>
      </c>
      <c r="G4191" s="72" t="str">
        <f t="shared" si="79"/>
        <v/>
      </c>
      <c r="H4191" s="73"/>
      <c r="I4191" s="70"/>
      <c r="J4191" s="141">
        <v>0</v>
      </c>
    </row>
    <row r="4192" spans="1:10" ht="15.75" hidden="1" thickBot="1" x14ac:dyDescent="0.3">
      <c r="A4192" s="225" t="s">
        <v>1243</v>
      </c>
      <c r="B4192" s="228" t="str">
        <f>INDEX(Orçamentária!A:B,MATCH(Composições!A4192,Orçamentária!A:A,0),2)</f>
        <v>Piso de borracha antiderrapante tipo moeda</v>
      </c>
      <c r="C4192" s="37"/>
      <c r="D4192" s="22" t="str">
        <f>TRIM(INDEX(Orçamentária!C:C,MATCH(Composições!A4192,Orçamentária!A:A,0),1))</f>
        <v>m2</v>
      </c>
      <c r="E4192" s="23"/>
      <c r="F4192" s="45" t="s">
        <v>523</v>
      </c>
      <c r="G4192" s="24" t="str">
        <f t="shared" si="79"/>
        <v/>
      </c>
      <c r="H4192" s="25"/>
      <c r="I4192" s="26"/>
      <c r="J4192" s="141">
        <v>0</v>
      </c>
    </row>
    <row r="4193" spans="1:10" ht="15.75" hidden="1" thickBot="1" x14ac:dyDescent="0.3">
      <c r="A4193" s="231"/>
      <c r="B4193" s="244"/>
      <c r="C4193" s="28"/>
      <c r="D4193" s="28"/>
      <c r="E4193" s="29"/>
      <c r="F4193" s="50" t="s">
        <v>523</v>
      </c>
      <c r="G4193" s="50" t="str">
        <f t="shared" si="79"/>
        <v/>
      </c>
      <c r="H4193" s="69"/>
      <c r="I4193" s="70"/>
      <c r="J4193" s="141">
        <v>0</v>
      </c>
    </row>
    <row r="4194" spans="1:10" ht="15.75" hidden="1" thickBot="1" x14ac:dyDescent="0.3">
      <c r="A4194" s="231"/>
      <c r="B4194" s="244"/>
      <c r="C4194" s="32" t="s">
        <v>6626</v>
      </c>
      <c r="D4194" s="43" t="s">
        <v>901</v>
      </c>
      <c r="E4194" s="33">
        <v>0.56369999999999998</v>
      </c>
      <c r="F4194" s="50">
        <v>45.637999999999998</v>
      </c>
      <c r="G4194" s="50">
        <f t="shared" si="79"/>
        <v>25.726140599999997</v>
      </c>
      <c r="H4194" s="35">
        <f>SUM(G4194:G4197)</f>
        <v>103.42531535000001</v>
      </c>
      <c r="I4194" s="36"/>
      <c r="J4194" s="141">
        <v>0</v>
      </c>
    </row>
    <row r="4195" spans="1:10" ht="26.25" hidden="1" thickBot="1" x14ac:dyDescent="0.3">
      <c r="A4195" s="231"/>
      <c r="B4195" s="244"/>
      <c r="C4195" s="32" t="s">
        <v>3352</v>
      </c>
      <c r="D4195" s="43" t="s">
        <v>995</v>
      </c>
      <c r="E4195" s="33">
        <v>1.06</v>
      </c>
      <c r="F4195" s="50">
        <v>58.444000000000003</v>
      </c>
      <c r="G4195" s="50">
        <f t="shared" si="79"/>
        <v>61.950640000000007</v>
      </c>
      <c r="H4195" s="69"/>
      <c r="I4195" s="70"/>
      <c r="J4195" s="141">
        <v>0</v>
      </c>
    </row>
    <row r="4196" spans="1:10" ht="15.75" hidden="1" thickBot="1" x14ac:dyDescent="0.3">
      <c r="A4196" s="231"/>
      <c r="B4196" s="244"/>
      <c r="C4196" s="32" t="s">
        <v>713</v>
      </c>
      <c r="D4196" s="32" t="s">
        <v>705</v>
      </c>
      <c r="E4196" s="33">
        <v>0.48359999999999997</v>
      </c>
      <c r="F4196" s="50">
        <v>24.889999999999997</v>
      </c>
      <c r="G4196" s="50">
        <f t="shared" si="79"/>
        <v>12.036803999999998</v>
      </c>
      <c r="H4196" s="69"/>
      <c r="I4196" s="70"/>
      <c r="J4196" s="141">
        <v>0</v>
      </c>
    </row>
    <row r="4197" spans="1:10" ht="15.75" hidden="1" thickBot="1" x14ac:dyDescent="0.3">
      <c r="A4197" s="231"/>
      <c r="B4197" s="244"/>
      <c r="C4197" s="32" t="s">
        <v>706</v>
      </c>
      <c r="D4197" s="32" t="s">
        <v>705</v>
      </c>
      <c r="E4197" s="33">
        <v>0.20150000000000001</v>
      </c>
      <c r="F4197" s="50">
        <v>18.420500000000001</v>
      </c>
      <c r="G4197" s="50">
        <f t="shared" si="79"/>
        <v>3.7117307500000005</v>
      </c>
      <c r="H4197" s="69"/>
      <c r="I4197" s="70"/>
      <c r="J4197" s="141">
        <v>0</v>
      </c>
    </row>
    <row r="4198" spans="1:10" ht="15.75" hidden="1" thickBot="1" x14ac:dyDescent="0.3">
      <c r="A4198" s="231"/>
      <c r="B4198" s="244"/>
      <c r="C4198" s="51"/>
      <c r="D4198" s="51"/>
      <c r="E4198" s="62"/>
      <c r="F4198" s="72" t="s">
        <v>523</v>
      </c>
      <c r="G4198" s="72" t="str">
        <f t="shared" si="79"/>
        <v/>
      </c>
      <c r="H4198" s="73"/>
      <c r="I4198" s="70"/>
      <c r="J4198" s="141">
        <v>0</v>
      </c>
    </row>
    <row r="4199" spans="1:10" ht="15.75" hidden="1" thickBot="1" x14ac:dyDescent="0.3">
      <c r="A4199" s="225" t="s">
        <v>1244</v>
      </c>
      <c r="B4199" s="228" t="str">
        <f>INDEX(Orçamentária!A:B,MATCH(Composições!A4199,Orçamentária!A:A,0),2)</f>
        <v>Piso sintético flutuante – Linha Residencial</v>
      </c>
      <c r="C4199" s="37"/>
      <c r="D4199" s="22" t="str">
        <f>TRIM(INDEX(Orçamentária!C:C,MATCH(Composições!A4199,Orçamentária!A:A,0),1))</f>
        <v>m2</v>
      </c>
      <c r="E4199" s="23"/>
      <c r="F4199" s="45" t="s">
        <v>523</v>
      </c>
      <c r="G4199" s="24" t="str">
        <f t="shared" si="79"/>
        <v/>
      </c>
      <c r="H4199" s="25"/>
      <c r="I4199" s="26"/>
      <c r="J4199" s="141">
        <v>0</v>
      </c>
    </row>
    <row r="4200" spans="1:10" ht="15.75" hidden="1" thickBot="1" x14ac:dyDescent="0.3">
      <c r="A4200" s="231"/>
      <c r="B4200" s="244"/>
      <c r="C4200" s="28"/>
      <c r="D4200" s="28"/>
      <c r="E4200" s="29"/>
      <c r="F4200" s="50" t="s">
        <v>523</v>
      </c>
      <c r="G4200" s="50" t="str">
        <f t="shared" si="79"/>
        <v/>
      </c>
      <c r="H4200" s="69"/>
      <c r="I4200" s="70"/>
      <c r="J4200" s="141">
        <v>0</v>
      </c>
    </row>
    <row r="4201" spans="1:10" ht="26.25" hidden="1" thickBot="1" x14ac:dyDescent="0.3">
      <c r="A4201" s="231"/>
      <c r="B4201" s="244"/>
      <c r="C4201" s="32" t="s">
        <v>1245</v>
      </c>
      <c r="D4201" s="43" t="s">
        <v>995</v>
      </c>
      <c r="E4201" s="33">
        <v>1.05</v>
      </c>
      <c r="F4201" s="50" t="s">
        <v>523</v>
      </c>
      <c r="G4201" s="50" t="str">
        <f t="shared" si="79"/>
        <v/>
      </c>
      <c r="H4201" s="35">
        <f>SUM(G4201:G4203)</f>
        <v>14.349580804999997</v>
      </c>
      <c r="I4201" s="36"/>
      <c r="J4201" s="141">
        <v>0</v>
      </c>
    </row>
    <row r="4202" spans="1:10" ht="15.75" hidden="1" thickBot="1" x14ac:dyDescent="0.3">
      <c r="A4202" s="231"/>
      <c r="B4202" s="244"/>
      <c r="C4202" s="32" t="s">
        <v>706</v>
      </c>
      <c r="D4202" s="32" t="s">
        <v>705</v>
      </c>
      <c r="E4202" s="33">
        <v>0.2399</v>
      </c>
      <c r="F4202" s="50">
        <v>18.420500000000001</v>
      </c>
      <c r="G4202" s="50">
        <f t="shared" si="79"/>
        <v>4.4190779500000001</v>
      </c>
      <c r="H4202" s="69"/>
      <c r="I4202" s="70"/>
      <c r="J4202" s="141">
        <v>0</v>
      </c>
    </row>
    <row r="4203" spans="1:10" ht="15.75" hidden="1" thickBot="1" x14ac:dyDescent="0.3">
      <c r="A4203" s="231"/>
      <c r="B4203" s="244"/>
      <c r="C4203" s="32" t="s">
        <v>1221</v>
      </c>
      <c r="D4203" s="32" t="s">
        <v>705</v>
      </c>
      <c r="E4203" s="33">
        <f>0.5759*0.7</f>
        <v>0.40312999999999993</v>
      </c>
      <c r="F4203" s="50">
        <v>24.633499999999998</v>
      </c>
      <c r="G4203" s="50">
        <f t="shared" si="79"/>
        <v>9.9305028549999967</v>
      </c>
      <c r="H4203" s="69"/>
      <c r="I4203" s="70"/>
      <c r="J4203" s="141">
        <v>0</v>
      </c>
    </row>
    <row r="4204" spans="1:10" ht="15.75" hidden="1" thickBot="1" x14ac:dyDescent="0.3">
      <c r="A4204" s="231"/>
      <c r="B4204" s="244"/>
      <c r="C4204" s="51"/>
      <c r="D4204" s="51"/>
      <c r="E4204" s="62"/>
      <c r="F4204" s="72" t="s">
        <v>523</v>
      </c>
      <c r="G4204" s="72" t="str">
        <f t="shared" si="79"/>
        <v/>
      </c>
      <c r="H4204" s="73"/>
      <c r="I4204" s="70"/>
      <c r="J4204" s="141">
        <v>0</v>
      </c>
    </row>
    <row r="4205" spans="1:10" ht="15.75" hidden="1" thickBot="1" x14ac:dyDescent="0.3">
      <c r="A4205" s="225" t="s">
        <v>1246</v>
      </c>
      <c r="B4205" s="228" t="str">
        <f>INDEX(Orçamentária!A:B,MATCH(Composições!A4205,Orçamentária!A:A,0),2)</f>
        <v>Revestimento acústico perfilado – Linha Administrativa</v>
      </c>
      <c r="C4205" s="37"/>
      <c r="D4205" s="22" t="str">
        <f>TRIM(INDEX(Orçamentária!C:C,MATCH(Composições!A4205,Orçamentária!A:A,0),1))</f>
        <v>m2</v>
      </c>
      <c r="E4205" s="23"/>
      <c r="F4205" s="45" t="s">
        <v>523</v>
      </c>
      <c r="G4205" s="24" t="str">
        <f t="shared" si="79"/>
        <v/>
      </c>
      <c r="H4205" s="25"/>
      <c r="I4205" s="26"/>
      <c r="J4205" s="141">
        <v>0</v>
      </c>
    </row>
    <row r="4206" spans="1:10" ht="15.75" hidden="1" thickBot="1" x14ac:dyDescent="0.3">
      <c r="A4206" s="231"/>
      <c r="B4206" s="244"/>
      <c r="C4206" s="28"/>
      <c r="D4206" s="28"/>
      <c r="E4206" s="29"/>
      <c r="F4206" s="50" t="s">
        <v>523</v>
      </c>
      <c r="G4206" s="50" t="str">
        <f t="shared" si="79"/>
        <v/>
      </c>
      <c r="H4206" s="69"/>
      <c r="I4206" s="70"/>
      <c r="J4206" s="141">
        <v>0</v>
      </c>
    </row>
    <row r="4207" spans="1:10" ht="26.25" hidden="1" thickBot="1" x14ac:dyDescent="0.3">
      <c r="A4207" s="231"/>
      <c r="B4207" s="244"/>
      <c r="C4207" s="32" t="s">
        <v>1247</v>
      </c>
      <c r="D4207" s="32" t="s">
        <v>95</v>
      </c>
      <c r="E4207" s="33">
        <v>1.05</v>
      </c>
      <c r="F4207" s="50" t="s">
        <v>523</v>
      </c>
      <c r="G4207" s="50" t="str">
        <f t="shared" si="79"/>
        <v/>
      </c>
      <c r="H4207" s="35">
        <f>SUM(G4207:G4209)</f>
        <v>11.453485000000001</v>
      </c>
      <c r="I4207" s="36"/>
      <c r="J4207" s="141">
        <v>0</v>
      </c>
    </row>
    <row r="4208" spans="1:10" ht="15.75" hidden="1" thickBot="1" x14ac:dyDescent="0.3">
      <c r="A4208" s="231"/>
      <c r="B4208" s="244"/>
      <c r="C4208" s="32" t="s">
        <v>1221</v>
      </c>
      <c r="D4208" s="32" t="s">
        <v>705</v>
      </c>
      <c r="E4208" s="33">
        <v>0.15</v>
      </c>
      <c r="F4208" s="50">
        <v>24.633499999999998</v>
      </c>
      <c r="G4208" s="50">
        <f t="shared" si="79"/>
        <v>3.6950249999999993</v>
      </c>
      <c r="H4208" s="69"/>
      <c r="I4208" s="70"/>
      <c r="J4208" s="141">
        <v>0</v>
      </c>
    </row>
    <row r="4209" spans="1:10" ht="15.75" hidden="1" thickBot="1" x14ac:dyDescent="0.3">
      <c r="A4209" s="231"/>
      <c r="B4209" s="244"/>
      <c r="C4209" s="32" t="s">
        <v>6626</v>
      </c>
      <c r="D4209" s="32" t="s">
        <v>42</v>
      </c>
      <c r="E4209" s="33">
        <v>0.17</v>
      </c>
      <c r="F4209" s="50">
        <v>45.637999999999998</v>
      </c>
      <c r="G4209" s="50">
        <f t="shared" si="79"/>
        <v>7.7584600000000004</v>
      </c>
      <c r="H4209" s="69"/>
      <c r="I4209" s="70"/>
      <c r="J4209" s="141">
        <v>0</v>
      </c>
    </row>
    <row r="4210" spans="1:10" ht="15.75" hidden="1" thickBot="1" x14ac:dyDescent="0.3">
      <c r="A4210" s="231"/>
      <c r="B4210" s="244"/>
      <c r="C4210" s="51"/>
      <c r="D4210" s="51"/>
      <c r="E4210" s="62"/>
      <c r="F4210" s="72" t="s">
        <v>523</v>
      </c>
      <c r="G4210" s="72" t="str">
        <f t="shared" si="79"/>
        <v/>
      </c>
      <c r="H4210" s="73"/>
      <c r="I4210" s="70"/>
      <c r="J4210" s="141">
        <v>0</v>
      </c>
    </row>
    <row r="4211" spans="1:10" ht="15.75" hidden="1" thickBot="1" x14ac:dyDescent="0.3">
      <c r="A4211" s="225" t="s">
        <v>1248</v>
      </c>
      <c r="B4211" s="228" t="str">
        <f>INDEX(Orçamentária!A:B,MATCH(Composições!A4211,Orçamentária!A:A,0),2)</f>
        <v>Revestimento acústico plano – Linha Administrativa</v>
      </c>
      <c r="C4211" s="37"/>
      <c r="D4211" s="22" t="str">
        <f>TRIM(INDEX(Orçamentária!C:C,MATCH(Composições!A4211,Orçamentária!A:A,0),1))</f>
        <v>m2</v>
      </c>
      <c r="E4211" s="23"/>
      <c r="F4211" s="45" t="s">
        <v>523</v>
      </c>
      <c r="G4211" s="24" t="str">
        <f t="shared" si="79"/>
        <v/>
      </c>
      <c r="H4211" s="25"/>
      <c r="I4211" s="26"/>
      <c r="J4211" s="141">
        <v>0</v>
      </c>
    </row>
    <row r="4212" spans="1:10" ht="15.75" hidden="1" thickBot="1" x14ac:dyDescent="0.3">
      <c r="A4212" s="231"/>
      <c r="B4212" s="244"/>
      <c r="C4212" s="28"/>
      <c r="D4212" s="28"/>
      <c r="E4212" s="29"/>
      <c r="F4212" s="50" t="s">
        <v>523</v>
      </c>
      <c r="G4212" s="50" t="str">
        <f t="shared" si="79"/>
        <v/>
      </c>
      <c r="H4212" s="69"/>
      <c r="I4212" s="70"/>
      <c r="J4212" s="141">
        <v>0</v>
      </c>
    </row>
    <row r="4213" spans="1:10" ht="26.25" hidden="1" thickBot="1" x14ac:dyDescent="0.3">
      <c r="A4213" s="231"/>
      <c r="B4213" s="244"/>
      <c r="C4213" s="32" t="s">
        <v>1249</v>
      </c>
      <c r="D4213" s="32" t="s">
        <v>95</v>
      </c>
      <c r="E4213" s="33">
        <v>1.05</v>
      </c>
      <c r="F4213" s="50" t="s">
        <v>523</v>
      </c>
      <c r="G4213" s="50" t="str">
        <f t="shared" si="79"/>
        <v/>
      </c>
      <c r="H4213" s="35">
        <f>SUM(G4213:G4215)</f>
        <v>11.453485000000001</v>
      </c>
      <c r="I4213" s="36"/>
      <c r="J4213" s="141">
        <v>0</v>
      </c>
    </row>
    <row r="4214" spans="1:10" ht="15.75" hidden="1" thickBot="1" x14ac:dyDescent="0.3">
      <c r="A4214" s="231"/>
      <c r="B4214" s="244"/>
      <c r="C4214" s="32" t="s">
        <v>1221</v>
      </c>
      <c r="D4214" s="32" t="s">
        <v>705</v>
      </c>
      <c r="E4214" s="33">
        <v>0.15</v>
      </c>
      <c r="F4214" s="50">
        <v>24.633499999999998</v>
      </c>
      <c r="G4214" s="50">
        <f t="shared" si="79"/>
        <v>3.6950249999999993</v>
      </c>
      <c r="H4214" s="69"/>
      <c r="I4214" s="70"/>
      <c r="J4214" s="141">
        <v>0</v>
      </c>
    </row>
    <row r="4215" spans="1:10" ht="15.75" hidden="1" thickBot="1" x14ac:dyDescent="0.3">
      <c r="A4215" s="231"/>
      <c r="B4215" s="244"/>
      <c r="C4215" s="32" t="s">
        <v>6626</v>
      </c>
      <c r="D4215" s="32" t="s">
        <v>42</v>
      </c>
      <c r="E4215" s="33">
        <v>0.17</v>
      </c>
      <c r="F4215" s="50">
        <v>45.637999999999998</v>
      </c>
      <c r="G4215" s="50">
        <f t="shared" si="79"/>
        <v>7.7584600000000004</v>
      </c>
      <c r="H4215" s="69"/>
      <c r="I4215" s="70"/>
      <c r="J4215" s="141">
        <v>0</v>
      </c>
    </row>
    <row r="4216" spans="1:10" ht="15.75" hidden="1" thickBot="1" x14ac:dyDescent="0.3">
      <c r="A4216" s="231"/>
      <c r="B4216" s="244"/>
      <c r="C4216" s="51"/>
      <c r="D4216" s="51"/>
      <c r="E4216" s="62"/>
      <c r="F4216" s="72" t="s">
        <v>523</v>
      </c>
      <c r="G4216" s="72" t="str">
        <f t="shared" si="79"/>
        <v/>
      </c>
      <c r="H4216" s="73"/>
      <c r="I4216" s="70"/>
      <c r="J4216" s="141">
        <v>0</v>
      </c>
    </row>
    <row r="4217" spans="1:10" ht="15.75" hidden="1" thickBot="1" x14ac:dyDescent="0.3">
      <c r="A4217" s="225" t="s">
        <v>1250</v>
      </c>
      <c r="B4217" s="228" t="str">
        <f>INDEX(Orçamentária!A:B,MATCH(Composições!A4217,Orçamentária!A:A,0),2)</f>
        <v>Forro monolítico de gesso em placas</v>
      </c>
      <c r="C4217" s="37"/>
      <c r="D4217" s="22" t="str">
        <f>TRIM(INDEX(Orçamentária!C:C,MATCH(Composições!A4217,Orçamentária!A:A,0),1))</f>
        <v>m2</v>
      </c>
      <c r="E4217" s="23"/>
      <c r="F4217" s="45" t="s">
        <v>523</v>
      </c>
      <c r="G4217" s="24" t="str">
        <f t="shared" si="79"/>
        <v/>
      </c>
      <c r="H4217" s="25"/>
      <c r="I4217" s="26"/>
      <c r="J4217" s="141">
        <v>0</v>
      </c>
    </row>
    <row r="4218" spans="1:10" ht="15.75" hidden="1" thickBot="1" x14ac:dyDescent="0.3">
      <c r="A4218" s="231"/>
      <c r="B4218" s="244"/>
      <c r="C4218" s="28"/>
      <c r="D4218" s="28"/>
      <c r="E4218" s="29"/>
      <c r="F4218" s="50" t="s">
        <v>523</v>
      </c>
      <c r="G4218" s="50" t="str">
        <f t="shared" si="79"/>
        <v/>
      </c>
      <c r="H4218" s="69"/>
      <c r="I4218" s="70"/>
      <c r="J4218" s="141">
        <v>0</v>
      </c>
    </row>
    <row r="4219" spans="1:10" ht="15.75" hidden="1" thickBot="1" x14ac:dyDescent="0.3">
      <c r="A4219" s="231"/>
      <c r="B4219" s="244"/>
      <c r="C4219" s="32" t="s">
        <v>1251</v>
      </c>
      <c r="D4219" s="43" t="s">
        <v>901</v>
      </c>
      <c r="E4219" s="33">
        <v>2.5000000000000001E-2</v>
      </c>
      <c r="F4219" s="50">
        <v>32.252499999999998</v>
      </c>
      <c r="G4219" s="50">
        <f t="shared" si="79"/>
        <v>0.80631249999999999</v>
      </c>
      <c r="H4219" s="35">
        <f>SUM(G4219:G4225)</f>
        <v>40.097589550000002</v>
      </c>
      <c r="I4219" s="36"/>
      <c r="J4219" s="141">
        <v>0</v>
      </c>
    </row>
    <row r="4220" spans="1:10" ht="26.25" hidden="1" thickBot="1" x14ac:dyDescent="0.3">
      <c r="A4220" s="231"/>
      <c r="B4220" s="244"/>
      <c r="C4220" s="32" t="s">
        <v>3703</v>
      </c>
      <c r="D4220" s="43" t="s">
        <v>901</v>
      </c>
      <c r="E4220" s="33">
        <v>0.99639999999999995</v>
      </c>
      <c r="F4220" s="50">
        <v>0.73149999999999993</v>
      </c>
      <c r="G4220" s="50">
        <f t="shared" si="79"/>
        <v>0.72886659999999992</v>
      </c>
      <c r="H4220" s="69"/>
      <c r="I4220" s="70"/>
      <c r="J4220" s="141">
        <v>0</v>
      </c>
    </row>
    <row r="4221" spans="1:10" ht="26.25" hidden="1" thickBot="1" x14ac:dyDescent="0.3">
      <c r="A4221" s="231"/>
      <c r="B4221" s="244"/>
      <c r="C4221" s="32" t="s">
        <v>3708</v>
      </c>
      <c r="D4221" s="32" t="s">
        <v>995</v>
      </c>
      <c r="E4221" s="33">
        <v>1.0293000000000001</v>
      </c>
      <c r="F4221" s="50">
        <v>10.26</v>
      </c>
      <c r="G4221" s="50">
        <f t="shared" si="79"/>
        <v>10.560618000000002</v>
      </c>
      <c r="H4221" s="69"/>
      <c r="I4221" s="70"/>
      <c r="J4221" s="141">
        <v>0</v>
      </c>
    </row>
    <row r="4222" spans="1:10" ht="15.75" hidden="1" thickBot="1" x14ac:dyDescent="0.3">
      <c r="A4222" s="231"/>
      <c r="B4222" s="244"/>
      <c r="C4222" s="32" t="s">
        <v>1252</v>
      </c>
      <c r="D4222" s="32" t="s">
        <v>901</v>
      </c>
      <c r="E4222" s="33">
        <v>7.7999999999999996E-3</v>
      </c>
      <c r="F4222" s="50">
        <v>19</v>
      </c>
      <c r="G4222" s="50">
        <f t="shared" si="79"/>
        <v>0.1482</v>
      </c>
      <c r="H4222" s="69"/>
      <c r="I4222" s="70"/>
      <c r="J4222" s="141">
        <v>0</v>
      </c>
    </row>
    <row r="4223" spans="1:10" ht="26.25" hidden="1" thickBot="1" x14ac:dyDescent="0.3">
      <c r="A4223" s="231"/>
      <c r="B4223" s="244"/>
      <c r="C4223" s="32" t="s">
        <v>266</v>
      </c>
      <c r="D4223" s="43" t="s">
        <v>1253</v>
      </c>
      <c r="E4223" s="33">
        <v>3.0800000000000001E-2</v>
      </c>
      <c r="F4223" s="50">
        <v>25.1845</v>
      </c>
      <c r="G4223" s="50">
        <f t="shared" si="79"/>
        <v>0.7756826</v>
      </c>
      <c r="H4223" s="69"/>
      <c r="I4223" s="70"/>
      <c r="J4223" s="141">
        <v>0</v>
      </c>
    </row>
    <row r="4224" spans="1:10" ht="15.75" hidden="1" thickBot="1" x14ac:dyDescent="0.3">
      <c r="A4224" s="231"/>
      <c r="B4224" s="244"/>
      <c r="C4224" s="32" t="s">
        <v>1254</v>
      </c>
      <c r="D4224" s="32" t="s">
        <v>705</v>
      </c>
      <c r="E4224" s="33">
        <v>0.7974</v>
      </c>
      <c r="F4224" s="50">
        <v>24.747499999999999</v>
      </c>
      <c r="G4224" s="50">
        <f t="shared" si="79"/>
        <v>19.733656499999999</v>
      </c>
      <c r="H4224" s="69"/>
      <c r="I4224" s="70"/>
      <c r="J4224" s="141">
        <v>0</v>
      </c>
    </row>
    <row r="4225" spans="1:10" ht="15.75" hidden="1" thickBot="1" x14ac:dyDescent="0.3">
      <c r="A4225" s="231"/>
      <c r="B4225" s="244"/>
      <c r="C4225" s="32" t="s">
        <v>706</v>
      </c>
      <c r="D4225" s="32" t="s">
        <v>705</v>
      </c>
      <c r="E4225" s="33">
        <v>0.3987</v>
      </c>
      <c r="F4225" s="50">
        <v>18.420500000000001</v>
      </c>
      <c r="G4225" s="50">
        <f t="shared" si="79"/>
        <v>7.3442533499999998</v>
      </c>
      <c r="H4225" s="69"/>
      <c r="I4225" s="70"/>
      <c r="J4225" s="141">
        <v>0</v>
      </c>
    </row>
    <row r="4226" spans="1:10" ht="15.75" hidden="1" thickBot="1" x14ac:dyDescent="0.3">
      <c r="A4226" s="231"/>
      <c r="B4226" s="244"/>
      <c r="C4226" s="51"/>
      <c r="D4226" s="51"/>
      <c r="E4226" s="62"/>
      <c r="F4226" s="72" t="s">
        <v>523</v>
      </c>
      <c r="G4226" s="72" t="str">
        <f t="shared" si="79"/>
        <v/>
      </c>
      <c r="H4226" s="73"/>
      <c r="I4226" s="70"/>
      <c r="J4226" s="141">
        <v>0</v>
      </c>
    </row>
    <row r="4227" spans="1:10" ht="15.75" hidden="1" thickBot="1" x14ac:dyDescent="0.3">
      <c r="A4227" s="225" t="s">
        <v>1255</v>
      </c>
      <c r="B4227" s="228" t="str">
        <f>INDEX(Orçamentária!A:B,MATCH(Composições!A4227,Orçamentária!A:A,0),2)</f>
        <v>Textura acrílica – Linha Administrativa</v>
      </c>
      <c r="C4227" s="37"/>
      <c r="D4227" s="22" t="str">
        <f>TRIM(INDEX(Orçamentária!C:C,MATCH(Composições!A4227,Orçamentária!A:A,0),1))</f>
        <v>m2</v>
      </c>
      <c r="E4227" s="23"/>
      <c r="F4227" s="45" t="s">
        <v>523</v>
      </c>
      <c r="G4227" s="24" t="str">
        <f t="shared" si="79"/>
        <v/>
      </c>
      <c r="H4227" s="25"/>
      <c r="I4227" s="26"/>
      <c r="J4227" s="141">
        <v>0</v>
      </c>
    </row>
    <row r="4228" spans="1:10" ht="15.75" hidden="1" thickBot="1" x14ac:dyDescent="0.3">
      <c r="A4228" s="231"/>
      <c r="B4228" s="244"/>
      <c r="C4228" s="28"/>
      <c r="D4228" s="28"/>
      <c r="E4228" s="29"/>
      <c r="F4228" s="50" t="s">
        <v>523</v>
      </c>
      <c r="G4228" s="50" t="str">
        <f t="shared" si="79"/>
        <v/>
      </c>
      <c r="H4228" s="69"/>
      <c r="I4228" s="70"/>
      <c r="J4228" s="141">
        <v>0</v>
      </c>
    </row>
    <row r="4229" spans="1:10" ht="26.25" hidden="1" thickBot="1" x14ac:dyDescent="0.3">
      <c r="A4229" s="231"/>
      <c r="B4229" s="244"/>
      <c r="C4229" s="32" t="s">
        <v>6802</v>
      </c>
      <c r="D4229" s="32" t="s">
        <v>901</v>
      </c>
      <c r="E4229" s="33">
        <v>1.1399999999999999</v>
      </c>
      <c r="F4229" s="50">
        <v>6.0229999999999997</v>
      </c>
      <c r="G4229" s="50">
        <f t="shared" si="79"/>
        <v>6.8662199999999993</v>
      </c>
      <c r="H4229" s="35">
        <f>SUM(G4229:G4231)</f>
        <v>13.004084499999998</v>
      </c>
      <c r="I4229" s="36"/>
      <c r="J4229" s="141">
        <v>0</v>
      </c>
    </row>
    <row r="4230" spans="1:10" ht="15.75" hidden="1" thickBot="1" x14ac:dyDescent="0.3">
      <c r="A4230" s="231"/>
      <c r="B4230" s="244"/>
      <c r="C4230" s="32" t="s">
        <v>1098</v>
      </c>
      <c r="D4230" s="32" t="s">
        <v>705</v>
      </c>
      <c r="E4230" s="33">
        <v>0.188</v>
      </c>
      <c r="F4230" s="50">
        <v>25.887499999999999</v>
      </c>
      <c r="G4230" s="50">
        <f t="shared" si="79"/>
        <v>4.8668499999999995</v>
      </c>
      <c r="H4230" s="69"/>
      <c r="I4230" s="70"/>
      <c r="J4230" s="141">
        <v>0</v>
      </c>
    </row>
    <row r="4231" spans="1:10" ht="15.75" hidden="1" thickBot="1" x14ac:dyDescent="0.3">
      <c r="A4231" s="231"/>
      <c r="B4231" s="244"/>
      <c r="C4231" s="32" t="s">
        <v>706</v>
      </c>
      <c r="D4231" s="32" t="s">
        <v>705</v>
      </c>
      <c r="E4231" s="33">
        <v>6.9000000000000006E-2</v>
      </c>
      <c r="F4231" s="50">
        <v>18.420500000000001</v>
      </c>
      <c r="G4231" s="50">
        <f t="shared" si="79"/>
        <v>1.2710145000000002</v>
      </c>
      <c r="H4231" s="69"/>
      <c r="I4231" s="70"/>
      <c r="J4231" s="141">
        <v>0</v>
      </c>
    </row>
    <row r="4232" spans="1:10" ht="15.75" hidden="1" thickBot="1" x14ac:dyDescent="0.3">
      <c r="A4232" s="231"/>
      <c r="B4232" s="244"/>
      <c r="C4232" s="51"/>
      <c r="D4232" s="51"/>
      <c r="E4232" s="62"/>
      <c r="F4232" s="72" t="s">
        <v>523</v>
      </c>
      <c r="G4232" s="72" t="str">
        <f t="shared" si="79"/>
        <v/>
      </c>
      <c r="H4232" s="73"/>
      <c r="I4232" s="70"/>
      <c r="J4232" s="141">
        <v>0</v>
      </c>
    </row>
    <row r="4233" spans="1:10" ht="15.75" hidden="1" thickBot="1" x14ac:dyDescent="0.3">
      <c r="A4233" s="225" t="s">
        <v>1256</v>
      </c>
      <c r="B4233" s="228" t="str">
        <f>INDEX(Orçamentária!A:B,MATCH(Composições!A4233,Orçamentária!A:A,0),2)</f>
        <v>Pintura com tinta látex acrílica Premium – cores especiais (sistema tintométrico)</v>
      </c>
      <c r="C4233" s="37"/>
      <c r="D4233" s="22" t="str">
        <f>TRIM(INDEX(Orçamentária!C:C,MATCH(Composições!A4233,Orçamentária!A:A,0),1))</f>
        <v>m2</v>
      </c>
      <c r="E4233" s="23"/>
      <c r="F4233" s="45" t="s">
        <v>523</v>
      </c>
      <c r="G4233" s="24" t="str">
        <f t="shared" ref="G4233:G4296" si="80">IF(ISNUMBER(F4233),E4233*F4233,"")</f>
        <v/>
      </c>
      <c r="H4233" s="25"/>
      <c r="I4233" s="26"/>
      <c r="J4233" s="141">
        <v>0</v>
      </c>
    </row>
    <row r="4234" spans="1:10" ht="15.75" hidden="1" thickBot="1" x14ac:dyDescent="0.3">
      <c r="A4234" s="231"/>
      <c r="B4234" s="244"/>
      <c r="C4234" s="28"/>
      <c r="D4234" s="28"/>
      <c r="E4234" s="29"/>
      <c r="F4234" s="50" t="s">
        <v>523</v>
      </c>
      <c r="G4234" s="50" t="str">
        <f t="shared" si="80"/>
        <v/>
      </c>
      <c r="H4234" s="69"/>
      <c r="I4234" s="70"/>
      <c r="J4234" s="141">
        <v>0</v>
      </c>
    </row>
    <row r="4235" spans="1:10" ht="15.75" hidden="1" thickBot="1" x14ac:dyDescent="0.3">
      <c r="A4235" s="231"/>
      <c r="B4235" s="244"/>
      <c r="C4235" s="32" t="s">
        <v>6804</v>
      </c>
      <c r="D4235" s="32" t="s">
        <v>102</v>
      </c>
      <c r="E4235" s="33">
        <f>ROUND(0.33*1.15,4)</f>
        <v>0.3795</v>
      </c>
      <c r="F4235" s="50">
        <v>25.241499999999998</v>
      </c>
      <c r="G4235" s="50">
        <f t="shared" si="80"/>
        <v>9.5791492500000004</v>
      </c>
      <c r="H4235" s="35">
        <f>SUM(G4235:G4237)</f>
        <v>15.69112625</v>
      </c>
      <c r="I4235" s="36"/>
      <c r="J4235" s="141">
        <v>0</v>
      </c>
    </row>
    <row r="4236" spans="1:10" ht="15.75" hidden="1" thickBot="1" x14ac:dyDescent="0.3">
      <c r="A4236" s="231"/>
      <c r="B4236" s="244"/>
      <c r="C4236" s="32" t="s">
        <v>1098</v>
      </c>
      <c r="D4236" s="32" t="s">
        <v>705</v>
      </c>
      <c r="E4236" s="33">
        <v>0.187</v>
      </c>
      <c r="F4236" s="50">
        <v>25.887499999999999</v>
      </c>
      <c r="G4236" s="50">
        <f t="shared" si="80"/>
        <v>4.8409624999999998</v>
      </c>
      <c r="H4236" s="69"/>
      <c r="I4236" s="70"/>
      <c r="J4236" s="141">
        <v>0</v>
      </c>
    </row>
    <row r="4237" spans="1:10" ht="15.75" hidden="1" thickBot="1" x14ac:dyDescent="0.3">
      <c r="A4237" s="231"/>
      <c r="B4237" s="244"/>
      <c r="C4237" s="32" t="s">
        <v>706</v>
      </c>
      <c r="D4237" s="32" t="s">
        <v>705</v>
      </c>
      <c r="E4237" s="33">
        <v>6.9000000000000006E-2</v>
      </c>
      <c r="F4237" s="50">
        <v>18.420500000000001</v>
      </c>
      <c r="G4237" s="50">
        <f t="shared" si="80"/>
        <v>1.2710145000000002</v>
      </c>
      <c r="H4237" s="69"/>
      <c r="I4237" s="70"/>
      <c r="J4237" s="141">
        <v>0</v>
      </c>
    </row>
    <row r="4238" spans="1:10" ht="15.75" hidden="1" thickBot="1" x14ac:dyDescent="0.3">
      <c r="A4238" s="231"/>
      <c r="B4238" s="244"/>
      <c r="C4238" s="32"/>
      <c r="D4238" s="32"/>
      <c r="E4238" s="33"/>
      <c r="F4238" s="50" t="s">
        <v>523</v>
      </c>
      <c r="G4238" s="50" t="str">
        <f t="shared" si="80"/>
        <v/>
      </c>
      <c r="H4238" s="69"/>
      <c r="I4238" s="70"/>
      <c r="J4238" s="141">
        <v>0</v>
      </c>
    </row>
    <row r="4239" spans="1:10" ht="26.25" hidden="1" thickBot="1" x14ac:dyDescent="0.3">
      <c r="A4239" s="231"/>
      <c r="B4239" s="244"/>
      <c r="C4239" s="32" t="s">
        <v>1257</v>
      </c>
      <c r="D4239" s="32"/>
      <c r="E4239" s="33"/>
      <c r="F4239" s="50" t="s">
        <v>523</v>
      </c>
      <c r="G4239" s="50" t="str">
        <f t="shared" si="80"/>
        <v/>
      </c>
      <c r="H4239" s="69"/>
      <c r="I4239" s="70"/>
      <c r="J4239" s="141">
        <v>0</v>
      </c>
    </row>
    <row r="4240" spans="1:10" ht="15.75" hidden="1" thickBot="1" x14ac:dyDescent="0.3">
      <c r="A4240" s="231"/>
      <c r="B4240" s="244"/>
      <c r="C4240" s="51"/>
      <c r="D4240" s="51"/>
      <c r="E4240" s="62"/>
      <c r="F4240" s="72" t="s">
        <v>523</v>
      </c>
      <c r="G4240" s="72" t="str">
        <f t="shared" si="80"/>
        <v/>
      </c>
      <c r="H4240" s="73"/>
      <c r="I4240" s="70"/>
      <c r="J4240" s="141">
        <v>0</v>
      </c>
    </row>
    <row r="4241" spans="1:10" ht="15.75" hidden="1" thickBot="1" x14ac:dyDescent="0.3">
      <c r="A4241" s="225" t="s">
        <v>1259</v>
      </c>
      <c r="B4241" s="228" t="str">
        <f>INDEX(Orçamentária!A:B,MATCH(Composições!A4241,Orçamentária!A:A,0),2)</f>
        <v>Pintura com tinta acrílica (pisos)</v>
      </c>
      <c r="C4241" s="37"/>
      <c r="D4241" s="22" t="str">
        <f>TRIM(INDEX(Orçamentária!C:C,MATCH(Composições!A4241,Orçamentária!A:A,0),1))</f>
        <v>m2</v>
      </c>
      <c r="E4241" s="23"/>
      <c r="F4241" s="45" t="s">
        <v>523</v>
      </c>
      <c r="G4241" s="24" t="str">
        <f t="shared" si="80"/>
        <v/>
      </c>
      <c r="H4241" s="25"/>
      <c r="I4241" s="26"/>
      <c r="J4241" s="141">
        <v>0</v>
      </c>
    </row>
    <row r="4242" spans="1:10" ht="15.75" hidden="1" thickBot="1" x14ac:dyDescent="0.3">
      <c r="A4242" s="231"/>
      <c r="B4242" s="244"/>
      <c r="C4242" s="28"/>
      <c r="D4242" s="28"/>
      <c r="E4242" s="29"/>
      <c r="F4242" s="50" t="s">
        <v>523</v>
      </c>
      <c r="G4242" s="50" t="str">
        <f t="shared" si="80"/>
        <v/>
      </c>
      <c r="H4242" s="69"/>
      <c r="I4242" s="70"/>
      <c r="J4242" s="141">
        <v>0</v>
      </c>
    </row>
    <row r="4243" spans="1:10" ht="15.75" hidden="1" thickBot="1" x14ac:dyDescent="0.3">
      <c r="A4243" s="231"/>
      <c r="B4243" s="244"/>
      <c r="C4243" s="32" t="s">
        <v>6662</v>
      </c>
      <c r="D4243" s="32" t="s">
        <v>102</v>
      </c>
      <c r="E4243" s="33">
        <v>0.16</v>
      </c>
      <c r="F4243" s="50">
        <v>10.592499999999999</v>
      </c>
      <c r="G4243" s="50">
        <f t="shared" si="80"/>
        <v>1.6947999999999999</v>
      </c>
      <c r="H4243" s="35">
        <f>SUM(G4243:G4247)</f>
        <v>18.243552999999999</v>
      </c>
      <c r="I4243" s="36"/>
      <c r="J4243" s="141">
        <v>0</v>
      </c>
    </row>
    <row r="4244" spans="1:10" ht="15.75" hidden="1" thickBot="1" x14ac:dyDescent="0.3">
      <c r="A4244" s="231"/>
      <c r="B4244" s="244"/>
      <c r="C4244" s="32" t="s">
        <v>1097</v>
      </c>
      <c r="D4244" s="32" t="s">
        <v>102</v>
      </c>
      <c r="E4244" s="33">
        <v>0.42699999999999999</v>
      </c>
      <c r="F4244" s="50">
        <v>16.928999999999998</v>
      </c>
      <c r="G4244" s="50">
        <f t="shared" si="80"/>
        <v>7.2286829999999993</v>
      </c>
      <c r="H4244" s="69"/>
      <c r="I4244" s="70"/>
      <c r="J4244" s="141">
        <v>0</v>
      </c>
    </row>
    <row r="4245" spans="1:10" ht="15.75" hidden="1" thickBot="1" x14ac:dyDescent="0.3">
      <c r="A4245" s="231"/>
      <c r="B4245" s="244"/>
      <c r="C4245" s="32" t="s">
        <v>6663</v>
      </c>
      <c r="D4245" s="32" t="s">
        <v>280</v>
      </c>
      <c r="E4245" s="33">
        <v>0.01</v>
      </c>
      <c r="F4245" s="50">
        <v>8.2649999999999988</v>
      </c>
      <c r="G4245" s="50">
        <f t="shared" si="80"/>
        <v>8.2649999999999987E-2</v>
      </c>
      <c r="H4245" s="69"/>
      <c r="I4245" s="70"/>
      <c r="J4245" s="141">
        <v>0</v>
      </c>
    </row>
    <row r="4246" spans="1:10" ht="15.75" hidden="1" thickBot="1" x14ac:dyDescent="0.3">
      <c r="A4246" s="231"/>
      <c r="B4246" s="244"/>
      <c r="C4246" s="32" t="s">
        <v>1098</v>
      </c>
      <c r="D4246" s="32" t="s">
        <v>705</v>
      </c>
      <c r="E4246" s="33">
        <v>0.27500000000000002</v>
      </c>
      <c r="F4246" s="50">
        <v>25.887499999999999</v>
      </c>
      <c r="G4246" s="50">
        <f t="shared" si="80"/>
        <v>7.1190625000000001</v>
      </c>
      <c r="H4246" s="69"/>
      <c r="I4246" s="70"/>
      <c r="J4246" s="141">
        <v>0</v>
      </c>
    </row>
    <row r="4247" spans="1:10" ht="15.75" hidden="1" thickBot="1" x14ac:dyDescent="0.3">
      <c r="A4247" s="231"/>
      <c r="B4247" s="244"/>
      <c r="C4247" s="32" t="s">
        <v>706</v>
      </c>
      <c r="D4247" s="32" t="s">
        <v>705</v>
      </c>
      <c r="E4247" s="33">
        <v>0.115</v>
      </c>
      <c r="F4247" s="50">
        <v>18.420500000000001</v>
      </c>
      <c r="G4247" s="50">
        <f t="shared" si="80"/>
        <v>2.1183575000000001</v>
      </c>
      <c r="H4247" s="69"/>
      <c r="I4247" s="70"/>
      <c r="J4247" s="141">
        <v>0</v>
      </c>
    </row>
    <row r="4248" spans="1:10" ht="15.75" hidden="1" thickBot="1" x14ac:dyDescent="0.3">
      <c r="A4248" s="231"/>
      <c r="B4248" s="244"/>
      <c r="C4248" s="51"/>
      <c r="D4248" s="51"/>
      <c r="E4248" s="62"/>
      <c r="F4248" s="72" t="s">
        <v>523</v>
      </c>
      <c r="G4248" s="72" t="str">
        <f t="shared" si="80"/>
        <v/>
      </c>
      <c r="H4248" s="73"/>
      <c r="I4248" s="70"/>
      <c r="J4248" s="141">
        <v>0</v>
      </c>
    </row>
    <row r="4249" spans="1:10" ht="15.75" hidden="1" thickBot="1" x14ac:dyDescent="0.3">
      <c r="A4249" s="225" t="s">
        <v>1260</v>
      </c>
      <c r="B4249" s="228" t="str">
        <f>INDEX(Orçamentária!A:B,MATCH(Composições!A4249,Orçamentária!A:A,0),2)</f>
        <v>Pintura com tinta epóxi de alto desempenho (pisos)</v>
      </c>
      <c r="C4249" s="37"/>
      <c r="D4249" s="22" t="str">
        <f>TRIM(INDEX(Orçamentária!C:C,MATCH(Composições!A4249,Orçamentária!A:A,0),1))</f>
        <v>m2</v>
      </c>
      <c r="E4249" s="23"/>
      <c r="F4249" s="45" t="s">
        <v>523</v>
      </c>
      <c r="G4249" s="24" t="str">
        <f t="shared" si="80"/>
        <v/>
      </c>
      <c r="H4249" s="25"/>
      <c r="I4249" s="26"/>
      <c r="J4249" s="141">
        <v>0</v>
      </c>
    </row>
    <row r="4250" spans="1:10" ht="15.75" hidden="1" thickBot="1" x14ac:dyDescent="0.3">
      <c r="A4250" s="231"/>
      <c r="B4250" s="244"/>
      <c r="C4250" s="28"/>
      <c r="D4250" s="28"/>
      <c r="E4250" s="29"/>
      <c r="F4250" s="50" t="s">
        <v>523</v>
      </c>
      <c r="G4250" s="50" t="str">
        <f t="shared" si="80"/>
        <v/>
      </c>
      <c r="H4250" s="69"/>
      <c r="I4250" s="70"/>
      <c r="J4250" s="141">
        <v>0</v>
      </c>
    </row>
    <row r="4251" spans="1:10" ht="15.75" hidden="1" thickBot="1" x14ac:dyDescent="0.3">
      <c r="A4251" s="231"/>
      <c r="B4251" s="244"/>
      <c r="C4251" s="32" t="s">
        <v>6664</v>
      </c>
      <c r="D4251" s="32" t="s">
        <v>102</v>
      </c>
      <c r="E4251" s="33">
        <v>6.4000000000000001E-2</v>
      </c>
      <c r="F4251" s="50">
        <v>33.953000000000003</v>
      </c>
      <c r="G4251" s="50">
        <f t="shared" si="80"/>
        <v>2.1729920000000003</v>
      </c>
      <c r="H4251" s="35">
        <f>SUM(G4251:G4256)</f>
        <v>60.557932399999999</v>
      </c>
      <c r="I4251" s="36"/>
      <c r="J4251" s="141">
        <v>0</v>
      </c>
    </row>
    <row r="4252" spans="1:10" ht="15.75" hidden="1" thickBot="1" x14ac:dyDescent="0.3">
      <c r="A4252" s="231"/>
      <c r="B4252" s="244"/>
      <c r="C4252" s="32" t="s">
        <v>3747</v>
      </c>
      <c r="D4252" s="32" t="s">
        <v>102</v>
      </c>
      <c r="E4252" s="33">
        <v>0.32200000000000001</v>
      </c>
      <c r="F4252" s="50">
        <v>78.432000000000002</v>
      </c>
      <c r="G4252" s="50">
        <f t="shared" si="80"/>
        <v>25.255104000000003</v>
      </c>
      <c r="H4252" s="69"/>
      <c r="I4252" s="70"/>
      <c r="J4252" s="141">
        <v>0</v>
      </c>
    </row>
    <row r="4253" spans="1:10" ht="15.75" hidden="1" thickBot="1" x14ac:dyDescent="0.3">
      <c r="A4253" s="231"/>
      <c r="B4253" s="244"/>
      <c r="C4253" s="32" t="s">
        <v>6663</v>
      </c>
      <c r="D4253" s="32" t="s">
        <v>280</v>
      </c>
      <c r="E4253" s="33">
        <v>0.01</v>
      </c>
      <c r="F4253" s="50">
        <v>8.2649999999999988</v>
      </c>
      <c r="G4253" s="50">
        <f t="shared" si="80"/>
        <v>8.2649999999999987E-2</v>
      </c>
      <c r="H4253" s="69"/>
      <c r="I4253" s="70"/>
      <c r="J4253" s="141">
        <v>0</v>
      </c>
    </row>
    <row r="4254" spans="1:10" ht="15.75" hidden="1" thickBot="1" x14ac:dyDescent="0.3">
      <c r="A4254" s="231"/>
      <c r="B4254" s="244"/>
      <c r="C4254" s="32" t="s">
        <v>6703</v>
      </c>
      <c r="D4254" s="32" t="s">
        <v>102</v>
      </c>
      <c r="E4254" s="33">
        <v>0.2016</v>
      </c>
      <c r="F4254" s="50">
        <v>118.10399999999998</v>
      </c>
      <c r="G4254" s="50">
        <f t="shared" si="80"/>
        <v>23.809766399999997</v>
      </c>
      <c r="H4254" s="69"/>
      <c r="I4254" s="70"/>
      <c r="J4254" s="141">
        <v>0</v>
      </c>
    </row>
    <row r="4255" spans="1:10" ht="15.75" hidden="1" thickBot="1" x14ac:dyDescent="0.3">
      <c r="A4255" s="231"/>
      <c r="B4255" s="244"/>
      <c r="C4255" s="32" t="s">
        <v>1098</v>
      </c>
      <c r="D4255" s="32" t="s">
        <v>705</v>
      </c>
      <c r="E4255" s="33">
        <v>0.27500000000000002</v>
      </c>
      <c r="F4255" s="50">
        <v>25.887499999999999</v>
      </c>
      <c r="G4255" s="50">
        <f t="shared" si="80"/>
        <v>7.1190625000000001</v>
      </c>
      <c r="H4255" s="69"/>
      <c r="I4255" s="70"/>
      <c r="J4255" s="141">
        <v>0</v>
      </c>
    </row>
    <row r="4256" spans="1:10" ht="15.75" hidden="1" thickBot="1" x14ac:dyDescent="0.3">
      <c r="A4256" s="231"/>
      <c r="B4256" s="244"/>
      <c r="C4256" s="32" t="s">
        <v>706</v>
      </c>
      <c r="D4256" s="32" t="s">
        <v>705</v>
      </c>
      <c r="E4256" s="33">
        <v>0.115</v>
      </c>
      <c r="F4256" s="50">
        <v>18.420500000000001</v>
      </c>
      <c r="G4256" s="50">
        <f t="shared" si="80"/>
        <v>2.1183575000000001</v>
      </c>
      <c r="H4256" s="69"/>
      <c r="I4256" s="70"/>
      <c r="J4256" s="141">
        <v>0</v>
      </c>
    </row>
    <row r="4257" spans="1:10" ht="15.75" hidden="1" thickBot="1" x14ac:dyDescent="0.3">
      <c r="A4257" s="231"/>
      <c r="B4257" s="244"/>
      <c r="C4257" s="51"/>
      <c r="D4257" s="51"/>
      <c r="E4257" s="62"/>
      <c r="F4257" s="72" t="s">
        <v>523</v>
      </c>
      <c r="G4257" s="72" t="str">
        <f t="shared" si="80"/>
        <v/>
      </c>
      <c r="H4257" s="73"/>
      <c r="I4257" s="70"/>
      <c r="J4257" s="141">
        <v>0</v>
      </c>
    </row>
    <row r="4258" spans="1:10" ht="15.75" hidden="1" thickBot="1" x14ac:dyDescent="0.3">
      <c r="A4258" s="225" t="s">
        <v>1261</v>
      </c>
      <c r="B4258" s="228" t="str">
        <f>INDEX(Orçamentária!A:B,MATCH(Composições!A4258,Orçamentária!A:A,0),2)</f>
        <v>Verniz de poliuretano sobre pintura epóxi de alto desempenho</v>
      </c>
      <c r="C4258" s="37"/>
      <c r="D4258" s="22" t="str">
        <f>TRIM(INDEX(Orçamentária!C:C,MATCH(Composições!A4258,Orçamentária!A:A,0),1))</f>
        <v>m2</v>
      </c>
      <c r="E4258" s="23"/>
      <c r="F4258" s="45" t="s">
        <v>523</v>
      </c>
      <c r="G4258" s="24" t="str">
        <f t="shared" si="80"/>
        <v/>
      </c>
      <c r="H4258" s="25"/>
      <c r="I4258" s="26"/>
      <c r="J4258" s="141">
        <v>0</v>
      </c>
    </row>
    <row r="4259" spans="1:10" ht="15.75" hidden="1" thickBot="1" x14ac:dyDescent="0.3">
      <c r="A4259" s="231"/>
      <c r="B4259" s="244"/>
      <c r="C4259" s="28"/>
      <c r="D4259" s="28"/>
      <c r="E4259" s="29"/>
      <c r="F4259" s="50" t="s">
        <v>523</v>
      </c>
      <c r="G4259" s="50" t="str">
        <f t="shared" si="80"/>
        <v/>
      </c>
      <c r="H4259" s="69"/>
      <c r="I4259" s="70"/>
      <c r="J4259" s="141">
        <v>0</v>
      </c>
    </row>
    <row r="4260" spans="1:10" ht="15.75" hidden="1" thickBot="1" x14ac:dyDescent="0.3">
      <c r="A4260" s="231"/>
      <c r="B4260" s="244"/>
      <c r="C4260" s="32" t="s">
        <v>6405</v>
      </c>
      <c r="D4260" s="32" t="s">
        <v>102</v>
      </c>
      <c r="E4260" s="33">
        <v>0.04</v>
      </c>
      <c r="F4260" s="50">
        <v>0</v>
      </c>
      <c r="G4260" s="50">
        <f t="shared" si="80"/>
        <v>0</v>
      </c>
      <c r="H4260" s="35">
        <f>SUM(G4260:G4263)</f>
        <v>21.138260000000002</v>
      </c>
      <c r="I4260" s="36"/>
      <c r="J4260" s="141">
        <v>0</v>
      </c>
    </row>
    <row r="4261" spans="1:10" ht="15.75" hidden="1" thickBot="1" x14ac:dyDescent="0.3">
      <c r="A4261" s="231"/>
      <c r="B4261" s="244"/>
      <c r="C4261" s="32" t="s">
        <v>6406</v>
      </c>
      <c r="D4261" s="32" t="s">
        <v>901</v>
      </c>
      <c r="E4261" s="33">
        <v>0.36</v>
      </c>
      <c r="F4261" s="50">
        <v>0</v>
      </c>
      <c r="G4261" s="50">
        <f t="shared" si="80"/>
        <v>0</v>
      </c>
      <c r="H4261" s="69"/>
      <c r="I4261" s="70"/>
      <c r="J4261" s="141">
        <v>0</v>
      </c>
    </row>
    <row r="4262" spans="1:10" ht="15.75" hidden="1" thickBot="1" x14ac:dyDescent="0.3">
      <c r="A4262" s="231"/>
      <c r="B4262" s="244"/>
      <c r="C4262" s="32" t="s">
        <v>1098</v>
      </c>
      <c r="D4262" s="32" t="s">
        <v>705</v>
      </c>
      <c r="E4262" s="33">
        <v>0.66</v>
      </c>
      <c r="F4262" s="50">
        <v>25.887499999999999</v>
      </c>
      <c r="G4262" s="50">
        <f t="shared" si="80"/>
        <v>17.085750000000001</v>
      </c>
      <c r="H4262" s="69"/>
      <c r="I4262" s="70"/>
      <c r="J4262" s="141">
        <v>0</v>
      </c>
    </row>
    <row r="4263" spans="1:10" ht="15.75" hidden="1" thickBot="1" x14ac:dyDescent="0.3">
      <c r="A4263" s="231"/>
      <c r="B4263" s="244"/>
      <c r="C4263" s="32" t="s">
        <v>706</v>
      </c>
      <c r="D4263" s="32" t="s">
        <v>705</v>
      </c>
      <c r="E4263" s="33">
        <v>0.22</v>
      </c>
      <c r="F4263" s="50">
        <v>18.420500000000001</v>
      </c>
      <c r="G4263" s="50">
        <f t="shared" si="80"/>
        <v>4.0525099999999998</v>
      </c>
      <c r="H4263" s="69"/>
      <c r="I4263" s="70"/>
      <c r="J4263" s="141">
        <v>0</v>
      </c>
    </row>
    <row r="4264" spans="1:10" ht="15.75" hidden="1" thickBot="1" x14ac:dyDescent="0.3">
      <c r="A4264" s="232"/>
      <c r="B4264" s="230"/>
      <c r="C4264" s="51"/>
      <c r="D4264" s="51"/>
      <c r="E4264" s="62"/>
      <c r="F4264" s="72" t="s">
        <v>523</v>
      </c>
      <c r="G4264" s="72" t="str">
        <f t="shared" si="80"/>
        <v/>
      </c>
      <c r="H4264" s="73"/>
      <c r="I4264" s="70"/>
      <c r="J4264" s="141">
        <v>0</v>
      </c>
    </row>
    <row r="4265" spans="1:10" ht="15.75" hidden="1" thickBot="1" x14ac:dyDescent="0.3">
      <c r="A4265" s="225" t="s">
        <v>1262</v>
      </c>
      <c r="B4265" s="228" t="str">
        <f>INDEX(Orçamentária!A:B,MATCH(Composições!A4265,Orçamentária!A:A,0),2)</f>
        <v>Tratamento antiderrapante em verniz de poliuretano sobre pintura epóxi</v>
      </c>
      <c r="C4265" s="37"/>
      <c r="D4265" s="22" t="str">
        <f>TRIM(INDEX(Orçamentária!C:C,MATCH(Composições!A4265,Orçamentária!A:A,0),1))</f>
        <v>m2</v>
      </c>
      <c r="E4265" s="23"/>
      <c r="F4265" s="45" t="s">
        <v>523</v>
      </c>
      <c r="G4265" s="24" t="str">
        <f t="shared" si="80"/>
        <v/>
      </c>
      <c r="H4265" s="25"/>
      <c r="I4265" s="26"/>
      <c r="J4265" s="141">
        <v>0</v>
      </c>
    </row>
    <row r="4266" spans="1:10" ht="15.75" hidden="1" thickBot="1" x14ac:dyDescent="0.3">
      <c r="A4266" s="231"/>
      <c r="B4266" s="244"/>
      <c r="C4266" s="28"/>
      <c r="D4266" s="28"/>
      <c r="E4266" s="29"/>
      <c r="F4266" s="50" t="s">
        <v>523</v>
      </c>
      <c r="G4266" s="50" t="str">
        <f t="shared" si="80"/>
        <v/>
      </c>
      <c r="H4266" s="69"/>
      <c r="I4266" s="70"/>
      <c r="J4266" s="141">
        <v>0</v>
      </c>
    </row>
    <row r="4267" spans="1:10" ht="26.25" hidden="1" thickBot="1" x14ac:dyDescent="0.3">
      <c r="A4267" s="231"/>
      <c r="B4267" s="244"/>
      <c r="C4267" s="32" t="s">
        <v>1263</v>
      </c>
      <c r="D4267" s="32" t="s">
        <v>901</v>
      </c>
      <c r="E4267" s="33">
        <v>2</v>
      </c>
      <c r="F4267" s="50" t="s">
        <v>523</v>
      </c>
      <c r="G4267" s="50" t="str">
        <f t="shared" si="80"/>
        <v/>
      </c>
      <c r="H4267" s="35">
        <f>SUM(G4267:G4268)</f>
        <v>1.2710145000000002</v>
      </c>
      <c r="I4267" s="36"/>
      <c r="J4267" s="141">
        <v>0</v>
      </c>
    </row>
    <row r="4268" spans="1:10" ht="15.75" hidden="1" thickBot="1" x14ac:dyDescent="0.3">
      <c r="A4268" s="231"/>
      <c r="B4268" s="244"/>
      <c r="C4268" s="32" t="s">
        <v>706</v>
      </c>
      <c r="D4268" s="32" t="s">
        <v>705</v>
      </c>
      <c r="E4268" s="33">
        <v>6.9000000000000006E-2</v>
      </c>
      <c r="F4268" s="50">
        <v>18.420500000000001</v>
      </c>
      <c r="G4268" s="50">
        <f t="shared" si="80"/>
        <v>1.2710145000000002</v>
      </c>
      <c r="H4268" s="69"/>
      <c r="I4268" s="70"/>
      <c r="J4268" s="141">
        <v>0</v>
      </c>
    </row>
    <row r="4269" spans="1:10" ht="15.75" hidden="1" thickBot="1" x14ac:dyDescent="0.3">
      <c r="A4269" s="231"/>
      <c r="B4269" s="244"/>
      <c r="C4269" s="51"/>
      <c r="D4269" s="51"/>
      <c r="E4269" s="62"/>
      <c r="F4269" s="72" t="s">
        <v>523</v>
      </c>
      <c r="G4269" s="72" t="str">
        <f t="shared" si="80"/>
        <v/>
      </c>
      <c r="H4269" s="73"/>
      <c r="I4269" s="70"/>
      <c r="J4269" s="141">
        <v>0</v>
      </c>
    </row>
    <row r="4270" spans="1:10" ht="15.75" hidden="1" thickBot="1" x14ac:dyDescent="0.3">
      <c r="A4270" s="225" t="s">
        <v>1264</v>
      </c>
      <c r="B4270" s="228" t="str">
        <f>INDEX(Orçamentária!A:B,MATCH(Composições!A4270,Orçamentária!A:A,0),2)</f>
        <v>Pintura para superfícies galvanizadas</v>
      </c>
      <c r="C4270" s="37"/>
      <c r="D4270" s="22" t="str">
        <f>TRIM(INDEX(Orçamentária!C:C,MATCH(Composições!A4270,Orçamentária!A:A,0),1))</f>
        <v>m2</v>
      </c>
      <c r="E4270" s="23"/>
      <c r="F4270" s="45" t="s">
        <v>523</v>
      </c>
      <c r="G4270" s="24" t="str">
        <f t="shared" si="80"/>
        <v/>
      </c>
      <c r="H4270" s="25"/>
      <c r="I4270" s="26"/>
      <c r="J4270" s="141">
        <v>0</v>
      </c>
    </row>
    <row r="4271" spans="1:10" ht="15.75" hidden="1" thickBot="1" x14ac:dyDescent="0.3">
      <c r="A4271" s="231"/>
      <c r="B4271" s="244"/>
      <c r="C4271" s="28"/>
      <c r="D4271" s="28"/>
      <c r="E4271" s="29"/>
      <c r="F4271" s="50" t="s">
        <v>523</v>
      </c>
      <c r="G4271" s="50" t="str">
        <f t="shared" si="80"/>
        <v/>
      </c>
      <c r="H4271" s="69"/>
      <c r="I4271" s="70"/>
      <c r="J4271" s="141">
        <v>0</v>
      </c>
    </row>
    <row r="4272" spans="1:10" ht="15.75" hidden="1" thickBot="1" x14ac:dyDescent="0.3">
      <c r="A4272" s="231"/>
      <c r="B4272" s="244"/>
      <c r="C4272" s="32" t="s">
        <v>6700</v>
      </c>
      <c r="D4272" s="32" t="s">
        <v>102</v>
      </c>
      <c r="E4272" s="33">
        <v>6.1899999999999997E-2</v>
      </c>
      <c r="F4272" s="50">
        <v>14.895999999999999</v>
      </c>
      <c r="G4272" s="50">
        <f t="shared" si="80"/>
        <v>0.92206239999999984</v>
      </c>
      <c r="H4272" s="35">
        <f>SUM(G4272:G4276)</f>
        <v>31.953707899999994</v>
      </c>
      <c r="I4272" s="36"/>
      <c r="J4272" s="141">
        <v>0</v>
      </c>
    </row>
    <row r="4273" spans="1:10" ht="15.75" hidden="1" thickBot="1" x14ac:dyDescent="0.3">
      <c r="A4273" s="231"/>
      <c r="B4273" s="244"/>
      <c r="C4273" s="32" t="s">
        <v>1336</v>
      </c>
      <c r="D4273" s="32" t="s">
        <v>102</v>
      </c>
      <c r="E4273" s="33">
        <v>0.20699999999999999</v>
      </c>
      <c r="F4273" s="50">
        <v>41.011499999999998</v>
      </c>
      <c r="G4273" s="50">
        <f t="shared" si="80"/>
        <v>8.4893804999999993</v>
      </c>
      <c r="H4273" s="69"/>
      <c r="I4273" s="70"/>
      <c r="J4273" s="141">
        <v>0</v>
      </c>
    </row>
    <row r="4274" spans="1:10" ht="15.75" hidden="1" thickBot="1" x14ac:dyDescent="0.3">
      <c r="A4274" s="231"/>
      <c r="B4274" s="244"/>
      <c r="C4274" s="32" t="s">
        <v>1098</v>
      </c>
      <c r="D4274" s="32" t="s">
        <v>705</v>
      </c>
      <c r="E4274" s="33">
        <v>0.52659999999999996</v>
      </c>
      <c r="F4274" s="50">
        <v>25.887499999999999</v>
      </c>
      <c r="G4274" s="50">
        <f t="shared" si="80"/>
        <v>13.632357499999998</v>
      </c>
      <c r="H4274" s="69"/>
      <c r="I4274" s="70"/>
      <c r="J4274" s="141">
        <v>0</v>
      </c>
    </row>
    <row r="4275" spans="1:10" ht="15.75" hidden="1" thickBot="1" x14ac:dyDescent="0.3">
      <c r="A4275" s="231"/>
      <c r="B4275" s="244"/>
      <c r="C4275" s="32" t="s">
        <v>1265</v>
      </c>
      <c r="D4275" s="32" t="s">
        <v>280</v>
      </c>
      <c r="E4275" s="33">
        <v>0.3</v>
      </c>
      <c r="F4275" s="50">
        <v>3.9329999999999994</v>
      </c>
      <c r="G4275" s="50">
        <f t="shared" si="80"/>
        <v>1.1798999999999997</v>
      </c>
      <c r="H4275" s="69"/>
      <c r="I4275" s="70"/>
      <c r="J4275" s="141">
        <v>0</v>
      </c>
    </row>
    <row r="4276" spans="1:10" ht="15.75" hidden="1" thickBot="1" x14ac:dyDescent="0.3">
      <c r="A4276" s="231"/>
      <c r="B4276" s="244"/>
      <c r="C4276" s="32" t="s">
        <v>1098</v>
      </c>
      <c r="D4276" s="32" t="s">
        <v>705</v>
      </c>
      <c r="E4276" s="33">
        <v>0.29859999999999998</v>
      </c>
      <c r="F4276" s="50">
        <v>25.887499999999999</v>
      </c>
      <c r="G4276" s="50">
        <f t="shared" si="80"/>
        <v>7.7300074999999993</v>
      </c>
      <c r="H4276" s="69"/>
      <c r="I4276" s="70"/>
      <c r="J4276" s="141">
        <v>0</v>
      </c>
    </row>
    <row r="4277" spans="1:10" ht="15.75" hidden="1" thickBot="1" x14ac:dyDescent="0.3">
      <c r="A4277" s="232"/>
      <c r="B4277" s="230"/>
      <c r="C4277" s="51"/>
      <c r="D4277" s="51"/>
      <c r="E4277" s="62"/>
      <c r="F4277" s="72" t="s">
        <v>523</v>
      </c>
      <c r="G4277" s="72" t="str">
        <f t="shared" si="80"/>
        <v/>
      </c>
      <c r="H4277" s="73"/>
      <c r="I4277" s="70"/>
      <c r="J4277" s="141">
        <v>0</v>
      </c>
    </row>
    <row r="4278" spans="1:10" ht="15.75" hidden="1" thickBot="1" x14ac:dyDescent="0.3">
      <c r="A4278" s="225" t="s">
        <v>1266</v>
      </c>
      <c r="B4278" s="228" t="str">
        <f>INDEX(Orçamentária!A:B,MATCH(Composições!A4278,Orçamentária!A:A,0),2)</f>
        <v>Selagem ou resselagem de juntas em pavimentação de concreto armado</v>
      </c>
      <c r="C4278" s="37"/>
      <c r="D4278" s="22" t="str">
        <f>TRIM(INDEX(Orçamentária!C:C,MATCH(Composições!A4278,Orçamentária!A:A,0),1))</f>
        <v>m</v>
      </c>
      <c r="E4278" s="23"/>
      <c r="F4278" s="45" t="s">
        <v>523</v>
      </c>
      <c r="G4278" s="24" t="str">
        <f t="shared" si="80"/>
        <v/>
      </c>
      <c r="H4278" s="25"/>
      <c r="I4278" s="26"/>
      <c r="J4278" s="141">
        <v>0</v>
      </c>
    </row>
    <row r="4279" spans="1:10" ht="15.75" hidden="1" thickBot="1" x14ac:dyDescent="0.3">
      <c r="A4279" s="231"/>
      <c r="B4279" s="244"/>
      <c r="C4279" s="28"/>
      <c r="D4279" s="28"/>
      <c r="E4279" s="29"/>
      <c r="F4279" s="50" t="s">
        <v>523</v>
      </c>
      <c r="G4279" s="50" t="str">
        <f t="shared" si="80"/>
        <v/>
      </c>
      <c r="H4279" s="69"/>
      <c r="I4279" s="70"/>
      <c r="J4279" s="141">
        <v>0</v>
      </c>
    </row>
    <row r="4280" spans="1:10" ht="15.75" hidden="1" thickBot="1" x14ac:dyDescent="0.3">
      <c r="A4280" s="231"/>
      <c r="B4280" s="244"/>
      <c r="C4280" s="32" t="s">
        <v>706</v>
      </c>
      <c r="D4280" s="32" t="s">
        <v>12</v>
      </c>
      <c r="E4280" s="33">
        <f>ROUND(4/74.7,4)</f>
        <v>5.3499999999999999E-2</v>
      </c>
      <c r="F4280" s="50">
        <v>18.420500000000001</v>
      </c>
      <c r="G4280" s="50">
        <f t="shared" si="80"/>
        <v>0.98549675000000003</v>
      </c>
      <c r="H4280" s="35">
        <f>SUM(G4280:G4285)</f>
        <v>9.9599747999999995</v>
      </c>
      <c r="I4280" s="36"/>
      <c r="J4280" s="141">
        <v>0</v>
      </c>
    </row>
    <row r="4281" spans="1:10" ht="15.75" hidden="1" thickBot="1" x14ac:dyDescent="0.3">
      <c r="A4281" s="231"/>
      <c r="B4281" s="244"/>
      <c r="C4281" s="32" t="s">
        <v>1267</v>
      </c>
      <c r="D4281" s="32" t="s">
        <v>945</v>
      </c>
      <c r="E4281" s="33">
        <f>ROUND(1/74.7,4)</f>
        <v>1.34E-2</v>
      </c>
      <c r="F4281" s="50">
        <v>0</v>
      </c>
      <c r="G4281" s="50">
        <f t="shared" si="80"/>
        <v>0</v>
      </c>
      <c r="H4281" s="69"/>
      <c r="I4281" s="70"/>
      <c r="J4281" s="141">
        <v>0</v>
      </c>
    </row>
    <row r="4282" spans="1:10" ht="15.75" hidden="1" thickBot="1" x14ac:dyDescent="0.3">
      <c r="A4282" s="231"/>
      <c r="B4282" s="244"/>
      <c r="C4282" s="32" t="s">
        <v>1268</v>
      </c>
      <c r="D4282" s="32" t="s">
        <v>945</v>
      </c>
      <c r="E4282" s="33">
        <f>ROUND(1/74.7,4)</f>
        <v>1.34E-2</v>
      </c>
      <c r="F4282" s="50">
        <v>0</v>
      </c>
      <c r="G4282" s="50">
        <f t="shared" si="80"/>
        <v>0</v>
      </c>
      <c r="H4282" s="69"/>
      <c r="I4282" s="70"/>
      <c r="J4282" s="141">
        <v>0</v>
      </c>
    </row>
    <row r="4283" spans="1:10" ht="15.75" hidden="1" thickBot="1" x14ac:dyDescent="0.3">
      <c r="A4283" s="231"/>
      <c r="B4283" s="244"/>
      <c r="C4283" s="32" t="s">
        <v>1269</v>
      </c>
      <c r="D4283" s="32" t="s">
        <v>93</v>
      </c>
      <c r="E4283" s="33">
        <v>1</v>
      </c>
      <c r="F4283" s="50">
        <v>0</v>
      </c>
      <c r="G4283" s="50">
        <f t="shared" si="80"/>
        <v>0</v>
      </c>
      <c r="H4283" s="69"/>
      <c r="I4283" s="70"/>
      <c r="J4283" s="141">
        <v>0</v>
      </c>
    </row>
    <row r="4284" spans="1:10" ht="15.75" hidden="1" thickBot="1" x14ac:dyDescent="0.3">
      <c r="A4284" s="231"/>
      <c r="B4284" s="244"/>
      <c r="C4284" s="32" t="s">
        <v>1270</v>
      </c>
      <c r="D4284" s="32" t="s">
        <v>280</v>
      </c>
      <c r="E4284" s="33">
        <v>3.3E-3</v>
      </c>
      <c r="F4284" s="50">
        <v>0</v>
      </c>
      <c r="G4284" s="50">
        <f t="shared" si="80"/>
        <v>0</v>
      </c>
      <c r="H4284" s="69"/>
      <c r="I4284" s="70"/>
      <c r="J4284" s="141">
        <v>0</v>
      </c>
    </row>
    <row r="4285" spans="1:10" ht="26.25" hidden="1" thickBot="1" x14ac:dyDescent="0.3">
      <c r="A4285" s="231"/>
      <c r="B4285" s="244"/>
      <c r="C4285" s="32" t="s">
        <v>1271</v>
      </c>
      <c r="D4285" s="32" t="s">
        <v>42</v>
      </c>
      <c r="E4285" s="33">
        <v>0.1181</v>
      </c>
      <c r="F4285" s="50">
        <v>75.990499999999997</v>
      </c>
      <c r="G4285" s="50">
        <f t="shared" si="80"/>
        <v>8.9744780500000001</v>
      </c>
      <c r="H4285" s="69"/>
      <c r="I4285" s="70"/>
      <c r="J4285" s="141">
        <v>0</v>
      </c>
    </row>
    <row r="4286" spans="1:10" ht="15.75" hidden="1" thickBot="1" x14ac:dyDescent="0.3">
      <c r="A4286" s="232"/>
      <c r="B4286" s="230"/>
      <c r="C4286" s="51"/>
      <c r="D4286" s="51"/>
      <c r="E4286" s="62"/>
      <c r="F4286" s="72" t="s">
        <v>523</v>
      </c>
      <c r="G4286" s="72" t="str">
        <f t="shared" si="80"/>
        <v/>
      </c>
      <c r="H4286" s="73"/>
      <c r="I4286" s="70"/>
      <c r="J4286" s="141">
        <v>0</v>
      </c>
    </row>
    <row r="4287" spans="1:10" ht="15.75" hidden="1" thickBot="1" x14ac:dyDescent="0.3">
      <c r="A4287" s="225" t="s">
        <v>1272</v>
      </c>
      <c r="B4287" s="228" t="str">
        <f>INDEX(Orçamentária!A:B,MATCH(Composições!A4287,Orçamentária!A:A,0),2)</f>
        <v>Pavimentação em elementos intertravados de concreto</v>
      </c>
      <c r="C4287" s="37"/>
      <c r="D4287" s="22" t="str">
        <f>TRIM(INDEX(Orçamentária!C:C,MATCH(Composições!A4287,Orçamentária!A:A,0),1))</f>
        <v>m2</v>
      </c>
      <c r="E4287" s="23"/>
      <c r="F4287" s="45" t="s">
        <v>523</v>
      </c>
      <c r="G4287" s="24" t="str">
        <f t="shared" si="80"/>
        <v/>
      </c>
      <c r="H4287" s="25"/>
      <c r="I4287" s="26"/>
      <c r="J4287" s="141">
        <v>0</v>
      </c>
    </row>
    <row r="4288" spans="1:10" ht="15.75" hidden="1" thickBot="1" x14ac:dyDescent="0.3">
      <c r="A4288" s="231"/>
      <c r="B4288" s="244"/>
      <c r="C4288" s="28"/>
      <c r="D4288" s="28"/>
      <c r="E4288" s="29"/>
      <c r="F4288" s="50" t="s">
        <v>523</v>
      </c>
      <c r="G4288" s="50" t="str">
        <f t="shared" si="80"/>
        <v/>
      </c>
      <c r="H4288" s="69"/>
      <c r="I4288" s="70"/>
      <c r="J4288" s="141">
        <v>0</v>
      </c>
    </row>
    <row r="4289" spans="1:10" ht="26.25" hidden="1" thickBot="1" x14ac:dyDescent="0.3">
      <c r="A4289" s="231"/>
      <c r="B4289" s="244"/>
      <c r="C4289" s="32" t="s">
        <v>754</v>
      </c>
      <c r="D4289" s="32" t="s">
        <v>120</v>
      </c>
      <c r="E4289" s="33">
        <v>5.6800000000000003E-2</v>
      </c>
      <c r="F4289" s="50">
        <v>160.53099999999998</v>
      </c>
      <c r="G4289" s="50">
        <f t="shared" si="80"/>
        <v>9.1181608000000001</v>
      </c>
      <c r="H4289" s="35">
        <f>SUM(G4289:G4299)</f>
        <v>70.895846725999988</v>
      </c>
      <c r="I4289" s="36"/>
      <c r="J4289" s="141">
        <v>0</v>
      </c>
    </row>
    <row r="4290" spans="1:10" ht="15.75" hidden="1" thickBot="1" x14ac:dyDescent="0.3">
      <c r="A4290" s="231"/>
      <c r="B4290" s="244"/>
      <c r="C4290" s="32" t="s">
        <v>1273</v>
      </c>
      <c r="D4290" s="32" t="s">
        <v>120</v>
      </c>
      <c r="E4290" s="33">
        <v>3.5999999999999999E-3</v>
      </c>
      <c r="F4290" s="50">
        <v>138.89949999999999</v>
      </c>
      <c r="G4290" s="50">
        <f t="shared" si="80"/>
        <v>0.50003819999999999</v>
      </c>
      <c r="H4290" s="69"/>
      <c r="I4290" s="70"/>
      <c r="J4290" s="141">
        <v>0</v>
      </c>
    </row>
    <row r="4291" spans="1:10" ht="39" hidden="1" thickBot="1" x14ac:dyDescent="0.3">
      <c r="A4291" s="231"/>
      <c r="B4291" s="244"/>
      <c r="C4291" s="32" t="s">
        <v>1274</v>
      </c>
      <c r="D4291" s="32" t="s">
        <v>995</v>
      </c>
      <c r="E4291" s="33">
        <v>1.0042</v>
      </c>
      <c r="F4291" s="50">
        <v>53.256999999999998</v>
      </c>
      <c r="G4291" s="50">
        <f t="shared" si="80"/>
        <v>53.4806794</v>
      </c>
      <c r="H4291" s="69"/>
      <c r="I4291" s="70"/>
      <c r="J4291" s="141">
        <v>0</v>
      </c>
    </row>
    <row r="4292" spans="1:10" ht="15.75" hidden="1" thickBot="1" x14ac:dyDescent="0.3">
      <c r="A4292" s="231"/>
      <c r="B4292" s="244"/>
      <c r="C4292" s="32" t="s">
        <v>1275</v>
      </c>
      <c r="D4292" s="32" t="s">
        <v>705</v>
      </c>
      <c r="E4292" s="33">
        <v>9.7000000000000003E-2</v>
      </c>
      <c r="F4292" s="50">
        <v>23.0185</v>
      </c>
      <c r="G4292" s="50">
        <f t="shared" si="80"/>
        <v>2.2327945000000002</v>
      </c>
      <c r="H4292" s="69"/>
      <c r="I4292" s="70"/>
      <c r="J4292" s="141">
        <v>0</v>
      </c>
    </row>
    <row r="4293" spans="1:10" ht="15.75" hidden="1" thickBot="1" x14ac:dyDescent="0.3">
      <c r="A4293" s="231"/>
      <c r="B4293" s="244"/>
      <c r="C4293" s="32" t="s">
        <v>706</v>
      </c>
      <c r="D4293" s="32" t="s">
        <v>705</v>
      </c>
      <c r="E4293" s="33">
        <v>9.7000000000000003E-2</v>
      </c>
      <c r="F4293" s="50">
        <v>18.420500000000001</v>
      </c>
      <c r="G4293" s="50">
        <f t="shared" si="80"/>
        <v>1.7867885000000001</v>
      </c>
      <c r="H4293" s="69"/>
      <c r="I4293" s="70"/>
      <c r="J4293" s="141">
        <v>0</v>
      </c>
    </row>
    <row r="4294" spans="1:10" ht="39" hidden="1" thickBot="1" x14ac:dyDescent="0.3">
      <c r="A4294" s="231"/>
      <c r="B4294" s="244"/>
      <c r="C4294" s="32" t="s">
        <v>1106</v>
      </c>
      <c r="D4294" s="32" t="s">
        <v>945</v>
      </c>
      <c r="E4294" s="33">
        <v>4.1000000000000003E-3</v>
      </c>
      <c r="F4294" s="50">
        <v>11.390499999999999</v>
      </c>
      <c r="G4294" s="50">
        <f t="shared" si="80"/>
        <v>4.6701050000000001E-2</v>
      </c>
      <c r="H4294" s="69"/>
      <c r="I4294" s="70"/>
      <c r="J4294" s="141">
        <v>0</v>
      </c>
    </row>
    <row r="4295" spans="1:10" ht="39" hidden="1" thickBot="1" x14ac:dyDescent="0.3">
      <c r="A4295" s="231"/>
      <c r="B4295" s="244"/>
      <c r="C4295" s="32" t="s">
        <v>1276</v>
      </c>
      <c r="D4295" s="32" t="s">
        <v>947</v>
      </c>
      <c r="E4295" s="33">
        <v>4.4400000000000002E-2</v>
      </c>
      <c r="F4295" s="50">
        <v>0.55099999999999993</v>
      </c>
      <c r="G4295" s="50">
        <f t="shared" si="80"/>
        <v>2.4464399999999997E-2</v>
      </c>
      <c r="H4295" s="69"/>
      <c r="I4295" s="70"/>
      <c r="J4295" s="141">
        <v>0</v>
      </c>
    </row>
    <row r="4296" spans="1:10" ht="51.75" hidden="1" thickBot="1" x14ac:dyDescent="0.3">
      <c r="A4296" s="231"/>
      <c r="B4296" s="244"/>
      <c r="C4296" s="32" t="s">
        <v>1277</v>
      </c>
      <c r="D4296" s="32" t="s">
        <v>945</v>
      </c>
      <c r="E4296" s="33">
        <v>3.7000000000000002E-3</v>
      </c>
      <c r="F4296" s="50">
        <v>11.979499999999998</v>
      </c>
      <c r="G4296" s="50">
        <f t="shared" si="80"/>
        <v>4.4324149999999993E-2</v>
      </c>
      <c r="H4296" s="69"/>
      <c r="I4296" s="70"/>
      <c r="J4296" s="141">
        <v>0</v>
      </c>
    </row>
    <row r="4297" spans="1:10" ht="51.75" hidden="1" thickBot="1" x14ac:dyDescent="0.3">
      <c r="A4297" s="231"/>
      <c r="B4297" s="244"/>
      <c r="C4297" s="32" t="s">
        <v>1278</v>
      </c>
      <c r="D4297" s="32" t="s">
        <v>947</v>
      </c>
      <c r="E4297" s="33">
        <v>4.48E-2</v>
      </c>
      <c r="F4297" s="50">
        <v>0.78849999999999998</v>
      </c>
      <c r="G4297" s="50">
        <f t="shared" ref="G4297:G4360" si="81">IF(ISNUMBER(F4297),E4297*F4297,"")</f>
        <v>3.5324799999999996E-2</v>
      </c>
      <c r="H4297" s="69"/>
      <c r="I4297" s="70"/>
      <c r="J4297" s="141">
        <v>0</v>
      </c>
    </row>
    <row r="4298" spans="1:10" ht="51.75" hidden="1" thickBot="1" x14ac:dyDescent="0.3">
      <c r="A4298" s="231"/>
      <c r="B4298" s="244"/>
      <c r="C4298" s="32" t="s">
        <v>3532</v>
      </c>
      <c r="D4298" s="32" t="s">
        <v>109</v>
      </c>
      <c r="E4298" s="33">
        <f>1*(E4289+E4290)</f>
        <v>6.0400000000000002E-2</v>
      </c>
      <c r="F4298" s="30">
        <v>7.6983819999999996</v>
      </c>
      <c r="G4298" s="30">
        <f t="shared" si="81"/>
        <v>0.46498227279999998</v>
      </c>
      <c r="H4298" s="31"/>
      <c r="I4298" s="27"/>
      <c r="J4298" s="141">
        <v>0</v>
      </c>
    </row>
    <row r="4299" spans="1:10" ht="39" hidden="1" thickBot="1" x14ac:dyDescent="0.3">
      <c r="A4299" s="231"/>
      <c r="B4299" s="244"/>
      <c r="C4299" s="32" t="s">
        <v>121</v>
      </c>
      <c r="D4299" s="32" t="s">
        <v>122</v>
      </c>
      <c r="E4299" s="33">
        <f>20*(E4289+E4290)</f>
        <v>1.208</v>
      </c>
      <c r="F4299" s="50">
        <v>2.6172091499999994</v>
      </c>
      <c r="G4299" s="50">
        <f t="shared" si="81"/>
        <v>3.161588653199999</v>
      </c>
      <c r="H4299" s="69"/>
      <c r="I4299" s="70"/>
      <c r="J4299" s="141">
        <v>0</v>
      </c>
    </row>
    <row r="4300" spans="1:10" ht="15.75" hidden="1" thickBot="1" x14ac:dyDescent="0.3">
      <c r="A4300" s="231"/>
      <c r="B4300" s="244"/>
      <c r="C4300" s="32"/>
      <c r="D4300" s="32"/>
      <c r="E4300" s="33"/>
      <c r="F4300" s="50" t="s">
        <v>523</v>
      </c>
      <c r="G4300" s="50" t="str">
        <f t="shared" si="81"/>
        <v/>
      </c>
      <c r="H4300" s="69"/>
      <c r="I4300" s="70"/>
      <c r="J4300" s="141">
        <v>0</v>
      </c>
    </row>
    <row r="4301" spans="1:10" ht="26.25" hidden="1" thickBot="1" x14ac:dyDescent="0.3">
      <c r="A4301" s="231"/>
      <c r="B4301" s="244"/>
      <c r="C4301" s="44" t="s">
        <v>1279</v>
      </c>
      <c r="D4301" s="32"/>
      <c r="E4301" s="33"/>
      <c r="F4301" s="50" t="s">
        <v>523</v>
      </c>
      <c r="G4301" s="50" t="str">
        <f t="shared" si="81"/>
        <v/>
      </c>
      <c r="H4301" s="69"/>
      <c r="I4301" s="70"/>
      <c r="J4301" s="141">
        <v>0</v>
      </c>
    </row>
    <row r="4302" spans="1:10" ht="15.75" hidden="1" thickBot="1" x14ac:dyDescent="0.3">
      <c r="A4302" s="232"/>
      <c r="B4302" s="230"/>
      <c r="C4302" s="51"/>
      <c r="D4302" s="51"/>
      <c r="E4302" s="62"/>
      <c r="F4302" s="72" t="s">
        <v>523</v>
      </c>
      <c r="G4302" s="72" t="str">
        <f t="shared" si="81"/>
        <v/>
      </c>
      <c r="H4302" s="73"/>
      <c r="I4302" s="70"/>
      <c r="J4302" s="141">
        <v>0</v>
      </c>
    </row>
    <row r="4303" spans="1:10" ht="15.75" hidden="1" thickBot="1" x14ac:dyDescent="0.3">
      <c r="A4303" s="225" t="s">
        <v>1280</v>
      </c>
      <c r="B4303" s="228" t="str">
        <f>INDEX(Orçamentária!A:B,MATCH(Composições!A4303,Orçamentária!A:A,0),2)</f>
        <v>Pavimentação com Asfalto Pré-Misturado a Frio (PMF)</v>
      </c>
      <c r="C4303" s="37"/>
      <c r="D4303" s="22" t="str">
        <f>TRIM(INDEX(Orçamentária!C:C,MATCH(Composições!A4303,Orçamentária!A:A,0),1))</f>
        <v>m3</v>
      </c>
      <c r="E4303" s="23"/>
      <c r="F4303" s="45" t="s">
        <v>523</v>
      </c>
      <c r="G4303" s="24" t="str">
        <f t="shared" si="81"/>
        <v/>
      </c>
      <c r="H4303" s="25"/>
      <c r="I4303" s="26"/>
      <c r="J4303" s="141">
        <v>0</v>
      </c>
    </row>
    <row r="4304" spans="1:10" ht="15.75" hidden="1" thickBot="1" x14ac:dyDescent="0.3">
      <c r="A4304" s="231"/>
      <c r="B4304" s="244"/>
      <c r="C4304" s="28"/>
      <c r="D4304" s="28"/>
      <c r="E4304" s="29"/>
      <c r="F4304" s="50" t="s">
        <v>523</v>
      </c>
      <c r="G4304" s="50" t="str">
        <f t="shared" si="81"/>
        <v/>
      </c>
      <c r="H4304" s="69"/>
      <c r="I4304" s="70"/>
      <c r="J4304" s="141">
        <v>0</v>
      </c>
    </row>
    <row r="4305" spans="1:10" ht="15.75" hidden="1" thickBot="1" x14ac:dyDescent="0.3">
      <c r="A4305" s="231"/>
      <c r="B4305" s="244"/>
      <c r="C4305" s="32" t="s">
        <v>706</v>
      </c>
      <c r="D4305" s="32" t="s">
        <v>705</v>
      </c>
      <c r="E4305" s="33">
        <v>0.4</v>
      </c>
      <c r="F4305" s="50">
        <v>18.420500000000001</v>
      </c>
      <c r="G4305" s="50">
        <f t="shared" si="81"/>
        <v>7.3682000000000007</v>
      </c>
      <c r="H4305" s="35">
        <f>SUM(G4305:G4326)</f>
        <v>927.26891490000003</v>
      </c>
      <c r="I4305" s="36"/>
      <c r="J4305" s="141">
        <v>0</v>
      </c>
    </row>
    <row r="4306" spans="1:10" ht="39" hidden="1" thickBot="1" x14ac:dyDescent="0.3">
      <c r="A4306" s="231"/>
      <c r="B4306" s="244"/>
      <c r="C4306" s="32" t="s">
        <v>1281</v>
      </c>
      <c r="D4306" s="32" t="s">
        <v>947</v>
      </c>
      <c r="E4306" s="33">
        <v>6.0000000000000001E-3</v>
      </c>
      <c r="F4306" s="50">
        <v>74.147499999999994</v>
      </c>
      <c r="G4306" s="50">
        <f t="shared" si="81"/>
        <v>0.44488499999999997</v>
      </c>
      <c r="H4306" s="69"/>
      <c r="I4306" s="70"/>
      <c r="J4306" s="141">
        <v>0</v>
      </c>
    </row>
    <row r="4307" spans="1:10" ht="39" hidden="1" thickBot="1" x14ac:dyDescent="0.3">
      <c r="A4307" s="231"/>
      <c r="B4307" s="244"/>
      <c r="C4307" s="32" t="s">
        <v>1282</v>
      </c>
      <c r="D4307" s="32" t="s">
        <v>945</v>
      </c>
      <c r="E4307" s="33">
        <v>1.0699999999999999E-2</v>
      </c>
      <c r="F4307" s="50">
        <v>207.05249999999998</v>
      </c>
      <c r="G4307" s="50">
        <f t="shared" si="81"/>
        <v>2.2154617499999998</v>
      </c>
      <c r="H4307" s="69"/>
      <c r="I4307" s="70"/>
      <c r="J4307" s="141">
        <v>0</v>
      </c>
    </row>
    <row r="4308" spans="1:10" ht="39" hidden="1" thickBot="1" x14ac:dyDescent="0.3">
      <c r="A4308" s="231"/>
      <c r="B4308" s="244"/>
      <c r="C4308" s="32" t="s">
        <v>1283</v>
      </c>
      <c r="D4308" s="32" t="s">
        <v>945</v>
      </c>
      <c r="E4308" s="33">
        <v>6.1999999999999998E-3</v>
      </c>
      <c r="F4308" s="50">
        <v>224.74149999999997</v>
      </c>
      <c r="G4308" s="50">
        <f t="shared" si="81"/>
        <v>1.3933972999999997</v>
      </c>
      <c r="H4308" s="69"/>
      <c r="I4308" s="70"/>
      <c r="J4308" s="141">
        <v>0</v>
      </c>
    </row>
    <row r="4309" spans="1:10" ht="39" hidden="1" thickBot="1" x14ac:dyDescent="0.3">
      <c r="A4309" s="231"/>
      <c r="B4309" s="244"/>
      <c r="C4309" s="32" t="s">
        <v>1284</v>
      </c>
      <c r="D4309" s="32" t="s">
        <v>947</v>
      </c>
      <c r="E4309" s="33">
        <v>1.0500000000000001E-2</v>
      </c>
      <c r="F4309" s="50">
        <v>68.770499999999998</v>
      </c>
      <c r="G4309" s="50">
        <f t="shared" si="81"/>
        <v>0.72209025000000004</v>
      </c>
      <c r="H4309" s="69"/>
      <c r="I4309" s="70"/>
      <c r="J4309" s="141">
        <v>0</v>
      </c>
    </row>
    <row r="4310" spans="1:10" ht="26.25" hidden="1" thickBot="1" x14ac:dyDescent="0.3">
      <c r="A4310" s="231"/>
      <c r="B4310" s="244"/>
      <c r="C4310" s="32" t="s">
        <v>1285</v>
      </c>
      <c r="D4310" s="32" t="s">
        <v>947</v>
      </c>
      <c r="E4310" s="33">
        <v>1.2200000000000001E-2</v>
      </c>
      <c r="F4310" s="50">
        <v>34.048000000000002</v>
      </c>
      <c r="G4310" s="50">
        <f t="shared" si="81"/>
        <v>0.41538560000000002</v>
      </c>
      <c r="H4310" s="69"/>
      <c r="I4310" s="70"/>
      <c r="J4310" s="141">
        <v>0</v>
      </c>
    </row>
    <row r="4311" spans="1:10" ht="26.25" hidden="1" thickBot="1" x14ac:dyDescent="0.3">
      <c r="A4311" s="231"/>
      <c r="B4311" s="244"/>
      <c r="C4311" s="32" t="s">
        <v>1286</v>
      </c>
      <c r="D4311" s="32" t="s">
        <v>945</v>
      </c>
      <c r="E4311" s="33">
        <v>4.4999999999999997E-3</v>
      </c>
      <c r="F4311" s="50">
        <v>124.96299999999998</v>
      </c>
      <c r="G4311" s="50">
        <f t="shared" si="81"/>
        <v>0.56233349999999982</v>
      </c>
      <c r="H4311" s="69"/>
      <c r="I4311" s="70"/>
      <c r="J4311" s="141">
        <v>0</v>
      </c>
    </row>
    <row r="4312" spans="1:10" ht="26.25" hidden="1" thickBot="1" x14ac:dyDescent="0.3">
      <c r="A4312" s="231"/>
      <c r="B4312" s="244"/>
      <c r="C4312" s="32" t="s">
        <v>1287</v>
      </c>
      <c r="D4312" s="32" t="s">
        <v>947</v>
      </c>
      <c r="E4312" s="33">
        <v>1.2200000000000001E-2</v>
      </c>
      <c r="F4312" s="50">
        <v>5.4624999999999995</v>
      </c>
      <c r="G4312" s="50">
        <f t="shared" si="81"/>
        <v>6.6642499999999993E-2</v>
      </c>
      <c r="H4312" s="69"/>
      <c r="I4312" s="70"/>
      <c r="J4312" s="141">
        <v>0</v>
      </c>
    </row>
    <row r="4313" spans="1:10" ht="26.25" hidden="1" thickBot="1" x14ac:dyDescent="0.3">
      <c r="A4313" s="231"/>
      <c r="B4313" s="244"/>
      <c r="C4313" s="32" t="s">
        <v>1288</v>
      </c>
      <c r="D4313" s="32" t="s">
        <v>945</v>
      </c>
      <c r="E4313" s="33">
        <v>4.4999999999999997E-3</v>
      </c>
      <c r="F4313" s="50">
        <v>11.4855</v>
      </c>
      <c r="G4313" s="50">
        <f t="shared" si="81"/>
        <v>5.1684749999999995E-2</v>
      </c>
      <c r="H4313" s="69"/>
      <c r="I4313" s="70"/>
      <c r="J4313" s="141">
        <v>0</v>
      </c>
    </row>
    <row r="4314" spans="1:10" ht="39" hidden="1" thickBot="1" x14ac:dyDescent="0.3">
      <c r="A4314" s="231"/>
      <c r="B4314" s="244"/>
      <c r="C4314" s="32" t="s">
        <v>1289</v>
      </c>
      <c r="D4314" s="32" t="s">
        <v>945</v>
      </c>
      <c r="E4314" s="33">
        <v>1.67E-2</v>
      </c>
      <c r="F4314" s="50">
        <v>388.5215</v>
      </c>
      <c r="G4314" s="50">
        <f t="shared" si="81"/>
        <v>6.4883090499999998</v>
      </c>
      <c r="H4314" s="69"/>
      <c r="I4314" s="70"/>
      <c r="J4314" s="141">
        <v>0</v>
      </c>
    </row>
    <row r="4315" spans="1:10" ht="39" hidden="1" thickBot="1" x14ac:dyDescent="0.3">
      <c r="A4315" s="231"/>
      <c r="B4315" s="244"/>
      <c r="C4315" s="32" t="s">
        <v>1290</v>
      </c>
      <c r="D4315" s="32" t="s">
        <v>945</v>
      </c>
      <c r="E4315" s="33">
        <v>2.7199999999999998E-2</v>
      </c>
      <c r="F4315" s="50">
        <v>263.52049999999997</v>
      </c>
      <c r="G4315" s="50">
        <f t="shared" si="81"/>
        <v>7.167757599999999</v>
      </c>
      <c r="H4315" s="69"/>
      <c r="I4315" s="70"/>
      <c r="J4315" s="141">
        <v>0</v>
      </c>
    </row>
    <row r="4316" spans="1:10" ht="15.75" hidden="1" thickBot="1" x14ac:dyDescent="0.3">
      <c r="A4316" s="231"/>
      <c r="B4316" s="244"/>
      <c r="C4316" s="32" t="s">
        <v>706</v>
      </c>
      <c r="D4316" s="32" t="s">
        <v>705</v>
      </c>
      <c r="E4316" s="33">
        <v>0.3</v>
      </c>
      <c r="F4316" s="50">
        <v>18.420500000000001</v>
      </c>
      <c r="G4316" s="50">
        <f t="shared" si="81"/>
        <v>5.5261500000000003</v>
      </c>
      <c r="H4316" s="69"/>
      <c r="I4316" s="70"/>
      <c r="J4316" s="141">
        <v>0</v>
      </c>
    </row>
    <row r="4317" spans="1:10" ht="26.25" hidden="1" thickBot="1" x14ac:dyDescent="0.3">
      <c r="A4317" s="231"/>
      <c r="B4317" s="244"/>
      <c r="C4317" s="32" t="s">
        <v>1291</v>
      </c>
      <c r="D4317" s="32" t="s">
        <v>109</v>
      </c>
      <c r="E4317" s="33">
        <v>0.18</v>
      </c>
      <c r="F4317" s="50">
        <v>162.62100000000001</v>
      </c>
      <c r="G4317" s="50">
        <f t="shared" si="81"/>
        <v>29.27178</v>
      </c>
      <c r="H4317" s="69"/>
      <c r="I4317" s="70"/>
      <c r="J4317" s="141">
        <v>0</v>
      </c>
    </row>
    <row r="4318" spans="1:10" ht="26.25" hidden="1" thickBot="1" x14ac:dyDescent="0.3">
      <c r="A4318" s="231"/>
      <c r="B4318" s="244"/>
      <c r="C4318" s="32" t="s">
        <v>759</v>
      </c>
      <c r="D4318" s="32" t="s">
        <v>109</v>
      </c>
      <c r="E4318" s="33">
        <v>1.26</v>
      </c>
      <c r="F4318" s="50">
        <v>169.76499999999999</v>
      </c>
      <c r="G4318" s="50">
        <f t="shared" si="81"/>
        <v>213.90389999999999</v>
      </c>
      <c r="H4318" s="69"/>
      <c r="I4318" s="70"/>
      <c r="J4318" s="141">
        <v>0</v>
      </c>
    </row>
    <row r="4319" spans="1:10" ht="39" hidden="1" thickBot="1" x14ac:dyDescent="0.3">
      <c r="A4319" s="231"/>
      <c r="B4319" s="244"/>
      <c r="C4319" s="32" t="s">
        <v>1292</v>
      </c>
      <c r="D4319" s="32" t="s">
        <v>1293</v>
      </c>
      <c r="E4319" s="33">
        <v>0.14000000000000001</v>
      </c>
      <c r="F4319" s="50">
        <v>3655.1725000000001</v>
      </c>
      <c r="G4319" s="50">
        <f t="shared" si="81"/>
        <v>511.72415000000007</v>
      </c>
      <c r="H4319" s="69"/>
      <c r="I4319" s="70"/>
      <c r="J4319" s="141">
        <v>0</v>
      </c>
    </row>
    <row r="4320" spans="1:10" ht="26.25" hidden="1" thickBot="1" x14ac:dyDescent="0.3">
      <c r="A4320" s="231"/>
      <c r="B4320" s="244"/>
      <c r="C4320" s="32" t="s">
        <v>1294</v>
      </c>
      <c r="D4320" s="32" t="s">
        <v>945</v>
      </c>
      <c r="E4320" s="33">
        <v>0.05</v>
      </c>
      <c r="F4320" s="50">
        <v>193.75249999999997</v>
      </c>
      <c r="G4320" s="50">
        <f t="shared" si="81"/>
        <v>9.6876249999999988</v>
      </c>
      <c r="H4320" s="69"/>
      <c r="I4320" s="70"/>
      <c r="J4320" s="141">
        <v>0</v>
      </c>
    </row>
    <row r="4321" spans="1:10" ht="39" hidden="1" thickBot="1" x14ac:dyDescent="0.3">
      <c r="A4321" s="231"/>
      <c r="B4321" s="244"/>
      <c r="C4321" s="32" t="s">
        <v>1295</v>
      </c>
      <c r="D4321" s="32" t="s">
        <v>945</v>
      </c>
      <c r="E4321" s="33">
        <v>2.1000000000000001E-2</v>
      </c>
      <c r="F4321" s="50">
        <v>209.74099999999999</v>
      </c>
      <c r="G4321" s="50">
        <f t="shared" si="81"/>
        <v>4.4045610000000002</v>
      </c>
      <c r="H4321" s="69"/>
      <c r="I4321" s="70"/>
      <c r="J4321" s="141">
        <v>0</v>
      </c>
    </row>
    <row r="4322" spans="1:10" ht="39" hidden="1" thickBot="1" x14ac:dyDescent="0.3">
      <c r="A4322" s="231"/>
      <c r="B4322" s="244"/>
      <c r="C4322" s="32" t="s">
        <v>1296</v>
      </c>
      <c r="D4322" s="32" t="s">
        <v>947</v>
      </c>
      <c r="E4322" s="33">
        <v>2.9000000000000001E-2</v>
      </c>
      <c r="F4322" s="50">
        <v>72.826999999999998</v>
      </c>
      <c r="G4322" s="50">
        <f t="shared" si="81"/>
        <v>2.1119829999999999</v>
      </c>
      <c r="H4322" s="69"/>
      <c r="I4322" s="70"/>
      <c r="J4322" s="141">
        <v>0</v>
      </c>
    </row>
    <row r="4323" spans="1:10" ht="26.25" hidden="1" thickBot="1" x14ac:dyDescent="0.3">
      <c r="A4323" s="231"/>
      <c r="B4323" s="244"/>
      <c r="C4323" s="32" t="s">
        <v>1297</v>
      </c>
      <c r="D4323" s="32" t="s">
        <v>945</v>
      </c>
      <c r="E4323" s="33">
        <v>0.05</v>
      </c>
      <c r="F4323" s="50">
        <v>140.36249999999998</v>
      </c>
      <c r="G4323" s="50">
        <f t="shared" si="81"/>
        <v>7.0181249999999995</v>
      </c>
      <c r="H4323" s="69"/>
      <c r="I4323" s="70"/>
      <c r="J4323" s="141">
        <v>0</v>
      </c>
    </row>
    <row r="4324" spans="1:10" ht="26.25" hidden="1" thickBot="1" x14ac:dyDescent="0.3">
      <c r="A4324" s="231"/>
      <c r="B4324" s="244"/>
      <c r="C4324" s="32" t="s">
        <v>1298</v>
      </c>
      <c r="D4324" s="32" t="s">
        <v>945</v>
      </c>
      <c r="E4324" s="33">
        <v>0.1</v>
      </c>
      <c r="F4324" s="50">
        <v>302.63200000000001</v>
      </c>
      <c r="G4324" s="50">
        <f t="shared" si="81"/>
        <v>30.263200000000001</v>
      </c>
      <c r="H4324" s="69"/>
      <c r="I4324" s="70"/>
      <c r="J4324" s="141">
        <v>0</v>
      </c>
    </row>
    <row r="4325" spans="1:10" ht="51.75" hidden="1" thickBot="1" x14ac:dyDescent="0.3">
      <c r="A4325" s="231"/>
      <c r="B4325" s="244"/>
      <c r="C4325" s="32" t="s">
        <v>3532</v>
      </c>
      <c r="D4325" s="32" t="s">
        <v>109</v>
      </c>
      <c r="E4325" s="33">
        <f>1*(E4317+E4318)</f>
        <v>1.44</v>
      </c>
      <c r="F4325" s="30">
        <v>7.6983819999999996</v>
      </c>
      <c r="G4325" s="30">
        <f t="shared" si="81"/>
        <v>11.08567008</v>
      </c>
      <c r="H4325" s="31"/>
      <c r="I4325" s="27"/>
      <c r="J4325" s="141">
        <v>0</v>
      </c>
    </row>
    <row r="4326" spans="1:10" ht="39" hidden="1" thickBot="1" x14ac:dyDescent="0.3">
      <c r="A4326" s="231"/>
      <c r="B4326" s="244"/>
      <c r="C4326" s="32" t="s">
        <v>121</v>
      </c>
      <c r="D4326" s="32" t="s">
        <v>122</v>
      </c>
      <c r="E4326" s="33">
        <f>20*(E4318+E4317)</f>
        <v>28.799999999999997</v>
      </c>
      <c r="F4326" s="50">
        <v>2.6172091499999994</v>
      </c>
      <c r="G4326" s="50">
        <f t="shared" si="81"/>
        <v>75.375623519999976</v>
      </c>
      <c r="H4326" s="69"/>
      <c r="I4326" s="70"/>
      <c r="J4326" s="141">
        <v>0</v>
      </c>
    </row>
    <row r="4327" spans="1:10" ht="15.75" hidden="1" thickBot="1" x14ac:dyDescent="0.3">
      <c r="A4327" s="231"/>
      <c r="B4327" s="244"/>
      <c r="C4327" s="32"/>
      <c r="D4327" s="32"/>
      <c r="E4327" s="33"/>
      <c r="F4327" s="50" t="s">
        <v>523</v>
      </c>
      <c r="G4327" s="50" t="str">
        <f t="shared" si="81"/>
        <v/>
      </c>
      <c r="H4327" s="69"/>
      <c r="I4327" s="70"/>
      <c r="J4327" s="141">
        <v>0</v>
      </c>
    </row>
    <row r="4328" spans="1:10" ht="26.25" hidden="1" thickBot="1" x14ac:dyDescent="0.3">
      <c r="A4328" s="231"/>
      <c r="B4328" s="244"/>
      <c r="C4328" s="44" t="s">
        <v>1279</v>
      </c>
      <c r="D4328" s="32"/>
      <c r="E4328" s="33"/>
      <c r="F4328" s="50" t="s">
        <v>523</v>
      </c>
      <c r="G4328" s="50" t="str">
        <f t="shared" si="81"/>
        <v/>
      </c>
      <c r="H4328" s="69"/>
      <c r="I4328" s="70"/>
      <c r="J4328" s="141">
        <v>0</v>
      </c>
    </row>
    <row r="4329" spans="1:10" ht="15.75" hidden="1" thickBot="1" x14ac:dyDescent="0.3">
      <c r="A4329" s="232"/>
      <c r="B4329" s="230"/>
      <c r="C4329" s="51"/>
      <c r="D4329" s="51"/>
      <c r="E4329" s="62"/>
      <c r="F4329" s="72" t="s">
        <v>523</v>
      </c>
      <c r="G4329" s="72" t="str">
        <f t="shared" si="81"/>
        <v/>
      </c>
      <c r="H4329" s="73"/>
      <c r="I4329" s="70"/>
      <c r="J4329" s="141">
        <v>0</v>
      </c>
    </row>
    <row r="4330" spans="1:10" ht="15.75" hidden="1" thickBot="1" x14ac:dyDescent="0.3">
      <c r="A4330" s="225" t="s">
        <v>1299</v>
      </c>
      <c r="B4330" s="228" t="str">
        <f>INDEX(Orçamentária!A:B,MATCH(Composições!A4330,Orçamentária!A:A,0),2)</f>
        <v>Pavimentação asfáltica com CBUQ para aplicação a frio (remendo)</v>
      </c>
      <c r="C4330" s="37"/>
      <c r="D4330" s="22" t="str">
        <f>TRIM(INDEX(Orçamentária!C:C,MATCH(Composições!A4330,Orçamentária!A:A,0),1))</f>
        <v>m3</v>
      </c>
      <c r="E4330" s="23"/>
      <c r="F4330" s="45" t="s">
        <v>523</v>
      </c>
      <c r="G4330" s="24" t="str">
        <f t="shared" si="81"/>
        <v/>
      </c>
      <c r="H4330" s="25"/>
      <c r="I4330" s="26"/>
      <c r="J4330" s="141">
        <v>0</v>
      </c>
    </row>
    <row r="4331" spans="1:10" ht="15.75" hidden="1" thickBot="1" x14ac:dyDescent="0.3">
      <c r="A4331" s="231"/>
      <c r="B4331" s="244"/>
      <c r="C4331" s="28"/>
      <c r="D4331" s="28"/>
      <c r="E4331" s="29"/>
      <c r="F4331" s="50" t="s">
        <v>523</v>
      </c>
      <c r="G4331" s="50" t="str">
        <f t="shared" si="81"/>
        <v/>
      </c>
      <c r="H4331" s="69"/>
      <c r="I4331" s="70"/>
      <c r="J4331" s="141">
        <v>0</v>
      </c>
    </row>
    <row r="4332" spans="1:10" ht="15.75" hidden="1" thickBot="1" x14ac:dyDescent="0.3">
      <c r="A4332" s="231"/>
      <c r="B4332" s="244"/>
      <c r="C4332" s="32" t="s">
        <v>706</v>
      </c>
      <c r="D4332" s="32" t="s">
        <v>705</v>
      </c>
      <c r="E4332" s="33">
        <f>6/0.5</f>
        <v>12</v>
      </c>
      <c r="F4332" s="50">
        <v>18.420500000000001</v>
      </c>
      <c r="G4332" s="50">
        <f t="shared" si="81"/>
        <v>221.04599999999999</v>
      </c>
      <c r="H4332" s="35">
        <f>SUM(G4332:G4335)</f>
        <v>221.04599999999999</v>
      </c>
      <c r="I4332" s="36"/>
      <c r="J4332" s="141">
        <v>0</v>
      </c>
    </row>
    <row r="4333" spans="1:10" ht="15.75" hidden="1" thickBot="1" x14ac:dyDescent="0.3">
      <c r="A4333" s="231"/>
      <c r="B4333" s="244"/>
      <c r="C4333" s="32" t="s">
        <v>1300</v>
      </c>
      <c r="D4333" s="32" t="s">
        <v>945</v>
      </c>
      <c r="E4333" s="33">
        <f>0.2/0.5</f>
        <v>0.4</v>
      </c>
      <c r="F4333" s="50">
        <v>0</v>
      </c>
      <c r="G4333" s="50">
        <f t="shared" si="81"/>
        <v>0</v>
      </c>
      <c r="H4333" s="69"/>
      <c r="I4333" s="70"/>
      <c r="J4333" s="141">
        <v>0</v>
      </c>
    </row>
    <row r="4334" spans="1:10" ht="15.75" hidden="1" thickBot="1" x14ac:dyDescent="0.3">
      <c r="A4334" s="231"/>
      <c r="B4334" s="244"/>
      <c r="C4334" s="32" t="s">
        <v>1301</v>
      </c>
      <c r="D4334" s="32" t="s">
        <v>947</v>
      </c>
      <c r="E4334" s="33">
        <f>0.8/0.5</f>
        <v>1.6</v>
      </c>
      <c r="F4334" s="50">
        <v>0</v>
      </c>
      <c r="G4334" s="50">
        <f t="shared" si="81"/>
        <v>0</v>
      </c>
      <c r="H4334" s="69"/>
      <c r="I4334" s="70"/>
      <c r="J4334" s="141">
        <v>0</v>
      </c>
    </row>
    <row r="4335" spans="1:10" ht="15.75" hidden="1" thickBot="1" x14ac:dyDescent="0.3">
      <c r="A4335" s="231"/>
      <c r="B4335" s="244"/>
      <c r="C4335" s="32" t="s">
        <v>1302</v>
      </c>
      <c r="D4335" s="32" t="s">
        <v>42</v>
      </c>
      <c r="E4335" s="33">
        <v>2500</v>
      </c>
      <c r="F4335" s="50" t="s">
        <v>523</v>
      </c>
      <c r="G4335" s="50" t="str">
        <f t="shared" si="81"/>
        <v/>
      </c>
      <c r="H4335" s="69"/>
      <c r="I4335" s="70"/>
      <c r="J4335" s="141">
        <v>0</v>
      </c>
    </row>
    <row r="4336" spans="1:10" ht="15.75" hidden="1" thickBot="1" x14ac:dyDescent="0.3">
      <c r="A4336" s="232"/>
      <c r="B4336" s="230"/>
      <c r="C4336" s="51"/>
      <c r="D4336" s="51"/>
      <c r="E4336" s="62"/>
      <c r="F4336" s="72" t="s">
        <v>523</v>
      </c>
      <c r="G4336" s="72" t="str">
        <f t="shared" si="81"/>
        <v/>
      </c>
      <c r="H4336" s="73"/>
      <c r="I4336" s="70"/>
      <c r="J4336" s="141">
        <v>0</v>
      </c>
    </row>
    <row r="4337" spans="1:10" ht="15.75" hidden="1" thickBot="1" x14ac:dyDescent="0.3">
      <c r="A4337" s="225" t="s">
        <v>1303</v>
      </c>
      <c r="B4337" s="228" t="str">
        <f>INDEX(Orçamentária!A:B,MATCH(Composições!A4337,Orçamentária!A:A,0),2)</f>
        <v>Pintura para sinalização e demarcação viária horizontal</v>
      </c>
      <c r="C4337" s="37"/>
      <c r="D4337" s="22" t="s">
        <v>93</v>
      </c>
      <c r="E4337" s="23"/>
      <c r="F4337" s="45" t="s">
        <v>523</v>
      </c>
      <c r="G4337" s="24" t="str">
        <f t="shared" si="81"/>
        <v/>
      </c>
      <c r="H4337" s="25"/>
      <c r="I4337" s="26"/>
      <c r="J4337" s="141">
        <v>0</v>
      </c>
    </row>
    <row r="4338" spans="1:10" ht="15.75" hidden="1" thickBot="1" x14ac:dyDescent="0.3">
      <c r="A4338" s="231"/>
      <c r="B4338" s="244"/>
      <c r="C4338" s="28"/>
      <c r="D4338" s="28"/>
      <c r="E4338" s="29"/>
      <c r="F4338" s="50" t="s">
        <v>523</v>
      </c>
      <c r="G4338" s="50" t="str">
        <f t="shared" si="81"/>
        <v/>
      </c>
      <c r="H4338" s="69"/>
      <c r="I4338" s="70"/>
      <c r="J4338" s="141">
        <v>0</v>
      </c>
    </row>
    <row r="4339" spans="1:10" ht="15.75" hidden="1" thickBot="1" x14ac:dyDescent="0.3">
      <c r="A4339" s="231"/>
      <c r="B4339" s="244"/>
      <c r="C4339" s="32" t="s">
        <v>6700</v>
      </c>
      <c r="D4339" s="32" t="s">
        <v>102</v>
      </c>
      <c r="E4339" s="33">
        <v>2E-3</v>
      </c>
      <c r="F4339" s="50">
        <v>14.895999999999999</v>
      </c>
      <c r="G4339" s="50">
        <f t="shared" si="81"/>
        <v>2.9791999999999999E-2</v>
      </c>
      <c r="H4339" s="35">
        <f>SUM(G4339:G4346)</f>
        <v>4.9333053500000004</v>
      </c>
      <c r="I4339" s="36"/>
      <c r="J4339" s="141">
        <v>0</v>
      </c>
    </row>
    <row r="4340" spans="1:10" ht="26.25" hidden="1" thickBot="1" x14ac:dyDescent="0.3">
      <c r="A4340" s="231"/>
      <c r="B4340" s="244"/>
      <c r="C4340" s="32" t="s">
        <v>6644</v>
      </c>
      <c r="D4340" s="32" t="s">
        <v>102</v>
      </c>
      <c r="E4340" s="33">
        <v>4.2999999999999997E-2</v>
      </c>
      <c r="F4340" s="50">
        <v>17.299499999999998</v>
      </c>
      <c r="G4340" s="50">
        <f t="shared" si="81"/>
        <v>0.74387849999999989</v>
      </c>
      <c r="H4340" s="69"/>
      <c r="I4340" s="70"/>
      <c r="J4340" s="141">
        <v>0</v>
      </c>
    </row>
    <row r="4341" spans="1:10" ht="26.25" hidden="1" thickBot="1" x14ac:dyDescent="0.3">
      <c r="A4341" s="231"/>
      <c r="B4341" s="244"/>
      <c r="C4341" s="32" t="s">
        <v>1304</v>
      </c>
      <c r="D4341" s="32" t="s">
        <v>901</v>
      </c>
      <c r="E4341" s="33">
        <v>1.0999999999999999E-2</v>
      </c>
      <c r="F4341" s="50">
        <v>7.8279999999999994</v>
      </c>
      <c r="G4341" s="50">
        <f t="shared" si="81"/>
        <v>8.610799999999999E-2</v>
      </c>
      <c r="H4341" s="69"/>
      <c r="I4341" s="70"/>
      <c r="J4341" s="141">
        <v>0</v>
      </c>
    </row>
    <row r="4342" spans="1:10" ht="26.25" hidden="1" thickBot="1" x14ac:dyDescent="0.3">
      <c r="A4342" s="231"/>
      <c r="B4342" s="244"/>
      <c r="C4342" s="32" t="s">
        <v>6665</v>
      </c>
      <c r="D4342" s="32" t="s">
        <v>901</v>
      </c>
      <c r="E4342" s="33">
        <v>2.5000000000000001E-2</v>
      </c>
      <c r="F4342" s="50">
        <v>7.8279999999999994</v>
      </c>
      <c r="G4342" s="50">
        <f t="shared" si="81"/>
        <v>0.19569999999999999</v>
      </c>
      <c r="H4342" s="69"/>
      <c r="I4342" s="70"/>
      <c r="J4342" s="141">
        <v>0</v>
      </c>
    </row>
    <row r="4343" spans="1:10" ht="15.75" hidden="1" thickBot="1" x14ac:dyDescent="0.3">
      <c r="A4343" s="231"/>
      <c r="B4343" s="244"/>
      <c r="C4343" s="32" t="s">
        <v>1098</v>
      </c>
      <c r="D4343" s="32" t="s">
        <v>705</v>
      </c>
      <c r="E4343" s="33">
        <v>3.4000000000000002E-2</v>
      </c>
      <c r="F4343" s="50">
        <v>25.887499999999999</v>
      </c>
      <c r="G4343" s="50">
        <f t="shared" si="81"/>
        <v>0.88017500000000004</v>
      </c>
      <c r="H4343" s="69"/>
      <c r="I4343" s="70"/>
      <c r="J4343" s="141">
        <v>0</v>
      </c>
    </row>
    <row r="4344" spans="1:10" ht="15.75" hidden="1" thickBot="1" x14ac:dyDescent="0.3">
      <c r="A4344" s="231"/>
      <c r="B4344" s="244"/>
      <c r="C4344" s="32" t="s">
        <v>706</v>
      </c>
      <c r="D4344" s="32" t="s">
        <v>705</v>
      </c>
      <c r="E4344" s="33">
        <v>1.4E-2</v>
      </c>
      <c r="F4344" s="50">
        <v>18.420500000000001</v>
      </c>
      <c r="G4344" s="50">
        <f t="shared" si="81"/>
        <v>0.25788700000000003</v>
      </c>
      <c r="H4344" s="69"/>
      <c r="I4344" s="70"/>
      <c r="J4344" s="141">
        <v>0</v>
      </c>
    </row>
    <row r="4345" spans="1:10" ht="26.25" hidden="1" thickBot="1" x14ac:dyDescent="0.3">
      <c r="A4345" s="231"/>
      <c r="B4345" s="244"/>
      <c r="C4345" s="32" t="s">
        <v>1305</v>
      </c>
      <c r="D4345" s="32" t="s">
        <v>945</v>
      </c>
      <c r="E4345" s="33">
        <v>2.9999999999999997E-4</v>
      </c>
      <c r="F4345" s="50">
        <v>175.17049999999998</v>
      </c>
      <c r="G4345" s="50">
        <f t="shared" si="81"/>
        <v>5.2551149999999991E-2</v>
      </c>
      <c r="H4345" s="69"/>
      <c r="I4345" s="70"/>
      <c r="J4345" s="141">
        <v>0</v>
      </c>
    </row>
    <row r="4346" spans="1:10" ht="26.25" hidden="1" thickBot="1" x14ac:dyDescent="0.3">
      <c r="A4346" s="231"/>
      <c r="B4346" s="244"/>
      <c r="C4346" s="32" t="s">
        <v>3208</v>
      </c>
      <c r="D4346" s="32" t="s">
        <v>947</v>
      </c>
      <c r="E4346" s="33">
        <v>3.3399999999999999E-2</v>
      </c>
      <c r="F4346" s="50">
        <v>80.455500000000001</v>
      </c>
      <c r="G4346" s="50">
        <f t="shared" si="81"/>
        <v>2.6872137</v>
      </c>
      <c r="H4346" s="69"/>
      <c r="I4346" s="70"/>
      <c r="J4346" s="141">
        <v>0</v>
      </c>
    </row>
    <row r="4347" spans="1:10" ht="15.75" hidden="1" thickBot="1" x14ac:dyDescent="0.3">
      <c r="A4347" s="232"/>
      <c r="B4347" s="230"/>
      <c r="C4347" s="51"/>
      <c r="D4347" s="51"/>
      <c r="E4347" s="62"/>
      <c r="F4347" s="72" t="s">
        <v>523</v>
      </c>
      <c r="G4347" s="72" t="str">
        <f t="shared" si="81"/>
        <v/>
      </c>
      <c r="H4347" s="73"/>
      <c r="I4347" s="70"/>
      <c r="J4347" s="141">
        <v>0</v>
      </c>
    </row>
    <row r="4348" spans="1:10" ht="15.75" hidden="1" thickBot="1" x14ac:dyDescent="0.3">
      <c r="A4348" s="225" t="s">
        <v>1306</v>
      </c>
      <c r="B4348" s="228" t="str">
        <f>INDEX(Orçamentária!A:B,MATCH(Composições!A4348,Orçamentária!A:A,0),2)</f>
        <v>Telha metálica trapezoidal galvanizada - GR-40</v>
      </c>
      <c r="C4348" s="37"/>
      <c r="D4348" s="22" t="str">
        <f>TRIM(INDEX(Orçamentária!C:C,MATCH(Composições!A4348,Orçamentária!A:A,0),1))</f>
        <v>m2</v>
      </c>
      <c r="E4348" s="23"/>
      <c r="F4348" s="45" t="s">
        <v>523</v>
      </c>
      <c r="G4348" s="24" t="str">
        <f t="shared" si="81"/>
        <v/>
      </c>
      <c r="H4348" s="25"/>
      <c r="I4348" s="26"/>
      <c r="J4348" s="141">
        <v>0</v>
      </c>
    </row>
    <row r="4349" spans="1:10" ht="15.75" hidden="1" thickBot="1" x14ac:dyDescent="0.3">
      <c r="A4349" s="231"/>
      <c r="B4349" s="244"/>
      <c r="C4349" s="28"/>
      <c r="D4349" s="28"/>
      <c r="E4349" s="29"/>
      <c r="F4349" s="50" t="s">
        <v>523</v>
      </c>
      <c r="G4349" s="50" t="str">
        <f t="shared" si="81"/>
        <v/>
      </c>
      <c r="H4349" s="69"/>
      <c r="I4349" s="70"/>
      <c r="J4349" s="141">
        <v>0</v>
      </c>
    </row>
    <row r="4350" spans="1:10" ht="39" hidden="1" thickBot="1" x14ac:dyDescent="0.3">
      <c r="A4350" s="231"/>
      <c r="B4350" s="244"/>
      <c r="C4350" s="32" t="s">
        <v>3376</v>
      </c>
      <c r="D4350" s="43" t="s">
        <v>995</v>
      </c>
      <c r="E4350" s="33">
        <v>1.1659999999999999</v>
      </c>
      <c r="F4350" s="50">
        <v>68.912999999999997</v>
      </c>
      <c r="G4350" s="50">
        <f t="shared" si="81"/>
        <v>80.352557999999988</v>
      </c>
      <c r="H4350" s="35">
        <f>SUM(G4350:G4355)</f>
        <v>94.419086399999983</v>
      </c>
      <c r="I4350" s="36"/>
      <c r="J4350" s="141">
        <v>0</v>
      </c>
    </row>
    <row r="4351" spans="1:10" ht="39" hidden="1" thickBot="1" x14ac:dyDescent="0.3">
      <c r="A4351" s="231"/>
      <c r="B4351" s="244"/>
      <c r="C4351" s="32" t="s">
        <v>1307</v>
      </c>
      <c r="D4351" s="43" t="s">
        <v>742</v>
      </c>
      <c r="E4351" s="33">
        <v>4.1500000000000004</v>
      </c>
      <c r="F4351" s="50">
        <v>2.4129999999999998</v>
      </c>
      <c r="G4351" s="50">
        <f t="shared" si="81"/>
        <v>10.013949999999999</v>
      </c>
      <c r="H4351" s="69"/>
      <c r="I4351" s="70"/>
      <c r="J4351" s="141">
        <v>0</v>
      </c>
    </row>
    <row r="4352" spans="1:10" ht="15.75" hidden="1" thickBot="1" x14ac:dyDescent="0.3">
      <c r="A4352" s="231"/>
      <c r="B4352" s="244"/>
      <c r="C4352" s="32" t="s">
        <v>706</v>
      </c>
      <c r="D4352" s="32" t="s">
        <v>705</v>
      </c>
      <c r="E4352" s="33">
        <v>9.7000000000000003E-2</v>
      </c>
      <c r="F4352" s="50">
        <v>18.420500000000001</v>
      </c>
      <c r="G4352" s="50">
        <f t="shared" si="81"/>
        <v>1.7867885000000001</v>
      </c>
      <c r="H4352" s="69"/>
      <c r="I4352" s="70"/>
      <c r="J4352" s="141">
        <v>0</v>
      </c>
    </row>
    <row r="4353" spans="1:10" ht="15.75" hidden="1" thickBot="1" x14ac:dyDescent="0.3">
      <c r="A4353" s="231"/>
      <c r="B4353" s="244"/>
      <c r="C4353" s="32" t="s">
        <v>1308</v>
      </c>
      <c r="D4353" s="32" t="s">
        <v>705</v>
      </c>
      <c r="E4353" s="33">
        <v>9.0999999999999998E-2</v>
      </c>
      <c r="F4353" s="50">
        <v>24.414999999999999</v>
      </c>
      <c r="G4353" s="50">
        <f t="shared" si="81"/>
        <v>2.221765</v>
      </c>
      <c r="H4353" s="69"/>
      <c r="I4353" s="70"/>
      <c r="J4353" s="141">
        <v>0</v>
      </c>
    </row>
    <row r="4354" spans="1:10" ht="26.25" hidden="1" thickBot="1" x14ac:dyDescent="0.3">
      <c r="A4354" s="231"/>
      <c r="B4354" s="244"/>
      <c r="C4354" s="32" t="s">
        <v>1309</v>
      </c>
      <c r="D4354" s="32" t="s">
        <v>945</v>
      </c>
      <c r="E4354" s="33">
        <v>8.9999999999999998E-4</v>
      </c>
      <c r="F4354" s="50">
        <v>20.415499999999998</v>
      </c>
      <c r="G4354" s="50">
        <f t="shared" si="81"/>
        <v>1.8373949999999997E-2</v>
      </c>
      <c r="H4354" s="69"/>
      <c r="I4354" s="70"/>
      <c r="J4354" s="141">
        <v>0</v>
      </c>
    </row>
    <row r="4355" spans="1:10" ht="26.25" hidden="1" thickBot="1" x14ac:dyDescent="0.3">
      <c r="A4355" s="231"/>
      <c r="B4355" s="244"/>
      <c r="C4355" s="32" t="s">
        <v>1310</v>
      </c>
      <c r="D4355" s="32" t="s">
        <v>947</v>
      </c>
      <c r="E4355" s="33">
        <v>1.2999999999999999E-3</v>
      </c>
      <c r="F4355" s="50">
        <v>19.731499999999997</v>
      </c>
      <c r="G4355" s="50">
        <f t="shared" si="81"/>
        <v>2.5650949999999995E-2</v>
      </c>
      <c r="H4355" s="69"/>
      <c r="I4355" s="70"/>
      <c r="J4355" s="141">
        <v>0</v>
      </c>
    </row>
    <row r="4356" spans="1:10" ht="15.75" hidden="1" thickBot="1" x14ac:dyDescent="0.3">
      <c r="A4356" s="232"/>
      <c r="B4356" s="230"/>
      <c r="C4356" s="51"/>
      <c r="D4356" s="51"/>
      <c r="E4356" s="62"/>
      <c r="F4356" s="72" t="s">
        <v>523</v>
      </c>
      <c r="G4356" s="72" t="str">
        <f t="shared" si="81"/>
        <v/>
      </c>
      <c r="H4356" s="73"/>
      <c r="I4356" s="70"/>
      <c r="J4356" s="141">
        <v>0</v>
      </c>
    </row>
    <row r="4357" spans="1:10" ht="15.75" hidden="1" thickBot="1" x14ac:dyDescent="0.3">
      <c r="A4357" s="225" t="s">
        <v>1311</v>
      </c>
      <c r="B4357" s="228" t="str">
        <f>INDEX(Orçamentária!A:B,MATCH(Composições!A4357,Orçamentária!A:A,0),2)</f>
        <v>Cumeeira para telha metálica trapezoidal galvanizada - GR-40</v>
      </c>
      <c r="C4357" s="37"/>
      <c r="D4357" s="22" t="str">
        <f>TRIM(INDEX(Orçamentária!C:C,MATCH(Composições!A4357,Orçamentária!A:A,0),1))</f>
        <v>m</v>
      </c>
      <c r="E4357" s="23"/>
      <c r="F4357" s="45" t="s">
        <v>523</v>
      </c>
      <c r="G4357" s="24" t="str">
        <f t="shared" si="81"/>
        <v/>
      </c>
      <c r="H4357" s="25"/>
      <c r="I4357" s="26"/>
      <c r="J4357" s="141">
        <v>0</v>
      </c>
    </row>
    <row r="4358" spans="1:10" ht="15.75" hidden="1" thickBot="1" x14ac:dyDescent="0.3">
      <c r="A4358" s="231"/>
      <c r="B4358" s="244"/>
      <c r="C4358" s="28"/>
      <c r="D4358" s="28"/>
      <c r="E4358" s="29"/>
      <c r="F4358" s="50" t="s">
        <v>523</v>
      </c>
      <c r="G4358" s="50" t="str">
        <f t="shared" si="81"/>
        <v/>
      </c>
      <c r="H4358" s="69"/>
      <c r="I4358" s="70"/>
      <c r="J4358" s="141">
        <v>0</v>
      </c>
    </row>
    <row r="4359" spans="1:10" ht="39" hidden="1" thickBot="1" x14ac:dyDescent="0.3">
      <c r="A4359" s="231"/>
      <c r="B4359" s="244"/>
      <c r="C4359" s="32" t="s">
        <v>1307</v>
      </c>
      <c r="D4359" s="43" t="s">
        <v>742</v>
      </c>
      <c r="E4359" s="33">
        <v>4.1500000000000004</v>
      </c>
      <c r="F4359" s="50">
        <v>2.4129999999999998</v>
      </c>
      <c r="G4359" s="50">
        <f t="shared" si="81"/>
        <v>10.013949999999999</v>
      </c>
      <c r="H4359" s="35">
        <f>SUM(G4359:G4364)</f>
        <v>12.911596299999999</v>
      </c>
      <c r="I4359" s="36"/>
      <c r="J4359" s="141">
        <v>0</v>
      </c>
    </row>
    <row r="4360" spans="1:10" ht="15.75" hidden="1" thickBot="1" x14ac:dyDescent="0.3">
      <c r="A4360" s="231"/>
      <c r="B4360" s="244"/>
      <c r="C4360" s="32" t="s">
        <v>3545</v>
      </c>
      <c r="D4360" s="32" t="s">
        <v>93</v>
      </c>
      <c r="E4360" s="33">
        <v>1.0289999999999999</v>
      </c>
      <c r="F4360" s="50" t="s">
        <v>523</v>
      </c>
      <c r="G4360" s="50" t="str">
        <f t="shared" si="81"/>
        <v/>
      </c>
      <c r="H4360" s="69"/>
      <c r="I4360" s="70"/>
      <c r="J4360" s="141">
        <v>0</v>
      </c>
    </row>
    <row r="4361" spans="1:10" ht="15.75" hidden="1" thickBot="1" x14ac:dyDescent="0.3">
      <c r="A4361" s="231"/>
      <c r="B4361" s="244"/>
      <c r="C4361" s="32" t="s">
        <v>706</v>
      </c>
      <c r="D4361" s="32" t="s">
        <v>705</v>
      </c>
      <c r="E4361" s="33">
        <v>7.2999999999999995E-2</v>
      </c>
      <c r="F4361" s="50">
        <v>18.420500000000001</v>
      </c>
      <c r="G4361" s="50">
        <f t="shared" ref="G4361:G4424" si="82">IF(ISNUMBER(F4361),E4361*F4361,"")</f>
        <v>1.3446965</v>
      </c>
      <c r="H4361" s="69"/>
      <c r="I4361" s="70"/>
      <c r="J4361" s="141">
        <v>0</v>
      </c>
    </row>
    <row r="4362" spans="1:10" ht="15.75" hidden="1" thickBot="1" x14ac:dyDescent="0.3">
      <c r="A4362" s="231"/>
      <c r="B4362" s="244"/>
      <c r="C4362" s="32" t="s">
        <v>1308</v>
      </c>
      <c r="D4362" s="32" t="s">
        <v>705</v>
      </c>
      <c r="E4362" s="33">
        <v>0.06</v>
      </c>
      <c r="F4362" s="50">
        <v>24.414999999999999</v>
      </c>
      <c r="G4362" s="50">
        <f t="shared" si="82"/>
        <v>1.4648999999999999</v>
      </c>
      <c r="H4362" s="69"/>
      <c r="I4362" s="70"/>
      <c r="J4362" s="141">
        <v>0</v>
      </c>
    </row>
    <row r="4363" spans="1:10" ht="26.25" hidden="1" thickBot="1" x14ac:dyDescent="0.3">
      <c r="A4363" s="231"/>
      <c r="B4363" s="244"/>
      <c r="C4363" s="32" t="s">
        <v>1309</v>
      </c>
      <c r="D4363" s="32" t="s">
        <v>945</v>
      </c>
      <c r="E4363" s="33">
        <v>1.8E-3</v>
      </c>
      <c r="F4363" s="50">
        <v>20.415499999999998</v>
      </c>
      <c r="G4363" s="50">
        <f t="shared" si="82"/>
        <v>3.6747899999999993E-2</v>
      </c>
      <c r="H4363" s="69"/>
      <c r="I4363" s="70"/>
      <c r="J4363" s="141">
        <v>0</v>
      </c>
    </row>
    <row r="4364" spans="1:10" ht="26.25" hidden="1" thickBot="1" x14ac:dyDescent="0.3">
      <c r="A4364" s="231"/>
      <c r="B4364" s="244"/>
      <c r="C4364" s="32" t="s">
        <v>1310</v>
      </c>
      <c r="D4364" s="32" t="s">
        <v>947</v>
      </c>
      <c r="E4364" s="33">
        <v>2.5999999999999999E-3</v>
      </c>
      <c r="F4364" s="50">
        <v>19.731499999999997</v>
      </c>
      <c r="G4364" s="50">
        <f t="shared" si="82"/>
        <v>5.1301899999999991E-2</v>
      </c>
      <c r="H4364" s="69"/>
      <c r="I4364" s="70"/>
      <c r="J4364" s="141">
        <v>0</v>
      </c>
    </row>
    <row r="4365" spans="1:10" ht="15.75" hidden="1" thickBot="1" x14ac:dyDescent="0.3">
      <c r="A4365" s="232"/>
      <c r="B4365" s="230"/>
      <c r="C4365" s="51"/>
      <c r="D4365" s="51"/>
      <c r="E4365" s="62"/>
      <c r="F4365" s="72" t="s">
        <v>523</v>
      </c>
      <c r="G4365" s="72" t="str">
        <f t="shared" si="82"/>
        <v/>
      </c>
      <c r="H4365" s="73"/>
      <c r="I4365" s="70"/>
      <c r="J4365" s="141">
        <v>0</v>
      </c>
    </row>
    <row r="4366" spans="1:10" ht="15.75" hidden="1" thickBot="1" x14ac:dyDescent="0.3">
      <c r="A4366" s="225" t="s">
        <v>1312</v>
      </c>
      <c r="B4366" s="228" t="str">
        <f>INDEX(Orçamentária!A:B,MATCH(Composições!A4366,Orçamentária!A:A,0),2)</f>
        <v>Telha metálica trapezoidal galvanizada - GR-25</v>
      </c>
      <c r="C4366" s="37"/>
      <c r="D4366" s="22" t="str">
        <f>TRIM(INDEX(Orçamentária!C:C,MATCH(Composições!A4366,Orçamentária!A:A,0),1))</f>
        <v>m2</v>
      </c>
      <c r="E4366" s="23"/>
      <c r="F4366" s="45" t="s">
        <v>523</v>
      </c>
      <c r="G4366" s="24" t="str">
        <f t="shared" si="82"/>
        <v/>
      </c>
      <c r="H4366" s="25"/>
      <c r="I4366" s="26"/>
      <c r="J4366" s="141">
        <v>0</v>
      </c>
    </row>
    <row r="4367" spans="1:10" ht="15.75" hidden="1" thickBot="1" x14ac:dyDescent="0.3">
      <c r="A4367" s="231"/>
      <c r="B4367" s="244"/>
      <c r="C4367" s="28"/>
      <c r="D4367" s="28"/>
      <c r="E4367" s="29"/>
      <c r="F4367" s="50" t="s">
        <v>523</v>
      </c>
      <c r="G4367" s="50" t="str">
        <f t="shared" si="82"/>
        <v/>
      </c>
      <c r="H4367" s="69"/>
      <c r="I4367" s="70"/>
      <c r="J4367" s="141">
        <v>0</v>
      </c>
    </row>
    <row r="4368" spans="1:10" ht="26.25" hidden="1" thickBot="1" x14ac:dyDescent="0.3">
      <c r="A4368" s="231"/>
      <c r="B4368" s="244"/>
      <c r="C4368" s="32" t="s">
        <v>1313</v>
      </c>
      <c r="D4368" s="43" t="s">
        <v>995</v>
      </c>
      <c r="E4368" s="33">
        <v>1.1659999999999999</v>
      </c>
      <c r="F4368" s="50" t="s">
        <v>523</v>
      </c>
      <c r="G4368" s="50" t="str">
        <f t="shared" si="82"/>
        <v/>
      </c>
      <c r="H4368" s="35">
        <f>SUM(G4368:G4373)</f>
        <v>14.066528399999999</v>
      </c>
      <c r="I4368" s="36"/>
      <c r="J4368" s="141">
        <v>0</v>
      </c>
    </row>
    <row r="4369" spans="1:10" ht="39" hidden="1" thickBot="1" x14ac:dyDescent="0.3">
      <c r="A4369" s="231"/>
      <c r="B4369" s="244"/>
      <c r="C4369" s="32" t="s">
        <v>1307</v>
      </c>
      <c r="D4369" s="43" t="s">
        <v>742</v>
      </c>
      <c r="E4369" s="33">
        <v>4.1500000000000004</v>
      </c>
      <c r="F4369" s="50">
        <v>2.4129999999999998</v>
      </c>
      <c r="G4369" s="50">
        <f t="shared" si="82"/>
        <v>10.013949999999999</v>
      </c>
      <c r="H4369" s="69"/>
      <c r="I4369" s="70"/>
      <c r="J4369" s="141">
        <v>0</v>
      </c>
    </row>
    <row r="4370" spans="1:10" ht="15.75" hidden="1" thickBot="1" x14ac:dyDescent="0.3">
      <c r="A4370" s="231"/>
      <c r="B4370" s="244"/>
      <c r="C4370" s="32" t="s">
        <v>706</v>
      </c>
      <c r="D4370" s="32" t="s">
        <v>705</v>
      </c>
      <c r="E4370" s="33">
        <v>9.7000000000000003E-2</v>
      </c>
      <c r="F4370" s="50">
        <v>18.420500000000001</v>
      </c>
      <c r="G4370" s="50">
        <f t="shared" si="82"/>
        <v>1.7867885000000001</v>
      </c>
      <c r="H4370" s="69"/>
      <c r="I4370" s="70"/>
      <c r="J4370" s="141">
        <v>0</v>
      </c>
    </row>
    <row r="4371" spans="1:10" ht="15.75" hidden="1" thickBot="1" x14ac:dyDescent="0.3">
      <c r="A4371" s="231"/>
      <c r="B4371" s="244"/>
      <c r="C4371" s="32" t="s">
        <v>1308</v>
      </c>
      <c r="D4371" s="32" t="s">
        <v>705</v>
      </c>
      <c r="E4371" s="33">
        <v>9.0999999999999998E-2</v>
      </c>
      <c r="F4371" s="50">
        <v>24.414999999999999</v>
      </c>
      <c r="G4371" s="50">
        <f t="shared" si="82"/>
        <v>2.221765</v>
      </c>
      <c r="H4371" s="69"/>
      <c r="I4371" s="70"/>
      <c r="J4371" s="141">
        <v>0</v>
      </c>
    </row>
    <row r="4372" spans="1:10" ht="26.25" hidden="1" thickBot="1" x14ac:dyDescent="0.3">
      <c r="A4372" s="231"/>
      <c r="B4372" s="244"/>
      <c r="C4372" s="32" t="s">
        <v>1309</v>
      </c>
      <c r="D4372" s="32" t="s">
        <v>945</v>
      </c>
      <c r="E4372" s="33">
        <v>8.9999999999999998E-4</v>
      </c>
      <c r="F4372" s="50">
        <v>20.415499999999998</v>
      </c>
      <c r="G4372" s="50">
        <f t="shared" si="82"/>
        <v>1.8373949999999997E-2</v>
      </c>
      <c r="H4372" s="69"/>
      <c r="I4372" s="70"/>
      <c r="J4372" s="141">
        <v>0</v>
      </c>
    </row>
    <row r="4373" spans="1:10" ht="26.25" hidden="1" thickBot="1" x14ac:dyDescent="0.3">
      <c r="A4373" s="231"/>
      <c r="B4373" s="244"/>
      <c r="C4373" s="32" t="s">
        <v>1310</v>
      </c>
      <c r="D4373" s="32" t="s">
        <v>947</v>
      </c>
      <c r="E4373" s="33">
        <v>1.2999999999999999E-3</v>
      </c>
      <c r="F4373" s="50">
        <v>19.731499999999997</v>
      </c>
      <c r="G4373" s="50">
        <f t="shared" si="82"/>
        <v>2.5650949999999995E-2</v>
      </c>
      <c r="H4373" s="69"/>
      <c r="I4373" s="70"/>
      <c r="J4373" s="141">
        <v>0</v>
      </c>
    </row>
    <row r="4374" spans="1:10" ht="15.75" hidden="1" thickBot="1" x14ac:dyDescent="0.3">
      <c r="A4374" s="232"/>
      <c r="B4374" s="230"/>
      <c r="C4374" s="51"/>
      <c r="D4374" s="51"/>
      <c r="E4374" s="62"/>
      <c r="F4374" s="72" t="s">
        <v>523</v>
      </c>
      <c r="G4374" s="72" t="str">
        <f t="shared" si="82"/>
        <v/>
      </c>
      <c r="H4374" s="73"/>
      <c r="I4374" s="70"/>
      <c r="J4374" s="141">
        <v>0</v>
      </c>
    </row>
    <row r="4375" spans="1:10" ht="15.75" hidden="1" thickBot="1" x14ac:dyDescent="0.3">
      <c r="A4375" s="225" t="s">
        <v>1314</v>
      </c>
      <c r="B4375" s="228" t="str">
        <f>INDEX(Orçamentária!A:B,MATCH(Composições!A4375,Orçamentária!A:A,0),2)</f>
        <v>Cumeeira para telha metálica trapezoidal galvanizada - GR-25</v>
      </c>
      <c r="C4375" s="37"/>
      <c r="D4375" s="22" t="str">
        <f>TRIM(INDEX(Orçamentária!C:C,MATCH(Composições!A4375,Orçamentária!A:A,0),1))</f>
        <v>m</v>
      </c>
      <c r="E4375" s="23"/>
      <c r="F4375" s="45" t="s">
        <v>523</v>
      </c>
      <c r="G4375" s="24" t="str">
        <f t="shared" si="82"/>
        <v/>
      </c>
      <c r="H4375" s="25"/>
      <c r="I4375" s="26"/>
      <c r="J4375" s="141">
        <v>0</v>
      </c>
    </row>
    <row r="4376" spans="1:10" ht="15.75" hidden="1" thickBot="1" x14ac:dyDescent="0.3">
      <c r="A4376" s="231"/>
      <c r="B4376" s="244"/>
      <c r="C4376" s="28"/>
      <c r="D4376" s="28"/>
      <c r="E4376" s="29"/>
      <c r="F4376" s="50" t="s">
        <v>523</v>
      </c>
      <c r="G4376" s="50" t="str">
        <f t="shared" si="82"/>
        <v/>
      </c>
      <c r="H4376" s="69"/>
      <c r="I4376" s="70"/>
      <c r="J4376" s="141">
        <v>0</v>
      </c>
    </row>
    <row r="4377" spans="1:10" ht="39" hidden="1" thickBot="1" x14ac:dyDescent="0.3">
      <c r="A4377" s="231"/>
      <c r="B4377" s="244"/>
      <c r="C4377" s="32" t="s">
        <v>1307</v>
      </c>
      <c r="D4377" s="43" t="s">
        <v>742</v>
      </c>
      <c r="E4377" s="33">
        <v>4.1500000000000004</v>
      </c>
      <c r="F4377" s="50">
        <v>2.4129999999999998</v>
      </c>
      <c r="G4377" s="50">
        <f t="shared" si="82"/>
        <v>10.013949999999999</v>
      </c>
      <c r="H4377" s="35">
        <f>SUM(G4377:G4382)</f>
        <v>12.911596299999999</v>
      </c>
      <c r="I4377" s="36"/>
      <c r="J4377" s="141">
        <v>0</v>
      </c>
    </row>
    <row r="4378" spans="1:10" ht="15.75" hidden="1" thickBot="1" x14ac:dyDescent="0.3">
      <c r="A4378" s="231"/>
      <c r="B4378" s="244"/>
      <c r="C4378" s="32" t="s">
        <v>3544</v>
      </c>
      <c r="D4378" s="32" t="s">
        <v>93</v>
      </c>
      <c r="E4378" s="33">
        <v>1.0289999999999999</v>
      </c>
      <c r="F4378" s="50" t="s">
        <v>523</v>
      </c>
      <c r="G4378" s="50" t="str">
        <f t="shared" si="82"/>
        <v/>
      </c>
      <c r="H4378" s="69"/>
      <c r="I4378" s="70"/>
      <c r="J4378" s="141">
        <v>0</v>
      </c>
    </row>
    <row r="4379" spans="1:10" ht="15.75" hidden="1" thickBot="1" x14ac:dyDescent="0.3">
      <c r="A4379" s="231"/>
      <c r="B4379" s="244"/>
      <c r="C4379" s="32" t="s">
        <v>706</v>
      </c>
      <c r="D4379" s="32" t="s">
        <v>705</v>
      </c>
      <c r="E4379" s="33">
        <v>7.2999999999999995E-2</v>
      </c>
      <c r="F4379" s="50">
        <v>18.420500000000001</v>
      </c>
      <c r="G4379" s="50">
        <f t="shared" si="82"/>
        <v>1.3446965</v>
      </c>
      <c r="H4379" s="69"/>
      <c r="I4379" s="70"/>
      <c r="J4379" s="141">
        <v>0</v>
      </c>
    </row>
    <row r="4380" spans="1:10" ht="15.75" hidden="1" thickBot="1" x14ac:dyDescent="0.3">
      <c r="A4380" s="231"/>
      <c r="B4380" s="244"/>
      <c r="C4380" s="32" t="s">
        <v>1308</v>
      </c>
      <c r="D4380" s="32" t="s">
        <v>705</v>
      </c>
      <c r="E4380" s="33">
        <v>0.06</v>
      </c>
      <c r="F4380" s="50">
        <v>24.414999999999999</v>
      </c>
      <c r="G4380" s="50">
        <f t="shared" si="82"/>
        <v>1.4648999999999999</v>
      </c>
      <c r="H4380" s="69"/>
      <c r="I4380" s="70"/>
      <c r="J4380" s="141">
        <v>0</v>
      </c>
    </row>
    <row r="4381" spans="1:10" ht="26.25" hidden="1" thickBot="1" x14ac:dyDescent="0.3">
      <c r="A4381" s="231"/>
      <c r="B4381" s="244"/>
      <c r="C4381" s="32" t="s">
        <v>1309</v>
      </c>
      <c r="D4381" s="32" t="s">
        <v>945</v>
      </c>
      <c r="E4381" s="33">
        <v>1.8E-3</v>
      </c>
      <c r="F4381" s="50">
        <v>20.415499999999998</v>
      </c>
      <c r="G4381" s="50">
        <f t="shared" si="82"/>
        <v>3.6747899999999993E-2</v>
      </c>
      <c r="H4381" s="69"/>
      <c r="I4381" s="70"/>
      <c r="J4381" s="141">
        <v>0</v>
      </c>
    </row>
    <row r="4382" spans="1:10" ht="26.25" hidden="1" thickBot="1" x14ac:dyDescent="0.3">
      <c r="A4382" s="231"/>
      <c r="B4382" s="244"/>
      <c r="C4382" s="32" t="s">
        <v>1310</v>
      </c>
      <c r="D4382" s="32" t="s">
        <v>947</v>
      </c>
      <c r="E4382" s="33">
        <v>2.5999999999999999E-3</v>
      </c>
      <c r="F4382" s="50">
        <v>19.731499999999997</v>
      </c>
      <c r="G4382" s="50">
        <f t="shared" si="82"/>
        <v>5.1301899999999991E-2</v>
      </c>
      <c r="H4382" s="69"/>
      <c r="I4382" s="70"/>
      <c r="J4382" s="141">
        <v>0</v>
      </c>
    </row>
    <row r="4383" spans="1:10" ht="15.75" hidden="1" thickBot="1" x14ac:dyDescent="0.3">
      <c r="A4383" s="232"/>
      <c r="B4383" s="230"/>
      <c r="C4383" s="51"/>
      <c r="D4383" s="51"/>
      <c r="E4383" s="62"/>
      <c r="F4383" s="72" t="s">
        <v>523</v>
      </c>
      <c r="G4383" s="72" t="str">
        <f t="shared" si="82"/>
        <v/>
      </c>
      <c r="H4383" s="73"/>
      <c r="I4383" s="70"/>
      <c r="J4383" s="141">
        <v>0</v>
      </c>
    </row>
    <row r="4384" spans="1:10" ht="15.75" hidden="1" thickBot="1" x14ac:dyDescent="0.3">
      <c r="A4384" s="225" t="s">
        <v>1315</v>
      </c>
      <c r="B4384" s="228" t="str">
        <f>INDEX(Orçamentária!A:B,MATCH(Composições!A4384,Orçamentária!A:A,0),2)</f>
        <v>Telha de fibrocimento modulada - espessura 8mm</v>
      </c>
      <c r="C4384" s="37"/>
      <c r="D4384" s="22" t="str">
        <f>TRIM(INDEX(Orçamentária!C:C,MATCH(Composições!A4384,Orçamentária!A:A,0),1))</f>
        <v>m2</v>
      </c>
      <c r="E4384" s="23"/>
      <c r="F4384" s="45" t="s">
        <v>523</v>
      </c>
      <c r="G4384" s="24" t="str">
        <f t="shared" si="82"/>
        <v/>
      </c>
      <c r="H4384" s="25"/>
      <c r="I4384" s="26"/>
      <c r="J4384" s="141">
        <v>0</v>
      </c>
    </row>
    <row r="4385" spans="1:10" ht="15.75" hidden="1" thickBot="1" x14ac:dyDescent="0.3">
      <c r="A4385" s="231"/>
      <c r="B4385" s="244"/>
      <c r="C4385" s="28"/>
      <c r="D4385" s="28"/>
      <c r="E4385" s="29"/>
      <c r="F4385" s="50" t="s">
        <v>523</v>
      </c>
      <c r="G4385" s="50" t="str">
        <f t="shared" si="82"/>
        <v/>
      </c>
      <c r="H4385" s="69"/>
      <c r="I4385" s="70"/>
      <c r="J4385" s="141">
        <v>0</v>
      </c>
    </row>
    <row r="4386" spans="1:10" ht="15.75" hidden="1" thickBot="1" x14ac:dyDescent="0.3">
      <c r="A4386" s="231"/>
      <c r="B4386" s="244"/>
      <c r="C4386" s="32" t="s">
        <v>1308</v>
      </c>
      <c r="D4386" s="32" t="s">
        <v>12</v>
      </c>
      <c r="E4386" s="33">
        <v>0.3</v>
      </c>
      <c r="F4386" s="50">
        <v>24.414999999999999</v>
      </c>
      <c r="G4386" s="50">
        <f t="shared" si="82"/>
        <v>7.3244999999999996</v>
      </c>
      <c r="H4386" s="35">
        <f>SUM(G4386:G4392)</f>
        <v>18.376799999999999</v>
      </c>
      <c r="I4386" s="36"/>
      <c r="J4386" s="141">
        <v>0</v>
      </c>
    </row>
    <row r="4387" spans="1:10" ht="15.75" hidden="1" thickBot="1" x14ac:dyDescent="0.3">
      <c r="A4387" s="231"/>
      <c r="B4387" s="244"/>
      <c r="C4387" s="32" t="s">
        <v>706</v>
      </c>
      <c r="D4387" s="32" t="s">
        <v>12</v>
      </c>
      <c r="E4387" s="33">
        <v>0.6</v>
      </c>
      <c r="F4387" s="50">
        <v>18.420500000000001</v>
      </c>
      <c r="G4387" s="50">
        <f t="shared" si="82"/>
        <v>11.052300000000001</v>
      </c>
      <c r="H4387" s="69"/>
      <c r="I4387" s="70"/>
      <c r="J4387" s="141">
        <v>0</v>
      </c>
    </row>
    <row r="4388" spans="1:10" ht="15.75" hidden="1" thickBot="1" x14ac:dyDescent="0.3">
      <c r="A4388" s="231"/>
      <c r="B4388" s="244"/>
      <c r="C4388" s="32" t="s">
        <v>1316</v>
      </c>
      <c r="D4388" s="32" t="s">
        <v>280</v>
      </c>
      <c r="E4388" s="33">
        <v>1.1100000000000001</v>
      </c>
      <c r="F4388" s="50">
        <v>0</v>
      </c>
      <c r="G4388" s="50">
        <f t="shared" si="82"/>
        <v>0</v>
      </c>
      <c r="H4388" s="69"/>
      <c r="I4388" s="70"/>
      <c r="J4388" s="141">
        <v>0</v>
      </c>
    </row>
    <row r="4389" spans="1:10" ht="15.75" hidden="1" thickBot="1" x14ac:dyDescent="0.3">
      <c r="A4389" s="231"/>
      <c r="B4389" s="244"/>
      <c r="C4389" s="32" t="s">
        <v>1317</v>
      </c>
      <c r="D4389" s="32" t="s">
        <v>95</v>
      </c>
      <c r="E4389" s="33">
        <v>1.24</v>
      </c>
      <c r="F4389" s="50">
        <v>0</v>
      </c>
      <c r="G4389" s="50">
        <f t="shared" si="82"/>
        <v>0</v>
      </c>
      <c r="H4389" s="69"/>
      <c r="I4389" s="70"/>
      <c r="J4389" s="141">
        <v>0</v>
      </c>
    </row>
    <row r="4390" spans="1:10" ht="26.25" hidden="1" thickBot="1" x14ac:dyDescent="0.3">
      <c r="A4390" s="231"/>
      <c r="B4390" s="244"/>
      <c r="C4390" s="32" t="s">
        <v>1318</v>
      </c>
      <c r="D4390" s="32" t="s">
        <v>280</v>
      </c>
      <c r="E4390" s="33">
        <v>1.1100000000000001</v>
      </c>
      <c r="F4390" s="50">
        <v>0</v>
      </c>
      <c r="G4390" s="50">
        <f t="shared" si="82"/>
        <v>0</v>
      </c>
      <c r="H4390" s="69"/>
      <c r="I4390" s="70"/>
      <c r="J4390" s="141">
        <v>0</v>
      </c>
    </row>
    <row r="4391" spans="1:10" ht="15.75" hidden="1" thickBot="1" x14ac:dyDescent="0.3">
      <c r="A4391" s="231"/>
      <c r="B4391" s="244"/>
      <c r="C4391" s="32" t="s">
        <v>1319</v>
      </c>
      <c r="D4391" s="32" t="s">
        <v>280</v>
      </c>
      <c r="E4391" s="33">
        <v>1</v>
      </c>
      <c r="F4391" s="50">
        <v>0</v>
      </c>
      <c r="G4391" s="50">
        <f t="shared" si="82"/>
        <v>0</v>
      </c>
      <c r="H4391" s="69"/>
      <c r="I4391" s="70"/>
      <c r="J4391" s="141">
        <v>0</v>
      </c>
    </row>
    <row r="4392" spans="1:10" ht="15.75" hidden="1" thickBot="1" x14ac:dyDescent="0.3">
      <c r="A4392" s="231"/>
      <c r="B4392" s="244"/>
      <c r="C4392" s="32" t="s">
        <v>1320</v>
      </c>
      <c r="D4392" s="32" t="s">
        <v>280</v>
      </c>
      <c r="E4392" s="33">
        <v>1.1100000000000001</v>
      </c>
      <c r="F4392" s="50">
        <v>0</v>
      </c>
      <c r="G4392" s="50">
        <f t="shared" si="82"/>
        <v>0</v>
      </c>
      <c r="H4392" s="69"/>
      <c r="I4392" s="70"/>
      <c r="J4392" s="141">
        <v>0</v>
      </c>
    </row>
    <row r="4393" spans="1:10" ht="15.75" hidden="1" thickBot="1" x14ac:dyDescent="0.3">
      <c r="A4393" s="232"/>
      <c r="B4393" s="230"/>
      <c r="C4393" s="51"/>
      <c r="D4393" s="51"/>
      <c r="E4393" s="62"/>
      <c r="F4393" s="72" t="s">
        <v>523</v>
      </c>
      <c r="G4393" s="72" t="str">
        <f t="shared" si="82"/>
        <v/>
      </c>
      <c r="H4393" s="73"/>
      <c r="I4393" s="70"/>
      <c r="J4393" s="141">
        <v>0</v>
      </c>
    </row>
    <row r="4394" spans="1:10" ht="15.75" hidden="1" thickBot="1" x14ac:dyDescent="0.3">
      <c r="A4394" s="225" t="s">
        <v>1321</v>
      </c>
      <c r="B4394" s="228" t="str">
        <f>INDEX(Orçamentária!A:B,MATCH(Composições!A4394,Orçamentária!A:A,0),2)</f>
        <v>Cumeeira articulada ABA SUPERIOR de fibrocimento para telha modulada - espessura 6 mm</v>
      </c>
      <c r="C4394" s="37"/>
      <c r="D4394" s="22" t="str">
        <f>TRIM(INDEX(Orçamentária!C:C,MATCH(Composições!A4394,Orçamentária!A:A,0),1))</f>
        <v>m</v>
      </c>
      <c r="E4394" s="23"/>
      <c r="F4394" s="45" t="s">
        <v>523</v>
      </c>
      <c r="G4394" s="24" t="str">
        <f t="shared" si="82"/>
        <v/>
      </c>
      <c r="H4394" s="25"/>
      <c r="I4394" s="26"/>
      <c r="J4394" s="141">
        <v>0</v>
      </c>
    </row>
    <row r="4395" spans="1:10" ht="15.75" hidden="1" thickBot="1" x14ac:dyDescent="0.3">
      <c r="A4395" s="231"/>
      <c r="B4395" s="244"/>
      <c r="C4395" s="28"/>
      <c r="D4395" s="28"/>
      <c r="E4395" s="29"/>
      <c r="F4395" s="50" t="s">
        <v>523</v>
      </c>
      <c r="G4395" s="50" t="str">
        <f t="shared" si="82"/>
        <v/>
      </c>
      <c r="H4395" s="69"/>
      <c r="I4395" s="70"/>
      <c r="J4395" s="141">
        <v>0</v>
      </c>
    </row>
    <row r="4396" spans="1:10" ht="15.75" hidden="1" thickBot="1" x14ac:dyDescent="0.3">
      <c r="A4396" s="231"/>
      <c r="B4396" s="244"/>
      <c r="C4396" s="32" t="s">
        <v>1308</v>
      </c>
      <c r="D4396" s="32" t="s">
        <v>12</v>
      </c>
      <c r="E4396" s="33">
        <f>0.12/2</f>
        <v>0.06</v>
      </c>
      <c r="F4396" s="50">
        <v>24.414999999999999</v>
      </c>
      <c r="G4396" s="50">
        <f t="shared" si="82"/>
        <v>1.4648999999999999</v>
      </c>
      <c r="H4396" s="35">
        <f>SUM(G4396:G4400)</f>
        <v>2.5701299999999998</v>
      </c>
      <c r="I4396" s="36"/>
      <c r="J4396" s="141">
        <v>0</v>
      </c>
    </row>
    <row r="4397" spans="1:10" ht="15.75" hidden="1" thickBot="1" x14ac:dyDescent="0.3">
      <c r="A4397" s="231"/>
      <c r="B4397" s="244"/>
      <c r="C4397" s="32" t="s">
        <v>706</v>
      </c>
      <c r="D4397" s="32" t="s">
        <v>12</v>
      </c>
      <c r="E4397" s="33">
        <f>0.12/2</f>
        <v>0.06</v>
      </c>
      <c r="F4397" s="50">
        <v>18.420500000000001</v>
      </c>
      <c r="G4397" s="50">
        <f t="shared" si="82"/>
        <v>1.1052299999999999</v>
      </c>
      <c r="H4397" s="69"/>
      <c r="I4397" s="70"/>
      <c r="J4397" s="141">
        <v>0</v>
      </c>
    </row>
    <row r="4398" spans="1:10" ht="15.75" hidden="1" thickBot="1" x14ac:dyDescent="0.3">
      <c r="A4398" s="231"/>
      <c r="B4398" s="244"/>
      <c r="C4398" s="32" t="s">
        <v>1316</v>
      </c>
      <c r="D4398" s="32" t="s">
        <v>280</v>
      </c>
      <c r="E4398" s="33">
        <f>4.12/2</f>
        <v>2.06</v>
      </c>
      <c r="F4398" s="50">
        <v>0</v>
      </c>
      <c r="G4398" s="50">
        <f t="shared" si="82"/>
        <v>0</v>
      </c>
      <c r="H4398" s="69"/>
      <c r="I4398" s="70"/>
      <c r="J4398" s="141">
        <v>0</v>
      </c>
    </row>
    <row r="4399" spans="1:10" ht="26.25" hidden="1" thickBot="1" x14ac:dyDescent="0.3">
      <c r="A4399" s="231"/>
      <c r="B4399" s="244"/>
      <c r="C4399" s="32" t="s">
        <v>1322</v>
      </c>
      <c r="D4399" s="32" t="s">
        <v>280</v>
      </c>
      <c r="E4399" s="33">
        <v>2.06</v>
      </c>
      <c r="F4399" s="50">
        <v>0</v>
      </c>
      <c r="G4399" s="50">
        <f t="shared" si="82"/>
        <v>0</v>
      </c>
      <c r="H4399" s="69"/>
      <c r="I4399" s="70"/>
      <c r="J4399" s="141">
        <v>0</v>
      </c>
    </row>
    <row r="4400" spans="1:10" ht="15.75" hidden="1" thickBot="1" x14ac:dyDescent="0.3">
      <c r="A4400" s="231"/>
      <c r="B4400" s="244"/>
      <c r="C4400" s="32" t="s">
        <v>1320</v>
      </c>
      <c r="D4400" s="32" t="s">
        <v>280</v>
      </c>
      <c r="E4400" s="33">
        <f>4.12/2</f>
        <v>2.06</v>
      </c>
      <c r="F4400" s="50">
        <v>0</v>
      </c>
      <c r="G4400" s="50">
        <f t="shared" si="82"/>
        <v>0</v>
      </c>
      <c r="H4400" s="69"/>
      <c r="I4400" s="70"/>
      <c r="J4400" s="141">
        <v>0</v>
      </c>
    </row>
    <row r="4401" spans="1:10" ht="15.75" hidden="1" thickBot="1" x14ac:dyDescent="0.3">
      <c r="A4401" s="232"/>
      <c r="B4401" s="230"/>
      <c r="C4401" s="51"/>
      <c r="D4401" s="51"/>
      <c r="E4401" s="62"/>
      <c r="F4401" s="72" t="s">
        <v>523</v>
      </c>
      <c r="G4401" s="72" t="str">
        <f t="shared" si="82"/>
        <v/>
      </c>
      <c r="H4401" s="73"/>
      <c r="I4401" s="70"/>
      <c r="J4401" s="141">
        <v>0</v>
      </c>
    </row>
    <row r="4402" spans="1:10" ht="15.75" hidden="1" thickBot="1" x14ac:dyDescent="0.3">
      <c r="A4402" s="225" t="s">
        <v>1323</v>
      </c>
      <c r="B4402" s="228" t="str">
        <f>INDEX(Orçamentária!A:B,MATCH(Composições!A4402,Orçamentária!A:A,0),2)</f>
        <v>Cumeeira articulada ABA INFERIOR de fibrocimento para telha modulada - espessura 6 mm</v>
      </c>
      <c r="C4402" s="37"/>
      <c r="D4402" s="22" t="str">
        <f>TRIM(INDEX(Orçamentária!C:C,MATCH(Composições!A4402,Orçamentária!A:A,0),1))</f>
        <v>m</v>
      </c>
      <c r="E4402" s="23"/>
      <c r="F4402" s="45" t="s">
        <v>523</v>
      </c>
      <c r="G4402" s="24" t="str">
        <f t="shared" si="82"/>
        <v/>
      </c>
      <c r="H4402" s="25"/>
      <c r="I4402" s="26"/>
      <c r="J4402" s="141">
        <v>0</v>
      </c>
    </row>
    <row r="4403" spans="1:10" ht="15.75" hidden="1" thickBot="1" x14ac:dyDescent="0.3">
      <c r="A4403" s="231"/>
      <c r="B4403" s="244"/>
      <c r="C4403" s="28"/>
      <c r="D4403" s="28"/>
      <c r="E4403" s="29"/>
      <c r="F4403" s="50" t="s">
        <v>523</v>
      </c>
      <c r="G4403" s="50" t="str">
        <f t="shared" si="82"/>
        <v/>
      </c>
      <c r="H4403" s="69"/>
      <c r="I4403" s="70"/>
      <c r="J4403" s="141">
        <v>0</v>
      </c>
    </row>
    <row r="4404" spans="1:10" ht="15.75" hidden="1" thickBot="1" x14ac:dyDescent="0.3">
      <c r="A4404" s="231"/>
      <c r="B4404" s="244"/>
      <c r="C4404" s="32" t="s">
        <v>1308</v>
      </c>
      <c r="D4404" s="32" t="s">
        <v>12</v>
      </c>
      <c r="E4404" s="33">
        <f>0.12/2</f>
        <v>0.06</v>
      </c>
      <c r="F4404" s="50">
        <v>24.414999999999999</v>
      </c>
      <c r="G4404" s="50">
        <f t="shared" si="82"/>
        <v>1.4648999999999999</v>
      </c>
      <c r="H4404" s="35">
        <f>SUM(G4404:G4408)</f>
        <v>2.5701299999999998</v>
      </c>
      <c r="I4404" s="36"/>
      <c r="J4404" s="141">
        <v>0</v>
      </c>
    </row>
    <row r="4405" spans="1:10" ht="15.75" hidden="1" thickBot="1" x14ac:dyDescent="0.3">
      <c r="A4405" s="231"/>
      <c r="B4405" s="244"/>
      <c r="C4405" s="32" t="s">
        <v>706</v>
      </c>
      <c r="D4405" s="32" t="s">
        <v>12</v>
      </c>
      <c r="E4405" s="33">
        <f>0.12/2</f>
        <v>0.06</v>
      </c>
      <c r="F4405" s="50">
        <v>18.420500000000001</v>
      </c>
      <c r="G4405" s="50">
        <f t="shared" si="82"/>
        <v>1.1052299999999999</v>
      </c>
      <c r="H4405" s="69"/>
      <c r="I4405" s="70"/>
      <c r="J4405" s="141">
        <v>0</v>
      </c>
    </row>
    <row r="4406" spans="1:10" ht="15.75" hidden="1" thickBot="1" x14ac:dyDescent="0.3">
      <c r="A4406" s="231"/>
      <c r="B4406" s="244"/>
      <c r="C4406" s="32" t="s">
        <v>1316</v>
      </c>
      <c r="D4406" s="32" t="s">
        <v>280</v>
      </c>
      <c r="E4406" s="33">
        <f>4.12/2</f>
        <v>2.06</v>
      </c>
      <c r="F4406" s="50">
        <v>0</v>
      </c>
      <c r="G4406" s="50">
        <f t="shared" si="82"/>
        <v>0</v>
      </c>
      <c r="H4406" s="69"/>
      <c r="I4406" s="70"/>
      <c r="J4406" s="141">
        <v>0</v>
      </c>
    </row>
    <row r="4407" spans="1:10" ht="26.25" hidden="1" thickBot="1" x14ac:dyDescent="0.3">
      <c r="A4407" s="231"/>
      <c r="B4407" s="244"/>
      <c r="C4407" s="32" t="s">
        <v>1324</v>
      </c>
      <c r="D4407" s="32" t="s">
        <v>280</v>
      </c>
      <c r="E4407" s="33">
        <v>2.06</v>
      </c>
      <c r="F4407" s="50">
        <v>0</v>
      </c>
      <c r="G4407" s="50">
        <f t="shared" si="82"/>
        <v>0</v>
      </c>
      <c r="H4407" s="69"/>
      <c r="I4407" s="70"/>
      <c r="J4407" s="141">
        <v>0</v>
      </c>
    </row>
    <row r="4408" spans="1:10" ht="15.75" hidden="1" thickBot="1" x14ac:dyDescent="0.3">
      <c r="A4408" s="231"/>
      <c r="B4408" s="244"/>
      <c r="C4408" s="32" t="s">
        <v>1320</v>
      </c>
      <c r="D4408" s="32" t="s">
        <v>280</v>
      </c>
      <c r="E4408" s="33">
        <f>4.12/2</f>
        <v>2.06</v>
      </c>
      <c r="F4408" s="50">
        <v>0</v>
      </c>
      <c r="G4408" s="50">
        <f t="shared" si="82"/>
        <v>0</v>
      </c>
      <c r="H4408" s="69"/>
      <c r="I4408" s="70"/>
      <c r="J4408" s="141">
        <v>0</v>
      </c>
    </row>
    <row r="4409" spans="1:10" ht="15.75" hidden="1" thickBot="1" x14ac:dyDescent="0.3">
      <c r="A4409" s="232"/>
      <c r="B4409" s="230"/>
      <c r="C4409" s="51"/>
      <c r="D4409" s="51"/>
      <c r="E4409" s="62"/>
      <c r="F4409" s="72" t="s">
        <v>523</v>
      </c>
      <c r="G4409" s="72" t="str">
        <f t="shared" si="82"/>
        <v/>
      </c>
      <c r="H4409" s="73"/>
      <c r="I4409" s="70"/>
      <c r="J4409" s="141">
        <v>0</v>
      </c>
    </row>
    <row r="4410" spans="1:10" ht="15.75" hidden="1" thickBot="1" x14ac:dyDescent="0.3">
      <c r="A4410" s="225" t="s">
        <v>1325</v>
      </c>
      <c r="B4410" s="228" t="str">
        <f>INDEX(Orçamentária!A:B,MATCH(Composições!A4410,Orçamentária!A:A,0),2)</f>
        <v>Telha de fibrocimento ondulada - espessura 6mm</v>
      </c>
      <c r="C4410" s="37"/>
      <c r="D4410" s="22" t="str">
        <f>TRIM(INDEX(Orçamentária!C:C,MATCH(Composições!A4410,Orçamentária!A:A,0),1))</f>
        <v>m2</v>
      </c>
      <c r="E4410" s="23"/>
      <c r="F4410" s="45" t="s">
        <v>523</v>
      </c>
      <c r="G4410" s="24" t="str">
        <f t="shared" si="82"/>
        <v/>
      </c>
      <c r="H4410" s="25"/>
      <c r="I4410" s="26"/>
      <c r="J4410" s="141">
        <v>0</v>
      </c>
    </row>
    <row r="4411" spans="1:10" ht="15.75" hidden="1" thickBot="1" x14ac:dyDescent="0.3">
      <c r="A4411" s="231"/>
      <c r="B4411" s="244"/>
      <c r="C4411" s="28"/>
      <c r="D4411" s="28"/>
      <c r="E4411" s="29"/>
      <c r="F4411" s="50" t="s">
        <v>523</v>
      </c>
      <c r="G4411" s="50" t="str">
        <f t="shared" si="82"/>
        <v/>
      </c>
      <c r="H4411" s="69"/>
      <c r="I4411" s="70"/>
      <c r="J4411" s="141">
        <v>0</v>
      </c>
    </row>
    <row r="4412" spans="1:10" ht="39" hidden="1" thickBot="1" x14ac:dyDescent="0.3">
      <c r="A4412" s="231"/>
      <c r="B4412" s="244"/>
      <c r="C4412" s="32" t="s">
        <v>1326</v>
      </c>
      <c r="D4412" s="43" t="s">
        <v>742</v>
      </c>
      <c r="E4412" s="33">
        <v>1.27</v>
      </c>
      <c r="F4412" s="50">
        <v>0.32300000000000001</v>
      </c>
      <c r="G4412" s="50">
        <f t="shared" si="82"/>
        <v>0.41021000000000002</v>
      </c>
      <c r="H4412" s="35">
        <f>SUM(G4412:G4418)</f>
        <v>49.218419849999997</v>
      </c>
      <c r="I4412" s="36"/>
      <c r="J4412" s="141">
        <v>0</v>
      </c>
    </row>
    <row r="4413" spans="1:10" ht="26.25" hidden="1" thickBot="1" x14ac:dyDescent="0.3">
      <c r="A4413" s="231"/>
      <c r="B4413" s="244"/>
      <c r="C4413" s="32" t="s">
        <v>1327</v>
      </c>
      <c r="D4413" s="32" t="s">
        <v>280</v>
      </c>
      <c r="E4413" s="33">
        <v>1.27</v>
      </c>
      <c r="F4413" s="50">
        <v>4.8829999999999991</v>
      </c>
      <c r="G4413" s="50">
        <f t="shared" si="82"/>
        <v>6.2014099999999992</v>
      </c>
      <c r="H4413" s="69"/>
      <c r="I4413" s="70"/>
      <c r="J4413" s="141">
        <v>0</v>
      </c>
    </row>
    <row r="4414" spans="1:10" ht="26.25" hidden="1" thickBot="1" x14ac:dyDescent="0.3">
      <c r="A4414" s="231"/>
      <c r="B4414" s="244"/>
      <c r="C4414" s="32" t="s">
        <v>1328</v>
      </c>
      <c r="D4414" s="32" t="s">
        <v>995</v>
      </c>
      <c r="E4414" s="33">
        <v>1.2749999999999999</v>
      </c>
      <c r="F4414" s="50">
        <v>28.860999999999997</v>
      </c>
      <c r="G4414" s="50">
        <f t="shared" si="82"/>
        <v>36.797774999999994</v>
      </c>
      <c r="H4414" s="69"/>
      <c r="I4414" s="70"/>
      <c r="J4414" s="141">
        <v>0</v>
      </c>
    </row>
    <row r="4415" spans="1:10" ht="15.75" hidden="1" thickBot="1" x14ac:dyDescent="0.3">
      <c r="A4415" s="231"/>
      <c r="B4415" s="244"/>
      <c r="C4415" s="32" t="s">
        <v>706</v>
      </c>
      <c r="D4415" s="32" t="s">
        <v>705</v>
      </c>
      <c r="E4415" s="33">
        <v>0.15</v>
      </c>
      <c r="F4415" s="50">
        <v>18.420500000000001</v>
      </c>
      <c r="G4415" s="50">
        <f t="shared" si="82"/>
        <v>2.7630750000000002</v>
      </c>
      <c r="H4415" s="69"/>
      <c r="I4415" s="70"/>
      <c r="J4415" s="141">
        <v>0</v>
      </c>
    </row>
    <row r="4416" spans="1:10" ht="15.75" hidden="1" thickBot="1" x14ac:dyDescent="0.3">
      <c r="A4416" s="231"/>
      <c r="B4416" s="244"/>
      <c r="C4416" s="32" t="s">
        <v>1308</v>
      </c>
      <c r="D4416" s="32" t="s">
        <v>705</v>
      </c>
      <c r="E4416" s="33">
        <v>0.115</v>
      </c>
      <c r="F4416" s="50">
        <v>24.414999999999999</v>
      </c>
      <c r="G4416" s="50">
        <f t="shared" si="82"/>
        <v>2.807725</v>
      </c>
      <c r="H4416" s="69"/>
      <c r="I4416" s="70"/>
      <c r="J4416" s="141">
        <v>0</v>
      </c>
    </row>
    <row r="4417" spans="1:10" ht="26.25" hidden="1" thickBot="1" x14ac:dyDescent="0.3">
      <c r="A4417" s="231"/>
      <c r="B4417" s="244"/>
      <c r="C4417" s="32" t="s">
        <v>1309</v>
      </c>
      <c r="D4417" s="32" t="s">
        <v>945</v>
      </c>
      <c r="E4417" s="33">
        <v>5.0000000000000001E-3</v>
      </c>
      <c r="F4417" s="50">
        <v>20.415499999999998</v>
      </c>
      <c r="G4417" s="50">
        <f t="shared" si="82"/>
        <v>0.10207749999999999</v>
      </c>
      <c r="H4417" s="69"/>
      <c r="I4417" s="70"/>
      <c r="J4417" s="141">
        <v>0</v>
      </c>
    </row>
    <row r="4418" spans="1:10" ht="26.25" hidden="1" thickBot="1" x14ac:dyDescent="0.3">
      <c r="A4418" s="231"/>
      <c r="B4418" s="244"/>
      <c r="C4418" s="32" t="s">
        <v>1310</v>
      </c>
      <c r="D4418" s="32" t="s">
        <v>947</v>
      </c>
      <c r="E4418" s="33">
        <v>6.8999999999999999E-3</v>
      </c>
      <c r="F4418" s="50">
        <v>19.731499999999997</v>
      </c>
      <c r="G4418" s="50">
        <f t="shared" si="82"/>
        <v>0.13614734999999997</v>
      </c>
      <c r="H4418" s="69"/>
      <c r="I4418" s="70"/>
      <c r="J4418" s="141">
        <v>0</v>
      </c>
    </row>
    <row r="4419" spans="1:10" ht="15.75" hidden="1" thickBot="1" x14ac:dyDescent="0.3">
      <c r="A4419" s="232"/>
      <c r="B4419" s="230"/>
      <c r="C4419" s="51"/>
      <c r="D4419" s="51"/>
      <c r="E4419" s="62"/>
      <c r="F4419" s="72" t="s">
        <v>523</v>
      </c>
      <c r="G4419" s="72" t="str">
        <f t="shared" si="82"/>
        <v/>
      </c>
      <c r="H4419" s="73"/>
      <c r="I4419" s="70"/>
      <c r="J4419" s="141">
        <v>0</v>
      </c>
    </row>
    <row r="4420" spans="1:10" ht="15.75" hidden="1" thickBot="1" x14ac:dyDescent="0.3">
      <c r="A4420" s="225" t="s">
        <v>1329</v>
      </c>
      <c r="B4420" s="228" t="str">
        <f>INDEX(Orçamentária!A:B,MATCH(Composições!A4420,Orçamentária!A:A,0),2)</f>
        <v>Cumeeira UNIVERSAL para telha de fibrocimento ondulada - espessura 6 mm</v>
      </c>
      <c r="C4420" s="37"/>
      <c r="D4420" s="22" t="str">
        <f>TRIM(INDEX(Orçamentária!C:C,MATCH(Composições!A4420,Orçamentária!A:A,0),1))</f>
        <v>m</v>
      </c>
      <c r="E4420" s="23"/>
      <c r="F4420" s="45" t="s">
        <v>523</v>
      </c>
      <c r="G4420" s="24" t="str">
        <f t="shared" si="82"/>
        <v/>
      </c>
      <c r="H4420" s="25"/>
      <c r="I4420" s="26"/>
      <c r="J4420" s="141">
        <v>0</v>
      </c>
    </row>
    <row r="4421" spans="1:10" ht="15.75" hidden="1" thickBot="1" x14ac:dyDescent="0.3">
      <c r="A4421" s="231"/>
      <c r="B4421" s="244"/>
      <c r="C4421" s="28"/>
      <c r="D4421" s="28"/>
      <c r="E4421" s="29"/>
      <c r="F4421" s="50" t="s">
        <v>523</v>
      </c>
      <c r="G4421" s="50" t="str">
        <f t="shared" si="82"/>
        <v/>
      </c>
      <c r="H4421" s="69"/>
      <c r="I4421" s="70"/>
      <c r="J4421" s="141">
        <v>0</v>
      </c>
    </row>
    <row r="4422" spans="1:10" ht="39" hidden="1" thickBot="1" x14ac:dyDescent="0.3">
      <c r="A4422" s="231"/>
      <c r="B4422" s="244"/>
      <c r="C4422" s="32" t="s">
        <v>1326</v>
      </c>
      <c r="D4422" s="43" t="s">
        <v>742</v>
      </c>
      <c r="E4422" s="33">
        <v>4.2</v>
      </c>
      <c r="F4422" s="50">
        <v>0.32300000000000001</v>
      </c>
      <c r="G4422" s="50">
        <f t="shared" si="82"/>
        <v>1.3566</v>
      </c>
      <c r="H4422" s="35">
        <f>SUM(G4422:G4428)</f>
        <v>87.580209299999993</v>
      </c>
      <c r="I4422" s="36"/>
      <c r="J4422" s="141">
        <v>0</v>
      </c>
    </row>
    <row r="4423" spans="1:10" ht="26.25" hidden="1" thickBot="1" x14ac:dyDescent="0.3">
      <c r="A4423" s="231"/>
      <c r="B4423" s="244"/>
      <c r="C4423" s="32" t="s">
        <v>1327</v>
      </c>
      <c r="D4423" s="32" t="s">
        <v>280</v>
      </c>
      <c r="E4423" s="33">
        <v>4.2</v>
      </c>
      <c r="F4423" s="50">
        <v>4.8829999999999991</v>
      </c>
      <c r="G4423" s="50">
        <f t="shared" si="82"/>
        <v>20.508599999999998</v>
      </c>
      <c r="H4423" s="69"/>
      <c r="I4423" s="70"/>
      <c r="J4423" s="141">
        <v>0</v>
      </c>
    </row>
    <row r="4424" spans="1:10" ht="26.25" hidden="1" thickBot="1" x14ac:dyDescent="0.3">
      <c r="A4424" s="231"/>
      <c r="B4424" s="244"/>
      <c r="C4424" s="32" t="s">
        <v>1330</v>
      </c>
      <c r="D4424" s="32" t="s">
        <v>280</v>
      </c>
      <c r="E4424" s="33">
        <v>1.0289999999999999</v>
      </c>
      <c r="F4424" s="50">
        <v>61.047000000000004</v>
      </c>
      <c r="G4424" s="50">
        <f t="shared" si="82"/>
        <v>62.817363</v>
      </c>
      <c r="H4424" s="69"/>
      <c r="I4424" s="70"/>
      <c r="J4424" s="141">
        <v>0</v>
      </c>
    </row>
    <row r="4425" spans="1:10" ht="15.75" hidden="1" thickBot="1" x14ac:dyDescent="0.3">
      <c r="A4425" s="231"/>
      <c r="B4425" s="244"/>
      <c r="C4425" s="32" t="s">
        <v>706</v>
      </c>
      <c r="D4425" s="32" t="s">
        <v>705</v>
      </c>
      <c r="E4425" s="33">
        <v>7.2999999999999995E-2</v>
      </c>
      <c r="F4425" s="50">
        <v>18.420500000000001</v>
      </c>
      <c r="G4425" s="50">
        <f t="shared" ref="G4425:G4488" si="83">IF(ISNUMBER(F4425),E4425*F4425,"")</f>
        <v>1.3446965</v>
      </c>
      <c r="H4425" s="69"/>
      <c r="I4425" s="70"/>
      <c r="J4425" s="141">
        <v>0</v>
      </c>
    </row>
    <row r="4426" spans="1:10" ht="15.75" hidden="1" thickBot="1" x14ac:dyDescent="0.3">
      <c r="A4426" s="231"/>
      <c r="B4426" s="244"/>
      <c r="C4426" s="32" t="s">
        <v>1308</v>
      </c>
      <c r="D4426" s="32" t="s">
        <v>705</v>
      </c>
      <c r="E4426" s="33">
        <v>0.06</v>
      </c>
      <c r="F4426" s="50">
        <v>24.414999999999999</v>
      </c>
      <c r="G4426" s="50">
        <f t="shared" si="83"/>
        <v>1.4648999999999999</v>
      </c>
      <c r="H4426" s="69"/>
      <c r="I4426" s="70"/>
      <c r="J4426" s="141">
        <v>0</v>
      </c>
    </row>
    <row r="4427" spans="1:10" ht="26.25" hidden="1" thickBot="1" x14ac:dyDescent="0.3">
      <c r="A4427" s="231"/>
      <c r="B4427" s="244"/>
      <c r="C4427" s="32" t="s">
        <v>1309</v>
      </c>
      <c r="D4427" s="32" t="s">
        <v>945</v>
      </c>
      <c r="E4427" s="33">
        <v>1.8E-3</v>
      </c>
      <c r="F4427" s="50">
        <v>20.415499999999998</v>
      </c>
      <c r="G4427" s="50">
        <f t="shared" si="83"/>
        <v>3.6747899999999993E-2</v>
      </c>
      <c r="H4427" s="69"/>
      <c r="I4427" s="70"/>
      <c r="J4427" s="141">
        <v>0</v>
      </c>
    </row>
    <row r="4428" spans="1:10" ht="26.25" hidden="1" thickBot="1" x14ac:dyDescent="0.3">
      <c r="A4428" s="231"/>
      <c r="B4428" s="244"/>
      <c r="C4428" s="32" t="s">
        <v>1310</v>
      </c>
      <c r="D4428" s="32" t="s">
        <v>947</v>
      </c>
      <c r="E4428" s="33">
        <v>2.5999999999999999E-3</v>
      </c>
      <c r="F4428" s="50">
        <v>19.731499999999997</v>
      </c>
      <c r="G4428" s="50">
        <f t="shared" si="83"/>
        <v>5.1301899999999991E-2</v>
      </c>
      <c r="H4428" s="69"/>
      <c r="I4428" s="70"/>
      <c r="J4428" s="141">
        <v>0</v>
      </c>
    </row>
    <row r="4429" spans="1:10" ht="15.75" hidden="1" thickBot="1" x14ac:dyDescent="0.3">
      <c r="A4429" s="232"/>
      <c r="B4429" s="230"/>
      <c r="C4429" s="51"/>
      <c r="D4429" s="51"/>
      <c r="E4429" s="62"/>
      <c r="F4429" s="72" t="s">
        <v>523</v>
      </c>
      <c r="G4429" s="72" t="str">
        <f t="shared" si="83"/>
        <v/>
      </c>
      <c r="H4429" s="73"/>
      <c r="I4429" s="70"/>
      <c r="J4429" s="141">
        <v>0</v>
      </c>
    </row>
    <row r="4430" spans="1:10" ht="15.75" hidden="1" thickBot="1" x14ac:dyDescent="0.3">
      <c r="A4430" s="225" t="s">
        <v>1331</v>
      </c>
      <c r="B4430" s="228" t="str">
        <f>INDEX(Orçamentária!A:B,MATCH(Composições!A4430,Orçamentária!A:A,0),2)</f>
        <v>Cumeeira TIPO SHED para telha de fibrocimento ondulada - espessura 6 mm</v>
      </c>
      <c r="C4430" s="37"/>
      <c r="D4430" s="22" t="str">
        <f>TRIM(INDEX(Orçamentária!C:C,MATCH(Composições!A4430,Orçamentária!A:A,0),1))</f>
        <v>m</v>
      </c>
      <c r="E4430" s="23"/>
      <c r="F4430" s="45" t="s">
        <v>523</v>
      </c>
      <c r="G4430" s="24" t="str">
        <f t="shared" si="83"/>
        <v/>
      </c>
      <c r="H4430" s="25"/>
      <c r="I4430" s="26"/>
      <c r="J4430" s="141">
        <v>0</v>
      </c>
    </row>
    <row r="4431" spans="1:10" ht="15.75" hidden="1" thickBot="1" x14ac:dyDescent="0.3">
      <c r="A4431" s="231"/>
      <c r="B4431" s="244"/>
      <c r="C4431" s="28"/>
      <c r="D4431" s="28"/>
      <c r="E4431" s="29"/>
      <c r="F4431" s="50" t="s">
        <v>523</v>
      </c>
      <c r="G4431" s="50" t="str">
        <f t="shared" si="83"/>
        <v/>
      </c>
      <c r="H4431" s="69"/>
      <c r="I4431" s="70"/>
      <c r="J4431" s="141">
        <v>0</v>
      </c>
    </row>
    <row r="4432" spans="1:10" ht="39" hidden="1" thickBot="1" x14ac:dyDescent="0.3">
      <c r="A4432" s="231"/>
      <c r="B4432" s="244"/>
      <c r="C4432" s="32" t="s">
        <v>1326</v>
      </c>
      <c r="D4432" s="43" t="s">
        <v>742</v>
      </c>
      <c r="E4432" s="33">
        <v>4.2</v>
      </c>
      <c r="F4432" s="50">
        <v>0.32300000000000001</v>
      </c>
      <c r="G4432" s="50">
        <f t="shared" si="83"/>
        <v>1.3566</v>
      </c>
      <c r="H4432" s="35">
        <f>SUM(G4432:G4438)</f>
        <v>94.790889799999974</v>
      </c>
      <c r="I4432" s="36"/>
      <c r="J4432" s="141">
        <v>0</v>
      </c>
    </row>
    <row r="4433" spans="1:10" ht="26.25" hidden="1" thickBot="1" x14ac:dyDescent="0.3">
      <c r="A4433" s="231"/>
      <c r="B4433" s="244"/>
      <c r="C4433" s="32" t="s">
        <v>1327</v>
      </c>
      <c r="D4433" s="32" t="s">
        <v>280</v>
      </c>
      <c r="E4433" s="33">
        <v>4.2</v>
      </c>
      <c r="F4433" s="50">
        <v>4.8829999999999991</v>
      </c>
      <c r="G4433" s="50">
        <f t="shared" si="83"/>
        <v>20.508599999999998</v>
      </c>
      <c r="H4433" s="69"/>
      <c r="I4433" s="70"/>
      <c r="J4433" s="141">
        <v>0</v>
      </c>
    </row>
    <row r="4434" spans="1:10" ht="26.25" hidden="1" thickBot="1" x14ac:dyDescent="0.3">
      <c r="A4434" s="231"/>
      <c r="B4434" s="244"/>
      <c r="C4434" s="32" t="s">
        <v>1332</v>
      </c>
      <c r="D4434" s="32" t="s">
        <v>280</v>
      </c>
      <c r="E4434" s="33">
        <v>1.0289999999999999</v>
      </c>
      <c r="F4434" s="50">
        <v>68.827500000000001</v>
      </c>
      <c r="G4434" s="50">
        <f t="shared" si="83"/>
        <v>70.823497499999988</v>
      </c>
      <c r="H4434" s="69"/>
      <c r="I4434" s="70"/>
      <c r="J4434" s="141">
        <v>0</v>
      </c>
    </row>
    <row r="4435" spans="1:10" ht="15.75" hidden="1" thickBot="1" x14ac:dyDescent="0.3">
      <c r="A4435" s="231"/>
      <c r="B4435" s="244"/>
      <c r="C4435" s="32" t="s">
        <v>706</v>
      </c>
      <c r="D4435" s="32" t="s">
        <v>705</v>
      </c>
      <c r="E4435" s="33">
        <v>5.5E-2</v>
      </c>
      <c r="F4435" s="50">
        <v>18.420500000000001</v>
      </c>
      <c r="G4435" s="50">
        <f t="shared" si="83"/>
        <v>1.0131275</v>
      </c>
      <c r="H4435" s="69"/>
      <c r="I4435" s="70"/>
      <c r="J4435" s="141">
        <v>0</v>
      </c>
    </row>
    <row r="4436" spans="1:10" ht="15.75" hidden="1" thickBot="1" x14ac:dyDescent="0.3">
      <c r="A4436" s="231"/>
      <c r="B4436" s="244"/>
      <c r="C4436" s="32" t="s">
        <v>1308</v>
      </c>
      <c r="D4436" s="32" t="s">
        <v>705</v>
      </c>
      <c r="E4436" s="33">
        <v>4.1000000000000002E-2</v>
      </c>
      <c r="F4436" s="50">
        <v>24.414999999999999</v>
      </c>
      <c r="G4436" s="50">
        <f t="shared" si="83"/>
        <v>1.001015</v>
      </c>
      <c r="H4436" s="69"/>
      <c r="I4436" s="70"/>
      <c r="J4436" s="141">
        <v>0</v>
      </c>
    </row>
    <row r="4437" spans="1:10" ht="26.25" hidden="1" thickBot="1" x14ac:dyDescent="0.3">
      <c r="A4437" s="231"/>
      <c r="B4437" s="244"/>
      <c r="C4437" s="32" t="s">
        <v>1309</v>
      </c>
      <c r="D4437" s="32" t="s">
        <v>945</v>
      </c>
      <c r="E4437" s="33">
        <v>1.8E-3</v>
      </c>
      <c r="F4437" s="50">
        <v>20.415499999999998</v>
      </c>
      <c r="G4437" s="50">
        <f t="shared" si="83"/>
        <v>3.6747899999999993E-2</v>
      </c>
      <c r="H4437" s="69"/>
      <c r="I4437" s="70"/>
      <c r="J4437" s="141">
        <v>0</v>
      </c>
    </row>
    <row r="4438" spans="1:10" ht="26.25" hidden="1" thickBot="1" x14ac:dyDescent="0.3">
      <c r="A4438" s="231"/>
      <c r="B4438" s="244"/>
      <c r="C4438" s="32" t="s">
        <v>1310</v>
      </c>
      <c r="D4438" s="32" t="s">
        <v>947</v>
      </c>
      <c r="E4438" s="33">
        <v>2.5999999999999999E-3</v>
      </c>
      <c r="F4438" s="50">
        <v>19.731499999999997</v>
      </c>
      <c r="G4438" s="50">
        <f t="shared" si="83"/>
        <v>5.1301899999999991E-2</v>
      </c>
      <c r="H4438" s="69"/>
      <c r="I4438" s="70"/>
      <c r="J4438" s="141">
        <v>0</v>
      </c>
    </row>
    <row r="4439" spans="1:10" ht="15.75" hidden="1" thickBot="1" x14ac:dyDescent="0.3">
      <c r="A4439" s="232"/>
      <c r="B4439" s="230"/>
      <c r="C4439" s="51"/>
      <c r="D4439" s="51"/>
      <c r="E4439" s="62"/>
      <c r="F4439" s="72" t="s">
        <v>523</v>
      </c>
      <c r="G4439" s="72" t="str">
        <f t="shared" si="83"/>
        <v/>
      </c>
      <c r="H4439" s="73"/>
      <c r="I4439" s="70"/>
      <c r="J4439" s="141">
        <v>0</v>
      </c>
    </row>
    <row r="4440" spans="1:10" ht="15.75" hidden="1" thickBot="1" x14ac:dyDescent="0.3">
      <c r="A4440" s="225" t="s">
        <v>1333</v>
      </c>
      <c r="B4440" s="228" t="str">
        <f>INDEX(Orçamentária!A:B,MATCH(Composições!A4440,Orçamentária!A:A,0),2)</f>
        <v>Telha de fibrocimento - Canalete 49 Eternit</v>
      </c>
      <c r="C4440" s="37"/>
      <c r="D4440" s="22" t="str">
        <f>TRIM(INDEX(Orçamentária!C:C,MATCH(Composições!A4440,Orçamentária!A:A,0),1))</f>
        <v>m2</v>
      </c>
      <c r="E4440" s="23"/>
      <c r="F4440" s="45" t="s">
        <v>523</v>
      </c>
      <c r="G4440" s="24" t="str">
        <f t="shared" si="83"/>
        <v/>
      </c>
      <c r="H4440" s="25"/>
      <c r="I4440" s="26"/>
      <c r="J4440" s="141">
        <v>0</v>
      </c>
    </row>
    <row r="4441" spans="1:10" ht="15.75" hidden="1" thickBot="1" x14ac:dyDescent="0.3">
      <c r="A4441" s="231"/>
      <c r="B4441" s="244"/>
      <c r="C4441" s="28"/>
      <c r="D4441" s="28"/>
      <c r="E4441" s="29"/>
      <c r="F4441" s="50" t="s">
        <v>523</v>
      </c>
      <c r="G4441" s="50" t="str">
        <f t="shared" si="83"/>
        <v/>
      </c>
      <c r="H4441" s="69"/>
      <c r="I4441" s="70"/>
      <c r="J4441" s="141">
        <v>0</v>
      </c>
    </row>
    <row r="4442" spans="1:10" ht="15.75" hidden="1" thickBot="1" x14ac:dyDescent="0.3">
      <c r="A4442" s="231"/>
      <c r="B4442" s="244"/>
      <c r="C4442" s="32" t="s">
        <v>1308</v>
      </c>
      <c r="D4442" s="32" t="s">
        <v>12</v>
      </c>
      <c r="E4442" s="33">
        <v>0.15</v>
      </c>
      <c r="F4442" s="50">
        <v>24.414999999999999</v>
      </c>
      <c r="G4442" s="50">
        <f t="shared" si="83"/>
        <v>3.6622499999999998</v>
      </c>
      <c r="H4442" s="35">
        <f>SUM(G4442:G4446)</f>
        <v>6.425325</v>
      </c>
      <c r="I4442" s="36"/>
      <c r="J4442" s="141">
        <v>0</v>
      </c>
    </row>
    <row r="4443" spans="1:10" ht="15.75" hidden="1" thickBot="1" x14ac:dyDescent="0.3">
      <c r="A4443" s="231"/>
      <c r="B4443" s="244"/>
      <c r="C4443" s="32" t="s">
        <v>706</v>
      </c>
      <c r="D4443" s="32" t="s">
        <v>12</v>
      </c>
      <c r="E4443" s="33">
        <v>0.15</v>
      </c>
      <c r="F4443" s="50">
        <v>18.420500000000001</v>
      </c>
      <c r="G4443" s="50">
        <f t="shared" si="83"/>
        <v>2.7630750000000002</v>
      </c>
      <c r="H4443" s="69"/>
      <c r="I4443" s="70"/>
      <c r="J4443" s="141">
        <v>0</v>
      </c>
    </row>
    <row r="4444" spans="1:10" ht="15.75" hidden="1" thickBot="1" x14ac:dyDescent="0.3">
      <c r="A4444" s="231"/>
      <c r="B4444" s="244"/>
      <c r="C4444" s="32" t="s">
        <v>1316</v>
      </c>
      <c r="D4444" s="32" t="s">
        <v>280</v>
      </c>
      <c r="E4444" s="33">
        <v>4.12</v>
      </c>
      <c r="F4444" s="50">
        <v>0</v>
      </c>
      <c r="G4444" s="50">
        <f t="shared" si="83"/>
        <v>0</v>
      </c>
      <c r="H4444" s="69"/>
      <c r="I4444" s="70"/>
      <c r="J4444" s="141">
        <v>0</v>
      </c>
    </row>
    <row r="4445" spans="1:10" ht="15.75" hidden="1" thickBot="1" x14ac:dyDescent="0.3">
      <c r="A4445" s="231"/>
      <c r="B4445" s="244"/>
      <c r="C4445" s="32" t="s">
        <v>3540</v>
      </c>
      <c r="D4445" s="32" t="s">
        <v>95</v>
      </c>
      <c r="E4445" s="33">
        <v>1.06</v>
      </c>
      <c r="F4445" s="50">
        <v>0</v>
      </c>
      <c r="G4445" s="50">
        <f t="shared" si="83"/>
        <v>0</v>
      </c>
      <c r="H4445" s="69"/>
      <c r="I4445" s="70"/>
      <c r="J4445" s="141">
        <v>0</v>
      </c>
    </row>
    <row r="4446" spans="1:10" ht="15.75" hidden="1" thickBot="1" x14ac:dyDescent="0.3">
      <c r="A4446" s="231"/>
      <c r="B4446" s="244"/>
      <c r="C4446" s="32" t="s">
        <v>1334</v>
      </c>
      <c r="D4446" s="32" t="s">
        <v>280</v>
      </c>
      <c r="E4446" s="33">
        <v>4.12</v>
      </c>
      <c r="F4446" s="50">
        <v>0</v>
      </c>
      <c r="G4446" s="50">
        <f t="shared" si="83"/>
        <v>0</v>
      </c>
      <c r="H4446" s="69"/>
      <c r="I4446" s="70"/>
      <c r="J4446" s="141">
        <v>0</v>
      </c>
    </row>
    <row r="4447" spans="1:10" ht="15.75" hidden="1" thickBot="1" x14ac:dyDescent="0.3">
      <c r="A4447" s="232"/>
      <c r="B4447" s="230"/>
      <c r="C4447" s="51"/>
      <c r="D4447" s="51"/>
      <c r="E4447" s="62"/>
      <c r="F4447" s="72" t="s">
        <v>523</v>
      </c>
      <c r="G4447" s="72" t="str">
        <f t="shared" si="83"/>
        <v/>
      </c>
      <c r="H4447" s="73"/>
      <c r="I4447" s="70"/>
      <c r="J4447" s="141">
        <v>0</v>
      </c>
    </row>
    <row r="4448" spans="1:10" ht="15.75" hidden="1" thickBot="1" x14ac:dyDescent="0.3">
      <c r="A4448" s="239" t="s">
        <v>1335</v>
      </c>
      <c r="B4448" s="236" t="str">
        <f>INDEX(Orçamentária!A:B,MATCH(Composições!A4448,Orçamentária!A:A,0),2)</f>
        <v>Escada tipo marinheiro COM proteção</v>
      </c>
      <c r="C4448" s="37"/>
      <c r="D4448" s="22" t="str">
        <f>TRIM(INDEX(Orçamentária!C:C,MATCH(Composições!A4448,Orçamentária!A:A,0),1))</f>
        <v>m</v>
      </c>
      <c r="E4448" s="23"/>
      <c r="F4448" s="45" t="s">
        <v>523</v>
      </c>
      <c r="G4448" s="24" t="str">
        <f t="shared" si="83"/>
        <v/>
      </c>
      <c r="H4448" s="25"/>
      <c r="I4448" s="26"/>
      <c r="J4448" s="141">
        <v>0</v>
      </c>
    </row>
    <row r="4449" spans="1:10" ht="15.75" hidden="1" thickBot="1" x14ac:dyDescent="0.3">
      <c r="A4449" s="242"/>
      <c r="B4449" s="245"/>
      <c r="C4449" s="28"/>
      <c r="D4449" s="28"/>
      <c r="E4449" s="29"/>
      <c r="F4449" s="50" t="s">
        <v>523</v>
      </c>
      <c r="G4449" s="50" t="str">
        <f t="shared" si="83"/>
        <v/>
      </c>
      <c r="H4449" s="69"/>
      <c r="I4449" s="70"/>
      <c r="J4449" s="141">
        <v>0</v>
      </c>
    </row>
    <row r="4450" spans="1:10" ht="15.75" hidden="1" thickBot="1" x14ac:dyDescent="0.3">
      <c r="A4450" s="242"/>
      <c r="B4450" s="245"/>
      <c r="C4450" s="32" t="s">
        <v>773</v>
      </c>
      <c r="D4450" s="43" t="s">
        <v>901</v>
      </c>
      <c r="E4450" s="33">
        <v>2.8</v>
      </c>
      <c r="F4450" s="50">
        <v>10.164999999999999</v>
      </c>
      <c r="G4450" s="50">
        <f t="shared" si="83"/>
        <v>28.461999999999996</v>
      </c>
      <c r="H4450" s="35">
        <f>SUM(G4450:G4458)</f>
        <v>307.10527355650754</v>
      </c>
      <c r="I4450" s="36"/>
      <c r="J4450" s="141">
        <v>0</v>
      </c>
    </row>
    <row r="4451" spans="1:10" ht="15.75" hidden="1" thickBot="1" x14ac:dyDescent="0.3">
      <c r="A4451" s="242"/>
      <c r="B4451" s="245"/>
      <c r="C4451" s="32" t="s">
        <v>1336</v>
      </c>
      <c r="D4451" s="32" t="s">
        <v>102</v>
      </c>
      <c r="E4451" s="33">
        <v>2.5000000000000001E-2</v>
      </c>
      <c r="F4451" s="50">
        <v>41.011499999999998</v>
      </c>
      <c r="G4451" s="50">
        <f t="shared" si="83"/>
        <v>1.0252874999999999</v>
      </c>
      <c r="H4451" s="69"/>
      <c r="I4451" s="70"/>
      <c r="J4451" s="141">
        <v>0</v>
      </c>
    </row>
    <row r="4452" spans="1:10" ht="15.75" hidden="1" thickBot="1" x14ac:dyDescent="0.3">
      <c r="A4452" s="242"/>
      <c r="B4452" s="245"/>
      <c r="C4452" s="32" t="s">
        <v>904</v>
      </c>
      <c r="D4452" s="32" t="s">
        <v>705</v>
      </c>
      <c r="E4452" s="33">
        <v>0.35</v>
      </c>
      <c r="F4452" s="50">
        <v>24.747499999999999</v>
      </c>
      <c r="G4452" s="50">
        <f t="shared" si="83"/>
        <v>8.661624999999999</v>
      </c>
      <c r="H4452" s="69"/>
      <c r="I4452" s="70"/>
      <c r="J4452" s="141">
        <v>0</v>
      </c>
    </row>
    <row r="4453" spans="1:10" ht="15.75" hidden="1" thickBot="1" x14ac:dyDescent="0.3">
      <c r="A4453" s="242"/>
      <c r="B4453" s="245"/>
      <c r="C4453" s="32" t="s">
        <v>713</v>
      </c>
      <c r="D4453" s="32" t="s">
        <v>705</v>
      </c>
      <c r="E4453" s="33">
        <v>1.1000000000000001</v>
      </c>
      <c r="F4453" s="50">
        <v>24.889999999999997</v>
      </c>
      <c r="G4453" s="50">
        <f t="shared" si="83"/>
        <v>27.378999999999998</v>
      </c>
      <c r="H4453" s="69"/>
      <c r="I4453" s="70"/>
      <c r="J4453" s="141">
        <v>0</v>
      </c>
    </row>
    <row r="4454" spans="1:10" ht="15.75" hidden="1" thickBot="1" x14ac:dyDescent="0.3">
      <c r="A4454" s="242"/>
      <c r="B4454" s="245"/>
      <c r="C4454" s="32" t="s">
        <v>706</v>
      </c>
      <c r="D4454" s="32" t="s">
        <v>705</v>
      </c>
      <c r="E4454" s="33">
        <v>1.1299999999999999</v>
      </c>
      <c r="F4454" s="50">
        <v>18.420500000000001</v>
      </c>
      <c r="G4454" s="50">
        <f t="shared" si="83"/>
        <v>20.815165</v>
      </c>
      <c r="H4454" s="69"/>
      <c r="I4454" s="70"/>
      <c r="J4454" s="141">
        <v>0</v>
      </c>
    </row>
    <row r="4455" spans="1:10" ht="26.25" hidden="1" thickBot="1" x14ac:dyDescent="0.3">
      <c r="A4455" s="242"/>
      <c r="B4455" s="245"/>
      <c r="C4455" s="32" t="s">
        <v>108</v>
      </c>
      <c r="D4455" s="32" t="s">
        <v>120</v>
      </c>
      <c r="E4455" s="33">
        <v>3.5000000000000001E-3</v>
      </c>
      <c r="F4455" s="50">
        <v>706.05601614500006</v>
      </c>
      <c r="G4455" s="50">
        <f t="shared" si="83"/>
        <v>2.4711960565075004</v>
      </c>
      <c r="H4455" s="69"/>
      <c r="I4455" s="70"/>
      <c r="J4455" s="141">
        <v>0</v>
      </c>
    </row>
    <row r="4456" spans="1:10" ht="15.75" hidden="1" thickBot="1" x14ac:dyDescent="0.3">
      <c r="A4456" s="242"/>
      <c r="B4456" s="245"/>
      <c r="C4456" s="32" t="s">
        <v>773</v>
      </c>
      <c r="D4456" s="43" t="s">
        <v>901</v>
      </c>
      <c r="E4456" s="33">
        <v>3</v>
      </c>
      <c r="F4456" s="50">
        <v>10.164999999999999</v>
      </c>
      <c r="G4456" s="50">
        <f t="shared" si="83"/>
        <v>30.494999999999997</v>
      </c>
      <c r="H4456" s="69"/>
      <c r="I4456" s="70"/>
      <c r="J4456" s="141">
        <v>0</v>
      </c>
    </row>
    <row r="4457" spans="1:10" ht="26.25" hidden="1" thickBot="1" x14ac:dyDescent="0.3">
      <c r="A4457" s="242"/>
      <c r="B4457" s="245"/>
      <c r="C4457" s="32" t="s">
        <v>130</v>
      </c>
      <c r="D4457" s="43" t="s">
        <v>901</v>
      </c>
      <c r="E4457" s="33">
        <v>15</v>
      </c>
      <c r="F4457" s="50">
        <v>11.856</v>
      </c>
      <c r="G4457" s="50">
        <f t="shared" si="83"/>
        <v>177.84</v>
      </c>
      <c r="H4457" s="69"/>
      <c r="I4457" s="70"/>
      <c r="J4457" s="141">
        <v>0</v>
      </c>
    </row>
    <row r="4458" spans="1:10" ht="15.75" hidden="1" thickBot="1" x14ac:dyDescent="0.3">
      <c r="A4458" s="242"/>
      <c r="B4458" s="245"/>
      <c r="C4458" s="32" t="s">
        <v>713</v>
      </c>
      <c r="D4458" s="32" t="s">
        <v>705</v>
      </c>
      <c r="E4458" s="33">
        <v>0.4</v>
      </c>
      <c r="F4458" s="50">
        <v>24.889999999999997</v>
      </c>
      <c r="G4458" s="50">
        <f t="shared" si="83"/>
        <v>9.9559999999999995</v>
      </c>
      <c r="H4458" s="69"/>
      <c r="I4458" s="70"/>
      <c r="J4458" s="141">
        <v>0</v>
      </c>
    </row>
    <row r="4459" spans="1:10" ht="15.75" hidden="1" thickBot="1" x14ac:dyDescent="0.3">
      <c r="A4459" s="243"/>
      <c r="B4459" s="238"/>
      <c r="C4459" s="51"/>
      <c r="D4459" s="51"/>
      <c r="E4459" s="62"/>
      <c r="F4459" s="72" t="s">
        <v>523</v>
      </c>
      <c r="G4459" s="72" t="str">
        <f t="shared" si="83"/>
        <v/>
      </c>
      <c r="H4459" s="73"/>
      <c r="I4459" s="70"/>
      <c r="J4459" s="141">
        <v>0</v>
      </c>
    </row>
    <row r="4460" spans="1:10" ht="15.75" hidden="1" thickBot="1" x14ac:dyDescent="0.3">
      <c r="A4460" s="239" t="s">
        <v>1337</v>
      </c>
      <c r="B4460" s="236" t="str">
        <f>INDEX(Orçamentária!A:B,MATCH(Composições!A4460,Orçamentária!A:A,0),2)</f>
        <v>Escada tipo marinheiro SEM proteção</v>
      </c>
      <c r="C4460" s="37"/>
      <c r="D4460" s="22" t="str">
        <f>TRIM(INDEX(Orçamentária!C:C,MATCH(Composições!A4460,Orçamentária!A:A,0),1))</f>
        <v>m</v>
      </c>
      <c r="E4460" s="23"/>
      <c r="F4460" s="45" t="s">
        <v>523</v>
      </c>
      <c r="G4460" s="24" t="str">
        <f t="shared" si="83"/>
        <v/>
      </c>
      <c r="H4460" s="25"/>
      <c r="I4460" s="26"/>
      <c r="J4460" s="141">
        <v>0</v>
      </c>
    </row>
    <row r="4461" spans="1:10" ht="15.75" hidden="1" thickBot="1" x14ac:dyDescent="0.3">
      <c r="A4461" s="242"/>
      <c r="B4461" s="245"/>
      <c r="C4461" s="28"/>
      <c r="D4461" s="28"/>
      <c r="E4461" s="29"/>
      <c r="F4461" s="50" t="s">
        <v>523</v>
      </c>
      <c r="G4461" s="50" t="str">
        <f t="shared" si="83"/>
        <v/>
      </c>
      <c r="H4461" s="69"/>
      <c r="I4461" s="70"/>
      <c r="J4461" s="141">
        <v>0</v>
      </c>
    </row>
    <row r="4462" spans="1:10" ht="15.75" hidden="1" thickBot="1" x14ac:dyDescent="0.3">
      <c r="A4462" s="242"/>
      <c r="B4462" s="245"/>
      <c r="C4462" s="32" t="s">
        <v>773</v>
      </c>
      <c r="D4462" s="43" t="s">
        <v>901</v>
      </c>
      <c r="E4462" s="33">
        <v>2.8</v>
      </c>
      <c r="F4462" s="50">
        <v>10.164999999999999</v>
      </c>
      <c r="G4462" s="50">
        <f t="shared" si="83"/>
        <v>28.461999999999996</v>
      </c>
      <c r="H4462" s="35">
        <f>SUM(G4462:G4470)</f>
        <v>139.47963461301498</v>
      </c>
      <c r="I4462" s="36"/>
      <c r="J4462" s="141">
        <v>0</v>
      </c>
    </row>
    <row r="4463" spans="1:10" ht="15.75" hidden="1" thickBot="1" x14ac:dyDescent="0.3">
      <c r="A4463" s="242"/>
      <c r="B4463" s="245"/>
      <c r="C4463" s="32" t="s">
        <v>1336</v>
      </c>
      <c r="D4463" s="32" t="s">
        <v>102</v>
      </c>
      <c r="E4463" s="33">
        <v>2.5000000000000001E-2</v>
      </c>
      <c r="F4463" s="50">
        <v>41.011499999999998</v>
      </c>
      <c r="G4463" s="50">
        <f t="shared" si="83"/>
        <v>1.0252874999999999</v>
      </c>
      <c r="H4463" s="69"/>
      <c r="I4463" s="70"/>
      <c r="J4463" s="141">
        <v>0</v>
      </c>
    </row>
    <row r="4464" spans="1:10" ht="15.75" hidden="1" thickBot="1" x14ac:dyDescent="0.3">
      <c r="A4464" s="242"/>
      <c r="B4464" s="245"/>
      <c r="C4464" s="32" t="s">
        <v>904</v>
      </c>
      <c r="D4464" s="32" t="s">
        <v>705</v>
      </c>
      <c r="E4464" s="33">
        <v>0.35</v>
      </c>
      <c r="F4464" s="50">
        <v>24.747499999999999</v>
      </c>
      <c r="G4464" s="50">
        <f t="shared" si="83"/>
        <v>8.661624999999999</v>
      </c>
      <c r="H4464" s="69"/>
      <c r="I4464" s="70"/>
      <c r="J4464" s="141">
        <v>0</v>
      </c>
    </row>
    <row r="4465" spans="1:10" ht="15.75" hidden="1" thickBot="1" x14ac:dyDescent="0.3">
      <c r="A4465" s="242"/>
      <c r="B4465" s="245"/>
      <c r="C4465" s="32" t="s">
        <v>713</v>
      </c>
      <c r="D4465" s="32" t="s">
        <v>705</v>
      </c>
      <c r="E4465" s="33">
        <v>1.1000000000000001</v>
      </c>
      <c r="F4465" s="50">
        <v>24.889999999999997</v>
      </c>
      <c r="G4465" s="50">
        <f t="shared" si="83"/>
        <v>27.378999999999998</v>
      </c>
      <c r="H4465" s="69"/>
      <c r="I4465" s="70"/>
      <c r="J4465" s="141">
        <v>0</v>
      </c>
    </row>
    <row r="4466" spans="1:10" ht="15.75" hidden="1" thickBot="1" x14ac:dyDescent="0.3">
      <c r="A4466" s="242"/>
      <c r="B4466" s="245"/>
      <c r="C4466" s="32" t="s">
        <v>706</v>
      </c>
      <c r="D4466" s="32" t="s">
        <v>705</v>
      </c>
      <c r="E4466" s="33">
        <v>1.1299999999999999</v>
      </c>
      <c r="F4466" s="50">
        <v>18.420500000000001</v>
      </c>
      <c r="G4466" s="50">
        <f t="shared" si="83"/>
        <v>20.815165</v>
      </c>
      <c r="H4466" s="69"/>
      <c r="I4466" s="70"/>
      <c r="J4466" s="141">
        <v>0</v>
      </c>
    </row>
    <row r="4467" spans="1:10" ht="26.25" hidden="1" thickBot="1" x14ac:dyDescent="0.3">
      <c r="A4467" s="242"/>
      <c r="B4467" s="245"/>
      <c r="C4467" s="32" t="s">
        <v>108</v>
      </c>
      <c r="D4467" s="32" t="s">
        <v>120</v>
      </c>
      <c r="E4467" s="33">
        <v>3.5000000000000001E-3</v>
      </c>
      <c r="F4467" s="50">
        <v>706.05601614500006</v>
      </c>
      <c r="G4467" s="50">
        <f t="shared" si="83"/>
        <v>2.4711960565075004</v>
      </c>
      <c r="H4467" s="69"/>
      <c r="I4467" s="70"/>
      <c r="J4467" s="141">
        <v>0</v>
      </c>
    </row>
    <row r="4468" spans="1:10" ht="15.75" hidden="1" thickBot="1" x14ac:dyDescent="0.3">
      <c r="A4468" s="242"/>
      <c r="B4468" s="245"/>
      <c r="C4468" s="32" t="s">
        <v>713</v>
      </c>
      <c r="D4468" s="32" t="s">
        <v>705</v>
      </c>
      <c r="E4468" s="33">
        <v>1.1000000000000001</v>
      </c>
      <c r="F4468" s="50">
        <v>24.889999999999997</v>
      </c>
      <c r="G4468" s="50">
        <f t="shared" si="83"/>
        <v>27.378999999999998</v>
      </c>
      <c r="H4468" s="69"/>
      <c r="I4468" s="70"/>
      <c r="J4468" s="141">
        <v>0</v>
      </c>
    </row>
    <row r="4469" spans="1:10" ht="15.75" hidden="1" thickBot="1" x14ac:dyDescent="0.3">
      <c r="A4469" s="242"/>
      <c r="B4469" s="245"/>
      <c r="C4469" s="32" t="s">
        <v>706</v>
      </c>
      <c r="D4469" s="32" t="s">
        <v>705</v>
      </c>
      <c r="E4469" s="33">
        <v>1.1299999999999999</v>
      </c>
      <c r="F4469" s="50">
        <v>18.420500000000001</v>
      </c>
      <c r="G4469" s="50">
        <f t="shared" si="83"/>
        <v>20.815165</v>
      </c>
      <c r="H4469" s="69"/>
      <c r="I4469" s="70"/>
      <c r="J4469" s="141">
        <v>0</v>
      </c>
    </row>
    <row r="4470" spans="1:10" ht="26.25" hidden="1" thickBot="1" x14ac:dyDescent="0.3">
      <c r="A4470" s="242"/>
      <c r="B4470" s="245"/>
      <c r="C4470" s="32" t="s">
        <v>108</v>
      </c>
      <c r="D4470" s="32" t="s">
        <v>120</v>
      </c>
      <c r="E4470" s="33">
        <v>3.5000000000000001E-3</v>
      </c>
      <c r="F4470" s="50">
        <v>706.05601614500006</v>
      </c>
      <c r="G4470" s="50">
        <f t="shared" si="83"/>
        <v>2.4711960565075004</v>
      </c>
      <c r="H4470" s="69"/>
      <c r="I4470" s="70"/>
      <c r="J4470" s="141">
        <v>0</v>
      </c>
    </row>
    <row r="4471" spans="1:10" ht="15.75" hidden="1" thickBot="1" x14ac:dyDescent="0.3">
      <c r="A4471" s="243"/>
      <c r="B4471" s="238"/>
      <c r="C4471" s="51"/>
      <c r="D4471" s="51"/>
      <c r="E4471" s="62"/>
      <c r="F4471" s="72" t="s">
        <v>523</v>
      </c>
      <c r="G4471" s="72" t="str">
        <f t="shared" si="83"/>
        <v/>
      </c>
      <c r="H4471" s="73"/>
      <c r="I4471" s="70"/>
      <c r="J4471" s="141">
        <v>0</v>
      </c>
    </row>
    <row r="4472" spans="1:10" ht="15.75" hidden="1" thickBot="1" x14ac:dyDescent="0.3">
      <c r="A4472" s="225" t="s">
        <v>1338</v>
      </c>
      <c r="B4472" s="228" t="str">
        <f>INDEX(Orçamentária!A:B,MATCH(Composições!A4472,Orçamentária!A:A,0),2)</f>
        <v>Limpeza e Preparação do Substrato para Impermeabilização</v>
      </c>
      <c r="C4472" s="37"/>
      <c r="D4472" s="22" t="str">
        <f>TRIM(INDEX(Orçamentária!C:C,MATCH(Composições!A4472,Orçamentária!A:A,0),1))</f>
        <v>m2</v>
      </c>
      <c r="E4472" s="23"/>
      <c r="F4472" s="45" t="s">
        <v>523</v>
      </c>
      <c r="G4472" s="24" t="str">
        <f t="shared" si="83"/>
        <v/>
      </c>
      <c r="H4472" s="25"/>
      <c r="I4472" s="26"/>
      <c r="J4472" s="141">
        <v>0</v>
      </c>
    </row>
    <row r="4473" spans="1:10" ht="15.75" hidden="1" thickBot="1" x14ac:dyDescent="0.3">
      <c r="A4473" s="231"/>
      <c r="B4473" s="244"/>
      <c r="C4473" s="28"/>
      <c r="D4473" s="28"/>
      <c r="E4473" s="29"/>
      <c r="F4473" s="50" t="s">
        <v>523</v>
      </c>
      <c r="G4473" s="50" t="str">
        <f t="shared" si="83"/>
        <v/>
      </c>
      <c r="H4473" s="69"/>
      <c r="I4473" s="70"/>
      <c r="J4473" s="141">
        <v>0</v>
      </c>
    </row>
    <row r="4474" spans="1:10" ht="15.75" hidden="1" thickBot="1" x14ac:dyDescent="0.3">
      <c r="A4474" s="231"/>
      <c r="B4474" s="244"/>
      <c r="C4474" s="32" t="s">
        <v>706</v>
      </c>
      <c r="D4474" s="32" t="s">
        <v>12</v>
      </c>
      <c r="E4474" s="33">
        <v>0.11</v>
      </c>
      <c r="F4474" s="50">
        <v>18.420500000000001</v>
      </c>
      <c r="G4474" s="50">
        <f t="shared" si="83"/>
        <v>2.0262549999999999</v>
      </c>
      <c r="H4474" s="35">
        <f>SUM(G4474:G4476)</f>
        <v>2.0262549999999999</v>
      </c>
      <c r="I4474" s="36"/>
      <c r="J4474" s="141">
        <v>0</v>
      </c>
    </row>
    <row r="4475" spans="1:10" ht="15.75" hidden="1" thickBot="1" x14ac:dyDescent="0.3">
      <c r="A4475" s="231"/>
      <c r="B4475" s="244"/>
      <c r="C4475" s="32" t="s">
        <v>1339</v>
      </c>
      <c r="D4475" s="32" t="s">
        <v>1340</v>
      </c>
      <c r="E4475" s="33">
        <v>0.22</v>
      </c>
      <c r="F4475" s="50">
        <v>0</v>
      </c>
      <c r="G4475" s="50">
        <f t="shared" si="83"/>
        <v>0</v>
      </c>
      <c r="H4475" s="69"/>
      <c r="I4475" s="70"/>
      <c r="J4475" s="141">
        <v>0</v>
      </c>
    </row>
    <row r="4476" spans="1:10" ht="15.75" hidden="1" thickBot="1" x14ac:dyDescent="0.3">
      <c r="A4476" s="231"/>
      <c r="B4476" s="244"/>
      <c r="C4476" s="32" t="s">
        <v>1341</v>
      </c>
      <c r="D4476" s="32" t="s">
        <v>102</v>
      </c>
      <c r="E4476" s="33">
        <v>0.4</v>
      </c>
      <c r="F4476" s="50">
        <v>0</v>
      </c>
      <c r="G4476" s="50">
        <f t="shared" si="83"/>
        <v>0</v>
      </c>
      <c r="H4476" s="69"/>
      <c r="I4476" s="70"/>
      <c r="J4476" s="141">
        <v>0</v>
      </c>
    </row>
    <row r="4477" spans="1:10" ht="15.75" hidden="1" thickBot="1" x14ac:dyDescent="0.3">
      <c r="A4477" s="232"/>
      <c r="B4477" s="230"/>
      <c r="C4477" s="51"/>
      <c r="D4477" s="51"/>
      <c r="E4477" s="62"/>
      <c r="F4477" s="72" t="s">
        <v>523</v>
      </c>
      <c r="G4477" s="72" t="str">
        <f t="shared" si="83"/>
        <v/>
      </c>
      <c r="H4477" s="73"/>
      <c r="I4477" s="70"/>
      <c r="J4477" s="141">
        <v>0</v>
      </c>
    </row>
    <row r="4478" spans="1:10" ht="15.75" hidden="1" thickBot="1" x14ac:dyDescent="0.3">
      <c r="A4478" s="225" t="s">
        <v>1342</v>
      </c>
      <c r="B4478" s="228" t="str">
        <f>INDEX(Orçamentária!A:B,MATCH(Composições!A4478,Orçamentária!A:A,0),2)</f>
        <v>Substituição de Coletores de Águas Pluviais</v>
      </c>
      <c r="C4478" s="37"/>
      <c r="D4478" s="22" t="str">
        <f>TRIM(INDEX(Orçamentária!C:C,MATCH(Composições!A4478,Orçamentária!A:A,0),1))</f>
        <v>un</v>
      </c>
      <c r="E4478" s="23"/>
      <c r="F4478" s="45" t="s">
        <v>523</v>
      </c>
      <c r="G4478" s="24" t="str">
        <f t="shared" si="83"/>
        <v/>
      </c>
      <c r="H4478" s="25"/>
      <c r="I4478" s="26"/>
      <c r="J4478" s="141">
        <v>0</v>
      </c>
    </row>
    <row r="4479" spans="1:10" ht="15.75" hidden="1" thickBot="1" x14ac:dyDescent="0.3">
      <c r="A4479" s="231"/>
      <c r="B4479" s="244"/>
      <c r="C4479" s="28"/>
      <c r="D4479" s="28"/>
      <c r="E4479" s="29"/>
      <c r="F4479" s="50" t="s">
        <v>523</v>
      </c>
      <c r="G4479" s="50" t="str">
        <f t="shared" si="83"/>
        <v/>
      </c>
      <c r="H4479" s="69"/>
      <c r="I4479" s="70"/>
      <c r="J4479" s="141">
        <v>0</v>
      </c>
    </row>
    <row r="4480" spans="1:10" ht="26.25" hidden="1" thickBot="1" x14ac:dyDescent="0.3">
      <c r="A4480" s="231"/>
      <c r="B4480" s="244"/>
      <c r="C4480" s="32" t="s">
        <v>1343</v>
      </c>
      <c r="D4480" s="43" t="s">
        <v>280</v>
      </c>
      <c r="E4480" s="33">
        <v>1</v>
      </c>
      <c r="F4480" s="50">
        <v>13.413999999999998</v>
      </c>
      <c r="G4480" s="50">
        <f t="shared" si="83"/>
        <v>13.413999999999998</v>
      </c>
      <c r="H4480" s="35">
        <f>SUM(G4480:G4494)</f>
        <v>244.41553259999995</v>
      </c>
      <c r="I4480" s="36"/>
      <c r="J4480" s="141">
        <v>0</v>
      </c>
    </row>
    <row r="4481" spans="1:10" ht="26.25" hidden="1" thickBot="1" x14ac:dyDescent="0.3">
      <c r="A4481" s="231"/>
      <c r="B4481" s="244"/>
      <c r="C4481" s="32" t="s">
        <v>3758</v>
      </c>
      <c r="D4481" s="32" t="s">
        <v>280</v>
      </c>
      <c r="E4481" s="33">
        <v>1</v>
      </c>
      <c r="F4481" s="50">
        <v>61.873499999999993</v>
      </c>
      <c r="G4481" s="50">
        <f t="shared" si="83"/>
        <v>61.873499999999993</v>
      </c>
      <c r="H4481" s="69"/>
      <c r="I4481" s="70"/>
      <c r="J4481" s="141">
        <v>0</v>
      </c>
    </row>
    <row r="4482" spans="1:10" ht="39" hidden="1" thickBot="1" x14ac:dyDescent="0.3">
      <c r="A4482" s="231"/>
      <c r="B4482" s="244"/>
      <c r="C4482" s="32" t="s">
        <v>6631</v>
      </c>
      <c r="D4482" s="32" t="s">
        <v>280</v>
      </c>
      <c r="E4482" s="33">
        <v>7.0000000000000007E-2</v>
      </c>
      <c r="F4482" s="50">
        <v>27.122499999999999</v>
      </c>
      <c r="G4482" s="50">
        <f t="shared" si="83"/>
        <v>1.8985750000000001</v>
      </c>
      <c r="H4482" s="69"/>
      <c r="I4482" s="70"/>
      <c r="J4482" s="141">
        <v>0</v>
      </c>
    </row>
    <row r="4483" spans="1:10" ht="26.25" hidden="1" thickBot="1" x14ac:dyDescent="0.3">
      <c r="A4483" s="231"/>
      <c r="B4483" s="244"/>
      <c r="C4483" s="32" t="s">
        <v>956</v>
      </c>
      <c r="D4483" s="32" t="s">
        <v>705</v>
      </c>
      <c r="E4483" s="33">
        <v>0.11</v>
      </c>
      <c r="F4483" s="50">
        <v>19.094999999999999</v>
      </c>
      <c r="G4483" s="50">
        <f t="shared" si="83"/>
        <v>2.1004499999999999</v>
      </c>
      <c r="H4483" s="69"/>
      <c r="I4483" s="70"/>
      <c r="J4483" s="141">
        <v>0</v>
      </c>
    </row>
    <row r="4484" spans="1:10" ht="26.25" hidden="1" thickBot="1" x14ac:dyDescent="0.3">
      <c r="A4484" s="231"/>
      <c r="B4484" s="244"/>
      <c r="C4484" s="32" t="s">
        <v>957</v>
      </c>
      <c r="D4484" s="32" t="s">
        <v>705</v>
      </c>
      <c r="E4484" s="33">
        <v>0.11</v>
      </c>
      <c r="F4484" s="50">
        <v>24.300999999999998</v>
      </c>
      <c r="G4484" s="50">
        <f t="shared" si="83"/>
        <v>2.6731099999999999</v>
      </c>
      <c r="H4484" s="69"/>
      <c r="I4484" s="70"/>
      <c r="J4484" s="141">
        <v>0</v>
      </c>
    </row>
    <row r="4485" spans="1:10" ht="15.75" hidden="1" thickBot="1" x14ac:dyDescent="0.3">
      <c r="A4485" s="231"/>
      <c r="B4485" s="244"/>
      <c r="C4485" s="32" t="s">
        <v>6628</v>
      </c>
      <c r="D4485" s="32" t="s">
        <v>280</v>
      </c>
      <c r="E4485" s="33">
        <v>6.1999999999999998E-3</v>
      </c>
      <c r="F4485" s="50">
        <v>65.711500000000001</v>
      </c>
      <c r="G4485" s="50">
        <f t="shared" si="83"/>
        <v>0.40741129999999998</v>
      </c>
      <c r="H4485" s="69"/>
      <c r="I4485" s="70"/>
      <c r="J4485" s="141">
        <v>0</v>
      </c>
    </row>
    <row r="4486" spans="1:10" ht="26.25" hidden="1" thickBot="1" x14ac:dyDescent="0.3">
      <c r="A4486" s="231"/>
      <c r="B4486" s="244"/>
      <c r="C4486" s="32" t="s">
        <v>3761</v>
      </c>
      <c r="D4486" s="32" t="s">
        <v>480</v>
      </c>
      <c r="E4486" s="33">
        <f>1.04/2</f>
        <v>0.52</v>
      </c>
      <c r="F4486" s="50">
        <v>90.344999999999985</v>
      </c>
      <c r="G4486" s="50">
        <f t="shared" si="83"/>
        <v>46.979399999999991</v>
      </c>
      <c r="H4486" s="69"/>
      <c r="I4486" s="70"/>
      <c r="J4486" s="141">
        <v>0</v>
      </c>
    </row>
    <row r="4487" spans="1:10" ht="26.25" hidden="1" thickBot="1" x14ac:dyDescent="0.3">
      <c r="A4487" s="231"/>
      <c r="B4487" s="244"/>
      <c r="C4487" s="32" t="s">
        <v>6629</v>
      </c>
      <c r="D4487" s="32" t="s">
        <v>280</v>
      </c>
      <c r="E4487" s="33">
        <v>1.0200000000000001E-2</v>
      </c>
      <c r="F4487" s="50">
        <v>74.451499999999996</v>
      </c>
      <c r="G4487" s="50">
        <f t="shared" si="83"/>
        <v>0.75940530000000006</v>
      </c>
      <c r="H4487" s="69"/>
      <c r="I4487" s="70"/>
      <c r="J4487" s="141">
        <v>0</v>
      </c>
    </row>
    <row r="4488" spans="1:10" ht="15.75" hidden="1" thickBot="1" x14ac:dyDescent="0.3">
      <c r="A4488" s="231"/>
      <c r="B4488" s="244"/>
      <c r="C4488" s="32" t="s">
        <v>1198</v>
      </c>
      <c r="D4488" s="32" t="s">
        <v>280</v>
      </c>
      <c r="E4488" s="33">
        <v>3.6999999999999998E-2</v>
      </c>
      <c r="F4488" s="50">
        <v>2.0139999999999998</v>
      </c>
      <c r="G4488" s="50">
        <f t="shared" si="83"/>
        <v>7.4517999999999987E-2</v>
      </c>
      <c r="H4488" s="69"/>
      <c r="I4488" s="70"/>
      <c r="J4488" s="141">
        <v>0</v>
      </c>
    </row>
    <row r="4489" spans="1:10" ht="26.25" hidden="1" thickBot="1" x14ac:dyDescent="0.3">
      <c r="A4489" s="231"/>
      <c r="B4489" s="244"/>
      <c r="C4489" s="32" t="s">
        <v>956</v>
      </c>
      <c r="D4489" s="32" t="s">
        <v>705</v>
      </c>
      <c r="E4489" s="33">
        <v>0.18</v>
      </c>
      <c r="F4489" s="50">
        <v>19.094999999999999</v>
      </c>
      <c r="G4489" s="50">
        <f t="shared" ref="G4489:G4494" si="84">IF(ISNUMBER(F4489),E4489*F4489,"")</f>
        <v>3.4370999999999996</v>
      </c>
      <c r="H4489" s="69"/>
      <c r="I4489" s="70"/>
      <c r="J4489" s="141">
        <v>0</v>
      </c>
    </row>
    <row r="4490" spans="1:10" ht="26.25" hidden="1" thickBot="1" x14ac:dyDescent="0.3">
      <c r="A4490" s="231"/>
      <c r="B4490" s="244"/>
      <c r="C4490" s="32" t="s">
        <v>957</v>
      </c>
      <c r="D4490" s="32" t="s">
        <v>705</v>
      </c>
      <c r="E4490" s="33">
        <v>0.18</v>
      </c>
      <c r="F4490" s="50">
        <v>24.300999999999998</v>
      </c>
      <c r="G4490" s="50">
        <f t="shared" si="84"/>
        <v>4.37418</v>
      </c>
      <c r="H4490" s="69"/>
      <c r="I4490" s="70"/>
      <c r="J4490" s="141">
        <v>0</v>
      </c>
    </row>
    <row r="4491" spans="1:10" ht="15.75" hidden="1" thickBot="1" x14ac:dyDescent="0.3">
      <c r="A4491" s="231"/>
      <c r="B4491" s="244"/>
      <c r="C4491" s="32" t="s">
        <v>713</v>
      </c>
      <c r="D4491" s="43" t="s">
        <v>705</v>
      </c>
      <c r="E4491" s="33">
        <v>1</v>
      </c>
      <c r="F4491" s="50">
        <v>24.889999999999997</v>
      </c>
      <c r="G4491" s="50">
        <f t="shared" si="84"/>
        <v>24.889999999999997</v>
      </c>
      <c r="H4491" s="69"/>
      <c r="I4491" s="70"/>
      <c r="J4491" s="141">
        <v>0</v>
      </c>
    </row>
    <row r="4492" spans="1:10" ht="26.25" hidden="1" thickBot="1" x14ac:dyDescent="0.3">
      <c r="A4492" s="231"/>
      <c r="B4492" s="244"/>
      <c r="C4492" s="32" t="s">
        <v>778</v>
      </c>
      <c r="D4492" s="43" t="s">
        <v>901</v>
      </c>
      <c r="E4492" s="33">
        <f>ROUND(1.8*(PI()*(0.25-0.15)*0.1)*10,4)</f>
        <v>0.5655</v>
      </c>
      <c r="F4492" s="50">
        <v>47.386000000000003</v>
      </c>
      <c r="G4492" s="50">
        <f t="shared" si="84"/>
        <v>26.796783000000001</v>
      </c>
      <c r="H4492" s="69"/>
      <c r="I4492" s="70"/>
      <c r="J4492" s="141">
        <v>0</v>
      </c>
    </row>
    <row r="4493" spans="1:10" ht="26.25" hidden="1" thickBot="1" x14ac:dyDescent="0.3">
      <c r="A4493" s="231"/>
      <c r="B4493" s="244"/>
      <c r="C4493" s="32" t="s">
        <v>1066</v>
      </c>
      <c r="D4493" s="33" t="s">
        <v>1067</v>
      </c>
      <c r="E4493" s="33">
        <v>0.2</v>
      </c>
      <c r="F4493" s="50">
        <v>35.853000000000002</v>
      </c>
      <c r="G4493" s="50">
        <f t="shared" si="84"/>
        <v>7.1706000000000003</v>
      </c>
      <c r="H4493" s="69"/>
      <c r="I4493" s="70"/>
      <c r="J4493" s="141">
        <v>0</v>
      </c>
    </row>
    <row r="4494" spans="1:10" ht="15.75" hidden="1" thickBot="1" x14ac:dyDescent="0.3">
      <c r="A4494" s="231"/>
      <c r="B4494" s="244"/>
      <c r="C4494" s="32" t="s">
        <v>1344</v>
      </c>
      <c r="D4494" s="32" t="s">
        <v>280</v>
      </c>
      <c r="E4494" s="33">
        <v>1</v>
      </c>
      <c r="F4494" s="50">
        <v>47.566499999999998</v>
      </c>
      <c r="G4494" s="50">
        <f t="shared" si="84"/>
        <v>47.566499999999998</v>
      </c>
      <c r="H4494" s="69"/>
      <c r="I4494" s="70"/>
      <c r="J4494" s="141">
        <v>0</v>
      </c>
    </row>
    <row r="4495" spans="1:10" ht="15.75" hidden="1" thickBot="1" x14ac:dyDescent="0.3">
      <c r="A4495" s="231"/>
      <c r="B4495" s="244"/>
      <c r="C4495" s="32"/>
      <c r="D4495" s="32"/>
      <c r="E4495" s="33"/>
      <c r="F4495" s="50" t="s">
        <v>523</v>
      </c>
      <c r="G4495" s="50"/>
      <c r="H4495" s="69"/>
      <c r="I4495" s="70"/>
      <c r="J4495" s="141">
        <v>0</v>
      </c>
    </row>
    <row r="4496" spans="1:10" ht="15.75" hidden="1" thickBot="1" x14ac:dyDescent="0.3">
      <c r="A4496" s="231"/>
      <c r="B4496" s="244"/>
      <c r="C4496" s="44" t="s">
        <v>3547</v>
      </c>
      <c r="D4496" s="32"/>
      <c r="E4496" s="33"/>
      <c r="F4496" s="50" t="s">
        <v>523</v>
      </c>
      <c r="G4496" s="50"/>
      <c r="H4496" s="69"/>
      <c r="I4496" s="70"/>
      <c r="J4496" s="141">
        <v>0</v>
      </c>
    </row>
    <row r="4497" spans="1:10" ht="15.75" hidden="1" thickBot="1" x14ac:dyDescent="0.3">
      <c r="A4497" s="232"/>
      <c r="B4497" s="230"/>
      <c r="C4497" s="51"/>
      <c r="D4497" s="51"/>
      <c r="E4497" s="62"/>
      <c r="F4497" s="72" t="s">
        <v>523</v>
      </c>
      <c r="G4497" s="72" t="str">
        <f t="shared" ref="G4497:G4502" si="85">IF(ISNUMBER(F4497),E4497*F4497,"")</f>
        <v/>
      </c>
      <c r="H4497" s="73"/>
      <c r="I4497" s="70"/>
      <c r="J4497" s="141">
        <v>0</v>
      </c>
    </row>
    <row r="4498" spans="1:10" ht="15.75" hidden="1" thickBot="1" x14ac:dyDescent="0.3">
      <c r="A4498" s="225" t="s">
        <v>1345</v>
      </c>
      <c r="B4498" s="228" t="str">
        <f>INDEX(Orçamentária!A:B,MATCH(Composições!A4498,Orçamentária!A:A,0),2)</f>
        <v>Tratamento de Tubulação Passante para Impermeabilização</v>
      </c>
      <c r="C4498" s="37"/>
      <c r="D4498" s="22" t="str">
        <f>TRIM(INDEX(Orçamentária!C:C,MATCH(Composições!A4498,Orçamentária!A:A,0),1))</f>
        <v>un</v>
      </c>
      <c r="E4498" s="23"/>
      <c r="F4498" s="45" t="s">
        <v>523</v>
      </c>
      <c r="G4498" s="24" t="str">
        <f t="shared" si="85"/>
        <v/>
      </c>
      <c r="H4498" s="25"/>
      <c r="I4498" s="26"/>
      <c r="J4498" s="141">
        <v>0</v>
      </c>
    </row>
    <row r="4499" spans="1:10" ht="15.75" hidden="1" thickBot="1" x14ac:dyDescent="0.3">
      <c r="A4499" s="231"/>
      <c r="B4499" s="244"/>
      <c r="C4499" s="28"/>
      <c r="D4499" s="28"/>
      <c r="E4499" s="29"/>
      <c r="F4499" s="50" t="s">
        <v>523</v>
      </c>
      <c r="G4499" s="50" t="str">
        <f t="shared" si="85"/>
        <v/>
      </c>
      <c r="H4499" s="69"/>
      <c r="I4499" s="70"/>
      <c r="J4499" s="141">
        <v>0</v>
      </c>
    </row>
    <row r="4500" spans="1:10" ht="15.75" hidden="1" thickBot="1" x14ac:dyDescent="0.3">
      <c r="A4500" s="231"/>
      <c r="B4500" s="244"/>
      <c r="C4500" s="32" t="s">
        <v>1017</v>
      </c>
      <c r="D4500" s="32" t="s">
        <v>705</v>
      </c>
      <c r="E4500" s="33">
        <v>0.5</v>
      </c>
      <c r="F4500" s="50">
        <v>24.889999999999997</v>
      </c>
      <c r="G4500" s="50">
        <f t="shared" si="85"/>
        <v>12.444999999999999</v>
      </c>
      <c r="H4500" s="35">
        <f>SUM(G4500:G4502)</f>
        <v>46.412382999999998</v>
      </c>
      <c r="I4500" s="36"/>
      <c r="J4500" s="141">
        <v>0</v>
      </c>
    </row>
    <row r="4501" spans="1:10" ht="26.25" hidden="1" thickBot="1" x14ac:dyDescent="0.3">
      <c r="A4501" s="231"/>
      <c r="B4501" s="244"/>
      <c r="C4501" s="32" t="s">
        <v>778</v>
      </c>
      <c r="D4501" s="43" t="s">
        <v>901</v>
      </c>
      <c r="E4501" s="33">
        <f>ROUND(1.8*(PI()*(0.25-0.15)*0.1)*10,4)</f>
        <v>0.5655</v>
      </c>
      <c r="F4501" s="50">
        <v>47.386000000000003</v>
      </c>
      <c r="G4501" s="50">
        <f t="shared" si="85"/>
        <v>26.796783000000001</v>
      </c>
      <c r="H4501" s="69"/>
      <c r="I4501" s="70"/>
      <c r="J4501" s="141">
        <v>0</v>
      </c>
    </row>
    <row r="4502" spans="1:10" ht="26.25" hidden="1" thickBot="1" x14ac:dyDescent="0.3">
      <c r="A4502" s="231"/>
      <c r="B4502" s="244"/>
      <c r="C4502" s="32" t="s">
        <v>1066</v>
      </c>
      <c r="D4502" s="33" t="s">
        <v>1067</v>
      </c>
      <c r="E4502" s="33">
        <v>0.2</v>
      </c>
      <c r="F4502" s="50">
        <v>35.853000000000002</v>
      </c>
      <c r="G4502" s="50">
        <f t="shared" si="85"/>
        <v>7.1706000000000003</v>
      </c>
      <c r="H4502" s="69"/>
      <c r="I4502" s="70"/>
      <c r="J4502" s="141">
        <v>0</v>
      </c>
    </row>
    <row r="4503" spans="1:10" ht="15.75" hidden="1" thickBot="1" x14ac:dyDescent="0.3">
      <c r="A4503" s="231"/>
      <c r="B4503" s="244"/>
      <c r="C4503" s="32"/>
      <c r="D4503" s="33"/>
      <c r="E4503" s="33"/>
      <c r="F4503" s="50" t="s">
        <v>523</v>
      </c>
      <c r="G4503" s="50"/>
      <c r="H4503" s="69"/>
      <c r="I4503" s="70"/>
      <c r="J4503" s="141">
        <v>0</v>
      </c>
    </row>
    <row r="4504" spans="1:10" ht="15.75" hidden="1" thickBot="1" x14ac:dyDescent="0.3">
      <c r="A4504" s="231"/>
      <c r="B4504" s="244"/>
      <c r="C4504" s="44" t="s">
        <v>3547</v>
      </c>
      <c r="D4504" s="33"/>
      <c r="E4504" s="33"/>
      <c r="F4504" s="50" t="s">
        <v>523</v>
      </c>
      <c r="G4504" s="50"/>
      <c r="H4504" s="69"/>
      <c r="I4504" s="70"/>
      <c r="J4504" s="141">
        <v>0</v>
      </c>
    </row>
    <row r="4505" spans="1:10" ht="15.75" hidden="1" thickBot="1" x14ac:dyDescent="0.3">
      <c r="A4505" s="232"/>
      <c r="B4505" s="230"/>
      <c r="C4505" s="51"/>
      <c r="D4505" s="51"/>
      <c r="E4505" s="62"/>
      <c r="F4505" s="72" t="s">
        <v>523</v>
      </c>
      <c r="G4505" s="72" t="str">
        <f t="shared" ref="G4505:G4568" si="86">IF(ISNUMBER(F4505),E4505*F4505,"")</f>
        <v/>
      </c>
      <c r="H4505" s="73"/>
      <c r="I4505" s="70"/>
      <c r="J4505" s="141">
        <v>0</v>
      </c>
    </row>
    <row r="4506" spans="1:10" ht="15.75" hidden="1" thickBot="1" x14ac:dyDescent="0.3">
      <c r="A4506" s="225" t="s">
        <v>1346</v>
      </c>
      <c r="B4506" s="228" t="str">
        <f>INDEX(Orçamentária!A:B,MATCH(Composições!A4506,Orçamentária!A:A,0),2)</f>
        <v>Regularização de substrato para Impermeabilização - 3cm</v>
      </c>
      <c r="C4506" s="37"/>
      <c r="D4506" s="22" t="str">
        <f>TRIM(INDEX(Orçamentária!C:C,MATCH(Composições!A4506,Orçamentária!A:A,0),1))</f>
        <v>m2</v>
      </c>
      <c r="E4506" s="23"/>
      <c r="F4506" s="45" t="s">
        <v>523</v>
      </c>
      <c r="G4506" s="24" t="str">
        <f t="shared" si="86"/>
        <v/>
      </c>
      <c r="H4506" s="25"/>
      <c r="I4506" s="26"/>
      <c r="J4506" s="141">
        <v>0</v>
      </c>
    </row>
    <row r="4507" spans="1:10" ht="15.75" hidden="1" thickBot="1" x14ac:dyDescent="0.3">
      <c r="A4507" s="231"/>
      <c r="B4507" s="244"/>
      <c r="C4507" s="28"/>
      <c r="D4507" s="28"/>
      <c r="E4507" s="29"/>
      <c r="F4507" s="50" t="s">
        <v>523</v>
      </c>
      <c r="G4507" s="50" t="str">
        <f t="shared" si="86"/>
        <v/>
      </c>
      <c r="H4507" s="69"/>
      <c r="I4507" s="70"/>
      <c r="J4507" s="141">
        <v>0</v>
      </c>
    </row>
    <row r="4508" spans="1:10" ht="15.75" hidden="1" thickBot="1" x14ac:dyDescent="0.3">
      <c r="A4508" s="231"/>
      <c r="B4508" s="244"/>
      <c r="C4508" s="32" t="s">
        <v>750</v>
      </c>
      <c r="D4508" s="32" t="s">
        <v>901</v>
      </c>
      <c r="E4508" s="33">
        <v>0.5</v>
      </c>
      <c r="F4508" s="50">
        <v>0.64600000000000002</v>
      </c>
      <c r="G4508" s="50">
        <f t="shared" si="86"/>
        <v>0.32300000000000001</v>
      </c>
      <c r="H4508" s="35">
        <f>SUM(G4508:G4512)</f>
        <v>41.585416485275999</v>
      </c>
      <c r="I4508" s="36"/>
      <c r="J4508" s="141">
        <v>0</v>
      </c>
    </row>
    <row r="4509" spans="1:10" ht="26.25" hidden="1" thickBot="1" x14ac:dyDescent="0.3">
      <c r="A4509" s="231"/>
      <c r="B4509" s="244"/>
      <c r="C4509" s="32" t="s">
        <v>1347</v>
      </c>
      <c r="D4509" s="32" t="s">
        <v>102</v>
      </c>
      <c r="E4509" s="33">
        <v>0.21</v>
      </c>
      <c r="F4509" s="50">
        <v>15.019499999999999</v>
      </c>
      <c r="G4509" s="50">
        <f t="shared" si="86"/>
        <v>3.1540949999999999</v>
      </c>
      <c r="H4509" s="69"/>
      <c r="I4509" s="70"/>
      <c r="J4509" s="141">
        <v>0</v>
      </c>
    </row>
    <row r="4510" spans="1:10" ht="39" hidden="1" thickBot="1" x14ac:dyDescent="0.3">
      <c r="A4510" s="231"/>
      <c r="B4510" s="244"/>
      <c r="C4510" s="32" t="s">
        <v>1348</v>
      </c>
      <c r="D4510" s="32" t="s">
        <v>120</v>
      </c>
      <c r="E4510" s="33">
        <v>4.3099999999999999E-2</v>
      </c>
      <c r="F4510" s="50">
        <v>690.12876996</v>
      </c>
      <c r="G4510" s="50">
        <f t="shared" si="86"/>
        <v>29.744549985275999</v>
      </c>
      <c r="H4510" s="69"/>
      <c r="I4510" s="70"/>
      <c r="J4510" s="141">
        <v>0</v>
      </c>
    </row>
    <row r="4511" spans="1:10" ht="15.75" hidden="1" thickBot="1" x14ac:dyDescent="0.3">
      <c r="A4511" s="231"/>
      <c r="B4511" s="244"/>
      <c r="C4511" s="32" t="s">
        <v>713</v>
      </c>
      <c r="D4511" s="43" t="s">
        <v>705</v>
      </c>
      <c r="E4511" s="33">
        <v>0.245</v>
      </c>
      <c r="F4511" s="50">
        <v>24.889999999999997</v>
      </c>
      <c r="G4511" s="50">
        <f t="shared" si="86"/>
        <v>6.0980499999999989</v>
      </c>
      <c r="H4511" s="69"/>
      <c r="I4511" s="70"/>
      <c r="J4511" s="141">
        <v>0</v>
      </c>
    </row>
    <row r="4512" spans="1:10" ht="15.75" hidden="1" thickBot="1" x14ac:dyDescent="0.3">
      <c r="A4512" s="231"/>
      <c r="B4512" s="244"/>
      <c r="C4512" s="32" t="s">
        <v>706</v>
      </c>
      <c r="D4512" s="32" t="s">
        <v>705</v>
      </c>
      <c r="E4512" s="33">
        <v>0.123</v>
      </c>
      <c r="F4512" s="50">
        <v>18.420500000000001</v>
      </c>
      <c r="G4512" s="50">
        <f t="shared" si="86"/>
        <v>2.2657215000000002</v>
      </c>
      <c r="H4512" s="69"/>
      <c r="I4512" s="70"/>
      <c r="J4512" s="141">
        <v>0</v>
      </c>
    </row>
    <row r="4513" spans="1:10" ht="15.75" hidden="1" thickBot="1" x14ac:dyDescent="0.3">
      <c r="A4513" s="231"/>
      <c r="B4513" s="244"/>
      <c r="C4513" s="32"/>
      <c r="D4513" s="32"/>
      <c r="E4513" s="33"/>
      <c r="F4513" s="50" t="s">
        <v>523</v>
      </c>
      <c r="G4513" s="50" t="str">
        <f t="shared" si="86"/>
        <v/>
      </c>
      <c r="H4513" s="69"/>
      <c r="I4513" s="70"/>
      <c r="J4513" s="141">
        <v>0</v>
      </c>
    </row>
    <row r="4514" spans="1:10" ht="15.75" hidden="1" thickBot="1" x14ac:dyDescent="0.3">
      <c r="A4514" s="225" t="s">
        <v>1349</v>
      </c>
      <c r="B4514" s="228" t="str">
        <f>INDEX(Orçamentária!A:B,MATCH(Composições!A4514,Orçamentária!A:A,0),2)</f>
        <v>Regularização de substrato para Impermeabilização - 6cm</v>
      </c>
      <c r="C4514" s="37"/>
      <c r="D4514" s="22" t="str">
        <f>TRIM(INDEX(Orçamentária!C:C,MATCH(Composições!A4514,Orçamentária!A:A,0),1))</f>
        <v>m2</v>
      </c>
      <c r="E4514" s="23"/>
      <c r="F4514" s="45" t="s">
        <v>523</v>
      </c>
      <c r="G4514" s="24" t="str">
        <f t="shared" si="86"/>
        <v/>
      </c>
      <c r="H4514" s="25"/>
      <c r="I4514" s="26"/>
      <c r="J4514" s="141">
        <v>0</v>
      </c>
    </row>
    <row r="4515" spans="1:10" ht="15.75" hidden="1" thickBot="1" x14ac:dyDescent="0.3">
      <c r="A4515" s="231"/>
      <c r="B4515" s="244"/>
      <c r="C4515" s="28"/>
      <c r="D4515" s="28"/>
      <c r="E4515" s="29"/>
      <c r="F4515" s="50" t="s">
        <v>523</v>
      </c>
      <c r="G4515" s="50" t="str">
        <f t="shared" si="86"/>
        <v/>
      </c>
      <c r="H4515" s="69"/>
      <c r="I4515" s="70"/>
      <c r="J4515" s="141">
        <v>0</v>
      </c>
    </row>
    <row r="4516" spans="1:10" ht="15.75" hidden="1" thickBot="1" x14ac:dyDescent="0.3">
      <c r="A4516" s="231"/>
      <c r="B4516" s="244"/>
      <c r="C4516" s="32" t="s">
        <v>713</v>
      </c>
      <c r="D4516" s="32" t="s">
        <v>12</v>
      </c>
      <c r="E4516" s="33">
        <v>0.29899999999999999</v>
      </c>
      <c r="F4516" s="50">
        <v>24.889999999999997</v>
      </c>
      <c r="G4516" s="50">
        <f t="shared" si="86"/>
        <v>7.4421099999999987</v>
      </c>
      <c r="H4516" s="35">
        <f>SUM(G4516:G4518)</f>
        <v>55.804276194356007</v>
      </c>
      <c r="I4516" s="36"/>
      <c r="J4516" s="141">
        <v>0</v>
      </c>
    </row>
    <row r="4517" spans="1:10" ht="15.75" hidden="1" thickBot="1" x14ac:dyDescent="0.3">
      <c r="A4517" s="231"/>
      <c r="B4517" s="244"/>
      <c r="C4517" s="32" t="s">
        <v>706</v>
      </c>
      <c r="D4517" s="32" t="s">
        <v>12</v>
      </c>
      <c r="E4517" s="33">
        <v>0.14899999999999999</v>
      </c>
      <c r="F4517" s="50">
        <v>18.420500000000001</v>
      </c>
      <c r="G4517" s="50">
        <f t="shared" si="86"/>
        <v>2.7446544999999998</v>
      </c>
      <c r="H4517" s="69"/>
      <c r="I4517" s="70"/>
      <c r="J4517" s="141">
        <v>0</v>
      </c>
    </row>
    <row r="4518" spans="1:10" ht="39" hidden="1" thickBot="1" x14ac:dyDescent="0.3">
      <c r="A4518" s="231"/>
      <c r="B4518" s="244"/>
      <c r="C4518" s="32" t="s">
        <v>1348</v>
      </c>
      <c r="D4518" s="32" t="s">
        <v>120</v>
      </c>
      <c r="E4518" s="33">
        <v>6.6100000000000006E-2</v>
      </c>
      <c r="F4518" s="50">
        <v>690.12876996</v>
      </c>
      <c r="G4518" s="50">
        <f t="shared" si="86"/>
        <v>45.617511694356004</v>
      </c>
      <c r="H4518" s="69"/>
      <c r="I4518" s="70"/>
      <c r="J4518" s="141">
        <v>0</v>
      </c>
    </row>
    <row r="4519" spans="1:10" ht="15.75" hidden="1" thickBot="1" x14ac:dyDescent="0.3">
      <c r="A4519" s="232"/>
      <c r="B4519" s="230"/>
      <c r="C4519" s="51"/>
      <c r="D4519" s="51"/>
      <c r="E4519" s="62"/>
      <c r="F4519" s="72" t="s">
        <v>523</v>
      </c>
      <c r="G4519" s="72" t="str">
        <f t="shared" si="86"/>
        <v/>
      </c>
      <c r="H4519" s="73"/>
      <c r="I4519" s="70"/>
      <c r="J4519" s="141">
        <v>0</v>
      </c>
    </row>
    <row r="4520" spans="1:10" ht="15.75" hidden="1" thickBot="1" x14ac:dyDescent="0.3">
      <c r="A4520" s="225" t="s">
        <v>1350</v>
      </c>
      <c r="B4520" s="228" t="str">
        <f>INDEX(Orçamentária!A:B,MATCH(Composições!A4520,Orçamentária!A:A,0),2)</f>
        <v>Camada Separadora para Impermeabilização</v>
      </c>
      <c r="C4520" s="37"/>
      <c r="D4520" s="22" t="str">
        <f>TRIM(INDEX(Orçamentária!C:C,MATCH(Composições!A4520,Orçamentária!A:A,0),1))</f>
        <v>m2</v>
      </c>
      <c r="E4520" s="23"/>
      <c r="F4520" s="45" t="s">
        <v>523</v>
      </c>
      <c r="G4520" s="24" t="str">
        <f t="shared" si="86"/>
        <v/>
      </c>
      <c r="H4520" s="25"/>
      <c r="I4520" s="26"/>
      <c r="J4520" s="141">
        <v>0</v>
      </c>
    </row>
    <row r="4521" spans="1:10" ht="15.75" hidden="1" thickBot="1" x14ac:dyDescent="0.3">
      <c r="A4521" s="231"/>
      <c r="B4521" s="244"/>
      <c r="C4521" s="28"/>
      <c r="D4521" s="28"/>
      <c r="E4521" s="29"/>
      <c r="F4521" s="50" t="s">
        <v>523</v>
      </c>
      <c r="G4521" s="50" t="str">
        <f t="shared" si="86"/>
        <v/>
      </c>
      <c r="H4521" s="69"/>
      <c r="I4521" s="70"/>
      <c r="J4521" s="141">
        <v>0</v>
      </c>
    </row>
    <row r="4522" spans="1:10" ht="15.75" hidden="1" thickBot="1" x14ac:dyDescent="0.3">
      <c r="A4522" s="231"/>
      <c r="B4522" s="244"/>
      <c r="C4522" s="32" t="s">
        <v>706</v>
      </c>
      <c r="D4522" s="32" t="s">
        <v>705</v>
      </c>
      <c r="E4522" s="33">
        <v>0.01</v>
      </c>
      <c r="F4522" s="50">
        <v>18.420500000000001</v>
      </c>
      <c r="G4522" s="50">
        <f t="shared" si="86"/>
        <v>0.18420500000000001</v>
      </c>
      <c r="H4522" s="35">
        <f>SUM(G4522:G4523)</f>
        <v>7.5828050000000013</v>
      </c>
      <c r="I4522" s="36"/>
      <c r="J4522" s="141">
        <v>0</v>
      </c>
    </row>
    <row r="4523" spans="1:10" ht="26.25" hidden="1" thickBot="1" x14ac:dyDescent="0.3">
      <c r="A4523" s="231"/>
      <c r="B4523" s="244"/>
      <c r="C4523" s="32" t="s">
        <v>1351</v>
      </c>
      <c r="D4523" s="32" t="s">
        <v>95</v>
      </c>
      <c r="E4523" s="33">
        <v>1.1000000000000001</v>
      </c>
      <c r="F4523" s="50">
        <v>6.726</v>
      </c>
      <c r="G4523" s="50">
        <f t="shared" si="86"/>
        <v>7.398600000000001</v>
      </c>
      <c r="H4523" s="69"/>
      <c r="I4523" s="70"/>
      <c r="J4523" s="141">
        <v>0</v>
      </c>
    </row>
    <row r="4524" spans="1:10" ht="15.75" hidden="1" thickBot="1" x14ac:dyDescent="0.3">
      <c r="A4524" s="232"/>
      <c r="B4524" s="230"/>
      <c r="C4524" s="51"/>
      <c r="D4524" s="51"/>
      <c r="E4524" s="62"/>
      <c r="F4524" s="72" t="s">
        <v>523</v>
      </c>
      <c r="G4524" s="72" t="str">
        <f t="shared" si="86"/>
        <v/>
      </c>
      <c r="H4524" s="73"/>
      <c r="I4524" s="70"/>
      <c r="J4524" s="141">
        <v>0</v>
      </c>
    </row>
    <row r="4525" spans="1:10" ht="15.75" hidden="1" thickBot="1" x14ac:dyDescent="0.3">
      <c r="A4525" s="225" t="s">
        <v>1352</v>
      </c>
      <c r="B4525" s="228" t="str">
        <f>INDEX(Orçamentária!A:B,MATCH(Composições!A4525,Orçamentária!A:A,0),2)</f>
        <v>Camada de Proteção Térmica para Impermeabilização</v>
      </c>
      <c r="C4525" s="37"/>
      <c r="D4525" s="22" t="str">
        <f>TRIM(INDEX(Orçamentária!C:C,MATCH(Composições!A4525,Orçamentária!A:A,0),1))</f>
        <v>m2</v>
      </c>
      <c r="E4525" s="23"/>
      <c r="F4525" s="45" t="s">
        <v>523</v>
      </c>
      <c r="G4525" s="24" t="str">
        <f t="shared" si="86"/>
        <v/>
      </c>
      <c r="H4525" s="25"/>
      <c r="I4525" s="26"/>
      <c r="J4525" s="141">
        <v>0</v>
      </c>
    </row>
    <row r="4526" spans="1:10" ht="15.75" hidden="1" thickBot="1" x14ac:dyDescent="0.3">
      <c r="A4526" s="231"/>
      <c r="B4526" s="244"/>
      <c r="C4526" s="28"/>
      <c r="D4526" s="28"/>
      <c r="E4526" s="29"/>
      <c r="F4526" s="50" t="s">
        <v>523</v>
      </c>
      <c r="G4526" s="50" t="str">
        <f t="shared" si="86"/>
        <v/>
      </c>
      <c r="H4526" s="69"/>
      <c r="I4526" s="70"/>
      <c r="J4526" s="141">
        <v>0</v>
      </c>
    </row>
    <row r="4527" spans="1:10" ht="15.75" hidden="1" thickBot="1" x14ac:dyDescent="0.3">
      <c r="A4527" s="231"/>
      <c r="B4527" s="244"/>
      <c r="C4527" s="32" t="s">
        <v>706</v>
      </c>
      <c r="D4527" s="32" t="s">
        <v>705</v>
      </c>
      <c r="E4527" s="33">
        <v>0.05</v>
      </c>
      <c r="F4527" s="50">
        <v>18.420500000000001</v>
      </c>
      <c r="G4527" s="50">
        <f t="shared" si="86"/>
        <v>0.92102500000000009</v>
      </c>
      <c r="H4527" s="35">
        <f>SUM(G4527:G4528)</f>
        <v>7.8436750000000002</v>
      </c>
      <c r="I4527" s="36"/>
      <c r="J4527" s="141">
        <v>0</v>
      </c>
    </row>
    <row r="4528" spans="1:10" ht="26.25" hidden="1" thickBot="1" x14ac:dyDescent="0.3">
      <c r="A4528" s="231"/>
      <c r="B4528" s="244"/>
      <c r="C4528" s="32" t="s">
        <v>1353</v>
      </c>
      <c r="D4528" s="32" t="s">
        <v>95</v>
      </c>
      <c r="E4528" s="33">
        <v>1.05</v>
      </c>
      <c r="F4528" s="50">
        <v>6.593</v>
      </c>
      <c r="G4528" s="50">
        <f t="shared" si="86"/>
        <v>6.92265</v>
      </c>
      <c r="H4528" s="69"/>
      <c r="I4528" s="70"/>
      <c r="J4528" s="141">
        <v>0</v>
      </c>
    </row>
    <row r="4529" spans="1:10" ht="15.75" hidden="1" thickBot="1" x14ac:dyDescent="0.3">
      <c r="A4529" s="232"/>
      <c r="B4529" s="230"/>
      <c r="C4529" s="51"/>
      <c r="D4529" s="51"/>
      <c r="E4529" s="62"/>
      <c r="F4529" s="72" t="s">
        <v>523</v>
      </c>
      <c r="G4529" s="72" t="str">
        <f t="shared" si="86"/>
        <v/>
      </c>
      <c r="H4529" s="73"/>
      <c r="I4529" s="70"/>
      <c r="J4529" s="141">
        <v>0</v>
      </c>
    </row>
    <row r="4530" spans="1:10" ht="15.75" hidden="1" thickBot="1" x14ac:dyDescent="0.3">
      <c r="A4530" s="225" t="s">
        <v>1354</v>
      </c>
      <c r="B4530" s="228" t="str">
        <f>INDEX(Orçamentária!A:B,MATCH(Composições!A4530,Orçamentária!A:A,0),2)</f>
        <v>Camada de Amortecimento para Impermeabilização</v>
      </c>
      <c r="C4530" s="37"/>
      <c r="D4530" s="22" t="str">
        <f>TRIM(INDEX(Orçamentária!C:C,MATCH(Composições!A4530,Orçamentária!A:A,0),1))</f>
        <v>m2</v>
      </c>
      <c r="E4530" s="23"/>
      <c r="F4530" s="45" t="s">
        <v>523</v>
      </c>
      <c r="G4530" s="24" t="str">
        <f t="shared" si="86"/>
        <v/>
      </c>
      <c r="H4530" s="25"/>
      <c r="I4530" s="26"/>
      <c r="J4530" s="141">
        <v>0</v>
      </c>
    </row>
    <row r="4531" spans="1:10" ht="15.75" hidden="1" thickBot="1" x14ac:dyDescent="0.3">
      <c r="A4531" s="231"/>
      <c r="B4531" s="244"/>
      <c r="C4531" s="28"/>
      <c r="D4531" s="28"/>
      <c r="E4531" s="29"/>
      <c r="F4531" s="50" t="s">
        <v>523</v>
      </c>
      <c r="G4531" s="50" t="str">
        <f t="shared" si="86"/>
        <v/>
      </c>
      <c r="H4531" s="69"/>
      <c r="I4531" s="70"/>
      <c r="J4531" s="141">
        <v>0</v>
      </c>
    </row>
    <row r="4532" spans="1:10" ht="15.75" hidden="1" thickBot="1" x14ac:dyDescent="0.3">
      <c r="A4532" s="231"/>
      <c r="B4532" s="244"/>
      <c r="C4532" s="32" t="s">
        <v>713</v>
      </c>
      <c r="D4532" s="32" t="s">
        <v>12</v>
      </c>
      <c r="E4532" s="33">
        <v>0.107</v>
      </c>
      <c r="F4532" s="50">
        <v>24.889999999999997</v>
      </c>
      <c r="G4532" s="50">
        <f t="shared" si="86"/>
        <v>2.6632299999999995</v>
      </c>
      <c r="H4532" s="35">
        <f>SUM(G4532:G4536)</f>
        <v>30.25330939306</v>
      </c>
      <c r="I4532" s="36"/>
      <c r="J4532" s="141">
        <v>0</v>
      </c>
    </row>
    <row r="4533" spans="1:10" ht="15.75" hidden="1" thickBot="1" x14ac:dyDescent="0.3">
      <c r="A4533" s="231"/>
      <c r="B4533" s="244"/>
      <c r="C4533" s="32" t="s">
        <v>706</v>
      </c>
      <c r="D4533" s="32" t="s">
        <v>12</v>
      </c>
      <c r="E4533" s="33">
        <v>0.214</v>
      </c>
      <c r="F4533" s="50">
        <v>18.420500000000001</v>
      </c>
      <c r="G4533" s="50">
        <f t="shared" si="86"/>
        <v>3.9419870000000001</v>
      </c>
      <c r="H4533" s="69"/>
      <c r="I4533" s="70"/>
      <c r="J4533" s="141">
        <v>0</v>
      </c>
    </row>
    <row r="4534" spans="1:10" ht="15.75" hidden="1" thickBot="1" x14ac:dyDescent="0.3">
      <c r="A4534" s="231"/>
      <c r="B4534" s="244"/>
      <c r="C4534" s="32" t="s">
        <v>750</v>
      </c>
      <c r="D4534" s="32" t="s">
        <v>901</v>
      </c>
      <c r="E4534" s="33">
        <v>0.5</v>
      </c>
      <c r="F4534" s="50">
        <v>0.64600000000000002</v>
      </c>
      <c r="G4534" s="50">
        <f t="shared" si="86"/>
        <v>0.32300000000000001</v>
      </c>
      <c r="H4534" s="69"/>
      <c r="I4534" s="70"/>
      <c r="J4534" s="141">
        <v>0</v>
      </c>
    </row>
    <row r="4535" spans="1:10" ht="26.25" hidden="1" thickBot="1" x14ac:dyDescent="0.3">
      <c r="A4535" s="231"/>
      <c r="B4535" s="244"/>
      <c r="C4535" s="32" t="s">
        <v>1347</v>
      </c>
      <c r="D4535" s="32" t="s">
        <v>102</v>
      </c>
      <c r="E4535" s="33">
        <v>0.21</v>
      </c>
      <c r="F4535" s="50">
        <v>15.019499999999999</v>
      </c>
      <c r="G4535" s="50">
        <f t="shared" si="86"/>
        <v>3.1540949999999999</v>
      </c>
      <c r="H4535" s="69"/>
      <c r="I4535" s="70"/>
      <c r="J4535" s="141">
        <v>0</v>
      </c>
    </row>
    <row r="4536" spans="1:10" ht="51.75" hidden="1" thickBot="1" x14ac:dyDescent="0.3">
      <c r="A4536" s="231"/>
      <c r="B4536" s="244"/>
      <c r="C4536" s="32" t="s">
        <v>154</v>
      </c>
      <c r="D4536" s="32" t="s">
        <v>120</v>
      </c>
      <c r="E4536" s="33">
        <v>3.1E-2</v>
      </c>
      <c r="F4536" s="50">
        <v>650.67733525999995</v>
      </c>
      <c r="G4536" s="50">
        <f t="shared" si="86"/>
        <v>20.170997393059999</v>
      </c>
      <c r="H4536" s="69"/>
      <c r="I4536" s="70"/>
      <c r="J4536" s="141">
        <v>0</v>
      </c>
    </row>
    <row r="4537" spans="1:10" ht="15.75" hidden="1" thickBot="1" x14ac:dyDescent="0.3">
      <c r="A4537" s="232"/>
      <c r="B4537" s="230"/>
      <c r="C4537" s="51"/>
      <c r="D4537" s="51"/>
      <c r="E4537" s="62"/>
      <c r="F4537" s="72" t="s">
        <v>523</v>
      </c>
      <c r="G4537" s="72" t="str">
        <f t="shared" si="86"/>
        <v/>
      </c>
      <c r="H4537" s="73"/>
      <c r="I4537" s="70"/>
      <c r="J4537" s="141">
        <v>0</v>
      </c>
    </row>
    <row r="4538" spans="1:10" ht="15.75" hidden="1" thickBot="1" x14ac:dyDescent="0.3">
      <c r="A4538" s="225" t="s">
        <v>1355</v>
      </c>
      <c r="B4538" s="228" t="str">
        <f>INDEX(Orçamentária!A:B,MATCH(Composições!A4538,Orçamentária!A:A,0),2)</f>
        <v>Camada de Proteção Mecânica em Placas de Impermeabilização</v>
      </c>
      <c r="C4538" s="37"/>
      <c r="D4538" s="22" t="str">
        <f>TRIM(INDEX(Orçamentária!C:C,MATCH(Composições!A4538,Orçamentária!A:A,0),1))</f>
        <v>m2</v>
      </c>
      <c r="E4538" s="23"/>
      <c r="F4538" s="45" t="s">
        <v>523</v>
      </c>
      <c r="G4538" s="24" t="str">
        <f t="shared" si="86"/>
        <v/>
      </c>
      <c r="H4538" s="25"/>
      <c r="I4538" s="26"/>
      <c r="J4538" s="141">
        <v>0</v>
      </c>
    </row>
    <row r="4539" spans="1:10" ht="15.75" hidden="1" thickBot="1" x14ac:dyDescent="0.3">
      <c r="A4539" s="231"/>
      <c r="B4539" s="244"/>
      <c r="C4539" s="28"/>
      <c r="D4539" s="28"/>
      <c r="E4539" s="29"/>
      <c r="F4539" s="50" t="s">
        <v>523</v>
      </c>
      <c r="G4539" s="50" t="str">
        <f t="shared" si="86"/>
        <v/>
      </c>
      <c r="H4539" s="69"/>
      <c r="I4539" s="70"/>
      <c r="J4539" s="141">
        <v>0</v>
      </c>
    </row>
    <row r="4540" spans="1:10" ht="15.75" hidden="1" thickBot="1" x14ac:dyDescent="0.3">
      <c r="A4540" s="231"/>
      <c r="B4540" s="244"/>
      <c r="C4540" s="32" t="s">
        <v>1019</v>
      </c>
      <c r="D4540" s="32" t="s">
        <v>995</v>
      </c>
      <c r="E4540" s="33">
        <v>1.04</v>
      </c>
      <c r="F4540" s="50">
        <v>1.843</v>
      </c>
      <c r="G4540" s="50">
        <f t="shared" si="86"/>
        <v>1.91672</v>
      </c>
      <c r="H4540" s="35">
        <f>SUM(G4540:G4544)</f>
        <v>86.110321752499999</v>
      </c>
      <c r="I4540" s="36"/>
      <c r="J4540" s="141">
        <v>0</v>
      </c>
    </row>
    <row r="4541" spans="1:10" ht="26.25" hidden="1" thickBot="1" x14ac:dyDescent="0.3">
      <c r="A4541" s="231"/>
      <c r="B4541" s="244"/>
      <c r="C4541" s="32" t="s">
        <v>1020</v>
      </c>
      <c r="D4541" s="32" t="s">
        <v>120</v>
      </c>
      <c r="E4541" s="33">
        <v>4.3999999999999997E-2</v>
      </c>
      <c r="F4541" s="50">
        <v>854.61274437500003</v>
      </c>
      <c r="G4541" s="50">
        <f t="shared" si="86"/>
        <v>37.602960752499996</v>
      </c>
      <c r="H4541" s="69"/>
      <c r="I4541" s="70"/>
      <c r="J4541" s="141">
        <v>0</v>
      </c>
    </row>
    <row r="4542" spans="1:10" ht="15.75" hidden="1" thickBot="1" x14ac:dyDescent="0.3">
      <c r="A4542" s="231"/>
      <c r="B4542" s="244"/>
      <c r="C4542" s="32" t="s">
        <v>713</v>
      </c>
      <c r="D4542" s="32" t="s">
        <v>705</v>
      </c>
      <c r="E4542" s="33">
        <v>0.89900000000000002</v>
      </c>
      <c r="F4542" s="50">
        <v>24.889999999999997</v>
      </c>
      <c r="G4542" s="50">
        <f t="shared" si="86"/>
        <v>22.376109999999997</v>
      </c>
      <c r="H4542" s="69"/>
      <c r="I4542" s="70"/>
      <c r="J4542" s="141">
        <v>0</v>
      </c>
    </row>
    <row r="4543" spans="1:10" ht="15.75" hidden="1" thickBot="1" x14ac:dyDescent="0.3">
      <c r="A4543" s="231"/>
      <c r="B4543" s="244"/>
      <c r="C4543" s="32" t="s">
        <v>706</v>
      </c>
      <c r="D4543" s="32" t="s">
        <v>705</v>
      </c>
      <c r="E4543" s="33">
        <v>0.182</v>
      </c>
      <c r="F4543" s="50">
        <v>18.420500000000001</v>
      </c>
      <c r="G4543" s="50">
        <f t="shared" si="86"/>
        <v>3.3525309999999999</v>
      </c>
      <c r="H4543" s="69"/>
      <c r="I4543" s="70"/>
      <c r="J4543" s="141">
        <v>0</v>
      </c>
    </row>
    <row r="4544" spans="1:10" ht="39" hidden="1" thickBot="1" x14ac:dyDescent="0.3">
      <c r="A4544" s="231"/>
      <c r="B4544" s="244"/>
      <c r="C4544" s="32" t="s">
        <v>1015</v>
      </c>
      <c r="D4544" s="32" t="s">
        <v>901</v>
      </c>
      <c r="E4544" s="33">
        <f>0.15*2.5*(6/2)</f>
        <v>1.125</v>
      </c>
      <c r="F4544" s="50">
        <v>18.544</v>
      </c>
      <c r="G4544" s="50">
        <f t="shared" si="86"/>
        <v>20.862000000000002</v>
      </c>
      <c r="H4544" s="69"/>
      <c r="I4544" s="70"/>
      <c r="J4544" s="141">
        <v>0</v>
      </c>
    </row>
    <row r="4545" spans="1:10" ht="15.75" hidden="1" thickBot="1" x14ac:dyDescent="0.3">
      <c r="A4545" s="231"/>
      <c r="B4545" s="244"/>
      <c r="C4545" s="32"/>
      <c r="D4545" s="32"/>
      <c r="E4545" s="33"/>
      <c r="F4545" s="50" t="s">
        <v>523</v>
      </c>
      <c r="G4545" s="50" t="str">
        <f t="shared" si="86"/>
        <v/>
      </c>
      <c r="H4545" s="69"/>
      <c r="I4545" s="70"/>
      <c r="J4545" s="141">
        <v>0</v>
      </c>
    </row>
    <row r="4546" spans="1:10" ht="15.75" hidden="1" thickBot="1" x14ac:dyDescent="0.3">
      <c r="A4546" s="225" t="s">
        <v>1356</v>
      </c>
      <c r="B4546" s="228" t="str">
        <f>INDEX(Orçamentária!A:B,MATCH(Composições!A4546,Orçamentária!A:A,0),2)</f>
        <v>Pintura Inibidora de Raízes em Estrutura Impermeabilizada</v>
      </c>
      <c r="C4546" s="37"/>
      <c r="D4546" s="22" t="str">
        <f>TRIM(INDEX(Orçamentária!C:C,MATCH(Composições!A4546,Orçamentária!A:A,0),1))</f>
        <v>m2</v>
      </c>
      <c r="E4546" s="23"/>
      <c r="F4546" s="45" t="s">
        <v>523</v>
      </c>
      <c r="G4546" s="24" t="str">
        <f t="shared" si="86"/>
        <v/>
      </c>
      <c r="H4546" s="25"/>
      <c r="I4546" s="26"/>
      <c r="J4546" s="141">
        <v>0</v>
      </c>
    </row>
    <row r="4547" spans="1:10" ht="15.75" hidden="1" thickBot="1" x14ac:dyDescent="0.3">
      <c r="A4547" s="231"/>
      <c r="B4547" s="244"/>
      <c r="C4547" s="28"/>
      <c r="D4547" s="28"/>
      <c r="E4547" s="29"/>
      <c r="F4547" s="50" t="s">
        <v>523</v>
      </c>
      <c r="G4547" s="50" t="str">
        <f t="shared" si="86"/>
        <v/>
      </c>
      <c r="H4547" s="69"/>
      <c r="I4547" s="70"/>
      <c r="J4547" s="141">
        <v>0</v>
      </c>
    </row>
    <row r="4548" spans="1:10" ht="15.75" hidden="1" thickBot="1" x14ac:dyDescent="0.3">
      <c r="A4548" s="231"/>
      <c r="B4548" s="244"/>
      <c r="C4548" s="32" t="s">
        <v>1357</v>
      </c>
      <c r="D4548" s="32" t="s">
        <v>102</v>
      </c>
      <c r="E4548" s="33">
        <v>0.32569999999999999</v>
      </c>
      <c r="F4548" s="50" t="s">
        <v>523</v>
      </c>
      <c r="G4548" s="50" t="str">
        <f t="shared" si="86"/>
        <v/>
      </c>
      <c r="H4548" s="35">
        <f>SUM(G4548:G4549)</f>
        <v>11.724448750000001</v>
      </c>
      <c r="I4548" s="36"/>
      <c r="J4548" s="141">
        <v>0</v>
      </c>
    </row>
    <row r="4549" spans="1:10" ht="15.75" hidden="1" thickBot="1" x14ac:dyDescent="0.3">
      <c r="A4549" s="231"/>
      <c r="B4549" s="244"/>
      <c r="C4549" s="32" t="s">
        <v>1098</v>
      </c>
      <c r="D4549" s="32" t="s">
        <v>705</v>
      </c>
      <c r="E4549" s="33">
        <v>0.45290000000000002</v>
      </c>
      <c r="F4549" s="50">
        <v>25.887499999999999</v>
      </c>
      <c r="G4549" s="50">
        <f t="shared" si="86"/>
        <v>11.724448750000001</v>
      </c>
      <c r="H4549" s="69"/>
      <c r="I4549" s="70"/>
      <c r="J4549" s="141">
        <v>0</v>
      </c>
    </row>
    <row r="4550" spans="1:10" ht="15.75" hidden="1" thickBot="1" x14ac:dyDescent="0.3">
      <c r="A4550" s="232"/>
      <c r="B4550" s="230"/>
      <c r="C4550" s="51"/>
      <c r="D4550" s="51"/>
      <c r="E4550" s="62"/>
      <c r="F4550" s="72" t="s">
        <v>523</v>
      </c>
      <c r="G4550" s="72" t="str">
        <f t="shared" si="86"/>
        <v/>
      </c>
      <c r="H4550" s="73"/>
      <c r="I4550" s="70"/>
      <c r="J4550" s="141">
        <v>0</v>
      </c>
    </row>
    <row r="4551" spans="1:10" ht="15.75" hidden="1" thickBot="1" x14ac:dyDescent="0.3">
      <c r="A4551" s="225" t="s">
        <v>1358</v>
      </c>
      <c r="B4551" s="228" t="str">
        <f>INDEX(Orçamentária!A:B,MATCH(Composições!A4551,Orçamentária!A:A,0),2)</f>
        <v>Camada Drenante para Impermeabilização</v>
      </c>
      <c r="C4551" s="37"/>
      <c r="D4551" s="22" t="str">
        <f>TRIM(INDEX(Orçamentária!C:C,MATCH(Composições!A4551,Orçamentária!A:A,0),1))</f>
        <v>m2</v>
      </c>
      <c r="E4551" s="23"/>
      <c r="F4551" s="45" t="s">
        <v>523</v>
      </c>
      <c r="G4551" s="24" t="str">
        <f t="shared" si="86"/>
        <v/>
      </c>
      <c r="H4551" s="25"/>
      <c r="I4551" s="26"/>
      <c r="J4551" s="141">
        <v>0</v>
      </c>
    </row>
    <row r="4552" spans="1:10" ht="15.75" hidden="1" thickBot="1" x14ac:dyDescent="0.3">
      <c r="A4552" s="231"/>
      <c r="B4552" s="244"/>
      <c r="C4552" s="28"/>
      <c r="D4552" s="28"/>
      <c r="E4552" s="29"/>
      <c r="F4552" s="50" t="s">
        <v>523</v>
      </c>
      <c r="G4552" s="50" t="str">
        <f t="shared" si="86"/>
        <v/>
      </c>
      <c r="H4552" s="69"/>
      <c r="I4552" s="70"/>
      <c r="J4552" s="141">
        <v>0</v>
      </c>
    </row>
    <row r="4553" spans="1:10" ht="15.75" hidden="1" thickBot="1" x14ac:dyDescent="0.3">
      <c r="A4553" s="231"/>
      <c r="B4553" s="244"/>
      <c r="C4553" s="32" t="s">
        <v>706</v>
      </c>
      <c r="D4553" s="32" t="s">
        <v>705</v>
      </c>
      <c r="E4553" s="33">
        <v>0.02</v>
      </c>
      <c r="F4553" s="50">
        <v>18.420500000000001</v>
      </c>
      <c r="G4553" s="50">
        <f t="shared" si="86"/>
        <v>0.36841000000000002</v>
      </c>
      <c r="H4553" s="35">
        <f>SUM(G4553:G4555)</f>
        <v>7.7670100000000009</v>
      </c>
      <c r="I4553" s="36"/>
      <c r="J4553" s="141">
        <v>0</v>
      </c>
    </row>
    <row r="4554" spans="1:10" ht="26.25" hidden="1" thickBot="1" x14ac:dyDescent="0.3">
      <c r="A4554" s="231"/>
      <c r="B4554" s="244"/>
      <c r="C4554" s="32" t="s">
        <v>1359</v>
      </c>
      <c r="D4554" s="32" t="s">
        <v>95</v>
      </c>
      <c r="E4554" s="33">
        <v>1.05</v>
      </c>
      <c r="F4554" s="50" t="s">
        <v>523</v>
      </c>
      <c r="G4554" s="50" t="str">
        <f t="shared" si="86"/>
        <v/>
      </c>
      <c r="H4554" s="69"/>
      <c r="I4554" s="70"/>
      <c r="J4554" s="141">
        <v>0</v>
      </c>
    </row>
    <row r="4555" spans="1:10" ht="26.25" hidden="1" thickBot="1" x14ac:dyDescent="0.3">
      <c r="A4555" s="231"/>
      <c r="B4555" s="244"/>
      <c r="C4555" s="32" t="s">
        <v>1351</v>
      </c>
      <c r="D4555" s="32" t="s">
        <v>95</v>
      </c>
      <c r="E4555" s="33">
        <v>1.1000000000000001</v>
      </c>
      <c r="F4555" s="50">
        <v>6.726</v>
      </c>
      <c r="G4555" s="50">
        <f t="shared" si="86"/>
        <v>7.398600000000001</v>
      </c>
      <c r="H4555" s="69"/>
      <c r="I4555" s="70"/>
      <c r="J4555" s="141">
        <v>0</v>
      </c>
    </row>
    <row r="4556" spans="1:10" ht="15.75" hidden="1" thickBot="1" x14ac:dyDescent="0.3">
      <c r="A4556" s="232"/>
      <c r="B4556" s="230"/>
      <c r="C4556" s="51"/>
      <c r="D4556" s="51"/>
      <c r="E4556" s="62"/>
      <c r="F4556" s="72" t="s">
        <v>523</v>
      </c>
      <c r="G4556" s="72" t="str">
        <f t="shared" si="86"/>
        <v/>
      </c>
      <c r="H4556" s="73"/>
      <c r="I4556" s="70"/>
      <c r="J4556" s="141">
        <v>0</v>
      </c>
    </row>
    <row r="4557" spans="1:10" ht="15.75" hidden="1" thickBot="1" x14ac:dyDescent="0.3">
      <c r="A4557" s="225" t="s">
        <v>1360</v>
      </c>
      <c r="B4557" s="228" t="str">
        <f>INDEX(Orçamentária!A:B,MATCH(Composições!A4557,Orçamentária!A:A,0),2)</f>
        <v>Calha em Chapa de Aço Galvanizado nº 24</v>
      </c>
      <c r="C4557" s="37"/>
      <c r="D4557" s="22" t="str">
        <f>TRIM(INDEX(Orçamentária!C:C,MATCH(Composições!A4557,Orçamentária!A:A,0),1))</f>
        <v>m2</v>
      </c>
      <c r="E4557" s="23"/>
      <c r="F4557" s="45" t="s">
        <v>523</v>
      </c>
      <c r="G4557" s="24" t="str">
        <f t="shared" si="86"/>
        <v/>
      </c>
      <c r="H4557" s="25"/>
      <c r="I4557" s="26"/>
      <c r="J4557" s="141">
        <v>0</v>
      </c>
    </row>
    <row r="4558" spans="1:10" ht="15.75" hidden="1" thickBot="1" x14ac:dyDescent="0.3">
      <c r="A4558" s="231"/>
      <c r="B4558" s="244"/>
      <c r="C4558" s="28"/>
      <c r="D4558" s="28"/>
      <c r="E4558" s="29"/>
      <c r="F4558" s="50" t="s">
        <v>523</v>
      </c>
      <c r="G4558" s="50" t="str">
        <f t="shared" si="86"/>
        <v/>
      </c>
      <c r="H4558" s="69"/>
      <c r="I4558" s="70"/>
      <c r="J4558" s="141">
        <v>0</v>
      </c>
    </row>
    <row r="4559" spans="1:10" ht="26.25" hidden="1" thickBot="1" x14ac:dyDescent="0.3">
      <c r="A4559" s="231"/>
      <c r="B4559" s="244"/>
      <c r="C4559" s="32" t="s">
        <v>1066</v>
      </c>
      <c r="D4559" s="43" t="s">
        <v>1077</v>
      </c>
      <c r="E4559" s="33">
        <v>0.161</v>
      </c>
      <c r="F4559" s="50">
        <v>35.853000000000002</v>
      </c>
      <c r="G4559" s="50">
        <f t="shared" si="86"/>
        <v>5.7723330000000006</v>
      </c>
      <c r="H4559" s="35">
        <f>SUM(G4559:G4567)</f>
        <v>184.13203999999999</v>
      </c>
      <c r="I4559" s="36"/>
      <c r="J4559" s="141">
        <v>0</v>
      </c>
    </row>
    <row r="4560" spans="1:10" ht="15.75" hidden="1" thickBot="1" x14ac:dyDescent="0.3">
      <c r="A4560" s="231"/>
      <c r="B4560" s="244"/>
      <c r="C4560" s="32" t="s">
        <v>1361</v>
      </c>
      <c r="D4560" s="32" t="s">
        <v>901</v>
      </c>
      <c r="E4560" s="33">
        <v>2.5000000000000001E-2</v>
      </c>
      <c r="F4560" s="50">
        <v>21.7075</v>
      </c>
      <c r="G4560" s="50">
        <f t="shared" si="86"/>
        <v>0.54268749999999999</v>
      </c>
      <c r="H4560" s="69"/>
      <c r="I4560" s="70"/>
      <c r="J4560" s="141">
        <v>0</v>
      </c>
    </row>
    <row r="4561" spans="1:10" ht="26.25" hidden="1" thickBot="1" x14ac:dyDescent="0.3">
      <c r="A4561" s="231"/>
      <c r="B4561" s="244"/>
      <c r="C4561" s="32" t="s">
        <v>1362</v>
      </c>
      <c r="D4561" s="32" t="s">
        <v>901</v>
      </c>
      <c r="E4561" s="33">
        <v>4.8999999999999998E-3</v>
      </c>
      <c r="F4561" s="50">
        <v>67.155499999999989</v>
      </c>
      <c r="G4561" s="50">
        <f t="shared" si="86"/>
        <v>0.32906194999999994</v>
      </c>
      <c r="H4561" s="69"/>
      <c r="I4561" s="70"/>
      <c r="J4561" s="141">
        <v>0</v>
      </c>
    </row>
    <row r="4562" spans="1:10" ht="15.75" hidden="1" thickBot="1" x14ac:dyDescent="0.3">
      <c r="A4562" s="231"/>
      <c r="B4562" s="244"/>
      <c r="C4562" s="32" t="s">
        <v>1363</v>
      </c>
      <c r="D4562" s="32" t="s">
        <v>901</v>
      </c>
      <c r="E4562" s="33">
        <v>0.18</v>
      </c>
      <c r="F4562" s="50">
        <v>165.96499999999997</v>
      </c>
      <c r="G4562" s="50">
        <f t="shared" si="86"/>
        <v>29.873699999999996</v>
      </c>
      <c r="H4562" s="69"/>
      <c r="I4562" s="70"/>
      <c r="J4562" s="141">
        <v>0</v>
      </c>
    </row>
    <row r="4563" spans="1:10" ht="26.25" hidden="1" thickBot="1" x14ac:dyDescent="0.3">
      <c r="A4563" s="231"/>
      <c r="B4563" s="244"/>
      <c r="C4563" s="32" t="s">
        <v>1364</v>
      </c>
      <c r="D4563" s="32" t="s">
        <v>480</v>
      </c>
      <c r="E4563" s="33">
        <v>1.05</v>
      </c>
      <c r="F4563" s="50">
        <v>116.34649999999999</v>
      </c>
      <c r="G4563" s="50">
        <f t="shared" si="86"/>
        <v>122.163825</v>
      </c>
      <c r="H4563" s="69"/>
      <c r="I4563" s="70"/>
      <c r="J4563" s="141">
        <v>0</v>
      </c>
    </row>
    <row r="4564" spans="1:10" ht="15.75" hidden="1" thickBot="1" x14ac:dyDescent="0.3">
      <c r="A4564" s="231"/>
      <c r="B4564" s="244"/>
      <c r="C4564" s="32" t="s">
        <v>706</v>
      </c>
      <c r="D4564" s="32" t="s">
        <v>705</v>
      </c>
      <c r="E4564" s="33">
        <v>0.63300000000000001</v>
      </c>
      <c r="F4564" s="50">
        <v>18.420500000000001</v>
      </c>
      <c r="G4564" s="50">
        <f t="shared" si="86"/>
        <v>11.6601765</v>
      </c>
      <c r="H4564" s="69"/>
      <c r="I4564" s="70"/>
      <c r="J4564" s="141">
        <v>0</v>
      </c>
    </row>
    <row r="4565" spans="1:10" ht="15.75" hidden="1" thickBot="1" x14ac:dyDescent="0.3">
      <c r="A4565" s="231"/>
      <c r="B4565" s="244"/>
      <c r="C4565" s="32" t="s">
        <v>1308</v>
      </c>
      <c r="D4565" s="32" t="s">
        <v>705</v>
      </c>
      <c r="E4565" s="33">
        <v>0.53900000000000003</v>
      </c>
      <c r="F4565" s="50">
        <v>24.414999999999999</v>
      </c>
      <c r="G4565" s="50">
        <f t="shared" si="86"/>
        <v>13.159685</v>
      </c>
      <c r="H4565" s="69"/>
      <c r="I4565" s="70"/>
      <c r="J4565" s="141">
        <v>0</v>
      </c>
    </row>
    <row r="4566" spans="1:10" ht="26.25" hidden="1" thickBot="1" x14ac:dyDescent="0.3">
      <c r="A4566" s="231"/>
      <c r="B4566" s="244"/>
      <c r="C4566" s="32" t="s">
        <v>1309</v>
      </c>
      <c r="D4566" s="32" t="s">
        <v>945</v>
      </c>
      <c r="E4566" s="33">
        <v>1.32E-2</v>
      </c>
      <c r="F4566" s="50">
        <v>20.415499999999998</v>
      </c>
      <c r="G4566" s="50">
        <f t="shared" si="86"/>
        <v>0.26948459999999996</v>
      </c>
      <c r="H4566" s="69"/>
      <c r="I4566" s="70"/>
      <c r="J4566" s="141">
        <v>0</v>
      </c>
    </row>
    <row r="4567" spans="1:10" ht="26.25" hidden="1" thickBot="1" x14ac:dyDescent="0.3">
      <c r="A4567" s="231"/>
      <c r="B4567" s="244"/>
      <c r="C4567" s="32" t="s">
        <v>1310</v>
      </c>
      <c r="D4567" s="32" t="s">
        <v>947</v>
      </c>
      <c r="E4567" s="33">
        <v>1.83E-2</v>
      </c>
      <c r="F4567" s="50">
        <v>19.731499999999997</v>
      </c>
      <c r="G4567" s="50">
        <f t="shared" si="86"/>
        <v>0.36108644999999995</v>
      </c>
      <c r="H4567" s="69"/>
      <c r="I4567" s="70"/>
      <c r="J4567" s="141">
        <v>0</v>
      </c>
    </row>
    <row r="4568" spans="1:10" ht="15.75" hidden="1" thickBot="1" x14ac:dyDescent="0.3">
      <c r="A4568" s="232"/>
      <c r="B4568" s="230"/>
      <c r="C4568" s="51"/>
      <c r="D4568" s="51"/>
      <c r="E4568" s="62"/>
      <c r="F4568" s="72" t="s">
        <v>523</v>
      </c>
      <c r="G4568" s="72" t="str">
        <f t="shared" si="86"/>
        <v/>
      </c>
      <c r="H4568" s="73"/>
      <c r="I4568" s="70"/>
      <c r="J4568" s="141">
        <v>0</v>
      </c>
    </row>
    <row r="4569" spans="1:10" ht="15.75" hidden="1" thickBot="1" x14ac:dyDescent="0.3">
      <c r="A4569" s="225" t="s">
        <v>1365</v>
      </c>
      <c r="B4569" s="228" t="str">
        <f>INDEX(Orçamentária!A:B,MATCH(Composições!A4569,Orçamentária!A:A,0),2)</f>
        <v>Rufo em Chapa de Aço Galvanizado nº 24</v>
      </c>
      <c r="C4569" s="37"/>
      <c r="D4569" s="22" t="str">
        <f>TRIM(INDEX(Orçamentária!C:C,MATCH(Composições!A4569,Orçamentária!A:A,0),1))</f>
        <v>m2</v>
      </c>
      <c r="E4569" s="23"/>
      <c r="F4569" s="45" t="s">
        <v>523</v>
      </c>
      <c r="G4569" s="24" t="str">
        <f t="shared" ref="G4569:G4632" si="87">IF(ISNUMBER(F4569),E4569*F4569,"")</f>
        <v/>
      </c>
      <c r="H4569" s="25"/>
      <c r="I4569" s="26"/>
      <c r="J4569" s="141">
        <v>0</v>
      </c>
    </row>
    <row r="4570" spans="1:10" ht="15.75" hidden="1" thickBot="1" x14ac:dyDescent="0.3">
      <c r="A4570" s="231"/>
      <c r="B4570" s="244"/>
      <c r="C4570" s="28"/>
      <c r="D4570" s="28"/>
      <c r="E4570" s="29"/>
      <c r="F4570" s="50" t="s">
        <v>523</v>
      </c>
      <c r="G4570" s="50" t="str">
        <f t="shared" si="87"/>
        <v/>
      </c>
      <c r="H4570" s="69"/>
      <c r="I4570" s="70"/>
      <c r="J4570" s="141">
        <v>0</v>
      </c>
    </row>
    <row r="4571" spans="1:10" ht="26.25" hidden="1" thickBot="1" x14ac:dyDescent="0.3">
      <c r="A4571" s="231"/>
      <c r="B4571" s="244"/>
      <c r="C4571" s="32" t="s">
        <v>1066</v>
      </c>
      <c r="D4571" s="43" t="s">
        <v>1077</v>
      </c>
      <c r="E4571" s="33">
        <f>0.198*4</f>
        <v>0.79200000000000004</v>
      </c>
      <c r="F4571" s="50">
        <v>35.853000000000002</v>
      </c>
      <c r="G4571" s="50">
        <f t="shared" si="87"/>
        <v>28.395576000000002</v>
      </c>
      <c r="H4571" s="35">
        <f>SUM(G4571:G4579)</f>
        <v>212.08139150000002</v>
      </c>
      <c r="I4571" s="36"/>
      <c r="J4571" s="141">
        <v>0</v>
      </c>
    </row>
    <row r="4572" spans="1:10" ht="15.75" hidden="1" thickBot="1" x14ac:dyDescent="0.3">
      <c r="A4572" s="231"/>
      <c r="B4572" s="244"/>
      <c r="C4572" s="32" t="s">
        <v>1361</v>
      </c>
      <c r="D4572" s="32" t="s">
        <v>901</v>
      </c>
      <c r="E4572" s="33">
        <f>0.006*4</f>
        <v>2.4E-2</v>
      </c>
      <c r="F4572" s="50">
        <v>21.7075</v>
      </c>
      <c r="G4572" s="50">
        <f t="shared" si="87"/>
        <v>0.52098</v>
      </c>
      <c r="H4572" s="69"/>
      <c r="I4572" s="70"/>
      <c r="J4572" s="141">
        <v>0</v>
      </c>
    </row>
    <row r="4573" spans="1:10" ht="26.25" hidden="1" thickBot="1" x14ac:dyDescent="0.3">
      <c r="A4573" s="231"/>
      <c r="B4573" s="244"/>
      <c r="C4573" s="32" t="s">
        <v>1362</v>
      </c>
      <c r="D4573" s="32" t="s">
        <v>901</v>
      </c>
      <c r="E4573" s="33">
        <f>0.0012*4</f>
        <v>4.7999999999999996E-3</v>
      </c>
      <c r="F4573" s="50">
        <v>67.155499999999989</v>
      </c>
      <c r="G4573" s="50">
        <f t="shared" si="87"/>
        <v>0.32234639999999992</v>
      </c>
      <c r="H4573" s="69"/>
      <c r="I4573" s="70"/>
      <c r="J4573" s="141">
        <v>0</v>
      </c>
    </row>
    <row r="4574" spans="1:10" ht="15.75" hidden="1" thickBot="1" x14ac:dyDescent="0.3">
      <c r="A4574" s="231"/>
      <c r="B4574" s="244"/>
      <c r="C4574" s="32" t="s">
        <v>1363</v>
      </c>
      <c r="D4574" s="32" t="s">
        <v>901</v>
      </c>
      <c r="E4574" s="33">
        <f>0.045*4</f>
        <v>0.18</v>
      </c>
      <c r="F4574" s="50">
        <v>165.96499999999997</v>
      </c>
      <c r="G4574" s="50">
        <f t="shared" si="87"/>
        <v>29.873699999999996</v>
      </c>
      <c r="H4574" s="69"/>
      <c r="I4574" s="70"/>
      <c r="J4574" s="141">
        <v>0</v>
      </c>
    </row>
    <row r="4575" spans="1:10" ht="26.25" hidden="1" thickBot="1" x14ac:dyDescent="0.3">
      <c r="A4575" s="231"/>
      <c r="B4575" s="244"/>
      <c r="C4575" s="32" t="s">
        <v>1366</v>
      </c>
      <c r="D4575" s="32" t="s">
        <v>480</v>
      </c>
      <c r="E4575" s="33">
        <f>4*1.05</f>
        <v>4.2</v>
      </c>
      <c r="F4575" s="50">
        <v>33.003</v>
      </c>
      <c r="G4575" s="50">
        <f t="shared" si="87"/>
        <v>138.61260000000001</v>
      </c>
      <c r="H4575" s="69"/>
      <c r="I4575" s="70"/>
      <c r="J4575" s="141">
        <v>0</v>
      </c>
    </row>
    <row r="4576" spans="1:10" ht="15.75" hidden="1" thickBot="1" x14ac:dyDescent="0.3">
      <c r="A4576" s="231"/>
      <c r="B4576" s="244"/>
      <c r="C4576" s="32" t="s">
        <v>706</v>
      </c>
      <c r="D4576" s="32" t="s">
        <v>705</v>
      </c>
      <c r="E4576" s="33">
        <f>0.207*2</f>
        <v>0.41399999999999998</v>
      </c>
      <c r="F4576" s="50">
        <v>18.420500000000001</v>
      </c>
      <c r="G4576" s="50">
        <f t="shared" si="87"/>
        <v>7.6260870000000001</v>
      </c>
      <c r="H4576" s="69"/>
      <c r="I4576" s="70"/>
      <c r="J4576" s="141">
        <v>0</v>
      </c>
    </row>
    <row r="4577" spans="1:10" ht="15.75" hidden="1" thickBot="1" x14ac:dyDescent="0.3">
      <c r="A4577" s="231"/>
      <c r="B4577" s="244"/>
      <c r="C4577" s="32" t="s">
        <v>1308</v>
      </c>
      <c r="D4577" s="32" t="s">
        <v>705</v>
      </c>
      <c r="E4577" s="33">
        <f>0.112*2</f>
        <v>0.224</v>
      </c>
      <c r="F4577" s="50">
        <v>24.414999999999999</v>
      </c>
      <c r="G4577" s="50">
        <f t="shared" si="87"/>
        <v>5.46896</v>
      </c>
      <c r="H4577" s="69"/>
      <c r="I4577" s="70"/>
      <c r="J4577" s="141">
        <v>0</v>
      </c>
    </row>
    <row r="4578" spans="1:10" ht="26.25" hidden="1" thickBot="1" x14ac:dyDescent="0.3">
      <c r="A4578" s="231"/>
      <c r="B4578" s="244"/>
      <c r="C4578" s="32" t="s">
        <v>1309</v>
      </c>
      <c r="D4578" s="32" t="s">
        <v>945</v>
      </c>
      <c r="E4578" s="33">
        <f>0.0132*2</f>
        <v>2.64E-2</v>
      </c>
      <c r="F4578" s="50">
        <v>20.415499999999998</v>
      </c>
      <c r="G4578" s="50">
        <f t="shared" si="87"/>
        <v>0.53896919999999993</v>
      </c>
      <c r="H4578" s="69"/>
      <c r="I4578" s="70"/>
      <c r="J4578" s="141">
        <v>0</v>
      </c>
    </row>
    <row r="4579" spans="1:10" ht="26.25" hidden="1" thickBot="1" x14ac:dyDescent="0.3">
      <c r="A4579" s="231"/>
      <c r="B4579" s="244"/>
      <c r="C4579" s="32" t="s">
        <v>1310</v>
      </c>
      <c r="D4579" s="32" t="s">
        <v>947</v>
      </c>
      <c r="E4579" s="33">
        <f>0.0183*2</f>
        <v>3.6600000000000001E-2</v>
      </c>
      <c r="F4579" s="50">
        <v>19.731499999999997</v>
      </c>
      <c r="G4579" s="50">
        <f t="shared" si="87"/>
        <v>0.7221728999999999</v>
      </c>
      <c r="H4579" s="69"/>
      <c r="I4579" s="70"/>
      <c r="J4579" s="141">
        <v>0</v>
      </c>
    </row>
    <row r="4580" spans="1:10" ht="15.75" hidden="1" thickBot="1" x14ac:dyDescent="0.3">
      <c r="A4580" s="232"/>
      <c r="B4580" s="230"/>
      <c r="C4580" s="51"/>
      <c r="D4580" s="51"/>
      <c r="E4580" s="62"/>
      <c r="F4580" s="72" t="s">
        <v>523</v>
      </c>
      <c r="G4580" s="72" t="str">
        <f t="shared" si="87"/>
        <v/>
      </c>
      <c r="H4580" s="73"/>
      <c r="I4580" s="70"/>
      <c r="J4580" s="141">
        <v>0</v>
      </c>
    </row>
    <row r="4581" spans="1:10" ht="15.75" hidden="1" thickBot="1" x14ac:dyDescent="0.3">
      <c r="A4581" s="225" t="s">
        <v>1367</v>
      </c>
      <c r="B4581" s="228" t="str">
        <f>INDEX(Orçamentária!A:B,MATCH(Composições!A4581,Orçamentária!A:A,0),2)</f>
        <v>Chapim Pré-Moldado de Concreto Aparente</v>
      </c>
      <c r="C4581" s="37"/>
      <c r="D4581" s="22" t="str">
        <f>TRIM(INDEX(Orçamentária!C:C,MATCH(Composições!A4581,Orçamentária!A:A,0),1))</f>
        <v>m</v>
      </c>
      <c r="E4581" s="23"/>
      <c r="F4581" s="45" t="s">
        <v>523</v>
      </c>
      <c r="G4581" s="24" t="str">
        <f t="shared" si="87"/>
        <v/>
      </c>
      <c r="H4581" s="25"/>
      <c r="I4581" s="26"/>
      <c r="J4581" s="141">
        <v>0</v>
      </c>
    </row>
    <row r="4582" spans="1:10" ht="15.75" hidden="1" thickBot="1" x14ac:dyDescent="0.3">
      <c r="A4582" s="231"/>
      <c r="B4582" s="244"/>
      <c r="C4582" s="28"/>
      <c r="D4582" s="28"/>
      <c r="E4582" s="29"/>
      <c r="F4582" s="50" t="s">
        <v>523</v>
      </c>
      <c r="G4582" s="50" t="str">
        <f t="shared" si="87"/>
        <v/>
      </c>
      <c r="H4582" s="69"/>
      <c r="I4582" s="70"/>
      <c r="J4582" s="141">
        <v>0</v>
      </c>
    </row>
    <row r="4583" spans="1:10" ht="26.25" hidden="1" thickBot="1" x14ac:dyDescent="0.3">
      <c r="A4583" s="231"/>
      <c r="B4583" s="244"/>
      <c r="C4583" s="32" t="s">
        <v>3513</v>
      </c>
      <c r="D4583" s="32" t="s">
        <v>901</v>
      </c>
      <c r="E4583" s="33">
        <v>0.02</v>
      </c>
      <c r="F4583" s="50">
        <v>22.61</v>
      </c>
      <c r="G4583" s="50">
        <f t="shared" si="87"/>
        <v>0.45219999999999999</v>
      </c>
      <c r="H4583" s="35">
        <f>SUM(G4583:G4596)</f>
        <v>120.21380845</v>
      </c>
      <c r="I4583" s="36"/>
      <c r="J4583" s="141">
        <v>0</v>
      </c>
    </row>
    <row r="4584" spans="1:10" ht="26.25" hidden="1" thickBot="1" x14ac:dyDescent="0.3">
      <c r="A4584" s="231"/>
      <c r="B4584" s="244"/>
      <c r="C4584" s="32" t="s">
        <v>1291</v>
      </c>
      <c r="D4584" s="32" t="s">
        <v>109</v>
      </c>
      <c r="E4584" s="33">
        <v>0.04</v>
      </c>
      <c r="F4584" s="50">
        <v>162.62100000000001</v>
      </c>
      <c r="G4584" s="50">
        <f t="shared" si="87"/>
        <v>6.5048400000000006</v>
      </c>
      <c r="H4584" s="69"/>
      <c r="I4584" s="70"/>
      <c r="J4584" s="141">
        <v>0</v>
      </c>
    </row>
    <row r="4585" spans="1:10" ht="15.75" hidden="1" thickBot="1" x14ac:dyDescent="0.3">
      <c r="A4585" s="231"/>
      <c r="B4585" s="244"/>
      <c r="C4585" s="32" t="s">
        <v>904</v>
      </c>
      <c r="D4585" s="32" t="s">
        <v>705</v>
      </c>
      <c r="E4585" s="33">
        <v>0.8</v>
      </c>
      <c r="F4585" s="50">
        <v>24.747499999999999</v>
      </c>
      <c r="G4585" s="50">
        <f t="shared" si="87"/>
        <v>19.798000000000002</v>
      </c>
      <c r="H4585" s="69"/>
      <c r="I4585" s="70"/>
      <c r="J4585" s="141">
        <v>0</v>
      </c>
    </row>
    <row r="4586" spans="1:10" ht="26.25" hidden="1" thickBot="1" x14ac:dyDescent="0.3">
      <c r="A4586" s="231"/>
      <c r="B4586" s="244"/>
      <c r="C4586" s="32" t="s">
        <v>1368</v>
      </c>
      <c r="D4586" s="32" t="s">
        <v>901</v>
      </c>
      <c r="E4586" s="33">
        <v>1.35</v>
      </c>
      <c r="F4586" s="50">
        <v>10.1175</v>
      </c>
      <c r="G4586" s="50">
        <f t="shared" si="87"/>
        <v>13.658625000000001</v>
      </c>
      <c r="H4586" s="69"/>
      <c r="I4586" s="70"/>
      <c r="J4586" s="141">
        <v>0</v>
      </c>
    </row>
    <row r="4587" spans="1:10" ht="15.75" hidden="1" thickBot="1" x14ac:dyDescent="0.3">
      <c r="A4587" s="231"/>
      <c r="B4587" s="244"/>
      <c r="C4587" s="32" t="s">
        <v>78</v>
      </c>
      <c r="D4587" s="32" t="s">
        <v>705</v>
      </c>
      <c r="E4587" s="33">
        <v>0.7</v>
      </c>
      <c r="F4587" s="50">
        <v>24.633499999999998</v>
      </c>
      <c r="G4587" s="50">
        <f t="shared" si="87"/>
        <v>17.243449999999996</v>
      </c>
      <c r="H4587" s="69"/>
      <c r="I4587" s="70"/>
      <c r="J4587" s="141">
        <v>0</v>
      </c>
    </row>
    <row r="4588" spans="1:10" ht="15.75" hidden="1" thickBot="1" x14ac:dyDescent="0.3">
      <c r="A4588" s="231"/>
      <c r="B4588" s="244"/>
      <c r="C4588" s="32" t="s">
        <v>1369</v>
      </c>
      <c r="D4588" s="32" t="s">
        <v>95</v>
      </c>
      <c r="E4588" s="33">
        <v>1</v>
      </c>
      <c r="F4588" s="50">
        <v>0</v>
      </c>
      <c r="G4588" s="50">
        <f t="shared" si="87"/>
        <v>0</v>
      </c>
      <c r="H4588" s="69"/>
      <c r="I4588" s="70"/>
      <c r="J4588" s="141">
        <v>0</v>
      </c>
    </row>
    <row r="4589" spans="1:10" ht="39" hidden="1" thickBot="1" x14ac:dyDescent="0.3">
      <c r="A4589" s="231"/>
      <c r="B4589" s="244"/>
      <c r="C4589" s="32" t="s">
        <v>1370</v>
      </c>
      <c r="D4589" s="32" t="s">
        <v>945</v>
      </c>
      <c r="E4589" s="33">
        <v>0.02</v>
      </c>
      <c r="F4589" s="50">
        <v>4.3319999999999999</v>
      </c>
      <c r="G4589" s="50">
        <f t="shared" si="87"/>
        <v>8.6639999999999995E-2</v>
      </c>
      <c r="H4589" s="69"/>
      <c r="I4589" s="70"/>
      <c r="J4589" s="141">
        <v>0</v>
      </c>
    </row>
    <row r="4590" spans="1:10" ht="15.75" hidden="1" thickBot="1" x14ac:dyDescent="0.3">
      <c r="A4590" s="231"/>
      <c r="B4590" s="244"/>
      <c r="C4590" s="32" t="s">
        <v>750</v>
      </c>
      <c r="D4590" s="32" t="s">
        <v>901</v>
      </c>
      <c r="E4590" s="33">
        <v>17.36</v>
      </c>
      <c r="F4590" s="50">
        <v>0.64600000000000002</v>
      </c>
      <c r="G4590" s="50">
        <f t="shared" si="87"/>
        <v>11.214560000000001</v>
      </c>
      <c r="H4590" s="69"/>
      <c r="I4590" s="70"/>
      <c r="J4590" s="141">
        <v>0</v>
      </c>
    </row>
    <row r="4591" spans="1:10" ht="26.25" hidden="1" thickBot="1" x14ac:dyDescent="0.3">
      <c r="A4591" s="231"/>
      <c r="B4591" s="244"/>
      <c r="C4591" s="32" t="s">
        <v>759</v>
      </c>
      <c r="D4591" s="32" t="s">
        <v>109</v>
      </c>
      <c r="E4591" s="33">
        <v>0.09</v>
      </c>
      <c r="F4591" s="50">
        <v>169.76499999999999</v>
      </c>
      <c r="G4591" s="50">
        <f t="shared" si="87"/>
        <v>15.278849999999998</v>
      </c>
      <c r="H4591" s="69"/>
      <c r="I4591" s="70"/>
      <c r="J4591" s="141">
        <v>0</v>
      </c>
    </row>
    <row r="4592" spans="1:10" ht="15.75" hidden="1" thickBot="1" x14ac:dyDescent="0.3">
      <c r="A4592" s="231"/>
      <c r="B4592" s="244"/>
      <c r="C4592" s="32" t="s">
        <v>1371</v>
      </c>
      <c r="D4592" s="32" t="s">
        <v>42</v>
      </c>
      <c r="E4592" s="33">
        <v>0.02</v>
      </c>
      <c r="F4592" s="50">
        <v>22.077999999999996</v>
      </c>
      <c r="G4592" s="50">
        <f t="shared" si="87"/>
        <v>0.44155999999999995</v>
      </c>
      <c r="H4592" s="69"/>
      <c r="I4592" s="70"/>
      <c r="J4592" s="141">
        <v>0</v>
      </c>
    </row>
    <row r="4593" spans="1:10" ht="15.75" hidden="1" thickBot="1" x14ac:dyDescent="0.3">
      <c r="A4593" s="231"/>
      <c r="B4593" s="244"/>
      <c r="C4593" s="32" t="s">
        <v>713</v>
      </c>
      <c r="D4593" s="32" t="s">
        <v>12</v>
      </c>
      <c r="E4593" s="33">
        <v>0.3</v>
      </c>
      <c r="F4593" s="50">
        <v>24.889999999999997</v>
      </c>
      <c r="G4593" s="50">
        <f t="shared" si="87"/>
        <v>7.4669999999999987</v>
      </c>
      <c r="H4593" s="69"/>
      <c r="I4593" s="70"/>
      <c r="J4593" s="141">
        <v>0</v>
      </c>
    </row>
    <row r="4594" spans="1:10" ht="15.75" hidden="1" thickBot="1" x14ac:dyDescent="0.3">
      <c r="A4594" s="231"/>
      <c r="B4594" s="244"/>
      <c r="C4594" s="32" t="s">
        <v>706</v>
      </c>
      <c r="D4594" s="32" t="s">
        <v>705</v>
      </c>
      <c r="E4594" s="33">
        <v>1.1000000000000001</v>
      </c>
      <c r="F4594" s="50">
        <v>18.420500000000001</v>
      </c>
      <c r="G4594" s="50">
        <f t="shared" si="87"/>
        <v>20.262550000000001</v>
      </c>
      <c r="H4594" s="69"/>
      <c r="I4594" s="70"/>
      <c r="J4594" s="141">
        <v>0</v>
      </c>
    </row>
    <row r="4595" spans="1:10" ht="51.75" hidden="1" thickBot="1" x14ac:dyDescent="0.3">
      <c r="A4595" s="231"/>
      <c r="B4595" s="244"/>
      <c r="C4595" s="32" t="s">
        <v>3532</v>
      </c>
      <c r="D4595" s="32" t="s">
        <v>109</v>
      </c>
      <c r="E4595" s="33">
        <f>1*(E4584+E4591)</f>
        <v>0.13</v>
      </c>
      <c r="F4595" s="30">
        <v>7.6983819999999996</v>
      </c>
      <c r="G4595" s="30">
        <f t="shared" si="87"/>
        <v>1.0007896599999999</v>
      </c>
      <c r="H4595" s="31"/>
      <c r="I4595" s="27"/>
      <c r="J4595" s="141">
        <v>0</v>
      </c>
    </row>
    <row r="4596" spans="1:10" ht="39" hidden="1" thickBot="1" x14ac:dyDescent="0.3">
      <c r="A4596" s="231"/>
      <c r="B4596" s="244"/>
      <c r="C4596" s="32" t="s">
        <v>121</v>
      </c>
      <c r="D4596" s="32" t="s">
        <v>122</v>
      </c>
      <c r="E4596" s="33">
        <f>(E4584+E4591)*20</f>
        <v>2.6</v>
      </c>
      <c r="F4596" s="50">
        <v>2.6172091499999994</v>
      </c>
      <c r="G4596" s="50">
        <f t="shared" si="87"/>
        <v>6.804743789999999</v>
      </c>
      <c r="H4596" s="69"/>
      <c r="I4596" s="70"/>
      <c r="J4596" s="141">
        <v>0</v>
      </c>
    </row>
    <row r="4597" spans="1:10" ht="15.75" hidden="1" thickBot="1" x14ac:dyDescent="0.3">
      <c r="A4597" s="231"/>
      <c r="B4597" s="244"/>
      <c r="C4597" s="32"/>
      <c r="D4597" s="32"/>
      <c r="E4597" s="33"/>
      <c r="F4597" s="50" t="s">
        <v>523</v>
      </c>
      <c r="G4597" s="50" t="str">
        <f t="shared" si="87"/>
        <v/>
      </c>
      <c r="H4597" s="69"/>
      <c r="I4597" s="70"/>
      <c r="J4597" s="141">
        <v>0</v>
      </c>
    </row>
    <row r="4598" spans="1:10" ht="26.25" hidden="1" thickBot="1" x14ac:dyDescent="0.3">
      <c r="A4598" s="231"/>
      <c r="B4598" s="244"/>
      <c r="C4598" s="44" t="s">
        <v>1279</v>
      </c>
      <c r="D4598" s="32"/>
      <c r="E4598" s="33"/>
      <c r="F4598" s="50" t="s">
        <v>523</v>
      </c>
      <c r="G4598" s="50" t="str">
        <f t="shared" si="87"/>
        <v/>
      </c>
      <c r="H4598" s="69"/>
      <c r="I4598" s="70"/>
      <c r="J4598" s="141">
        <v>0</v>
      </c>
    </row>
    <row r="4599" spans="1:10" ht="15.75" hidden="1" thickBot="1" x14ac:dyDescent="0.3">
      <c r="A4599" s="232"/>
      <c r="B4599" s="230"/>
      <c r="C4599" s="51"/>
      <c r="D4599" s="51"/>
      <c r="E4599" s="62"/>
      <c r="F4599" s="72" t="s">
        <v>523</v>
      </c>
      <c r="G4599" s="72" t="str">
        <f t="shared" si="87"/>
        <v/>
      </c>
      <c r="H4599" s="73"/>
      <c r="I4599" s="70"/>
      <c r="J4599" s="141">
        <v>0</v>
      </c>
    </row>
    <row r="4600" spans="1:10" ht="15.75" hidden="1" thickBot="1" x14ac:dyDescent="0.3">
      <c r="A4600" s="225" t="s">
        <v>1372</v>
      </c>
      <c r="B4600" s="228" t="str">
        <f>INDEX(Orçamentária!A:B,MATCH(Composições!A4600,Orçamentária!A:A,0),2)</f>
        <v>Armação em tela de aço soldado nervurada</v>
      </c>
      <c r="C4600" s="37"/>
      <c r="D4600" s="22" t="str">
        <f>TRIM(INDEX(Orçamentária!C:C,MATCH(Composições!A4600,Orçamentária!A:A,0),1))</f>
        <v>m2</v>
      </c>
      <c r="E4600" s="23"/>
      <c r="F4600" s="45" t="s">
        <v>523</v>
      </c>
      <c r="G4600" s="24" t="str">
        <f t="shared" si="87"/>
        <v/>
      </c>
      <c r="H4600" s="25"/>
      <c r="I4600" s="26"/>
      <c r="J4600" s="141">
        <v>0</v>
      </c>
    </row>
    <row r="4601" spans="1:10" ht="15.75" hidden="1" thickBot="1" x14ac:dyDescent="0.3">
      <c r="A4601" s="231"/>
      <c r="B4601" s="244"/>
      <c r="C4601" s="28"/>
      <c r="D4601" s="28"/>
      <c r="E4601" s="29"/>
      <c r="F4601" s="50" t="s">
        <v>523</v>
      </c>
      <c r="G4601" s="50" t="str">
        <f t="shared" si="87"/>
        <v/>
      </c>
      <c r="H4601" s="69"/>
      <c r="I4601" s="70"/>
      <c r="J4601" s="141">
        <v>0</v>
      </c>
    </row>
    <row r="4602" spans="1:10" ht="39" hidden="1" thickBot="1" x14ac:dyDescent="0.3">
      <c r="A4602" s="231"/>
      <c r="B4602" s="244"/>
      <c r="C4602" s="32" t="s">
        <v>6645</v>
      </c>
      <c r="D4602" s="32" t="s">
        <v>995</v>
      </c>
      <c r="E4602" s="33">
        <f>ROUND(0.712*1.48,4)</f>
        <v>1.0538000000000001</v>
      </c>
      <c r="F4602" s="50">
        <v>17.565499999999997</v>
      </c>
      <c r="G4602" s="50">
        <f t="shared" si="87"/>
        <v>18.510523899999999</v>
      </c>
      <c r="H4602" s="35">
        <f>SUM(G4602:G4606)</f>
        <v>20.8800025</v>
      </c>
      <c r="I4602" s="36"/>
      <c r="J4602" s="141">
        <v>0</v>
      </c>
    </row>
    <row r="4603" spans="1:10" ht="39" hidden="1" thickBot="1" x14ac:dyDescent="0.3">
      <c r="A4603" s="231"/>
      <c r="B4603" s="244"/>
      <c r="C4603" s="32" t="s">
        <v>902</v>
      </c>
      <c r="D4603" s="32" t="s">
        <v>280</v>
      </c>
      <c r="E4603" s="33">
        <f>ROUND(1.382*1.48,4)</f>
        <v>2.0453999999999999</v>
      </c>
      <c r="F4603" s="50">
        <v>0.20899999999999999</v>
      </c>
      <c r="G4603" s="50">
        <f t="shared" si="87"/>
        <v>0.42748859999999994</v>
      </c>
      <c r="H4603" s="69"/>
      <c r="I4603" s="70"/>
      <c r="J4603" s="141">
        <v>0</v>
      </c>
    </row>
    <row r="4604" spans="1:10" ht="26.25" hidden="1" thickBot="1" x14ac:dyDescent="0.3">
      <c r="A4604" s="231"/>
      <c r="B4604" s="244"/>
      <c r="C4604" s="32" t="s">
        <v>3513</v>
      </c>
      <c r="D4604" s="32" t="s">
        <v>901</v>
      </c>
      <c r="E4604" s="33">
        <f>ROUND(0.0105*1.48,4)</f>
        <v>1.55E-2</v>
      </c>
      <c r="F4604" s="50">
        <v>22.61</v>
      </c>
      <c r="G4604" s="50">
        <f t="shared" si="87"/>
        <v>0.35045499999999996</v>
      </c>
      <c r="H4604" s="69"/>
      <c r="I4604" s="70"/>
      <c r="J4604" s="141">
        <v>0</v>
      </c>
    </row>
    <row r="4605" spans="1:10" ht="15.75" hidden="1" thickBot="1" x14ac:dyDescent="0.3">
      <c r="A4605" s="231"/>
      <c r="B4605" s="244"/>
      <c r="C4605" s="32" t="s">
        <v>903</v>
      </c>
      <c r="D4605" s="32" t="s">
        <v>705</v>
      </c>
      <c r="E4605" s="33">
        <f>ROUND(0.006*1.48,4)</f>
        <v>8.8999999999999999E-3</v>
      </c>
      <c r="F4605" s="50">
        <v>18.3825</v>
      </c>
      <c r="G4605" s="50">
        <f t="shared" si="87"/>
        <v>0.16360425000000001</v>
      </c>
      <c r="H4605" s="69"/>
      <c r="I4605" s="70"/>
      <c r="J4605" s="141">
        <v>0</v>
      </c>
    </row>
    <row r="4606" spans="1:10" ht="15.75" hidden="1" thickBot="1" x14ac:dyDescent="0.3">
      <c r="A4606" s="231"/>
      <c r="B4606" s="244"/>
      <c r="C4606" s="32" t="s">
        <v>904</v>
      </c>
      <c r="D4606" s="32" t="s">
        <v>705</v>
      </c>
      <c r="E4606" s="33">
        <f>ROUND(0.039*1.48,4)</f>
        <v>5.7700000000000001E-2</v>
      </c>
      <c r="F4606" s="50">
        <v>24.747499999999999</v>
      </c>
      <c r="G4606" s="50">
        <f t="shared" si="87"/>
        <v>1.42793075</v>
      </c>
      <c r="H4606" s="69"/>
      <c r="I4606" s="70"/>
      <c r="J4606" s="141">
        <v>0</v>
      </c>
    </row>
    <row r="4607" spans="1:10" ht="15.75" hidden="1" thickBot="1" x14ac:dyDescent="0.3">
      <c r="A4607" s="231"/>
      <c r="B4607" s="244"/>
      <c r="C4607" s="32"/>
      <c r="D4607" s="32"/>
      <c r="E4607" s="33"/>
      <c r="F4607" s="50" t="s">
        <v>523</v>
      </c>
      <c r="G4607" s="50" t="str">
        <f t="shared" si="87"/>
        <v/>
      </c>
      <c r="H4607" s="69"/>
      <c r="I4607" s="70"/>
      <c r="J4607" s="141">
        <v>0</v>
      </c>
    </row>
    <row r="4608" spans="1:10" ht="15.75" hidden="1" thickBot="1" x14ac:dyDescent="0.3">
      <c r="A4608" s="225" t="s">
        <v>1373</v>
      </c>
      <c r="B4608" s="228" t="str">
        <f>INDEX(Orçamentária!A:B,MATCH(Composições!A4608,Orçamentária!A:A,0),2)</f>
        <v>Trama de aço composta por terças para telhados de até 2 águas</v>
      </c>
      <c r="C4608" s="37"/>
      <c r="D4608" s="22" t="str">
        <f>TRIM(INDEX(Orçamentária!C:C,MATCH(Composições!A4608,Orçamentária!A:A,0),1))</f>
        <v>m2</v>
      </c>
      <c r="E4608" s="23"/>
      <c r="F4608" s="45" t="s">
        <v>523</v>
      </c>
      <c r="G4608" s="24" t="str">
        <f t="shared" si="87"/>
        <v/>
      </c>
      <c r="H4608" s="25"/>
      <c r="I4608" s="26"/>
      <c r="J4608" s="141">
        <v>0</v>
      </c>
    </row>
    <row r="4609" spans="1:10" ht="15.75" hidden="1" thickBot="1" x14ac:dyDescent="0.3">
      <c r="A4609" s="231"/>
      <c r="B4609" s="244"/>
      <c r="C4609" s="28"/>
      <c r="D4609" s="28"/>
      <c r="E4609" s="29"/>
      <c r="F4609" s="50" t="s">
        <v>523</v>
      </c>
      <c r="G4609" s="50" t="str">
        <f t="shared" si="87"/>
        <v/>
      </c>
      <c r="H4609" s="69"/>
      <c r="I4609" s="70"/>
      <c r="J4609" s="141">
        <v>0</v>
      </c>
    </row>
    <row r="4610" spans="1:10" ht="26.25" hidden="1" thickBot="1" x14ac:dyDescent="0.3">
      <c r="A4610" s="231"/>
      <c r="B4610" s="244"/>
      <c r="C4610" s="32" t="s">
        <v>1374</v>
      </c>
      <c r="D4610" s="43" t="s">
        <v>1253</v>
      </c>
      <c r="E4610" s="33">
        <v>7.0000000000000001E-3</v>
      </c>
      <c r="F4610" s="50">
        <v>170.92399999999998</v>
      </c>
      <c r="G4610" s="50">
        <f t="shared" si="87"/>
        <v>1.1964679999999999</v>
      </c>
      <c r="H4610" s="35">
        <f>SUM(G4610:G4615)</f>
        <v>62.953412500000006</v>
      </c>
      <c r="I4610" s="36"/>
      <c r="J4610" s="141">
        <v>0</v>
      </c>
    </row>
    <row r="4611" spans="1:10" ht="26.25" hidden="1" thickBot="1" x14ac:dyDescent="0.3">
      <c r="A4611" s="231"/>
      <c r="B4611" s="244"/>
      <c r="C4611" s="32" t="s">
        <v>1375</v>
      </c>
      <c r="D4611" s="32" t="s">
        <v>901</v>
      </c>
      <c r="E4611" s="33">
        <v>4.3330000000000002</v>
      </c>
      <c r="F4611" s="50">
        <v>12.7965</v>
      </c>
      <c r="G4611" s="50">
        <f t="shared" si="87"/>
        <v>55.4472345</v>
      </c>
      <c r="H4611" s="69"/>
      <c r="I4611" s="70"/>
      <c r="J4611" s="141">
        <v>0</v>
      </c>
    </row>
    <row r="4612" spans="1:10" ht="26.25" hidden="1" thickBot="1" x14ac:dyDescent="0.3">
      <c r="A4612" s="231"/>
      <c r="B4612" s="244"/>
      <c r="C4612" s="32" t="s">
        <v>988</v>
      </c>
      <c r="D4612" s="32" t="s">
        <v>705</v>
      </c>
      <c r="E4612" s="33">
        <v>0.21299999999999999</v>
      </c>
      <c r="F4612" s="50">
        <v>18.933499999999999</v>
      </c>
      <c r="G4612" s="50">
        <f t="shared" si="87"/>
        <v>4.0328355</v>
      </c>
      <c r="H4612" s="69"/>
      <c r="I4612" s="70"/>
      <c r="J4612" s="141">
        <v>0</v>
      </c>
    </row>
    <row r="4613" spans="1:10" ht="15.75" hidden="1" thickBot="1" x14ac:dyDescent="0.3">
      <c r="A4613" s="231"/>
      <c r="B4613" s="244"/>
      <c r="C4613" s="32" t="s">
        <v>706</v>
      </c>
      <c r="D4613" s="32" t="s">
        <v>705</v>
      </c>
      <c r="E4613" s="33">
        <v>0.106</v>
      </c>
      <c r="F4613" s="50">
        <v>18.420500000000001</v>
      </c>
      <c r="G4613" s="50">
        <f t="shared" si="87"/>
        <v>1.9525729999999999</v>
      </c>
      <c r="H4613" s="69"/>
      <c r="I4613" s="70"/>
      <c r="J4613" s="141">
        <v>0</v>
      </c>
    </row>
    <row r="4614" spans="1:10" ht="26.25" hidden="1" thickBot="1" x14ac:dyDescent="0.3">
      <c r="A4614" s="231"/>
      <c r="B4614" s="244"/>
      <c r="C4614" s="32" t="s">
        <v>1309</v>
      </c>
      <c r="D4614" s="32" t="s">
        <v>945</v>
      </c>
      <c r="E4614" s="33">
        <v>6.7999999999999996E-3</v>
      </c>
      <c r="F4614" s="50">
        <v>20.415499999999998</v>
      </c>
      <c r="G4614" s="50">
        <f t="shared" si="87"/>
        <v>0.13882539999999999</v>
      </c>
      <c r="H4614" s="69"/>
      <c r="I4614" s="70"/>
      <c r="J4614" s="141">
        <v>0</v>
      </c>
    </row>
    <row r="4615" spans="1:10" ht="26.25" hidden="1" thickBot="1" x14ac:dyDescent="0.3">
      <c r="A4615" s="231"/>
      <c r="B4615" s="244"/>
      <c r="C4615" s="32" t="s">
        <v>1310</v>
      </c>
      <c r="D4615" s="32" t="s">
        <v>947</v>
      </c>
      <c r="E4615" s="33">
        <v>9.4000000000000004E-3</v>
      </c>
      <c r="F4615" s="50">
        <v>19.731499999999997</v>
      </c>
      <c r="G4615" s="50">
        <f t="shared" si="87"/>
        <v>0.18547609999999998</v>
      </c>
      <c r="H4615" s="69"/>
      <c r="I4615" s="70"/>
      <c r="J4615" s="141">
        <v>0</v>
      </c>
    </row>
    <row r="4616" spans="1:10" ht="15.75" hidden="1" thickBot="1" x14ac:dyDescent="0.3">
      <c r="A4616" s="232"/>
      <c r="B4616" s="230"/>
      <c r="C4616" s="51"/>
      <c r="D4616" s="51"/>
      <c r="E4616" s="62"/>
      <c r="F4616" s="72" t="s">
        <v>523</v>
      </c>
      <c r="G4616" s="72" t="str">
        <f t="shared" si="87"/>
        <v/>
      </c>
      <c r="H4616" s="73"/>
      <c r="I4616" s="70"/>
      <c r="J4616" s="141">
        <v>0</v>
      </c>
    </row>
    <row r="4617" spans="1:10" ht="15.75" hidden="1" thickBot="1" x14ac:dyDescent="0.3">
      <c r="A4617" s="225" t="s">
        <v>1376</v>
      </c>
      <c r="B4617" s="228" t="str">
        <f>INDEX(Orçamentária!A:B,MATCH(Composições!A4617,Orçamentária!A:A,0),2)</f>
        <v>Revestimento impermeabilizante bloqueador de umidade</v>
      </c>
      <c r="C4617" s="37"/>
      <c r="D4617" s="22" t="str">
        <f>TRIM(INDEX(Orçamentária!C:C,MATCH(Composições!A4617,Orçamentária!A:A,0),1))</f>
        <v>m2</v>
      </c>
      <c r="E4617" s="23"/>
      <c r="F4617" s="45" t="s">
        <v>523</v>
      </c>
      <c r="G4617" s="24" t="str">
        <f t="shared" si="87"/>
        <v/>
      </c>
      <c r="H4617" s="25"/>
      <c r="I4617" s="26"/>
      <c r="J4617" s="141">
        <v>0</v>
      </c>
    </row>
    <row r="4618" spans="1:10" ht="15.75" hidden="1" thickBot="1" x14ac:dyDescent="0.3">
      <c r="A4618" s="231"/>
      <c r="B4618" s="244"/>
      <c r="C4618" s="28"/>
      <c r="D4618" s="28"/>
      <c r="E4618" s="29"/>
      <c r="F4618" s="50" t="s">
        <v>523</v>
      </c>
      <c r="G4618" s="50" t="str">
        <f t="shared" si="87"/>
        <v/>
      </c>
      <c r="H4618" s="69"/>
      <c r="I4618" s="70"/>
      <c r="J4618" s="141">
        <v>0</v>
      </c>
    </row>
    <row r="4619" spans="1:10" ht="15.75" hidden="1" thickBot="1" x14ac:dyDescent="0.3">
      <c r="A4619" s="231"/>
      <c r="B4619" s="244"/>
      <c r="C4619" s="32" t="s">
        <v>1052</v>
      </c>
      <c r="D4619" s="32" t="s">
        <v>705</v>
      </c>
      <c r="E4619" s="33">
        <v>0.1</v>
      </c>
      <c r="F4619" s="50">
        <v>20.700499999999998</v>
      </c>
      <c r="G4619" s="50">
        <f t="shared" si="87"/>
        <v>2.0700499999999997</v>
      </c>
      <c r="H4619" s="35">
        <f>SUM(G4619:G4621)</f>
        <v>7.2475500000000004</v>
      </c>
      <c r="I4619" s="36"/>
      <c r="J4619" s="141">
        <v>0</v>
      </c>
    </row>
    <row r="4620" spans="1:10" ht="15.75" hidden="1" thickBot="1" x14ac:dyDescent="0.3">
      <c r="A4620" s="231"/>
      <c r="B4620" s="244"/>
      <c r="C4620" s="32" t="s">
        <v>1098</v>
      </c>
      <c r="D4620" s="32" t="s">
        <v>705</v>
      </c>
      <c r="E4620" s="33">
        <v>0.2</v>
      </c>
      <c r="F4620" s="50">
        <v>25.887499999999999</v>
      </c>
      <c r="G4620" s="50">
        <f t="shared" si="87"/>
        <v>5.1775000000000002</v>
      </c>
      <c r="H4620" s="69"/>
      <c r="I4620" s="70"/>
      <c r="J4620" s="141">
        <v>0</v>
      </c>
    </row>
    <row r="4621" spans="1:10" ht="15.75" hidden="1" thickBot="1" x14ac:dyDescent="0.3">
      <c r="A4621" s="231"/>
      <c r="B4621" s="244"/>
      <c r="C4621" s="32" t="s">
        <v>3546</v>
      </c>
      <c r="D4621" s="32" t="s">
        <v>102</v>
      </c>
      <c r="E4621" s="33">
        <f>2*3.6/75</f>
        <v>9.6000000000000002E-2</v>
      </c>
      <c r="F4621" s="50" t="s">
        <v>523</v>
      </c>
      <c r="G4621" s="50" t="str">
        <f t="shared" si="87"/>
        <v/>
      </c>
      <c r="H4621" s="69"/>
      <c r="I4621" s="70"/>
      <c r="J4621" s="141">
        <v>0</v>
      </c>
    </row>
    <row r="4622" spans="1:10" ht="15.75" hidden="1" thickBot="1" x14ac:dyDescent="0.3">
      <c r="A4622" s="231"/>
      <c r="B4622" s="244"/>
      <c r="C4622" s="32"/>
      <c r="D4622" s="32"/>
      <c r="E4622" s="33"/>
      <c r="F4622" s="50" t="s">
        <v>523</v>
      </c>
      <c r="G4622" s="50" t="str">
        <f t="shared" si="87"/>
        <v/>
      </c>
      <c r="H4622" s="69"/>
      <c r="I4622" s="70"/>
      <c r="J4622" s="141">
        <v>0</v>
      </c>
    </row>
    <row r="4623" spans="1:10" ht="39" hidden="1" thickBot="1" x14ac:dyDescent="0.3">
      <c r="A4623" s="231"/>
      <c r="B4623" s="244"/>
      <c r="C4623" s="44" t="s">
        <v>1377</v>
      </c>
      <c r="D4623" s="32"/>
      <c r="E4623" s="33"/>
      <c r="F4623" s="50" t="s">
        <v>523</v>
      </c>
      <c r="G4623" s="50" t="str">
        <f t="shared" si="87"/>
        <v/>
      </c>
      <c r="H4623" s="69"/>
      <c r="I4623" s="70"/>
      <c r="J4623" s="141">
        <v>0</v>
      </c>
    </row>
    <row r="4624" spans="1:10" ht="15.75" hidden="1" thickBot="1" x14ac:dyDescent="0.3">
      <c r="A4624" s="231"/>
      <c r="B4624" s="244"/>
      <c r="C4624" s="32"/>
      <c r="D4624" s="32"/>
      <c r="E4624" s="33"/>
      <c r="F4624" s="50" t="s">
        <v>523</v>
      </c>
      <c r="G4624" s="50" t="str">
        <f t="shared" si="87"/>
        <v/>
      </c>
      <c r="H4624" s="69"/>
      <c r="I4624" s="70"/>
      <c r="J4624" s="141">
        <v>0</v>
      </c>
    </row>
    <row r="4625" spans="1:10" ht="15.75" hidden="1" thickBot="1" x14ac:dyDescent="0.3">
      <c r="A4625" s="225" t="s">
        <v>1378</v>
      </c>
      <c r="B4625" s="228" t="str">
        <f>INDEX(Orçamentária!A:B,MATCH(Composições!A4625,Orçamentária!A:A,0),2)</f>
        <v>Pintura com tinta refletiva aluminizada para impermeabilização</v>
      </c>
      <c r="C4625" s="37"/>
      <c r="D4625" s="22" t="str">
        <f>TRIM(INDEX(Orçamentária!C:C,MATCH(Composições!A4625,Orçamentária!A:A,0),1))</f>
        <v>m2</v>
      </c>
      <c r="E4625" s="23"/>
      <c r="F4625" s="45" t="s">
        <v>523</v>
      </c>
      <c r="G4625" s="24" t="str">
        <f t="shared" si="87"/>
        <v/>
      </c>
      <c r="H4625" s="25"/>
      <c r="I4625" s="26"/>
      <c r="J4625" s="141">
        <v>0</v>
      </c>
    </row>
    <row r="4626" spans="1:10" ht="15.75" hidden="1" thickBot="1" x14ac:dyDescent="0.3">
      <c r="A4626" s="231"/>
      <c r="B4626" s="244"/>
      <c r="C4626" s="28"/>
      <c r="D4626" s="28"/>
      <c r="E4626" s="29"/>
      <c r="F4626" s="50" t="s">
        <v>523</v>
      </c>
      <c r="G4626" s="50" t="str">
        <f t="shared" si="87"/>
        <v/>
      </c>
      <c r="H4626" s="69"/>
      <c r="I4626" s="70"/>
      <c r="J4626" s="141">
        <v>0</v>
      </c>
    </row>
    <row r="4627" spans="1:10" ht="15.75" hidden="1" thickBot="1" x14ac:dyDescent="0.3">
      <c r="A4627" s="231"/>
      <c r="B4627" s="244"/>
      <c r="C4627" s="32" t="s">
        <v>1052</v>
      </c>
      <c r="D4627" s="32" t="s">
        <v>705</v>
      </c>
      <c r="E4627" s="33">
        <v>0.1</v>
      </c>
      <c r="F4627" s="50">
        <v>20.700499999999998</v>
      </c>
      <c r="G4627" s="50">
        <f t="shared" si="87"/>
        <v>2.0700499999999997</v>
      </c>
      <c r="H4627" s="35">
        <f>SUM(G4627:G4629)</f>
        <v>7.2475500000000004</v>
      </c>
      <c r="I4627" s="36"/>
      <c r="J4627" s="141">
        <v>0</v>
      </c>
    </row>
    <row r="4628" spans="1:10" ht="15.75" hidden="1" thickBot="1" x14ac:dyDescent="0.3">
      <c r="A4628" s="231"/>
      <c r="B4628" s="244"/>
      <c r="C4628" s="32" t="s">
        <v>1098</v>
      </c>
      <c r="D4628" s="32" t="s">
        <v>705</v>
      </c>
      <c r="E4628" s="33">
        <v>0.2</v>
      </c>
      <c r="F4628" s="50">
        <v>25.887499999999999</v>
      </c>
      <c r="G4628" s="50">
        <f t="shared" si="87"/>
        <v>5.1775000000000002</v>
      </c>
      <c r="H4628" s="69"/>
      <c r="I4628" s="70"/>
      <c r="J4628" s="141">
        <v>0</v>
      </c>
    </row>
    <row r="4629" spans="1:10" ht="15.75" hidden="1" thickBot="1" x14ac:dyDescent="0.3">
      <c r="A4629" s="231"/>
      <c r="B4629" s="244"/>
      <c r="C4629" s="32" t="s">
        <v>1379</v>
      </c>
      <c r="D4629" s="32" t="s">
        <v>102</v>
      </c>
      <c r="E4629" s="33">
        <v>0.5</v>
      </c>
      <c r="F4629" s="50">
        <v>0</v>
      </c>
      <c r="G4629" s="50">
        <f t="shared" si="87"/>
        <v>0</v>
      </c>
      <c r="H4629" s="69"/>
      <c r="I4629" s="70"/>
      <c r="J4629" s="141">
        <v>0</v>
      </c>
    </row>
    <row r="4630" spans="1:10" ht="15.75" hidden="1" thickBot="1" x14ac:dyDescent="0.3">
      <c r="A4630" s="231"/>
      <c r="B4630" s="244"/>
      <c r="C4630" s="32"/>
      <c r="D4630" s="32"/>
      <c r="E4630" s="33"/>
      <c r="F4630" s="50" t="s">
        <v>523</v>
      </c>
      <c r="G4630" s="50" t="str">
        <f t="shared" si="87"/>
        <v/>
      </c>
      <c r="H4630" s="69"/>
      <c r="I4630" s="70"/>
      <c r="J4630" s="141">
        <v>0</v>
      </c>
    </row>
    <row r="4631" spans="1:10" ht="15.75" hidden="1" thickBot="1" x14ac:dyDescent="0.3">
      <c r="A4631" s="225" t="s">
        <v>1380</v>
      </c>
      <c r="B4631" s="228" t="str">
        <f>INDEX(Orçamentária!A:B,MATCH(Composições!A4631,Orçamentária!A:A,0),2)</f>
        <v>Concreto leve com poliestireno expandido</v>
      </c>
      <c r="C4631" s="37"/>
      <c r="D4631" s="22" t="str">
        <f>TRIM(INDEX(Orçamentária!C:C,MATCH(Composições!A4631,Orçamentária!A:A,0),1))</f>
        <v>m3</v>
      </c>
      <c r="E4631" s="23"/>
      <c r="F4631" s="45" t="s">
        <v>523</v>
      </c>
      <c r="G4631" s="24" t="str">
        <f t="shared" si="87"/>
        <v/>
      </c>
      <c r="H4631" s="25"/>
      <c r="I4631" s="26"/>
      <c r="J4631" s="141">
        <v>0</v>
      </c>
    </row>
    <row r="4632" spans="1:10" ht="15.75" hidden="1" thickBot="1" x14ac:dyDescent="0.3">
      <c r="A4632" s="231"/>
      <c r="B4632" s="244"/>
      <c r="C4632" s="28"/>
      <c r="D4632" s="28"/>
      <c r="E4632" s="29"/>
      <c r="F4632" s="50" t="s">
        <v>523</v>
      </c>
      <c r="G4632" s="50" t="str">
        <f t="shared" si="87"/>
        <v/>
      </c>
      <c r="H4632" s="69"/>
      <c r="I4632" s="70"/>
      <c r="J4632" s="141">
        <v>0</v>
      </c>
    </row>
    <row r="4633" spans="1:10" ht="15.75" hidden="1" thickBot="1" x14ac:dyDescent="0.3">
      <c r="A4633" s="231"/>
      <c r="B4633" s="244"/>
      <c r="C4633" s="32" t="s">
        <v>706</v>
      </c>
      <c r="D4633" s="32" t="s">
        <v>705</v>
      </c>
      <c r="E4633" s="33">
        <v>6.5</v>
      </c>
      <c r="F4633" s="50">
        <v>18.420500000000001</v>
      </c>
      <c r="G4633" s="50">
        <f t="shared" ref="G4633:G4696" si="88">IF(ISNUMBER(F4633),E4633*F4633,"")</f>
        <v>119.73325</v>
      </c>
      <c r="H4633" s="35">
        <f>SUM(G4633:G4639)</f>
        <v>856.97658576999993</v>
      </c>
      <c r="I4633" s="36"/>
      <c r="J4633" s="141">
        <v>0</v>
      </c>
    </row>
    <row r="4634" spans="1:10" ht="26.25" hidden="1" thickBot="1" x14ac:dyDescent="0.3">
      <c r="A4634" s="231"/>
      <c r="B4634" s="244"/>
      <c r="C4634" s="32" t="s">
        <v>754</v>
      </c>
      <c r="D4634" s="32" t="s">
        <v>109</v>
      </c>
      <c r="E4634" s="33">
        <v>0.35799999999999998</v>
      </c>
      <c r="F4634" s="50">
        <v>160.53099999999998</v>
      </c>
      <c r="G4634" s="50">
        <f t="shared" si="88"/>
        <v>57.470097999999993</v>
      </c>
      <c r="H4634" s="69"/>
      <c r="I4634" s="70"/>
      <c r="J4634" s="141">
        <v>0</v>
      </c>
    </row>
    <row r="4635" spans="1:10" ht="15.75" hidden="1" thickBot="1" x14ac:dyDescent="0.3">
      <c r="A4635" s="231"/>
      <c r="B4635" s="244"/>
      <c r="C4635" s="32" t="s">
        <v>750</v>
      </c>
      <c r="D4635" s="32" t="s">
        <v>901</v>
      </c>
      <c r="E4635" s="33">
        <v>400</v>
      </c>
      <c r="F4635" s="50">
        <v>0.64600000000000002</v>
      </c>
      <c r="G4635" s="50">
        <f t="shared" si="88"/>
        <v>258.40000000000003</v>
      </c>
      <c r="H4635" s="69"/>
      <c r="I4635" s="70"/>
      <c r="J4635" s="141">
        <v>0</v>
      </c>
    </row>
    <row r="4636" spans="1:10" ht="26.25" hidden="1" thickBot="1" x14ac:dyDescent="0.3">
      <c r="A4636" s="231"/>
      <c r="B4636" s="244"/>
      <c r="C4636" s="32" t="s">
        <v>1381</v>
      </c>
      <c r="D4636" s="32" t="s">
        <v>42</v>
      </c>
      <c r="E4636" s="33">
        <v>10.5</v>
      </c>
      <c r="F4636" s="50">
        <v>38.037999999999997</v>
      </c>
      <c r="G4636" s="50">
        <f t="shared" si="88"/>
        <v>399.39899999999994</v>
      </c>
      <c r="H4636" s="69"/>
      <c r="I4636" s="70"/>
      <c r="J4636" s="141">
        <v>0</v>
      </c>
    </row>
    <row r="4637" spans="1:10" ht="39" hidden="1" thickBot="1" x14ac:dyDescent="0.3">
      <c r="A4637" s="231"/>
      <c r="B4637" s="244"/>
      <c r="C4637" s="32" t="s">
        <v>117</v>
      </c>
      <c r="D4637" s="32" t="s">
        <v>945</v>
      </c>
      <c r="E4637" s="33">
        <v>0.34300000000000003</v>
      </c>
      <c r="F4637" s="50">
        <v>1.3964999999999999</v>
      </c>
      <c r="G4637" s="50">
        <f t="shared" si="88"/>
        <v>0.47899949999999997</v>
      </c>
      <c r="H4637" s="69"/>
      <c r="I4637" s="70"/>
      <c r="J4637" s="141">
        <v>0</v>
      </c>
    </row>
    <row r="4638" spans="1:10" ht="51.75" hidden="1" thickBot="1" x14ac:dyDescent="0.3">
      <c r="A4638" s="231"/>
      <c r="B4638" s="244"/>
      <c r="C4638" s="32" t="s">
        <v>3532</v>
      </c>
      <c r="D4638" s="32" t="s">
        <v>109</v>
      </c>
      <c r="E4638" s="33">
        <f>1*E4634</f>
        <v>0.35799999999999998</v>
      </c>
      <c r="F4638" s="30">
        <v>7.6983819999999996</v>
      </c>
      <c r="G4638" s="30">
        <f t="shared" si="88"/>
        <v>2.7560207559999998</v>
      </c>
      <c r="H4638" s="31"/>
      <c r="I4638" s="27"/>
      <c r="J4638" s="141">
        <v>0</v>
      </c>
    </row>
    <row r="4639" spans="1:10" ht="39" hidden="1" thickBot="1" x14ac:dyDescent="0.3">
      <c r="A4639" s="231"/>
      <c r="B4639" s="244"/>
      <c r="C4639" s="32" t="s">
        <v>121</v>
      </c>
      <c r="D4639" s="32" t="s">
        <v>122</v>
      </c>
      <c r="E4639" s="33">
        <f>E4634*20</f>
        <v>7.16</v>
      </c>
      <c r="F4639" s="50">
        <v>2.6172091499999994</v>
      </c>
      <c r="G4639" s="50">
        <f t="shared" si="88"/>
        <v>18.739217513999996</v>
      </c>
      <c r="H4639" s="69"/>
      <c r="I4639" s="70"/>
      <c r="J4639" s="141">
        <v>0</v>
      </c>
    </row>
    <row r="4640" spans="1:10" ht="15.75" hidden="1" thickBot="1" x14ac:dyDescent="0.3">
      <c r="A4640" s="231"/>
      <c r="B4640" s="244"/>
      <c r="C4640" s="32"/>
      <c r="D4640" s="32"/>
      <c r="E4640" s="33"/>
      <c r="F4640" s="50" t="s">
        <v>523</v>
      </c>
      <c r="G4640" s="50" t="str">
        <f t="shared" si="88"/>
        <v/>
      </c>
      <c r="H4640" s="69"/>
      <c r="I4640" s="70"/>
      <c r="J4640" s="141">
        <v>0</v>
      </c>
    </row>
    <row r="4641" spans="1:10" ht="15.75" hidden="1" thickBot="1" x14ac:dyDescent="0.3">
      <c r="A4641" s="231"/>
      <c r="B4641" s="244"/>
      <c r="C4641" s="44" t="s">
        <v>1382</v>
      </c>
      <c r="D4641" s="32"/>
      <c r="E4641" s="33"/>
      <c r="F4641" s="50" t="s">
        <v>523</v>
      </c>
      <c r="G4641" s="50" t="str">
        <f t="shared" si="88"/>
        <v/>
      </c>
      <c r="H4641" s="69"/>
      <c r="I4641" s="70"/>
      <c r="J4641" s="141">
        <v>0</v>
      </c>
    </row>
    <row r="4642" spans="1:10" ht="15.75" hidden="1" thickBot="1" x14ac:dyDescent="0.3">
      <c r="A4642" s="231"/>
      <c r="B4642" s="244"/>
      <c r="C4642" s="32"/>
      <c r="D4642" s="32"/>
      <c r="E4642" s="33"/>
      <c r="F4642" s="50" t="s">
        <v>523</v>
      </c>
      <c r="G4642" s="50" t="str">
        <f t="shared" si="88"/>
        <v/>
      </c>
      <c r="H4642" s="69"/>
      <c r="I4642" s="70"/>
      <c r="J4642" s="141">
        <v>0</v>
      </c>
    </row>
    <row r="4643" spans="1:10" ht="15.75" hidden="1" thickBot="1" x14ac:dyDescent="0.3">
      <c r="A4643" s="225" t="s">
        <v>1383</v>
      </c>
      <c r="B4643" s="228" t="str">
        <f>INDEX(Orçamentária!A:B,MATCH(Composições!A4643,Orçamentária!A:A,0),2)</f>
        <v>Colagem da camada de proteção térmica de impermeabilização</v>
      </c>
      <c r="C4643" s="37"/>
      <c r="D4643" s="22" t="str">
        <f>TRIM(INDEX(Orçamentária!C:C,MATCH(Composições!A4643,Orçamentária!A:A,0),1))</f>
        <v>m2</v>
      </c>
      <c r="E4643" s="23"/>
      <c r="F4643" s="45" t="s">
        <v>523</v>
      </c>
      <c r="G4643" s="24" t="str">
        <f t="shared" si="88"/>
        <v/>
      </c>
      <c r="H4643" s="25"/>
      <c r="I4643" s="26"/>
      <c r="J4643" s="141">
        <v>0</v>
      </c>
    </row>
    <row r="4644" spans="1:10" ht="15.75" hidden="1" thickBot="1" x14ac:dyDescent="0.3">
      <c r="A4644" s="231"/>
      <c r="B4644" s="244"/>
      <c r="C4644" s="28"/>
      <c r="D4644" s="28"/>
      <c r="E4644" s="29"/>
      <c r="F4644" s="50" t="s">
        <v>523</v>
      </c>
      <c r="G4644" s="50" t="str">
        <f t="shared" si="88"/>
        <v/>
      </c>
      <c r="H4644" s="69"/>
      <c r="I4644" s="70"/>
      <c r="J4644" s="141">
        <v>0</v>
      </c>
    </row>
    <row r="4645" spans="1:10" ht="26.25" hidden="1" thickBot="1" x14ac:dyDescent="0.3">
      <c r="A4645" s="231"/>
      <c r="B4645" s="244"/>
      <c r="C4645" s="32" t="s">
        <v>1384</v>
      </c>
      <c r="D4645" s="32" t="s">
        <v>102</v>
      </c>
      <c r="E4645" s="33">
        <v>0.35</v>
      </c>
      <c r="F4645" s="50">
        <v>15.674999999999999</v>
      </c>
      <c r="G4645" s="50">
        <f t="shared" si="88"/>
        <v>5.4862499999999992</v>
      </c>
      <c r="H4645" s="35">
        <f>SUM(G4645:G4646)</f>
        <v>7.1416249999999994</v>
      </c>
      <c r="I4645" s="36"/>
      <c r="J4645" s="141">
        <v>0</v>
      </c>
    </row>
    <row r="4646" spans="1:10" ht="15.75" hidden="1" thickBot="1" x14ac:dyDescent="0.3">
      <c r="A4646" s="231"/>
      <c r="B4646" s="244"/>
      <c r="C4646" s="32" t="s">
        <v>1385</v>
      </c>
      <c r="D4646" s="32" t="s">
        <v>705</v>
      </c>
      <c r="E4646" s="33">
        <v>8.5000000000000006E-2</v>
      </c>
      <c r="F4646" s="50">
        <v>19.474999999999998</v>
      </c>
      <c r="G4646" s="50">
        <f t="shared" si="88"/>
        <v>1.655375</v>
      </c>
      <c r="H4646" s="69"/>
      <c r="I4646" s="70"/>
      <c r="J4646" s="141">
        <v>0</v>
      </c>
    </row>
    <row r="4647" spans="1:10" ht="15.75" hidden="1" thickBot="1" x14ac:dyDescent="0.3">
      <c r="A4647" s="231"/>
      <c r="B4647" s="244"/>
      <c r="C4647" s="32"/>
      <c r="D4647" s="32"/>
      <c r="E4647" s="33"/>
      <c r="F4647" s="50" t="s">
        <v>523</v>
      </c>
      <c r="G4647" s="50" t="str">
        <f t="shared" si="88"/>
        <v/>
      </c>
      <c r="H4647" s="69"/>
      <c r="I4647" s="70"/>
      <c r="J4647" s="141">
        <v>0</v>
      </c>
    </row>
    <row r="4648" spans="1:10" ht="26.25" hidden="1" thickBot="1" x14ac:dyDescent="0.3">
      <c r="A4648" s="231"/>
      <c r="B4648" s="244"/>
      <c r="C4648" s="44" t="s">
        <v>1386</v>
      </c>
      <c r="D4648" s="32"/>
      <c r="E4648" s="33"/>
      <c r="F4648" s="50" t="s">
        <v>523</v>
      </c>
      <c r="G4648" s="50" t="str">
        <f t="shared" si="88"/>
        <v/>
      </c>
      <c r="H4648" s="69"/>
      <c r="I4648" s="70"/>
      <c r="J4648" s="141">
        <v>0</v>
      </c>
    </row>
    <row r="4649" spans="1:10" ht="15.75" hidden="1" thickBot="1" x14ac:dyDescent="0.3">
      <c r="A4649" s="231"/>
      <c r="B4649" s="244"/>
      <c r="C4649" s="139" t="s">
        <v>1387</v>
      </c>
      <c r="D4649" s="32"/>
      <c r="E4649" s="33"/>
      <c r="F4649" s="50" t="s">
        <v>523</v>
      </c>
      <c r="G4649" s="50" t="str">
        <f t="shared" si="88"/>
        <v/>
      </c>
      <c r="H4649" s="69"/>
      <c r="I4649" s="70"/>
      <c r="J4649" s="141">
        <v>0</v>
      </c>
    </row>
    <row r="4650" spans="1:10" ht="15.75" hidden="1" thickBot="1" x14ac:dyDescent="0.3">
      <c r="A4650" s="232"/>
      <c r="B4650" s="230"/>
      <c r="C4650" s="32"/>
      <c r="D4650" s="32"/>
      <c r="E4650" s="33"/>
      <c r="F4650" s="50" t="s">
        <v>523</v>
      </c>
      <c r="G4650" s="50" t="str">
        <f t="shared" si="88"/>
        <v/>
      </c>
      <c r="H4650" s="69"/>
      <c r="I4650" s="70"/>
      <c r="J4650" s="141">
        <v>0</v>
      </c>
    </row>
    <row r="4651" spans="1:10" ht="15.75" hidden="1" thickBot="1" x14ac:dyDescent="0.3">
      <c r="A4651" s="225" t="s">
        <v>1388</v>
      </c>
      <c r="B4651" s="228" t="str">
        <f>INDEX(Orçamentária!A:B,MATCH(Composições!A4651,Orçamentária!A:A,0),2)</f>
        <v>Impermeabilização com Membrana de Poliuretano</v>
      </c>
      <c r="C4651" s="37"/>
      <c r="D4651" s="22" t="str">
        <f>TRIM(INDEX(Orçamentária!C:C,MATCH(Composições!A4651,Orçamentária!A:A,0),1))</f>
        <v>m2</v>
      </c>
      <c r="E4651" s="23"/>
      <c r="F4651" s="45" t="s">
        <v>523</v>
      </c>
      <c r="G4651" s="24" t="str">
        <f t="shared" si="88"/>
        <v/>
      </c>
      <c r="H4651" s="25"/>
      <c r="I4651" s="26"/>
      <c r="J4651" s="141">
        <v>0</v>
      </c>
    </row>
    <row r="4652" spans="1:10" ht="15.75" hidden="1" thickBot="1" x14ac:dyDescent="0.3">
      <c r="A4652" s="231"/>
      <c r="B4652" s="244"/>
      <c r="C4652" s="28"/>
      <c r="D4652" s="28"/>
      <c r="E4652" s="29"/>
      <c r="F4652" s="50" t="s">
        <v>523</v>
      </c>
      <c r="G4652" s="50" t="str">
        <f t="shared" si="88"/>
        <v/>
      </c>
      <c r="H4652" s="69"/>
      <c r="I4652" s="70"/>
      <c r="J4652" s="141">
        <v>0</v>
      </c>
    </row>
    <row r="4653" spans="1:10" ht="15.75" hidden="1" thickBot="1" x14ac:dyDescent="0.3">
      <c r="A4653" s="231"/>
      <c r="B4653" s="244"/>
      <c r="C4653" s="32" t="s">
        <v>1389</v>
      </c>
      <c r="D4653" s="32" t="s">
        <v>901</v>
      </c>
      <c r="E4653" s="33">
        <v>2</v>
      </c>
      <c r="F4653" s="50">
        <v>62.186999999999991</v>
      </c>
      <c r="G4653" s="50">
        <f t="shared" si="88"/>
        <v>124.37399999999998</v>
      </c>
      <c r="H4653" s="35">
        <f>SUM(G4653:G4655)</f>
        <v>138.09123999999997</v>
      </c>
      <c r="I4653" s="36"/>
      <c r="J4653" s="141">
        <v>0</v>
      </c>
    </row>
    <row r="4654" spans="1:10" ht="15.75" hidden="1" thickBot="1" x14ac:dyDescent="0.3">
      <c r="A4654" s="231"/>
      <c r="B4654" s="244"/>
      <c r="C4654" s="32" t="s">
        <v>1385</v>
      </c>
      <c r="D4654" s="32" t="s">
        <v>705</v>
      </c>
      <c r="E4654" s="33">
        <v>9.6000000000000002E-2</v>
      </c>
      <c r="F4654" s="50">
        <v>19.474999999999998</v>
      </c>
      <c r="G4654" s="50">
        <f t="shared" si="88"/>
        <v>1.8695999999999999</v>
      </c>
      <c r="H4654" s="69"/>
      <c r="I4654" s="70"/>
      <c r="J4654" s="141">
        <v>0</v>
      </c>
    </row>
    <row r="4655" spans="1:10" ht="15.75" hidden="1" thickBot="1" x14ac:dyDescent="0.3">
      <c r="A4655" s="231"/>
      <c r="B4655" s="244"/>
      <c r="C4655" s="32" t="s">
        <v>1017</v>
      </c>
      <c r="D4655" s="32" t="s">
        <v>705</v>
      </c>
      <c r="E4655" s="33">
        <v>0.47599999999999998</v>
      </c>
      <c r="F4655" s="50">
        <v>24.889999999999997</v>
      </c>
      <c r="G4655" s="50">
        <f t="shared" si="88"/>
        <v>11.847639999999998</v>
      </c>
      <c r="H4655" s="69"/>
      <c r="I4655" s="70"/>
      <c r="J4655" s="141">
        <v>0</v>
      </c>
    </row>
    <row r="4656" spans="1:10" ht="15.75" hidden="1" thickBot="1" x14ac:dyDescent="0.3">
      <c r="A4656" s="231"/>
      <c r="B4656" s="244"/>
      <c r="C4656" s="32"/>
      <c r="D4656" s="32"/>
      <c r="E4656" s="33"/>
      <c r="F4656" s="50" t="s">
        <v>523</v>
      </c>
      <c r="G4656" s="50" t="str">
        <f t="shared" si="88"/>
        <v/>
      </c>
      <c r="H4656" s="69"/>
      <c r="I4656" s="70"/>
      <c r="J4656" s="141">
        <v>0</v>
      </c>
    </row>
    <row r="4657" spans="1:10" ht="15.75" hidden="1" thickBot="1" x14ac:dyDescent="0.3">
      <c r="A4657" s="225" t="s">
        <v>1390</v>
      </c>
      <c r="B4657" s="228" t="str">
        <f>INDEX(Orçamentária!A:B,MATCH(Composições!A4657,Orçamentária!A:A,0),2)</f>
        <v>Impermeabilização com Manta Asfáltica</v>
      </c>
      <c r="C4657" s="37"/>
      <c r="D4657" s="22" t="str">
        <f>TRIM(INDEX(Orçamentária!C:C,MATCH(Composições!A4657,Orçamentária!A:A,0),1))</f>
        <v>m2</v>
      </c>
      <c r="E4657" s="23"/>
      <c r="F4657" s="45" t="s">
        <v>523</v>
      </c>
      <c r="G4657" s="24" t="str">
        <f t="shared" si="88"/>
        <v/>
      </c>
      <c r="H4657" s="25"/>
      <c r="I4657" s="26"/>
      <c r="J4657" s="141">
        <v>0</v>
      </c>
    </row>
    <row r="4658" spans="1:10" ht="15.75" hidden="1" thickBot="1" x14ac:dyDescent="0.3">
      <c r="A4658" s="231"/>
      <c r="B4658" s="244"/>
      <c r="C4658" s="28"/>
      <c r="D4658" s="28"/>
      <c r="E4658" s="29"/>
      <c r="F4658" s="50" t="s">
        <v>523</v>
      </c>
      <c r="G4658" s="50" t="str">
        <f t="shared" si="88"/>
        <v/>
      </c>
      <c r="H4658" s="69"/>
      <c r="I4658" s="70"/>
      <c r="J4658" s="141">
        <v>0</v>
      </c>
    </row>
    <row r="4659" spans="1:10" ht="26.25" hidden="1" thickBot="1" x14ac:dyDescent="0.3">
      <c r="A4659" s="231"/>
      <c r="B4659" s="244"/>
      <c r="C4659" s="32" t="s">
        <v>1384</v>
      </c>
      <c r="D4659" s="32" t="s">
        <v>102</v>
      </c>
      <c r="E4659" s="33">
        <v>0.61499999999999999</v>
      </c>
      <c r="F4659" s="50">
        <v>15.674999999999999</v>
      </c>
      <c r="G4659" s="50">
        <f t="shared" si="88"/>
        <v>9.6401249999999994</v>
      </c>
      <c r="H4659" s="35">
        <f>SUM(G4659:G4663)</f>
        <v>104.8494575</v>
      </c>
      <c r="I4659" s="36"/>
      <c r="J4659" s="141">
        <v>0</v>
      </c>
    </row>
    <row r="4660" spans="1:10" ht="26.25" hidden="1" thickBot="1" x14ac:dyDescent="0.3">
      <c r="A4660" s="231"/>
      <c r="B4660" s="244"/>
      <c r="C4660" s="32" t="s">
        <v>1391</v>
      </c>
      <c r="D4660" s="32" t="s">
        <v>995</v>
      </c>
      <c r="E4660" s="33">
        <v>1.125</v>
      </c>
      <c r="F4660" s="50">
        <v>58.5105</v>
      </c>
      <c r="G4660" s="50">
        <f t="shared" si="88"/>
        <v>65.824312500000005</v>
      </c>
      <c r="H4660" s="69"/>
      <c r="I4660" s="70"/>
      <c r="J4660" s="141">
        <v>0</v>
      </c>
    </row>
    <row r="4661" spans="1:10" ht="15.75" hidden="1" thickBot="1" x14ac:dyDescent="0.3">
      <c r="A4661" s="231"/>
      <c r="B4661" s="244"/>
      <c r="C4661" s="32" t="s">
        <v>1392</v>
      </c>
      <c r="D4661" s="32" t="s">
        <v>901</v>
      </c>
      <c r="E4661" s="33">
        <v>0.26</v>
      </c>
      <c r="F4661" s="50">
        <v>7.8850000000000007</v>
      </c>
      <c r="G4661" s="50">
        <f t="shared" si="88"/>
        <v>2.0501</v>
      </c>
      <c r="H4661" s="69"/>
      <c r="I4661" s="70"/>
      <c r="J4661" s="141">
        <v>0</v>
      </c>
    </row>
    <row r="4662" spans="1:10" ht="15.75" hidden="1" thickBot="1" x14ac:dyDescent="0.3">
      <c r="A4662" s="231"/>
      <c r="B4662" s="244"/>
      <c r="C4662" s="32" t="s">
        <v>1385</v>
      </c>
      <c r="D4662" s="32" t="s">
        <v>705</v>
      </c>
      <c r="E4662" s="33">
        <v>0.192</v>
      </c>
      <c r="F4662" s="50">
        <v>19.474999999999998</v>
      </c>
      <c r="G4662" s="50">
        <f t="shared" si="88"/>
        <v>3.7391999999999999</v>
      </c>
      <c r="H4662" s="69"/>
      <c r="I4662" s="70"/>
      <c r="J4662" s="141">
        <v>0</v>
      </c>
    </row>
    <row r="4663" spans="1:10" ht="15.75" hidden="1" thickBot="1" x14ac:dyDescent="0.3">
      <c r="A4663" s="231"/>
      <c r="B4663" s="244"/>
      <c r="C4663" s="32" t="s">
        <v>1017</v>
      </c>
      <c r="D4663" s="32" t="s">
        <v>705</v>
      </c>
      <c r="E4663" s="33">
        <v>0.94799999999999995</v>
      </c>
      <c r="F4663" s="50">
        <v>24.889999999999997</v>
      </c>
      <c r="G4663" s="50">
        <f t="shared" si="88"/>
        <v>23.595719999999996</v>
      </c>
      <c r="H4663" s="69"/>
      <c r="I4663" s="70"/>
      <c r="J4663" s="141">
        <v>0</v>
      </c>
    </row>
    <row r="4664" spans="1:10" ht="15.75" hidden="1" thickBot="1" x14ac:dyDescent="0.3">
      <c r="A4664" s="231"/>
      <c r="B4664" s="244"/>
      <c r="C4664" s="32"/>
      <c r="D4664" s="32"/>
      <c r="E4664" s="33"/>
      <c r="F4664" s="50" t="s">
        <v>523</v>
      </c>
      <c r="G4664" s="50" t="str">
        <f t="shared" si="88"/>
        <v/>
      </c>
      <c r="H4664" s="69"/>
      <c r="I4664" s="70"/>
      <c r="J4664" s="141">
        <v>0</v>
      </c>
    </row>
    <row r="4665" spans="1:10" ht="15.75" hidden="1" thickBot="1" x14ac:dyDescent="0.3">
      <c r="A4665" s="225" t="s">
        <v>1393</v>
      </c>
      <c r="B4665" s="228" t="str">
        <f>INDEX(Orçamentária!A:B,MATCH(Composições!A4665,Orçamentária!A:A,0),2)</f>
        <v>Impermeabilização com manta asfáltica aluminizada</v>
      </c>
      <c r="C4665" s="37"/>
      <c r="D4665" s="22" t="str">
        <f>TRIM(INDEX(Orçamentária!C:C,MATCH(Composições!A4665,Orçamentária!A:A,0),1))</f>
        <v>m2</v>
      </c>
      <c r="E4665" s="23"/>
      <c r="F4665" s="45" t="s">
        <v>523</v>
      </c>
      <c r="G4665" s="24" t="str">
        <f t="shared" si="88"/>
        <v/>
      </c>
      <c r="H4665" s="25"/>
      <c r="I4665" s="26"/>
      <c r="J4665" s="141">
        <v>0</v>
      </c>
    </row>
    <row r="4666" spans="1:10" ht="15.75" hidden="1" thickBot="1" x14ac:dyDescent="0.3">
      <c r="A4666" s="231"/>
      <c r="B4666" s="244"/>
      <c r="C4666" s="28"/>
      <c r="D4666" s="28"/>
      <c r="E4666" s="29"/>
      <c r="F4666" s="50" t="s">
        <v>523</v>
      </c>
      <c r="G4666" s="50" t="str">
        <f t="shared" si="88"/>
        <v/>
      </c>
      <c r="H4666" s="69"/>
      <c r="I4666" s="70"/>
      <c r="J4666" s="141">
        <v>0</v>
      </c>
    </row>
    <row r="4667" spans="1:10" ht="26.25" hidden="1" thickBot="1" x14ac:dyDescent="0.3">
      <c r="A4667" s="231"/>
      <c r="B4667" s="244"/>
      <c r="C4667" s="32" t="s">
        <v>1384</v>
      </c>
      <c r="D4667" s="32" t="s">
        <v>102</v>
      </c>
      <c r="E4667" s="33">
        <v>0.61499999999999999</v>
      </c>
      <c r="F4667" s="50">
        <v>15.674999999999999</v>
      </c>
      <c r="G4667" s="50">
        <f t="shared" si="88"/>
        <v>9.6401249999999994</v>
      </c>
      <c r="H4667" s="35">
        <f>SUM(G4667:G4671)</f>
        <v>39.025144999999995</v>
      </c>
      <c r="I4667" s="36"/>
      <c r="J4667" s="141">
        <v>0</v>
      </c>
    </row>
    <row r="4668" spans="1:10" ht="15.75" hidden="1" thickBot="1" x14ac:dyDescent="0.3">
      <c r="A4668" s="231"/>
      <c r="B4668" s="244"/>
      <c r="C4668" s="32" t="s">
        <v>1394</v>
      </c>
      <c r="D4668" s="32" t="s">
        <v>995</v>
      </c>
      <c r="E4668" s="33">
        <v>1.125</v>
      </c>
      <c r="F4668" s="50">
        <v>0</v>
      </c>
      <c r="G4668" s="50">
        <f t="shared" si="88"/>
        <v>0</v>
      </c>
      <c r="H4668" s="69"/>
      <c r="I4668" s="70"/>
      <c r="J4668" s="141">
        <v>0</v>
      </c>
    </row>
    <row r="4669" spans="1:10" ht="15.75" hidden="1" thickBot="1" x14ac:dyDescent="0.3">
      <c r="A4669" s="231"/>
      <c r="B4669" s="244"/>
      <c r="C4669" s="32" t="s">
        <v>1392</v>
      </c>
      <c r="D4669" s="32" t="s">
        <v>901</v>
      </c>
      <c r="E4669" s="33">
        <v>0.26</v>
      </c>
      <c r="F4669" s="50">
        <v>7.8850000000000007</v>
      </c>
      <c r="G4669" s="50">
        <f t="shared" si="88"/>
        <v>2.0501</v>
      </c>
      <c r="H4669" s="69"/>
      <c r="I4669" s="70"/>
      <c r="J4669" s="141">
        <v>0</v>
      </c>
    </row>
    <row r="4670" spans="1:10" ht="15.75" hidden="1" thickBot="1" x14ac:dyDescent="0.3">
      <c r="A4670" s="231"/>
      <c r="B4670" s="244"/>
      <c r="C4670" s="32" t="s">
        <v>1385</v>
      </c>
      <c r="D4670" s="32" t="s">
        <v>705</v>
      </c>
      <c r="E4670" s="33">
        <v>0.192</v>
      </c>
      <c r="F4670" s="50">
        <v>19.474999999999998</v>
      </c>
      <c r="G4670" s="50">
        <f t="shared" si="88"/>
        <v>3.7391999999999999</v>
      </c>
      <c r="H4670" s="69"/>
      <c r="I4670" s="70"/>
      <c r="J4670" s="141">
        <v>0</v>
      </c>
    </row>
    <row r="4671" spans="1:10" ht="15.75" hidden="1" thickBot="1" x14ac:dyDescent="0.3">
      <c r="A4671" s="231"/>
      <c r="B4671" s="244"/>
      <c r="C4671" s="32" t="s">
        <v>1017</v>
      </c>
      <c r="D4671" s="32" t="s">
        <v>705</v>
      </c>
      <c r="E4671" s="33">
        <v>0.94799999999999995</v>
      </c>
      <c r="F4671" s="50">
        <v>24.889999999999997</v>
      </c>
      <c r="G4671" s="50">
        <f t="shared" si="88"/>
        <v>23.595719999999996</v>
      </c>
      <c r="H4671" s="69"/>
      <c r="I4671" s="70"/>
      <c r="J4671" s="141">
        <v>0</v>
      </c>
    </row>
    <row r="4672" spans="1:10" ht="15.75" hidden="1" thickBot="1" x14ac:dyDescent="0.3">
      <c r="A4672" s="231"/>
      <c r="B4672" s="244"/>
      <c r="C4672" s="32"/>
      <c r="D4672" s="32"/>
      <c r="E4672" s="33"/>
      <c r="F4672" s="50" t="s">
        <v>523</v>
      </c>
      <c r="G4672" s="50" t="str">
        <f t="shared" si="88"/>
        <v/>
      </c>
      <c r="H4672" s="69"/>
      <c r="I4672" s="70"/>
      <c r="J4672" s="141">
        <v>0</v>
      </c>
    </row>
    <row r="4673" spans="1:10" ht="15.75" hidden="1" thickBot="1" x14ac:dyDescent="0.3">
      <c r="A4673" s="225" t="s">
        <v>1395</v>
      </c>
      <c r="B4673" s="228" t="str">
        <f>INDEX(Orçamentária!A:B,MATCH(Composições!A4673,Orçamentária!A:A,0),2)</f>
        <v>Impermeabilização com manta elastomérica de etileno-propileno-dieno-monômero (EPDM)</v>
      </c>
      <c r="C4673" s="37"/>
      <c r="D4673" s="22" t="str">
        <f>TRIM(INDEX(Orçamentária!C:C,MATCH(Composições!A4673,Orçamentária!A:A,0),1))</f>
        <v>m2</v>
      </c>
      <c r="E4673" s="23"/>
      <c r="F4673" s="45" t="s">
        <v>523</v>
      </c>
      <c r="G4673" s="24" t="str">
        <f t="shared" si="88"/>
        <v/>
      </c>
      <c r="H4673" s="25"/>
      <c r="I4673" s="26"/>
      <c r="J4673" s="141">
        <v>0</v>
      </c>
    </row>
    <row r="4674" spans="1:10" ht="15.75" hidden="1" thickBot="1" x14ac:dyDescent="0.3">
      <c r="A4674" s="231"/>
      <c r="B4674" s="244"/>
      <c r="C4674" s="28"/>
      <c r="D4674" s="28"/>
      <c r="E4674" s="29"/>
      <c r="F4674" s="50" t="s">
        <v>523</v>
      </c>
      <c r="G4674" s="50" t="str">
        <f t="shared" si="88"/>
        <v/>
      </c>
      <c r="H4674" s="69"/>
      <c r="I4674" s="70"/>
      <c r="J4674" s="141">
        <v>0</v>
      </c>
    </row>
    <row r="4675" spans="1:10" ht="15.75" hidden="1" thickBot="1" x14ac:dyDescent="0.3">
      <c r="A4675" s="231"/>
      <c r="B4675" s="244"/>
      <c r="C4675" s="32" t="s">
        <v>1017</v>
      </c>
      <c r="D4675" s="32" t="s">
        <v>705</v>
      </c>
      <c r="E4675" s="33">
        <v>0.5</v>
      </c>
      <c r="F4675" s="50">
        <v>24.889999999999997</v>
      </c>
      <c r="G4675" s="50">
        <f t="shared" si="88"/>
        <v>12.444999999999999</v>
      </c>
      <c r="H4675" s="35">
        <f>SUM(G4675:G4681)</f>
        <v>22.182499999999997</v>
      </c>
      <c r="I4675" s="36"/>
      <c r="J4675" s="141">
        <v>0</v>
      </c>
    </row>
    <row r="4676" spans="1:10" ht="15.75" hidden="1" thickBot="1" x14ac:dyDescent="0.3">
      <c r="A4676" s="231"/>
      <c r="B4676" s="244"/>
      <c r="C4676" s="32" t="s">
        <v>1385</v>
      </c>
      <c r="D4676" s="32" t="s">
        <v>705</v>
      </c>
      <c r="E4676" s="33">
        <v>0.5</v>
      </c>
      <c r="F4676" s="50">
        <v>19.474999999999998</v>
      </c>
      <c r="G4676" s="50">
        <f t="shared" si="88"/>
        <v>9.7374999999999989</v>
      </c>
      <c r="H4676" s="69"/>
      <c r="I4676" s="70"/>
      <c r="J4676" s="141">
        <v>0</v>
      </c>
    </row>
    <row r="4677" spans="1:10" ht="15.75" hidden="1" thickBot="1" x14ac:dyDescent="0.3">
      <c r="A4677" s="231"/>
      <c r="B4677" s="244"/>
      <c r="C4677" s="32" t="s">
        <v>1396</v>
      </c>
      <c r="D4677" s="32" t="s">
        <v>901</v>
      </c>
      <c r="E4677" s="33">
        <v>0.8</v>
      </c>
      <c r="F4677" s="50">
        <v>0</v>
      </c>
      <c r="G4677" s="50">
        <f t="shared" si="88"/>
        <v>0</v>
      </c>
      <c r="H4677" s="69"/>
      <c r="I4677" s="70"/>
      <c r="J4677" s="141">
        <v>0</v>
      </c>
    </row>
    <row r="4678" spans="1:10" ht="15.75" hidden="1" thickBot="1" x14ac:dyDescent="0.3">
      <c r="A4678" s="231"/>
      <c r="B4678" s="244"/>
      <c r="C4678" s="32" t="s">
        <v>1397</v>
      </c>
      <c r="D4678" s="32" t="s">
        <v>102</v>
      </c>
      <c r="E4678" s="33">
        <v>0.6</v>
      </c>
      <c r="F4678" s="50">
        <v>0</v>
      </c>
      <c r="G4678" s="50">
        <f t="shared" si="88"/>
        <v>0</v>
      </c>
      <c r="H4678" s="69"/>
      <c r="I4678" s="70"/>
      <c r="J4678" s="141">
        <v>0</v>
      </c>
    </row>
    <row r="4679" spans="1:10" ht="15.75" hidden="1" thickBot="1" x14ac:dyDescent="0.3">
      <c r="A4679" s="231"/>
      <c r="B4679" s="244"/>
      <c r="C4679" s="32" t="s">
        <v>1398</v>
      </c>
      <c r="D4679" s="32" t="s">
        <v>95</v>
      </c>
      <c r="E4679" s="33">
        <v>1.1000000000000001</v>
      </c>
      <c r="F4679" s="50">
        <v>0</v>
      </c>
      <c r="G4679" s="50">
        <f t="shared" si="88"/>
        <v>0</v>
      </c>
      <c r="H4679" s="69"/>
      <c r="I4679" s="70"/>
      <c r="J4679" s="141">
        <v>0</v>
      </c>
    </row>
    <row r="4680" spans="1:10" ht="15.75" hidden="1" thickBot="1" x14ac:dyDescent="0.3">
      <c r="A4680" s="231"/>
      <c r="B4680" s="244"/>
      <c r="C4680" s="32" t="s">
        <v>1399</v>
      </c>
      <c r="D4680" s="32" t="s">
        <v>93</v>
      </c>
      <c r="E4680" s="33">
        <v>2</v>
      </c>
      <c r="F4680" s="50">
        <v>0</v>
      </c>
      <c r="G4680" s="50">
        <f t="shared" si="88"/>
        <v>0</v>
      </c>
      <c r="H4680" s="69"/>
      <c r="I4680" s="70"/>
      <c r="J4680" s="141">
        <v>0</v>
      </c>
    </row>
    <row r="4681" spans="1:10" ht="15.75" hidden="1" thickBot="1" x14ac:dyDescent="0.3">
      <c r="A4681" s="231"/>
      <c r="B4681" s="244"/>
      <c r="C4681" s="32" t="s">
        <v>1400</v>
      </c>
      <c r="D4681" s="32" t="s">
        <v>102</v>
      </c>
      <c r="E4681" s="33">
        <v>0.2</v>
      </c>
      <c r="F4681" s="50">
        <v>0</v>
      </c>
      <c r="G4681" s="50">
        <f t="shared" si="88"/>
        <v>0</v>
      </c>
      <c r="H4681" s="69"/>
      <c r="I4681" s="70"/>
      <c r="J4681" s="141">
        <v>0</v>
      </c>
    </row>
    <row r="4682" spans="1:10" ht="15.75" hidden="1" thickBot="1" x14ac:dyDescent="0.3">
      <c r="A4682" s="231"/>
      <c r="B4682" s="244"/>
      <c r="C4682" s="32"/>
      <c r="D4682" s="32"/>
      <c r="E4682" s="33"/>
      <c r="F4682" s="50" t="s">
        <v>523</v>
      </c>
      <c r="G4682" s="50" t="str">
        <f t="shared" si="88"/>
        <v/>
      </c>
      <c r="H4682" s="69"/>
      <c r="I4682" s="70"/>
      <c r="J4682" s="141">
        <v>0</v>
      </c>
    </row>
    <row r="4683" spans="1:10" ht="15.75" hidden="1" thickBot="1" x14ac:dyDescent="0.3">
      <c r="A4683" s="225" t="s">
        <v>1401</v>
      </c>
      <c r="B4683" s="228" t="str">
        <f>INDEX(Orçamentária!A:B,MATCH(Composições!A4683,Orçamentária!A:A,0),2)</f>
        <v>Impermeabilização com membrana acrílica</v>
      </c>
      <c r="C4683" s="37"/>
      <c r="D4683" s="22" t="str">
        <f>TRIM(INDEX(Orçamentária!C:C,MATCH(Composições!A4683,Orçamentária!A:A,0),1))</f>
        <v>m2</v>
      </c>
      <c r="E4683" s="23"/>
      <c r="F4683" s="45" t="s">
        <v>523</v>
      </c>
      <c r="G4683" s="24" t="str">
        <f t="shared" si="88"/>
        <v/>
      </c>
      <c r="H4683" s="25"/>
      <c r="I4683" s="26"/>
      <c r="J4683" s="141">
        <v>0</v>
      </c>
    </row>
    <row r="4684" spans="1:10" ht="15.75" hidden="1" thickBot="1" x14ac:dyDescent="0.3">
      <c r="A4684" s="231"/>
      <c r="B4684" s="244"/>
      <c r="C4684" s="28"/>
      <c r="D4684" s="28"/>
      <c r="E4684" s="29"/>
      <c r="F4684" s="50" t="s">
        <v>523</v>
      </c>
      <c r="G4684" s="50" t="str">
        <f t="shared" si="88"/>
        <v/>
      </c>
      <c r="H4684" s="69"/>
      <c r="I4684" s="70"/>
      <c r="J4684" s="141">
        <v>0</v>
      </c>
    </row>
    <row r="4685" spans="1:10" ht="15.75" hidden="1" thickBot="1" x14ac:dyDescent="0.3">
      <c r="A4685" s="231"/>
      <c r="B4685" s="244"/>
      <c r="C4685" s="32" t="s">
        <v>1402</v>
      </c>
      <c r="D4685" s="32" t="s">
        <v>901</v>
      </c>
      <c r="E4685" s="33">
        <v>1.2</v>
      </c>
      <c r="F4685" s="50">
        <v>24.0825</v>
      </c>
      <c r="G4685" s="50">
        <f t="shared" si="88"/>
        <v>28.898999999999997</v>
      </c>
      <c r="H4685" s="35">
        <f>SUM(G4685:G4687)</f>
        <v>45.563994999999991</v>
      </c>
      <c r="I4685" s="36"/>
      <c r="J4685" s="141">
        <v>0</v>
      </c>
    </row>
    <row r="4686" spans="1:10" ht="15.75" hidden="1" thickBot="1" x14ac:dyDescent="0.3">
      <c r="A4686" s="231"/>
      <c r="B4686" s="244"/>
      <c r="C4686" s="32" t="s">
        <v>1385</v>
      </c>
      <c r="D4686" s="32" t="s">
        <v>705</v>
      </c>
      <c r="E4686" s="33">
        <v>0.11700000000000001</v>
      </c>
      <c r="F4686" s="50">
        <v>19.474999999999998</v>
      </c>
      <c r="G4686" s="50">
        <f t="shared" si="88"/>
        <v>2.278575</v>
      </c>
      <c r="H4686" s="69"/>
      <c r="I4686" s="70"/>
      <c r="J4686" s="141">
        <v>0</v>
      </c>
    </row>
    <row r="4687" spans="1:10" ht="15.75" hidden="1" thickBot="1" x14ac:dyDescent="0.3">
      <c r="A4687" s="231"/>
      <c r="B4687" s="244"/>
      <c r="C4687" s="32" t="s">
        <v>1017</v>
      </c>
      <c r="D4687" s="32" t="s">
        <v>705</v>
      </c>
      <c r="E4687" s="33">
        <v>0.57799999999999996</v>
      </c>
      <c r="F4687" s="50">
        <v>24.889999999999997</v>
      </c>
      <c r="G4687" s="50">
        <f t="shared" si="88"/>
        <v>14.386419999999998</v>
      </c>
      <c r="H4687" s="69"/>
      <c r="I4687" s="70"/>
      <c r="J4687" s="141">
        <v>0</v>
      </c>
    </row>
    <row r="4688" spans="1:10" ht="15.75" hidden="1" thickBot="1" x14ac:dyDescent="0.3">
      <c r="A4688" s="231"/>
      <c r="B4688" s="244"/>
      <c r="C4688" s="32"/>
      <c r="D4688" s="32"/>
      <c r="E4688" s="33"/>
      <c r="F4688" s="50" t="s">
        <v>523</v>
      </c>
      <c r="G4688" s="50" t="str">
        <f t="shared" si="88"/>
        <v/>
      </c>
      <c r="H4688" s="69"/>
      <c r="I4688" s="70"/>
      <c r="J4688" s="141">
        <v>0</v>
      </c>
    </row>
    <row r="4689" spans="1:10" ht="15.75" hidden="1" thickBot="1" x14ac:dyDescent="0.3">
      <c r="A4689" s="225" t="s">
        <v>1403</v>
      </c>
      <c r="B4689" s="228" t="str">
        <f>INDEX(Orçamentária!A:B,MATCH(Composições!A4689,Orçamentária!A:A,0),2)</f>
        <v>Asfalto elastomérico para colagem de manta asfáltica</v>
      </c>
      <c r="C4689" s="37"/>
      <c r="D4689" s="22" t="str">
        <f>TRIM(INDEX(Orçamentária!C:C,MATCH(Composições!A4689,Orçamentária!A:A,0),1))</f>
        <v>m2</v>
      </c>
      <c r="E4689" s="23"/>
      <c r="F4689" s="45" t="s">
        <v>523</v>
      </c>
      <c r="G4689" s="24" t="str">
        <f t="shared" si="88"/>
        <v/>
      </c>
      <c r="H4689" s="25"/>
      <c r="I4689" s="26"/>
      <c r="J4689" s="141">
        <v>0</v>
      </c>
    </row>
    <row r="4690" spans="1:10" ht="15.75" hidden="1" thickBot="1" x14ac:dyDescent="0.3">
      <c r="A4690" s="231"/>
      <c r="B4690" s="244"/>
      <c r="C4690" s="28"/>
      <c r="D4690" s="28"/>
      <c r="E4690" s="29"/>
      <c r="F4690" s="50" t="s">
        <v>523</v>
      </c>
      <c r="G4690" s="50" t="str">
        <f t="shared" si="88"/>
        <v/>
      </c>
      <c r="H4690" s="69"/>
      <c r="I4690" s="70"/>
      <c r="J4690" s="141">
        <v>0</v>
      </c>
    </row>
    <row r="4691" spans="1:10" ht="15.75" hidden="1" thickBot="1" x14ac:dyDescent="0.3">
      <c r="A4691" s="231"/>
      <c r="B4691" s="244"/>
      <c r="C4691" s="32" t="s">
        <v>1404</v>
      </c>
      <c r="D4691" s="32" t="s">
        <v>901</v>
      </c>
      <c r="E4691" s="33">
        <v>3</v>
      </c>
      <c r="F4691" s="50" t="s">
        <v>523</v>
      </c>
      <c r="G4691" s="50" t="str">
        <f t="shared" si="88"/>
        <v/>
      </c>
      <c r="H4691" s="35">
        <f>SUM(G4691:G4692)</f>
        <v>4.9779999999999998</v>
      </c>
      <c r="I4691" s="36"/>
      <c r="J4691" s="141">
        <v>0</v>
      </c>
    </row>
    <row r="4692" spans="1:10" ht="15.75" hidden="1" thickBot="1" x14ac:dyDescent="0.3">
      <c r="A4692" s="231"/>
      <c r="B4692" s="244"/>
      <c r="C4692" s="32" t="s">
        <v>1017</v>
      </c>
      <c r="D4692" s="32" t="s">
        <v>705</v>
      </c>
      <c r="E4692" s="33">
        <v>0.2</v>
      </c>
      <c r="F4692" s="50">
        <v>24.889999999999997</v>
      </c>
      <c r="G4692" s="50">
        <f t="shared" si="88"/>
        <v>4.9779999999999998</v>
      </c>
      <c r="H4692" s="69"/>
      <c r="I4692" s="70"/>
      <c r="J4692" s="141">
        <v>0</v>
      </c>
    </row>
    <row r="4693" spans="1:10" ht="15.75" hidden="1" thickBot="1" x14ac:dyDescent="0.3">
      <c r="A4693" s="231"/>
      <c r="B4693" s="244"/>
      <c r="C4693" s="32"/>
      <c r="D4693" s="32"/>
      <c r="E4693" s="33"/>
      <c r="F4693" s="50" t="s">
        <v>523</v>
      </c>
      <c r="G4693" s="50" t="str">
        <f t="shared" si="88"/>
        <v/>
      </c>
      <c r="H4693" s="69"/>
      <c r="I4693" s="70"/>
      <c r="J4693" s="141">
        <v>0</v>
      </c>
    </row>
    <row r="4694" spans="1:10" ht="26.25" hidden="1" thickBot="1" x14ac:dyDescent="0.3">
      <c r="A4694" s="231"/>
      <c r="B4694" s="244"/>
      <c r="C4694" s="44" t="s">
        <v>1405</v>
      </c>
      <c r="D4694" s="32"/>
      <c r="E4694" s="33"/>
      <c r="F4694" s="50" t="s">
        <v>523</v>
      </c>
      <c r="G4694" s="50" t="str">
        <f t="shared" si="88"/>
        <v/>
      </c>
      <c r="H4694" s="69"/>
      <c r="I4694" s="70"/>
      <c r="J4694" s="141">
        <v>0</v>
      </c>
    </row>
    <row r="4695" spans="1:10" ht="25.5" hidden="1" thickBot="1" x14ac:dyDescent="0.3">
      <c r="A4695" s="231"/>
      <c r="B4695" s="244"/>
      <c r="C4695" s="140" t="s">
        <v>1406</v>
      </c>
      <c r="D4695" s="32"/>
      <c r="E4695" s="33"/>
      <c r="F4695" s="50" t="s">
        <v>523</v>
      </c>
      <c r="G4695" s="50" t="str">
        <f t="shared" si="88"/>
        <v/>
      </c>
      <c r="H4695" s="69"/>
      <c r="I4695" s="70"/>
      <c r="J4695" s="141">
        <v>0</v>
      </c>
    </row>
    <row r="4696" spans="1:10" ht="15.75" hidden="1" thickBot="1" x14ac:dyDescent="0.3">
      <c r="A4696" s="231"/>
      <c r="B4696" s="244"/>
      <c r="C4696" s="32"/>
      <c r="D4696" s="32"/>
      <c r="E4696" s="33"/>
      <c r="F4696" s="50" t="s">
        <v>523</v>
      </c>
      <c r="G4696" s="50" t="str">
        <f t="shared" si="88"/>
        <v/>
      </c>
      <c r="H4696" s="69"/>
      <c r="I4696" s="70"/>
      <c r="J4696" s="141">
        <v>0</v>
      </c>
    </row>
    <row r="4697" spans="1:10" ht="15.75" hidden="1" thickBot="1" x14ac:dyDescent="0.3">
      <c r="A4697" s="225" t="s">
        <v>1407</v>
      </c>
      <c r="B4697" s="228" t="str">
        <f>INDEX(Orçamentária!A:B,MATCH(Composições!A4697,Orçamentária!A:A,0),2)</f>
        <v>Impermeabilização com manta dupla (com maçarico)</v>
      </c>
      <c r="C4697" s="37"/>
      <c r="D4697" s="22" t="str">
        <f>TRIM(INDEX(Orçamentária!C:C,MATCH(Composições!A4697,Orçamentária!A:A,0),1))</f>
        <v>m2</v>
      </c>
      <c r="E4697" s="23"/>
      <c r="F4697" s="45" t="s">
        <v>523</v>
      </c>
      <c r="G4697" s="24" t="str">
        <f t="shared" ref="G4697:G4760" si="89">IF(ISNUMBER(F4697),E4697*F4697,"")</f>
        <v/>
      </c>
      <c r="H4697" s="25"/>
      <c r="I4697" s="26"/>
      <c r="J4697" s="141">
        <v>0</v>
      </c>
    </row>
    <row r="4698" spans="1:10" ht="15.75" hidden="1" thickBot="1" x14ac:dyDescent="0.3">
      <c r="A4698" s="231"/>
      <c r="B4698" s="244"/>
      <c r="C4698" s="28"/>
      <c r="D4698" s="28"/>
      <c r="E4698" s="29"/>
      <c r="F4698" s="50" t="s">
        <v>523</v>
      </c>
      <c r="G4698" s="50" t="str">
        <f t="shared" si="89"/>
        <v/>
      </c>
      <c r="H4698" s="69"/>
      <c r="I4698" s="70"/>
      <c r="J4698" s="141">
        <v>0</v>
      </c>
    </row>
    <row r="4699" spans="1:10" ht="26.25" hidden="1" thickBot="1" x14ac:dyDescent="0.3">
      <c r="A4699" s="231"/>
      <c r="B4699" s="244"/>
      <c r="C4699" s="32" t="s">
        <v>1384</v>
      </c>
      <c r="D4699" s="32" t="s">
        <v>102</v>
      </c>
      <c r="E4699" s="33">
        <v>0.61499999999999999</v>
      </c>
      <c r="F4699" s="50">
        <v>15.674999999999999</v>
      </c>
      <c r="G4699" s="50">
        <f t="shared" si="89"/>
        <v>9.6401249999999994</v>
      </c>
      <c r="H4699" s="35">
        <f>SUM(G4699:G4704)</f>
        <v>172.81093749999999</v>
      </c>
      <c r="I4699" s="36"/>
      <c r="J4699" s="141">
        <v>0</v>
      </c>
    </row>
    <row r="4700" spans="1:10" ht="26.25" hidden="1" thickBot="1" x14ac:dyDescent="0.3">
      <c r="A4700" s="231"/>
      <c r="B4700" s="244"/>
      <c r="C4700" s="32" t="s">
        <v>1408</v>
      </c>
      <c r="D4700" s="32" t="s">
        <v>995</v>
      </c>
      <c r="E4700" s="33">
        <v>1.125</v>
      </c>
      <c r="F4700" s="50">
        <v>47.651999999999994</v>
      </c>
      <c r="G4700" s="50">
        <f t="shared" si="89"/>
        <v>53.608499999999992</v>
      </c>
      <c r="H4700" s="69"/>
      <c r="I4700" s="70"/>
      <c r="J4700" s="141">
        <v>0</v>
      </c>
    </row>
    <row r="4701" spans="1:10" ht="26.25" hidden="1" thickBot="1" x14ac:dyDescent="0.3">
      <c r="A4701" s="231"/>
      <c r="B4701" s="244"/>
      <c r="C4701" s="32" t="s">
        <v>1391</v>
      </c>
      <c r="D4701" s="32" t="s">
        <v>995</v>
      </c>
      <c r="E4701" s="33">
        <v>1.125</v>
      </c>
      <c r="F4701" s="50">
        <v>58.5105</v>
      </c>
      <c r="G4701" s="50">
        <f t="shared" si="89"/>
        <v>65.824312500000005</v>
      </c>
      <c r="H4701" s="69"/>
      <c r="I4701" s="70"/>
      <c r="J4701" s="141">
        <v>0</v>
      </c>
    </row>
    <row r="4702" spans="1:10" ht="15.75" hidden="1" thickBot="1" x14ac:dyDescent="0.3">
      <c r="A4702" s="231"/>
      <c r="B4702" s="244"/>
      <c r="C4702" s="32" t="s">
        <v>1392</v>
      </c>
      <c r="D4702" s="32" t="s">
        <v>901</v>
      </c>
      <c r="E4702" s="33">
        <v>0.52</v>
      </c>
      <c r="F4702" s="50">
        <v>7.8850000000000007</v>
      </c>
      <c r="G4702" s="50">
        <f t="shared" si="89"/>
        <v>4.1002000000000001</v>
      </c>
      <c r="H4702" s="69"/>
      <c r="I4702" s="70"/>
      <c r="J4702" s="141">
        <v>0</v>
      </c>
    </row>
    <row r="4703" spans="1:10" ht="15.75" hidden="1" thickBot="1" x14ac:dyDescent="0.3">
      <c r="A4703" s="231"/>
      <c r="B4703" s="244"/>
      <c r="C4703" s="32" t="s">
        <v>1385</v>
      </c>
      <c r="D4703" s="32" t="s">
        <v>705</v>
      </c>
      <c r="E4703" s="33">
        <v>0.27800000000000002</v>
      </c>
      <c r="F4703" s="50">
        <v>19.474999999999998</v>
      </c>
      <c r="G4703" s="50">
        <f t="shared" si="89"/>
        <v>5.4140499999999996</v>
      </c>
      <c r="H4703" s="69"/>
      <c r="I4703" s="70"/>
      <c r="J4703" s="141">
        <v>0</v>
      </c>
    </row>
    <row r="4704" spans="1:10" ht="15.75" hidden="1" thickBot="1" x14ac:dyDescent="0.3">
      <c r="A4704" s="231"/>
      <c r="B4704" s="244"/>
      <c r="C4704" s="32" t="s">
        <v>1017</v>
      </c>
      <c r="D4704" s="32" t="s">
        <v>705</v>
      </c>
      <c r="E4704" s="33">
        <v>1.375</v>
      </c>
      <c r="F4704" s="50">
        <v>24.889999999999997</v>
      </c>
      <c r="G4704" s="50">
        <f t="shared" si="89"/>
        <v>34.223749999999995</v>
      </c>
      <c r="H4704" s="69"/>
      <c r="I4704" s="70"/>
      <c r="J4704" s="141">
        <v>0</v>
      </c>
    </row>
    <row r="4705" spans="1:10" ht="15.75" hidden="1" thickBot="1" x14ac:dyDescent="0.3">
      <c r="A4705" s="231"/>
      <c r="B4705" s="244"/>
      <c r="C4705" s="32"/>
      <c r="D4705" s="32"/>
      <c r="E4705" s="33"/>
      <c r="F4705" s="50" t="s">
        <v>523</v>
      </c>
      <c r="G4705" s="50" t="str">
        <f t="shared" si="89"/>
        <v/>
      </c>
      <c r="H4705" s="69"/>
      <c r="I4705" s="70"/>
      <c r="J4705" s="141">
        <v>0</v>
      </c>
    </row>
    <row r="4706" spans="1:10" ht="15.75" hidden="1" thickBot="1" x14ac:dyDescent="0.3">
      <c r="A4706" s="225" t="s">
        <v>1409</v>
      </c>
      <c r="B4706" s="228" t="str">
        <f>INDEX(Orçamentária!A:B,MATCH(Composições!A4706,Orçamentária!A:A,0),2)</f>
        <v>Impermeabilização com manta dupla (com asfalto elastomérico)</v>
      </c>
      <c r="C4706" s="37"/>
      <c r="D4706" s="22" t="str">
        <f>TRIM(INDEX(Orçamentária!C:C,MATCH(Composições!A4706,Orçamentária!A:A,0),1))</f>
        <v>m2</v>
      </c>
      <c r="E4706" s="23"/>
      <c r="F4706" s="45" t="s">
        <v>523</v>
      </c>
      <c r="G4706" s="24" t="str">
        <f t="shared" si="89"/>
        <v/>
      </c>
      <c r="H4706" s="25"/>
      <c r="I4706" s="26"/>
      <c r="J4706" s="141">
        <v>0</v>
      </c>
    </row>
    <row r="4707" spans="1:10" ht="15.75" hidden="1" thickBot="1" x14ac:dyDescent="0.3">
      <c r="A4707" s="231"/>
      <c r="B4707" s="244"/>
      <c r="C4707" s="28"/>
      <c r="D4707" s="28"/>
      <c r="E4707" s="29"/>
      <c r="F4707" s="50" t="s">
        <v>523</v>
      </c>
      <c r="G4707" s="50" t="str">
        <f t="shared" si="89"/>
        <v/>
      </c>
      <c r="H4707" s="69"/>
      <c r="I4707" s="70"/>
      <c r="J4707" s="141">
        <v>0</v>
      </c>
    </row>
    <row r="4708" spans="1:10" ht="26.25" hidden="1" thickBot="1" x14ac:dyDescent="0.3">
      <c r="A4708" s="231"/>
      <c r="B4708" s="244"/>
      <c r="C4708" s="32" t="s">
        <v>1384</v>
      </c>
      <c r="D4708" s="32" t="s">
        <v>102</v>
      </c>
      <c r="E4708" s="33">
        <v>0.61499999999999999</v>
      </c>
      <c r="F4708" s="50">
        <v>15.674999999999999</v>
      </c>
      <c r="G4708" s="50">
        <f t="shared" si="89"/>
        <v>9.6401249999999994</v>
      </c>
      <c r="H4708" s="35">
        <f>SUM(G4708:G4713)</f>
        <v>174.1247875</v>
      </c>
      <c r="I4708" s="36"/>
      <c r="J4708" s="141">
        <v>0</v>
      </c>
    </row>
    <row r="4709" spans="1:10" ht="26.25" hidden="1" thickBot="1" x14ac:dyDescent="0.3">
      <c r="A4709" s="231"/>
      <c r="B4709" s="244"/>
      <c r="C4709" s="32" t="s">
        <v>1408</v>
      </c>
      <c r="D4709" s="32" t="s">
        <v>995</v>
      </c>
      <c r="E4709" s="33">
        <v>1.125</v>
      </c>
      <c r="F4709" s="50">
        <v>47.651999999999994</v>
      </c>
      <c r="G4709" s="50">
        <f t="shared" si="89"/>
        <v>53.608499999999992</v>
      </c>
      <c r="H4709" s="69"/>
      <c r="I4709" s="70"/>
      <c r="J4709" s="141">
        <v>0</v>
      </c>
    </row>
    <row r="4710" spans="1:10" ht="26.25" hidden="1" thickBot="1" x14ac:dyDescent="0.3">
      <c r="A4710" s="231"/>
      <c r="B4710" s="244"/>
      <c r="C4710" s="32" t="s">
        <v>1391</v>
      </c>
      <c r="D4710" s="32" t="s">
        <v>995</v>
      </c>
      <c r="E4710" s="33">
        <v>1.125</v>
      </c>
      <c r="F4710" s="50">
        <v>58.5105</v>
      </c>
      <c r="G4710" s="50">
        <f t="shared" si="89"/>
        <v>65.824312500000005</v>
      </c>
      <c r="H4710" s="69"/>
      <c r="I4710" s="70"/>
      <c r="J4710" s="141">
        <v>0</v>
      </c>
    </row>
    <row r="4711" spans="1:10" ht="15.75" hidden="1" thickBot="1" x14ac:dyDescent="0.3">
      <c r="A4711" s="231"/>
      <c r="B4711" s="244"/>
      <c r="C4711" s="32" t="s">
        <v>1404</v>
      </c>
      <c r="D4711" s="32" t="s">
        <v>901</v>
      </c>
      <c r="E4711" s="33">
        <v>2</v>
      </c>
      <c r="F4711" s="50" t="s">
        <v>523</v>
      </c>
      <c r="G4711" s="50" t="str">
        <f t="shared" si="89"/>
        <v/>
      </c>
      <c r="H4711" s="69"/>
      <c r="I4711" s="70"/>
      <c r="J4711" s="141">
        <v>0</v>
      </c>
    </row>
    <row r="4712" spans="1:10" ht="15.75" hidden="1" thickBot="1" x14ac:dyDescent="0.3">
      <c r="A4712" s="231"/>
      <c r="B4712" s="244"/>
      <c r="C4712" s="32" t="s">
        <v>1385</v>
      </c>
      <c r="D4712" s="32" t="s">
        <v>705</v>
      </c>
      <c r="E4712" s="33">
        <f>0.278*2</f>
        <v>0.55600000000000005</v>
      </c>
      <c r="F4712" s="50">
        <v>19.474999999999998</v>
      </c>
      <c r="G4712" s="50">
        <f t="shared" si="89"/>
        <v>10.828099999999999</v>
      </c>
      <c r="H4712" s="69"/>
      <c r="I4712" s="70"/>
      <c r="J4712" s="141">
        <v>0</v>
      </c>
    </row>
    <row r="4713" spans="1:10" ht="15.75" hidden="1" thickBot="1" x14ac:dyDescent="0.3">
      <c r="A4713" s="231"/>
      <c r="B4713" s="244"/>
      <c r="C4713" s="32" t="s">
        <v>1017</v>
      </c>
      <c r="D4713" s="32" t="s">
        <v>705</v>
      </c>
      <c r="E4713" s="33">
        <v>1.375</v>
      </c>
      <c r="F4713" s="50">
        <v>24.889999999999997</v>
      </c>
      <c r="G4713" s="50">
        <f t="shared" si="89"/>
        <v>34.223749999999995</v>
      </c>
      <c r="H4713" s="69"/>
      <c r="I4713" s="70"/>
      <c r="J4713" s="141">
        <v>0</v>
      </c>
    </row>
    <row r="4714" spans="1:10" ht="15.75" hidden="1" thickBot="1" x14ac:dyDescent="0.3">
      <c r="A4714" s="231"/>
      <c r="B4714" s="244"/>
      <c r="C4714" s="32"/>
      <c r="D4714" s="32"/>
      <c r="E4714" s="33"/>
      <c r="F4714" s="50" t="s">
        <v>523</v>
      </c>
      <c r="G4714" s="50" t="str">
        <f t="shared" si="89"/>
        <v/>
      </c>
      <c r="H4714" s="69"/>
      <c r="I4714" s="70"/>
      <c r="J4714" s="141">
        <v>0</v>
      </c>
    </row>
    <row r="4715" spans="1:10" ht="26.25" hidden="1" thickBot="1" x14ac:dyDescent="0.3">
      <c r="A4715" s="231"/>
      <c r="B4715" s="244"/>
      <c r="C4715" s="44" t="s">
        <v>1405</v>
      </c>
      <c r="D4715" s="32"/>
      <c r="E4715" s="33"/>
      <c r="F4715" s="50" t="s">
        <v>523</v>
      </c>
      <c r="G4715" s="50" t="str">
        <f t="shared" si="89"/>
        <v/>
      </c>
      <c r="H4715" s="69"/>
      <c r="I4715" s="70"/>
      <c r="J4715" s="141">
        <v>0</v>
      </c>
    </row>
    <row r="4716" spans="1:10" ht="25.5" hidden="1" thickBot="1" x14ac:dyDescent="0.3">
      <c r="A4716" s="231"/>
      <c r="B4716" s="244"/>
      <c r="C4716" s="140" t="s">
        <v>1406</v>
      </c>
      <c r="D4716" s="32"/>
      <c r="E4716" s="33"/>
      <c r="F4716" s="50" t="s">
        <v>523</v>
      </c>
      <c r="G4716" s="50" t="str">
        <f t="shared" si="89"/>
        <v/>
      </c>
      <c r="H4716" s="69"/>
      <c r="I4716" s="70"/>
      <c r="J4716" s="141">
        <v>0</v>
      </c>
    </row>
    <row r="4717" spans="1:10" ht="15.75" hidden="1" thickBot="1" x14ac:dyDescent="0.3">
      <c r="A4717" s="231"/>
      <c r="B4717" s="244"/>
      <c r="C4717" s="32"/>
      <c r="D4717" s="32"/>
      <c r="E4717" s="33"/>
      <c r="F4717" s="50" t="s">
        <v>523</v>
      </c>
      <c r="G4717" s="50" t="str">
        <f t="shared" si="89"/>
        <v/>
      </c>
      <c r="H4717" s="69"/>
      <c r="I4717" s="70"/>
      <c r="J4717" s="141">
        <v>0</v>
      </c>
    </row>
    <row r="4718" spans="1:10" ht="15.75" hidden="1" thickBot="1" x14ac:dyDescent="0.3">
      <c r="A4718" s="225" t="s">
        <v>1410</v>
      </c>
      <c r="B4718" s="228" t="str">
        <f>INDEX(Orçamentária!A:B,MATCH(Composições!A4718,Orçamentária!A:A,0),2)</f>
        <v>Aditivo Incorporador de Ar</v>
      </c>
      <c r="C4718" s="37"/>
      <c r="D4718" s="22" t="str">
        <f>TRIM(INDEX(Orçamentária!C:C,MATCH(Composições!A4718,Orçamentária!A:A,0),1))</f>
        <v>kg</v>
      </c>
      <c r="E4718" s="23"/>
      <c r="F4718" s="45" t="s">
        <v>523</v>
      </c>
      <c r="G4718" s="24" t="str">
        <f t="shared" si="89"/>
        <v/>
      </c>
      <c r="H4718" s="25"/>
      <c r="I4718" s="26"/>
      <c r="J4718" s="141">
        <v>0</v>
      </c>
    </row>
    <row r="4719" spans="1:10" ht="15.75" hidden="1" thickBot="1" x14ac:dyDescent="0.3">
      <c r="A4719" s="231"/>
      <c r="B4719" s="244"/>
      <c r="C4719" s="28"/>
      <c r="D4719" s="28"/>
      <c r="E4719" s="29"/>
      <c r="F4719" s="50" t="s">
        <v>523</v>
      </c>
      <c r="G4719" s="50" t="str">
        <f t="shared" si="89"/>
        <v/>
      </c>
      <c r="H4719" s="69"/>
      <c r="I4719" s="70"/>
      <c r="J4719" s="141">
        <v>0</v>
      </c>
    </row>
    <row r="4720" spans="1:10" ht="26.25" hidden="1" thickBot="1" x14ac:dyDescent="0.3">
      <c r="A4720" s="231"/>
      <c r="B4720" s="244"/>
      <c r="C4720" s="32" t="s">
        <v>1411</v>
      </c>
      <c r="D4720" s="32" t="s">
        <v>102</v>
      </c>
      <c r="E4720" s="33">
        <v>1.01</v>
      </c>
      <c r="F4720" s="50">
        <v>7.4099999999999993</v>
      </c>
      <c r="G4720" s="50">
        <f t="shared" si="89"/>
        <v>7.4840999999999998</v>
      </c>
      <c r="H4720" s="35">
        <f>SUM(G4720:G4720)</f>
        <v>7.4840999999999998</v>
      </c>
      <c r="I4720" s="36"/>
      <c r="J4720" s="141">
        <v>0</v>
      </c>
    </row>
    <row r="4721" spans="1:10" ht="15.75" hidden="1" thickBot="1" x14ac:dyDescent="0.3">
      <c r="A4721" s="231"/>
      <c r="B4721" s="244"/>
      <c r="C4721" s="32"/>
      <c r="D4721" s="32"/>
      <c r="E4721" s="33"/>
      <c r="F4721" s="50" t="s">
        <v>523</v>
      </c>
      <c r="G4721" s="50" t="str">
        <f t="shared" si="89"/>
        <v/>
      </c>
      <c r="H4721" s="69"/>
      <c r="I4721" s="70"/>
      <c r="J4721" s="141">
        <v>0</v>
      </c>
    </row>
    <row r="4722" spans="1:10" ht="26.25" hidden="1" thickBot="1" x14ac:dyDescent="0.3">
      <c r="A4722" s="231"/>
      <c r="B4722" s="244"/>
      <c r="C4722" s="44" t="s">
        <v>1412</v>
      </c>
      <c r="D4722" s="32"/>
      <c r="E4722" s="33"/>
      <c r="F4722" s="50" t="s">
        <v>523</v>
      </c>
      <c r="G4722" s="50" t="str">
        <f t="shared" si="89"/>
        <v/>
      </c>
      <c r="H4722" s="69"/>
      <c r="I4722" s="70"/>
      <c r="J4722" s="141">
        <v>0</v>
      </c>
    </row>
    <row r="4723" spans="1:10" ht="15.75" hidden="1" thickBot="1" x14ac:dyDescent="0.3">
      <c r="A4723" s="231"/>
      <c r="B4723" s="244"/>
      <c r="C4723" s="51"/>
      <c r="D4723" s="51"/>
      <c r="E4723" s="62"/>
      <c r="F4723" s="72" t="s">
        <v>523</v>
      </c>
      <c r="G4723" s="72" t="str">
        <f t="shared" si="89"/>
        <v/>
      </c>
      <c r="H4723" s="73"/>
      <c r="I4723" s="70"/>
      <c r="J4723" s="141">
        <v>0</v>
      </c>
    </row>
    <row r="4724" spans="1:10" ht="15.75" hidden="1" thickBot="1" x14ac:dyDescent="0.3">
      <c r="A4724" s="225" t="s">
        <v>1413</v>
      </c>
      <c r="B4724" s="228" t="str">
        <f>INDEX(Orçamentária!A:B,MATCH(Composições!A4724,Orçamentária!A:A,0),2)</f>
        <v>Brita Nº 2</v>
      </c>
      <c r="C4724" s="37"/>
      <c r="D4724" s="22" t="str">
        <f>TRIM(INDEX(Orçamentária!C:C,MATCH(Composições!A4724,Orçamentária!A:A,0),1))</f>
        <v>m3</v>
      </c>
      <c r="E4724" s="23"/>
      <c r="F4724" s="45" t="s">
        <v>523</v>
      </c>
      <c r="G4724" s="24" t="str">
        <f t="shared" si="89"/>
        <v/>
      </c>
      <c r="H4724" s="25"/>
      <c r="I4724" s="26"/>
      <c r="J4724" s="141">
        <v>0</v>
      </c>
    </row>
    <row r="4725" spans="1:10" ht="15.75" hidden="1" thickBot="1" x14ac:dyDescent="0.3">
      <c r="A4725" s="231"/>
      <c r="B4725" s="244"/>
      <c r="C4725" s="28"/>
      <c r="D4725" s="28"/>
      <c r="E4725" s="29"/>
      <c r="F4725" s="50" t="s">
        <v>523</v>
      </c>
      <c r="G4725" s="50" t="str">
        <f t="shared" si="89"/>
        <v/>
      </c>
      <c r="H4725" s="69"/>
      <c r="I4725" s="70"/>
      <c r="J4725" s="141">
        <v>0</v>
      </c>
    </row>
    <row r="4726" spans="1:10" ht="26.25" hidden="1" thickBot="1" x14ac:dyDescent="0.3">
      <c r="A4726" s="231"/>
      <c r="B4726" s="244"/>
      <c r="C4726" s="32" t="s">
        <v>1103</v>
      </c>
      <c r="D4726" s="32" t="s">
        <v>109</v>
      </c>
      <c r="E4726" s="33">
        <v>1</v>
      </c>
      <c r="F4726" s="50">
        <v>147.82</v>
      </c>
      <c r="G4726" s="50">
        <f t="shared" si="89"/>
        <v>147.82</v>
      </c>
      <c r="H4726" s="35">
        <f>SUM(G4726:G4728)</f>
        <v>207.86256499999999</v>
      </c>
      <c r="I4726" s="36"/>
      <c r="J4726" s="141">
        <v>0</v>
      </c>
    </row>
    <row r="4727" spans="1:10" ht="51.75" hidden="1" thickBot="1" x14ac:dyDescent="0.3">
      <c r="A4727" s="231"/>
      <c r="B4727" s="244"/>
      <c r="C4727" s="32" t="s">
        <v>3532</v>
      </c>
      <c r="D4727" s="32" t="s">
        <v>109</v>
      </c>
      <c r="E4727" s="33">
        <f>1*E4726</f>
        <v>1</v>
      </c>
      <c r="F4727" s="30">
        <v>7.6983819999999996</v>
      </c>
      <c r="G4727" s="30">
        <f t="shared" si="89"/>
        <v>7.6983819999999996</v>
      </c>
      <c r="H4727" s="31"/>
      <c r="I4727" s="27"/>
      <c r="J4727" s="141">
        <v>0</v>
      </c>
    </row>
    <row r="4728" spans="1:10" ht="39" hidden="1" thickBot="1" x14ac:dyDescent="0.3">
      <c r="A4728" s="231"/>
      <c r="B4728" s="244"/>
      <c r="C4728" s="32" t="s">
        <v>121</v>
      </c>
      <c r="D4728" s="32" t="s">
        <v>122</v>
      </c>
      <c r="E4728" s="33">
        <f>E4726*20</f>
        <v>20</v>
      </c>
      <c r="F4728" s="50">
        <v>2.6172091499999994</v>
      </c>
      <c r="G4728" s="50">
        <f t="shared" si="89"/>
        <v>52.344182999999987</v>
      </c>
      <c r="H4728" s="69"/>
      <c r="I4728" s="70"/>
      <c r="J4728" s="141">
        <v>0</v>
      </c>
    </row>
    <row r="4729" spans="1:10" ht="15.75" hidden="1" thickBot="1" x14ac:dyDescent="0.3">
      <c r="A4729" s="231"/>
      <c r="B4729" s="244"/>
      <c r="C4729" s="32"/>
      <c r="D4729" s="32"/>
      <c r="E4729" s="33"/>
      <c r="F4729" s="50" t="s">
        <v>523</v>
      </c>
      <c r="G4729" s="50" t="str">
        <f t="shared" si="89"/>
        <v/>
      </c>
      <c r="H4729" s="69"/>
      <c r="I4729" s="70"/>
      <c r="J4729" s="141">
        <v>0</v>
      </c>
    </row>
    <row r="4730" spans="1:10" ht="15.75" hidden="1" thickBot="1" x14ac:dyDescent="0.3">
      <c r="A4730" s="231"/>
      <c r="B4730" s="244"/>
      <c r="C4730" s="44" t="s">
        <v>1414</v>
      </c>
      <c r="D4730" s="32"/>
      <c r="E4730" s="33"/>
      <c r="F4730" s="50" t="s">
        <v>523</v>
      </c>
      <c r="G4730" s="50" t="str">
        <f t="shared" si="89"/>
        <v/>
      </c>
      <c r="H4730" s="69"/>
      <c r="I4730" s="70"/>
      <c r="J4730" s="141">
        <v>0</v>
      </c>
    </row>
    <row r="4731" spans="1:10" ht="15.75" hidden="1" thickBot="1" x14ac:dyDescent="0.3">
      <c r="A4731" s="232"/>
      <c r="B4731" s="230"/>
      <c r="C4731" s="51"/>
      <c r="D4731" s="51"/>
      <c r="E4731" s="62"/>
      <c r="F4731" s="72" t="s">
        <v>523</v>
      </c>
      <c r="G4731" s="72" t="str">
        <f t="shared" si="89"/>
        <v/>
      </c>
      <c r="H4731" s="73"/>
      <c r="I4731" s="70"/>
      <c r="J4731" s="141">
        <v>0</v>
      </c>
    </row>
    <row r="4732" spans="1:10" ht="15.75" hidden="1" thickBot="1" x14ac:dyDescent="0.3">
      <c r="A4732" s="225" t="s">
        <v>3119</v>
      </c>
      <c r="B4732" s="228" t="str">
        <f>INDEX(Orçamentária!A:B,MATCH(Composições!A4732,Orçamentária!A:A,0),2)</f>
        <v>Talhadeira</v>
      </c>
      <c r="C4732" s="37"/>
      <c r="D4732" s="22" t="str">
        <f>TRIM(INDEX(Orçamentária!C:C,MATCH(Composições!A4732,Orçamentária!A:A,0),1))</f>
        <v>un</v>
      </c>
      <c r="E4732" s="23"/>
      <c r="F4732" s="45" t="s">
        <v>523</v>
      </c>
      <c r="G4732" s="24" t="str">
        <f t="shared" si="89"/>
        <v/>
      </c>
      <c r="H4732" s="25"/>
      <c r="I4732" s="26"/>
      <c r="J4732" s="141">
        <v>0</v>
      </c>
    </row>
    <row r="4733" spans="1:10" ht="15.75" hidden="1" thickBot="1" x14ac:dyDescent="0.3">
      <c r="A4733" s="231"/>
      <c r="B4733" s="229"/>
      <c r="C4733" s="28"/>
      <c r="D4733" s="28"/>
      <c r="E4733" s="29"/>
      <c r="F4733" s="50" t="s">
        <v>523</v>
      </c>
      <c r="G4733" s="50" t="str">
        <f t="shared" si="89"/>
        <v/>
      </c>
      <c r="H4733" s="69"/>
      <c r="I4733" s="70"/>
      <c r="J4733" s="141">
        <v>0</v>
      </c>
    </row>
    <row r="4734" spans="1:10" ht="15.75" hidden="1" thickBot="1" x14ac:dyDescent="0.3">
      <c r="A4734" s="231"/>
      <c r="B4734" s="229"/>
      <c r="C4734" s="32" t="s">
        <v>7654</v>
      </c>
      <c r="D4734" s="32" t="s">
        <v>280</v>
      </c>
      <c r="E4734" s="33">
        <v>1</v>
      </c>
      <c r="F4734" s="50">
        <v>33.953000000000003</v>
      </c>
      <c r="G4734" s="50">
        <f t="shared" si="89"/>
        <v>33.953000000000003</v>
      </c>
      <c r="H4734" s="35">
        <f>SUM(G4734:G4734)</f>
        <v>33.953000000000003</v>
      </c>
      <c r="I4734" s="36"/>
      <c r="J4734" s="141">
        <v>0</v>
      </c>
    </row>
    <row r="4735" spans="1:10" ht="15.75" hidden="1" thickBot="1" x14ac:dyDescent="0.3">
      <c r="A4735" s="232"/>
      <c r="B4735" s="230"/>
      <c r="C4735" s="51"/>
      <c r="D4735" s="51"/>
      <c r="E4735" s="62"/>
      <c r="F4735" s="72" t="s">
        <v>523</v>
      </c>
      <c r="G4735" s="72" t="str">
        <f t="shared" si="89"/>
        <v/>
      </c>
      <c r="H4735" s="73"/>
      <c r="I4735" s="70"/>
      <c r="J4735" s="141">
        <v>0</v>
      </c>
    </row>
    <row r="4736" spans="1:10" ht="15.75" hidden="1" thickBot="1" x14ac:dyDescent="0.3">
      <c r="A4736" s="225" t="s">
        <v>3126</v>
      </c>
      <c r="B4736" s="228" t="str">
        <f>INDEX(Orçamentária!A:B,MATCH(Composições!A4736,Orçamentária!A:A,0),2)</f>
        <v>Enxada com cabo (2,5 libras)</v>
      </c>
      <c r="C4736" s="37"/>
      <c r="D4736" s="22" t="str">
        <f>TRIM(INDEX(Orçamentária!C:C,MATCH(Composições!A4736,Orçamentária!A:A,0),1))</f>
        <v>un</v>
      </c>
      <c r="E4736" s="23"/>
      <c r="F4736" s="45" t="s">
        <v>523</v>
      </c>
      <c r="G4736" s="24" t="str">
        <f t="shared" si="89"/>
        <v/>
      </c>
      <c r="H4736" s="25"/>
      <c r="I4736" s="26"/>
      <c r="J4736" s="141">
        <v>0</v>
      </c>
    </row>
    <row r="4737" spans="1:10" ht="15.75" hidden="1" thickBot="1" x14ac:dyDescent="0.3">
      <c r="A4737" s="231"/>
      <c r="B4737" s="229"/>
      <c r="C4737" s="28"/>
      <c r="D4737" s="28"/>
      <c r="E4737" s="29"/>
      <c r="F4737" s="50" t="s">
        <v>523</v>
      </c>
      <c r="G4737" s="50" t="str">
        <f t="shared" si="89"/>
        <v/>
      </c>
      <c r="H4737" s="69"/>
      <c r="I4737" s="70"/>
      <c r="J4737" s="141">
        <v>0</v>
      </c>
    </row>
    <row r="4738" spans="1:10" ht="15.75" hidden="1" thickBot="1" x14ac:dyDescent="0.3">
      <c r="A4738" s="231"/>
      <c r="B4738" s="229"/>
      <c r="C4738" s="32" t="s">
        <v>7601</v>
      </c>
      <c r="D4738" s="32" t="s">
        <v>280</v>
      </c>
      <c r="E4738" s="33">
        <v>1</v>
      </c>
      <c r="F4738" s="50">
        <v>56.467999999999996</v>
      </c>
      <c r="G4738" s="50">
        <f t="shared" si="89"/>
        <v>56.467999999999996</v>
      </c>
      <c r="H4738" s="35">
        <f>SUM(G4738:G4738)</f>
        <v>56.467999999999996</v>
      </c>
      <c r="I4738" s="36"/>
      <c r="J4738" s="141">
        <v>0</v>
      </c>
    </row>
    <row r="4739" spans="1:10" ht="15.75" hidden="1" thickBot="1" x14ac:dyDescent="0.3">
      <c r="A4739" s="232"/>
      <c r="B4739" s="230"/>
      <c r="C4739" s="51"/>
      <c r="D4739" s="51"/>
      <c r="E4739" s="62"/>
      <c r="F4739" s="72" t="s">
        <v>523</v>
      </c>
      <c r="G4739" s="72" t="str">
        <f t="shared" si="89"/>
        <v/>
      </c>
      <c r="H4739" s="73"/>
      <c r="I4739" s="70"/>
      <c r="J4739" s="141">
        <v>0</v>
      </c>
    </row>
    <row r="4740" spans="1:10" ht="15.75" hidden="1" thickBot="1" x14ac:dyDescent="0.3">
      <c r="A4740" s="225" t="s">
        <v>3128</v>
      </c>
      <c r="B4740" s="228" t="str">
        <f>INDEX(Orçamentária!A:B,MATCH(Composições!A4740,Orçamentária!A:A,0),2)</f>
        <v>Escada extensível de alumínio dupla 2x8</v>
      </c>
      <c r="C4740" s="37"/>
      <c r="D4740" s="22" t="str">
        <f>TRIM(INDEX(Orçamentária!C:C,MATCH(Composições!A4740,Orçamentária!A:A,0),1))</f>
        <v>un</v>
      </c>
      <c r="E4740" s="23"/>
      <c r="F4740" s="45" t="s">
        <v>523</v>
      </c>
      <c r="G4740" s="24" t="str">
        <f t="shared" si="89"/>
        <v/>
      </c>
      <c r="H4740" s="25"/>
      <c r="I4740" s="26"/>
      <c r="J4740" s="141">
        <v>0</v>
      </c>
    </row>
    <row r="4741" spans="1:10" ht="15.75" hidden="1" thickBot="1" x14ac:dyDescent="0.3">
      <c r="A4741" s="231"/>
      <c r="B4741" s="244"/>
      <c r="C4741" s="28"/>
      <c r="D4741" s="28"/>
      <c r="E4741" s="29"/>
      <c r="F4741" s="50" t="s">
        <v>523</v>
      </c>
      <c r="G4741" s="50" t="str">
        <f t="shared" si="89"/>
        <v/>
      </c>
      <c r="H4741" s="69"/>
      <c r="I4741" s="70"/>
      <c r="J4741" s="141">
        <v>0</v>
      </c>
    </row>
    <row r="4742" spans="1:10" ht="26.25" hidden="1" thickBot="1" x14ac:dyDescent="0.3">
      <c r="A4742" s="231"/>
      <c r="B4742" s="244"/>
      <c r="C4742" s="32" t="s">
        <v>7602</v>
      </c>
      <c r="D4742" s="32" t="s">
        <v>280</v>
      </c>
      <c r="E4742" s="33">
        <v>1</v>
      </c>
      <c r="F4742" s="50">
        <v>424.41249999999997</v>
      </c>
      <c r="G4742" s="50">
        <f t="shared" si="89"/>
        <v>424.41249999999997</v>
      </c>
      <c r="H4742" s="35">
        <f>SUM(G4742:G4742)</f>
        <v>424.41249999999997</v>
      </c>
      <c r="I4742" s="36"/>
      <c r="J4742" s="141">
        <v>0</v>
      </c>
    </row>
    <row r="4743" spans="1:10" ht="15.75" hidden="1" thickBot="1" x14ac:dyDescent="0.3">
      <c r="A4743" s="232"/>
      <c r="B4743" s="230"/>
      <c r="C4743" s="51"/>
      <c r="D4743" s="51"/>
      <c r="E4743" s="62"/>
      <c r="F4743" s="72" t="s">
        <v>523</v>
      </c>
      <c r="G4743" s="72" t="str">
        <f t="shared" si="89"/>
        <v/>
      </c>
      <c r="H4743" s="73"/>
      <c r="I4743" s="70"/>
      <c r="J4743" s="141">
        <v>0</v>
      </c>
    </row>
    <row r="4744" spans="1:10" ht="15.75" hidden="1" thickBot="1" x14ac:dyDescent="0.3">
      <c r="A4744" s="225" t="s">
        <v>3142</v>
      </c>
      <c r="B4744" s="228" t="str">
        <f>INDEX(Orçamentária!A:B,MATCH(Composições!A4744,Orçamentária!A:A,0),2)</f>
        <v>Mangueira de nível de 20m</v>
      </c>
      <c r="C4744" s="37"/>
      <c r="D4744" s="22" t="str">
        <f>TRIM(INDEX(Orçamentária!C:C,MATCH(Composições!A4744,Orçamentária!A:A,0),1))</f>
        <v>un</v>
      </c>
      <c r="E4744" s="23"/>
      <c r="F4744" s="45" t="s">
        <v>523</v>
      </c>
      <c r="G4744" s="24" t="str">
        <f t="shared" si="89"/>
        <v/>
      </c>
      <c r="H4744" s="25"/>
      <c r="I4744" s="26"/>
      <c r="J4744" s="141">
        <v>0</v>
      </c>
    </row>
    <row r="4745" spans="1:10" ht="15.75" hidden="1" thickBot="1" x14ac:dyDescent="0.3">
      <c r="A4745" s="231"/>
      <c r="B4745" s="244"/>
      <c r="C4745" s="28"/>
      <c r="D4745" s="28"/>
      <c r="E4745" s="29"/>
      <c r="F4745" s="50" t="s">
        <v>523</v>
      </c>
      <c r="G4745" s="50" t="str">
        <f t="shared" si="89"/>
        <v/>
      </c>
      <c r="H4745" s="69"/>
      <c r="I4745" s="70"/>
      <c r="J4745" s="141">
        <v>0</v>
      </c>
    </row>
    <row r="4746" spans="1:10" ht="26.25" hidden="1" thickBot="1" x14ac:dyDescent="0.3">
      <c r="A4746" s="231"/>
      <c r="B4746" s="244"/>
      <c r="C4746" s="32" t="s">
        <v>7620</v>
      </c>
      <c r="D4746" s="32" t="s">
        <v>93</v>
      </c>
      <c r="E4746" s="33">
        <v>20</v>
      </c>
      <c r="F4746" s="50">
        <v>2.1374999999999997</v>
      </c>
      <c r="G4746" s="50">
        <f t="shared" si="89"/>
        <v>42.749999999999993</v>
      </c>
      <c r="H4746" s="35">
        <f>SUM(G4746:G4746)</f>
        <v>42.749999999999993</v>
      </c>
      <c r="I4746" s="36"/>
      <c r="J4746" s="141">
        <v>0</v>
      </c>
    </row>
    <row r="4747" spans="1:10" ht="15.75" hidden="1" thickBot="1" x14ac:dyDescent="0.3">
      <c r="A4747" s="232"/>
      <c r="B4747" s="230"/>
      <c r="C4747" s="51"/>
      <c r="D4747" s="51"/>
      <c r="E4747" s="62"/>
      <c r="F4747" s="72" t="s">
        <v>523</v>
      </c>
      <c r="G4747" s="72" t="str">
        <f t="shared" si="89"/>
        <v/>
      </c>
      <c r="H4747" s="73"/>
      <c r="I4747" s="70"/>
      <c r="J4747" s="141">
        <v>0</v>
      </c>
    </row>
    <row r="4748" spans="1:10" ht="15.75" hidden="1" thickBot="1" x14ac:dyDescent="0.3">
      <c r="A4748" s="225" t="s">
        <v>3152</v>
      </c>
      <c r="B4748" s="228" t="str">
        <f>INDEX(Orçamentária!A:B,MATCH(Composições!A4748,Orçamentária!A:A,0),2)</f>
        <v>Talha Manual para Elevação de Cargas (2 ton)</v>
      </c>
      <c r="C4748" s="37"/>
      <c r="D4748" s="22" t="str">
        <f>TRIM(INDEX(Orçamentária!C:C,MATCH(Composições!A4748,Orçamentária!A:A,0),1))</f>
        <v>un</v>
      </c>
      <c r="E4748" s="23"/>
      <c r="F4748" s="45" t="s">
        <v>523</v>
      </c>
      <c r="G4748" s="24" t="str">
        <f t="shared" si="89"/>
        <v/>
      </c>
      <c r="H4748" s="25"/>
      <c r="I4748" s="26"/>
      <c r="J4748" s="141">
        <v>0</v>
      </c>
    </row>
    <row r="4749" spans="1:10" ht="15.75" hidden="1" thickBot="1" x14ac:dyDescent="0.3">
      <c r="A4749" s="231"/>
      <c r="B4749" s="244"/>
      <c r="C4749" s="28"/>
      <c r="D4749" s="28"/>
      <c r="E4749" s="29"/>
      <c r="F4749" s="50" t="s">
        <v>523</v>
      </c>
      <c r="G4749" s="50" t="str">
        <f t="shared" si="89"/>
        <v/>
      </c>
      <c r="H4749" s="69"/>
      <c r="I4749" s="70"/>
      <c r="J4749" s="141">
        <v>0</v>
      </c>
    </row>
    <row r="4750" spans="1:10" ht="26.25" hidden="1" thickBot="1" x14ac:dyDescent="0.3">
      <c r="A4750" s="231"/>
      <c r="B4750" s="244"/>
      <c r="C4750" s="32" t="s">
        <v>7653</v>
      </c>
      <c r="D4750" s="32" t="s">
        <v>280</v>
      </c>
      <c r="E4750" s="33">
        <v>1</v>
      </c>
      <c r="F4750" s="50">
        <v>1089.6499999999999</v>
      </c>
      <c r="G4750" s="50">
        <f t="shared" si="89"/>
        <v>1089.6499999999999</v>
      </c>
      <c r="H4750" s="35">
        <f>SUM(G4750:G4750)</f>
        <v>1089.6499999999999</v>
      </c>
      <c r="I4750" s="36"/>
      <c r="J4750" s="141">
        <v>0</v>
      </c>
    </row>
    <row r="4751" spans="1:10" ht="15.75" hidden="1" thickBot="1" x14ac:dyDescent="0.3">
      <c r="A4751" s="232"/>
      <c r="B4751" s="230"/>
      <c r="C4751" s="51"/>
      <c r="D4751" s="51"/>
      <c r="E4751" s="62"/>
      <c r="F4751" s="72" t="s">
        <v>523</v>
      </c>
      <c r="G4751" s="72" t="str">
        <f t="shared" si="89"/>
        <v/>
      </c>
      <c r="H4751" s="73"/>
      <c r="I4751" s="70"/>
      <c r="J4751" s="141">
        <v>0</v>
      </c>
    </row>
    <row r="4752" spans="1:10" ht="15.75" hidden="1" thickBot="1" x14ac:dyDescent="0.3">
      <c r="A4752" s="225" t="s">
        <v>1415</v>
      </c>
      <c r="B4752" s="228" t="str">
        <f>INDEX(Orçamentária!A:B,MATCH(Composições!A4752,Orçamentária!A:A,0),2)</f>
        <v>Carpete aveludado azul royal - fornecimento e instalação</v>
      </c>
      <c r="C4752" s="37"/>
      <c r="D4752" s="22" t="str">
        <f>TRIM(INDEX(Orçamentária!C:C,MATCH(Composições!A4752,Orçamentária!A:A,0),1))</f>
        <v>m2</v>
      </c>
      <c r="E4752" s="23"/>
      <c r="F4752" s="45" t="s">
        <v>523</v>
      </c>
      <c r="G4752" s="24" t="str">
        <f t="shared" si="89"/>
        <v/>
      </c>
      <c r="H4752" s="25"/>
      <c r="I4752" s="26"/>
      <c r="J4752" s="141">
        <v>0</v>
      </c>
    </row>
    <row r="4753" spans="1:10" ht="15.75" hidden="1" thickBot="1" x14ac:dyDescent="0.3">
      <c r="A4753" s="231"/>
      <c r="B4753" s="244"/>
      <c r="C4753" s="28"/>
      <c r="D4753" s="28"/>
      <c r="E4753" s="29"/>
      <c r="F4753" s="50" t="s">
        <v>523</v>
      </c>
      <c r="G4753" s="50" t="str">
        <f t="shared" si="89"/>
        <v/>
      </c>
      <c r="H4753" s="69"/>
      <c r="I4753" s="70"/>
      <c r="J4753" s="141">
        <v>0</v>
      </c>
    </row>
    <row r="4754" spans="1:10" ht="15.75" hidden="1" thickBot="1" x14ac:dyDescent="0.3">
      <c r="A4754" s="231"/>
      <c r="B4754" s="244"/>
      <c r="C4754" s="32" t="s">
        <v>713</v>
      </c>
      <c r="D4754" s="32" t="s">
        <v>705</v>
      </c>
      <c r="E4754" s="33">
        <v>0.1</v>
      </c>
      <c r="F4754" s="50">
        <v>24.889999999999997</v>
      </c>
      <c r="G4754" s="50">
        <f t="shared" si="89"/>
        <v>2.4889999999999999</v>
      </c>
      <c r="H4754" s="35">
        <f>SUM(G4754:G4761)</f>
        <v>13.962149999999999</v>
      </c>
      <c r="I4754" s="36"/>
      <c r="J4754" s="141">
        <v>0</v>
      </c>
    </row>
    <row r="4755" spans="1:10" ht="15.75" hidden="1" thickBot="1" x14ac:dyDescent="0.3">
      <c r="A4755" s="231"/>
      <c r="B4755" s="244"/>
      <c r="C4755" s="32" t="s">
        <v>706</v>
      </c>
      <c r="D4755" s="32" t="s">
        <v>705</v>
      </c>
      <c r="E4755" s="33">
        <v>0.1</v>
      </c>
      <c r="F4755" s="50">
        <v>18.420500000000001</v>
      </c>
      <c r="G4755" s="50">
        <f t="shared" si="89"/>
        <v>1.8420500000000002</v>
      </c>
      <c r="H4755" s="69"/>
      <c r="I4755" s="70"/>
      <c r="J4755" s="141">
        <v>0</v>
      </c>
    </row>
    <row r="4756" spans="1:10" ht="15.75" hidden="1" thickBot="1" x14ac:dyDescent="0.3">
      <c r="A4756" s="231"/>
      <c r="B4756" s="244"/>
      <c r="C4756" s="32" t="s">
        <v>6443</v>
      </c>
      <c r="D4756" s="32" t="s">
        <v>901</v>
      </c>
      <c r="E4756" s="33">
        <v>0.1</v>
      </c>
      <c r="F4756" s="50" t="s">
        <v>523</v>
      </c>
      <c r="G4756" s="50" t="str">
        <f t="shared" si="89"/>
        <v/>
      </c>
      <c r="H4756" s="69"/>
      <c r="I4756" s="70"/>
      <c r="J4756" s="141">
        <v>0</v>
      </c>
    </row>
    <row r="4757" spans="1:10" ht="26.25" hidden="1" thickBot="1" x14ac:dyDescent="0.3">
      <c r="A4757" s="231"/>
      <c r="B4757" s="244"/>
      <c r="C4757" s="32" t="s">
        <v>1417</v>
      </c>
      <c r="D4757" s="32" t="s">
        <v>95</v>
      </c>
      <c r="E4757" s="33">
        <v>1.1000000000000001</v>
      </c>
      <c r="F4757" s="50" t="s">
        <v>523</v>
      </c>
      <c r="G4757" s="50" t="str">
        <f t="shared" si="89"/>
        <v/>
      </c>
      <c r="H4757" s="69"/>
      <c r="I4757" s="70"/>
      <c r="J4757" s="141">
        <v>0</v>
      </c>
    </row>
    <row r="4758" spans="1:10" ht="15.75" hidden="1" thickBot="1" x14ac:dyDescent="0.3">
      <c r="A4758" s="231"/>
      <c r="B4758" s="244"/>
      <c r="C4758" s="32" t="s">
        <v>713</v>
      </c>
      <c r="D4758" s="32" t="s">
        <v>705</v>
      </c>
      <c r="E4758" s="33">
        <v>0.2</v>
      </c>
      <c r="F4758" s="50">
        <v>24.889999999999997</v>
      </c>
      <c r="G4758" s="50">
        <f t="shared" si="89"/>
        <v>4.9779999999999998</v>
      </c>
      <c r="H4758" s="69"/>
      <c r="I4758" s="36"/>
      <c r="J4758" s="141">
        <v>0</v>
      </c>
    </row>
    <row r="4759" spans="1:10" ht="15.75" hidden="1" thickBot="1" x14ac:dyDescent="0.3">
      <c r="A4759" s="231"/>
      <c r="B4759" s="244"/>
      <c r="C4759" s="32" t="s">
        <v>706</v>
      </c>
      <c r="D4759" s="32" t="s">
        <v>705</v>
      </c>
      <c r="E4759" s="33">
        <v>0.2</v>
      </c>
      <c r="F4759" s="50">
        <v>18.420500000000001</v>
      </c>
      <c r="G4759" s="50">
        <f t="shared" si="89"/>
        <v>3.6841000000000004</v>
      </c>
      <c r="H4759" s="69"/>
      <c r="I4759" s="70"/>
      <c r="J4759" s="141">
        <v>0</v>
      </c>
    </row>
    <row r="4760" spans="1:10" ht="15.75" hidden="1" thickBot="1" x14ac:dyDescent="0.3">
      <c r="A4760" s="231"/>
      <c r="B4760" s="244"/>
      <c r="C4760" s="32" t="s">
        <v>750</v>
      </c>
      <c r="D4760" s="32" t="s">
        <v>901</v>
      </c>
      <c r="E4760" s="33">
        <v>1.5</v>
      </c>
      <c r="F4760" s="50">
        <v>0.64600000000000002</v>
      </c>
      <c r="G4760" s="50">
        <f t="shared" si="89"/>
        <v>0.96900000000000008</v>
      </c>
      <c r="H4760" s="69"/>
      <c r="I4760" s="70"/>
      <c r="J4760" s="141">
        <v>0</v>
      </c>
    </row>
    <row r="4761" spans="1:10" ht="15.75" hidden="1" thickBot="1" x14ac:dyDescent="0.3">
      <c r="A4761" s="231"/>
      <c r="B4761" s="244"/>
      <c r="C4761" s="32" t="s">
        <v>1416</v>
      </c>
      <c r="D4761" s="32" t="s">
        <v>901</v>
      </c>
      <c r="E4761" s="33">
        <f>ROUND(E4760*0.1,2)</f>
        <v>0.15</v>
      </c>
      <c r="F4761" s="50" t="s">
        <v>523</v>
      </c>
      <c r="G4761" s="50" t="str">
        <f t="shared" ref="G4761:G4806" si="90">IF(ISNUMBER(F4761),E4761*F4761,"")</f>
        <v/>
      </c>
      <c r="H4761" s="69"/>
      <c r="I4761" s="70"/>
      <c r="J4761" s="141">
        <v>0</v>
      </c>
    </row>
    <row r="4762" spans="1:10" ht="15.75" hidden="1" thickBot="1" x14ac:dyDescent="0.3">
      <c r="A4762" s="231"/>
      <c r="B4762" s="244"/>
      <c r="C4762" s="32"/>
      <c r="D4762" s="32"/>
      <c r="E4762" s="33"/>
      <c r="F4762" s="50" t="s">
        <v>523</v>
      </c>
      <c r="G4762" s="50" t="str">
        <f t="shared" si="90"/>
        <v/>
      </c>
      <c r="H4762" s="69"/>
      <c r="I4762" s="70"/>
      <c r="J4762" s="141">
        <v>0</v>
      </c>
    </row>
    <row r="4763" spans="1:10" ht="15.75" hidden="1" thickBot="1" x14ac:dyDescent="0.3">
      <c r="A4763" s="225" t="s">
        <v>1418</v>
      </c>
      <c r="B4763" s="228" t="str">
        <f>INDEX(Orçamentária!A:B,MATCH(Composições!A4763,Orçamentária!A:A,0),2)</f>
        <v>Demolição de revestimento de piso têxtil (carpete)</v>
      </c>
      <c r="C4763" s="37"/>
      <c r="D4763" s="22" t="str">
        <f>TRIM(INDEX(Orçamentária!C:C,MATCH(Composições!A4763,Orçamentária!A:A,0),1))</f>
        <v>m2</v>
      </c>
      <c r="E4763" s="23"/>
      <c r="F4763" s="45" t="s">
        <v>523</v>
      </c>
      <c r="G4763" s="24" t="str">
        <f t="shared" si="90"/>
        <v/>
      </c>
      <c r="H4763" s="25"/>
      <c r="I4763" s="26"/>
      <c r="J4763" s="141">
        <v>0</v>
      </c>
    </row>
    <row r="4764" spans="1:10" ht="15.75" hidden="1" thickBot="1" x14ac:dyDescent="0.3">
      <c r="A4764" s="231"/>
      <c r="B4764" s="244"/>
      <c r="C4764" s="28"/>
      <c r="D4764" s="28"/>
      <c r="E4764" s="29"/>
      <c r="F4764" s="50" t="s">
        <v>523</v>
      </c>
      <c r="G4764" s="50" t="str">
        <f t="shared" si="90"/>
        <v/>
      </c>
      <c r="H4764" s="69"/>
      <c r="I4764" s="70"/>
      <c r="J4764" s="141">
        <v>0</v>
      </c>
    </row>
    <row r="4765" spans="1:10" ht="15.75" hidden="1" thickBot="1" x14ac:dyDescent="0.3">
      <c r="A4765" s="231"/>
      <c r="B4765" s="244"/>
      <c r="C4765" s="32" t="s">
        <v>713</v>
      </c>
      <c r="D4765" s="32" t="s">
        <v>705</v>
      </c>
      <c r="E4765" s="33">
        <v>0.01</v>
      </c>
      <c r="F4765" s="50">
        <v>24.889999999999997</v>
      </c>
      <c r="G4765" s="50">
        <f t="shared" si="90"/>
        <v>0.24889999999999998</v>
      </c>
      <c r="H4765" s="35">
        <f>SUM(G4765:G4766)</f>
        <v>2.0909500000000003</v>
      </c>
      <c r="I4765" s="36"/>
      <c r="J4765" s="141">
        <v>0</v>
      </c>
    </row>
    <row r="4766" spans="1:10" ht="15.75" hidden="1" thickBot="1" x14ac:dyDescent="0.3">
      <c r="A4766" s="231"/>
      <c r="B4766" s="244"/>
      <c r="C4766" s="32" t="s">
        <v>706</v>
      </c>
      <c r="D4766" s="32" t="s">
        <v>705</v>
      </c>
      <c r="E4766" s="33">
        <v>0.1</v>
      </c>
      <c r="F4766" s="50">
        <v>18.420500000000001</v>
      </c>
      <c r="G4766" s="50">
        <f t="shared" si="90"/>
        <v>1.8420500000000002</v>
      </c>
      <c r="H4766" s="69"/>
      <c r="I4766" s="70"/>
      <c r="J4766" s="141">
        <v>0</v>
      </c>
    </row>
    <row r="4767" spans="1:10" ht="15.75" hidden="1" thickBot="1" x14ac:dyDescent="0.3">
      <c r="A4767" s="232"/>
      <c r="B4767" s="230"/>
      <c r="C4767" s="51"/>
      <c r="D4767" s="51"/>
      <c r="E4767" s="62"/>
      <c r="F4767" s="72" t="s">
        <v>523</v>
      </c>
      <c r="G4767" s="72" t="str">
        <f t="shared" si="90"/>
        <v/>
      </c>
      <c r="H4767" s="73"/>
      <c r="I4767" s="70"/>
      <c r="J4767" s="141">
        <v>0</v>
      </c>
    </row>
    <row r="4768" spans="1:10" ht="15.75" hidden="1" thickBot="1" x14ac:dyDescent="0.3">
      <c r="A4768" s="225" t="s">
        <v>3398</v>
      </c>
      <c r="B4768" s="228" t="str">
        <f>INDEX(Orçamentária!A:B,MATCH(Composições!A4768,Orçamentária!A:A,0),2)</f>
        <v>Bancada em granito cinza andorinha polido - 2,40 m x 0,60 m</v>
      </c>
      <c r="C4768" s="37"/>
      <c r="D4768" s="22" t="str">
        <f>TRIM(INDEX(Orçamentária!C:C,MATCH(Composições!A4768,Orçamentária!A:A,0),1))</f>
        <v>un</v>
      </c>
      <c r="E4768" s="23"/>
      <c r="F4768" s="45" t="s">
        <v>523</v>
      </c>
      <c r="G4768" s="24" t="str">
        <f t="shared" si="90"/>
        <v/>
      </c>
      <c r="H4768" s="25"/>
      <c r="I4768" s="26"/>
      <c r="J4768" s="141">
        <v>0</v>
      </c>
    </row>
    <row r="4769" spans="1:10" ht="15.75" hidden="1" thickBot="1" x14ac:dyDescent="0.3">
      <c r="A4769" s="231"/>
      <c r="B4769" s="244"/>
      <c r="C4769" s="28"/>
      <c r="D4769" s="28"/>
      <c r="E4769" s="29"/>
      <c r="F4769" s="50" t="s">
        <v>523</v>
      </c>
      <c r="G4769" s="50" t="str">
        <f t="shared" si="90"/>
        <v/>
      </c>
      <c r="H4769" s="69"/>
      <c r="I4769" s="70"/>
      <c r="J4769" s="141">
        <v>0</v>
      </c>
    </row>
    <row r="4770" spans="1:10" ht="15.75" hidden="1" thickBot="1" x14ac:dyDescent="0.3">
      <c r="A4770" s="231"/>
      <c r="B4770" s="244"/>
      <c r="C4770" s="32" t="s">
        <v>3349</v>
      </c>
      <c r="D4770" s="32" t="s">
        <v>901</v>
      </c>
      <c r="E4770" s="33">
        <f>0.5228*2.4/1.5</f>
        <v>0.83648</v>
      </c>
      <c r="F4770" s="50">
        <v>39.424999999999997</v>
      </c>
      <c r="G4770" s="50">
        <f t="shared" si="90"/>
        <v>32.978223999999997</v>
      </c>
      <c r="H4770" s="35">
        <f>SUM(G4770:G4776)</f>
        <v>928.43720513999983</v>
      </c>
      <c r="I4770" s="36"/>
      <c r="J4770" s="141">
        <v>0</v>
      </c>
    </row>
    <row r="4771" spans="1:10" ht="39" hidden="1" thickBot="1" x14ac:dyDescent="0.3">
      <c r="A4771" s="231"/>
      <c r="B4771" s="244"/>
      <c r="C4771" s="32" t="s">
        <v>1135</v>
      </c>
      <c r="D4771" s="32" t="s">
        <v>280</v>
      </c>
      <c r="E4771" s="33">
        <v>9</v>
      </c>
      <c r="F4771" s="50">
        <v>1.159</v>
      </c>
      <c r="G4771" s="50">
        <f t="shared" si="90"/>
        <v>10.431000000000001</v>
      </c>
      <c r="H4771" s="69"/>
      <c r="I4771" s="70"/>
      <c r="J4771" s="141">
        <v>0</v>
      </c>
    </row>
    <row r="4772" spans="1:10" ht="39" hidden="1" thickBot="1" x14ac:dyDescent="0.3">
      <c r="A4772" s="231"/>
      <c r="B4772" s="244"/>
      <c r="C4772" s="32" t="s">
        <v>6646</v>
      </c>
      <c r="D4772" s="32" t="s">
        <v>995</v>
      </c>
      <c r="E4772" s="33">
        <f>1.005*2.4/1.5</f>
        <v>1.6079999999999997</v>
      </c>
      <c r="F4772" s="50">
        <v>458.85949999999997</v>
      </c>
      <c r="G4772" s="50">
        <f t="shared" si="90"/>
        <v>737.84607599999981</v>
      </c>
      <c r="H4772" s="69"/>
      <c r="I4772" s="70"/>
      <c r="J4772" s="141">
        <v>0</v>
      </c>
    </row>
    <row r="4773" spans="1:10" ht="15.75" hidden="1" thickBot="1" x14ac:dyDescent="0.3">
      <c r="A4773" s="231"/>
      <c r="B4773" s="244"/>
      <c r="C4773" s="32" t="s">
        <v>3522</v>
      </c>
      <c r="D4773" s="32" t="s">
        <v>901</v>
      </c>
      <c r="E4773" s="33">
        <f>0.0211*2.4/1.5</f>
        <v>3.3759999999999998E-2</v>
      </c>
      <c r="F4773" s="50">
        <v>64.619</v>
      </c>
      <c r="G4773" s="50">
        <f t="shared" si="90"/>
        <v>2.18153744</v>
      </c>
      <c r="H4773" s="69"/>
      <c r="I4773" s="70"/>
      <c r="J4773" s="141">
        <v>0</v>
      </c>
    </row>
    <row r="4774" spans="1:10" ht="26.25" hidden="1" thickBot="1" x14ac:dyDescent="0.3">
      <c r="A4774" s="231"/>
      <c r="B4774" s="244"/>
      <c r="C4774" s="32" t="s">
        <v>3365</v>
      </c>
      <c r="D4774" s="32" t="s">
        <v>280</v>
      </c>
      <c r="E4774" s="33">
        <v>3</v>
      </c>
      <c r="F4774" s="50">
        <v>29.943999999999999</v>
      </c>
      <c r="G4774" s="50">
        <f t="shared" si="90"/>
        <v>89.831999999999994</v>
      </c>
      <c r="H4774" s="69"/>
      <c r="I4774" s="36"/>
      <c r="J4774" s="141">
        <v>0</v>
      </c>
    </row>
    <row r="4775" spans="1:10" ht="15.75" hidden="1" thickBot="1" x14ac:dyDescent="0.3">
      <c r="A4775" s="231"/>
      <c r="B4775" s="244"/>
      <c r="C4775" s="32" t="s">
        <v>3242</v>
      </c>
      <c r="D4775" s="32" t="s">
        <v>705</v>
      </c>
      <c r="E4775" s="33">
        <v>1.4944</v>
      </c>
      <c r="F4775" s="50">
        <v>24.795000000000002</v>
      </c>
      <c r="G4775" s="50">
        <f t="shared" si="90"/>
        <v>37.053648000000003</v>
      </c>
      <c r="H4775" s="69"/>
      <c r="I4775" s="70"/>
      <c r="J4775" s="141">
        <v>0</v>
      </c>
    </row>
    <row r="4776" spans="1:10" ht="15.75" hidden="1" thickBot="1" x14ac:dyDescent="0.3">
      <c r="A4776" s="231"/>
      <c r="B4776" s="244"/>
      <c r="C4776" s="32" t="s">
        <v>706</v>
      </c>
      <c r="D4776" s="32" t="s">
        <v>705</v>
      </c>
      <c r="E4776" s="33">
        <v>0.98340000000000005</v>
      </c>
      <c r="F4776" s="50">
        <v>18.420500000000001</v>
      </c>
      <c r="G4776" s="50">
        <f t="shared" si="90"/>
        <v>18.114719700000002</v>
      </c>
      <c r="H4776" s="69"/>
      <c r="I4776" s="70"/>
      <c r="J4776" s="141">
        <v>0</v>
      </c>
    </row>
    <row r="4777" spans="1:10" ht="15.75" hidden="1" thickBot="1" x14ac:dyDescent="0.3">
      <c r="A4777" s="231"/>
      <c r="B4777" s="244"/>
      <c r="C4777" s="32"/>
      <c r="D4777" s="32"/>
      <c r="E4777" s="33"/>
      <c r="F4777" s="50" t="s">
        <v>523</v>
      </c>
      <c r="G4777" s="50" t="str">
        <f t="shared" si="90"/>
        <v/>
      </c>
      <c r="H4777" s="69"/>
      <c r="I4777" s="70"/>
      <c r="J4777" s="141">
        <v>0</v>
      </c>
    </row>
    <row r="4778" spans="1:10" ht="15.75" hidden="1" thickBot="1" x14ac:dyDescent="0.3">
      <c r="A4778" s="225" t="s">
        <v>3399</v>
      </c>
      <c r="B4778" s="228" t="str">
        <f>INDEX(Orçamentária!A:B,MATCH(Composições!A4778,Orçamentária!A:A,0),2)</f>
        <v>Bancada em granito cinza andorinha polido - 2,50 m x 0,60 m</v>
      </c>
      <c r="C4778" s="37"/>
      <c r="D4778" s="22" t="str">
        <f>TRIM(INDEX(Orçamentária!C:C,MATCH(Composições!A4778,Orçamentária!A:A,0),1))</f>
        <v>un</v>
      </c>
      <c r="E4778" s="23"/>
      <c r="F4778" s="45" t="s">
        <v>523</v>
      </c>
      <c r="G4778" s="24" t="str">
        <f t="shared" si="90"/>
        <v/>
      </c>
      <c r="H4778" s="25"/>
      <c r="I4778" s="26"/>
      <c r="J4778" s="141">
        <v>0</v>
      </c>
    </row>
    <row r="4779" spans="1:10" ht="15.75" hidden="1" thickBot="1" x14ac:dyDescent="0.3">
      <c r="A4779" s="231"/>
      <c r="B4779" s="244"/>
      <c r="C4779" s="28"/>
      <c r="D4779" s="28"/>
      <c r="E4779" s="29"/>
      <c r="F4779" s="50" t="s">
        <v>523</v>
      </c>
      <c r="G4779" s="50" t="str">
        <f t="shared" si="90"/>
        <v/>
      </c>
      <c r="H4779" s="69"/>
      <c r="I4779" s="70"/>
      <c r="J4779" s="141">
        <v>0</v>
      </c>
    </row>
    <row r="4780" spans="1:10" ht="15.75" hidden="1" thickBot="1" x14ac:dyDescent="0.3">
      <c r="A4780" s="231"/>
      <c r="B4780" s="244"/>
      <c r="C4780" s="32" t="s">
        <v>3349</v>
      </c>
      <c r="D4780" s="32" t="s">
        <v>901</v>
      </c>
      <c r="E4780" s="33">
        <f>0.5228*2.5/1.5</f>
        <v>0.8713333333333334</v>
      </c>
      <c r="F4780" s="50">
        <v>39.424999999999997</v>
      </c>
      <c r="G4780" s="50">
        <f t="shared" si="90"/>
        <v>34.352316666666667</v>
      </c>
      <c r="H4780" s="35">
        <f>SUM(G4780:G4786)</f>
        <v>960.64578169999993</v>
      </c>
      <c r="I4780" s="36"/>
      <c r="J4780" s="141">
        <v>0</v>
      </c>
    </row>
    <row r="4781" spans="1:10" ht="39" hidden="1" thickBot="1" x14ac:dyDescent="0.3">
      <c r="A4781" s="231"/>
      <c r="B4781" s="244"/>
      <c r="C4781" s="32" t="s">
        <v>1135</v>
      </c>
      <c r="D4781" s="32" t="s">
        <v>280</v>
      </c>
      <c r="E4781" s="33">
        <v>9</v>
      </c>
      <c r="F4781" s="50">
        <v>1.159</v>
      </c>
      <c r="G4781" s="50">
        <f t="shared" si="90"/>
        <v>10.431000000000001</v>
      </c>
      <c r="H4781" s="69"/>
      <c r="I4781" s="70"/>
      <c r="J4781" s="141">
        <v>0</v>
      </c>
    </row>
    <row r="4782" spans="1:10" ht="39" hidden="1" thickBot="1" x14ac:dyDescent="0.3">
      <c r="A4782" s="231"/>
      <c r="B4782" s="244"/>
      <c r="C4782" s="32" t="s">
        <v>6646</v>
      </c>
      <c r="D4782" s="32" t="s">
        <v>995</v>
      </c>
      <c r="E4782" s="33">
        <f>1.005*2.5/1.5</f>
        <v>1.6749999999999998</v>
      </c>
      <c r="F4782" s="50">
        <v>458.85949999999997</v>
      </c>
      <c r="G4782" s="50">
        <f t="shared" si="90"/>
        <v>768.58966249999992</v>
      </c>
      <c r="H4782" s="69"/>
      <c r="I4782" s="70"/>
      <c r="J4782" s="141">
        <v>0</v>
      </c>
    </row>
    <row r="4783" spans="1:10" ht="15.75" hidden="1" thickBot="1" x14ac:dyDescent="0.3">
      <c r="A4783" s="231"/>
      <c r="B4783" s="244"/>
      <c r="C4783" s="32" t="s">
        <v>3522</v>
      </c>
      <c r="D4783" s="32" t="s">
        <v>901</v>
      </c>
      <c r="E4783" s="33">
        <f>0.0211*2.5/1.5</f>
        <v>3.5166666666666672E-2</v>
      </c>
      <c r="F4783" s="50">
        <v>64.619</v>
      </c>
      <c r="G4783" s="50">
        <f t="shared" si="90"/>
        <v>2.2724348333333335</v>
      </c>
      <c r="H4783" s="69"/>
      <c r="I4783" s="70"/>
      <c r="J4783" s="141">
        <v>0</v>
      </c>
    </row>
    <row r="4784" spans="1:10" ht="26.25" hidden="1" thickBot="1" x14ac:dyDescent="0.3">
      <c r="A4784" s="231"/>
      <c r="B4784" s="244"/>
      <c r="C4784" s="32" t="s">
        <v>3365</v>
      </c>
      <c r="D4784" s="32" t="s">
        <v>280</v>
      </c>
      <c r="E4784" s="33">
        <v>3</v>
      </c>
      <c r="F4784" s="50">
        <v>29.943999999999999</v>
      </c>
      <c r="G4784" s="50">
        <f t="shared" si="90"/>
        <v>89.831999999999994</v>
      </c>
      <c r="H4784" s="69"/>
      <c r="I4784" s="36"/>
      <c r="J4784" s="141">
        <v>0</v>
      </c>
    </row>
    <row r="4785" spans="1:10" ht="15.75" hidden="1" thickBot="1" x14ac:dyDescent="0.3">
      <c r="A4785" s="231"/>
      <c r="B4785" s="244"/>
      <c r="C4785" s="32" t="s">
        <v>3242</v>
      </c>
      <c r="D4785" s="32" t="s">
        <v>705</v>
      </c>
      <c r="E4785" s="33">
        <v>1.4944</v>
      </c>
      <c r="F4785" s="50">
        <v>24.795000000000002</v>
      </c>
      <c r="G4785" s="50">
        <f t="shared" si="90"/>
        <v>37.053648000000003</v>
      </c>
      <c r="H4785" s="69"/>
      <c r="I4785" s="70"/>
      <c r="J4785" s="141">
        <v>0</v>
      </c>
    </row>
    <row r="4786" spans="1:10" ht="15.75" hidden="1" thickBot="1" x14ac:dyDescent="0.3">
      <c r="A4786" s="231"/>
      <c r="B4786" s="244"/>
      <c r="C4786" s="32" t="s">
        <v>706</v>
      </c>
      <c r="D4786" s="32" t="s">
        <v>705</v>
      </c>
      <c r="E4786" s="33">
        <v>0.98340000000000005</v>
      </c>
      <c r="F4786" s="50">
        <v>18.420500000000001</v>
      </c>
      <c r="G4786" s="50">
        <f t="shared" si="90"/>
        <v>18.114719700000002</v>
      </c>
      <c r="H4786" s="69"/>
      <c r="I4786" s="70"/>
      <c r="J4786" s="141">
        <v>0</v>
      </c>
    </row>
    <row r="4787" spans="1:10" ht="15.75" hidden="1" thickBot="1" x14ac:dyDescent="0.3">
      <c r="A4787" s="231"/>
      <c r="B4787" s="244"/>
      <c r="C4787" s="32"/>
      <c r="D4787" s="32"/>
      <c r="E4787" s="33"/>
      <c r="F4787" s="50" t="s">
        <v>523</v>
      </c>
      <c r="G4787" s="50" t="str">
        <f t="shared" si="90"/>
        <v/>
      </c>
      <c r="H4787" s="69"/>
      <c r="I4787" s="70"/>
      <c r="J4787" s="141">
        <v>0</v>
      </c>
    </row>
    <row r="4788" spans="1:10" ht="15.75" hidden="1" thickBot="1" x14ac:dyDescent="0.3">
      <c r="A4788" s="225" t="s">
        <v>3403</v>
      </c>
      <c r="B4788" s="228" t="str">
        <f>INDEX(Orçamentária!A:B,MATCH(Composições!A4788,Orçamentária!A:A,0),2)</f>
        <v>Batedor/limitador inferior para box de correr</v>
      </c>
      <c r="C4788" s="37"/>
      <c r="D4788" s="22" t="str">
        <f>TRIM(INDEX(Orçamentária!C:C,MATCH(Composições!A4788,Orçamentária!A:A,0),1))</f>
        <v>un</v>
      </c>
      <c r="E4788" s="23"/>
      <c r="F4788" s="38" t="s">
        <v>523</v>
      </c>
      <c r="G4788" s="24" t="str">
        <f t="shared" si="90"/>
        <v/>
      </c>
      <c r="H4788" s="25"/>
      <c r="I4788" s="26"/>
      <c r="J4788" s="141">
        <v>0</v>
      </c>
    </row>
    <row r="4789" spans="1:10" ht="15.75" hidden="1" thickBot="1" x14ac:dyDescent="0.3">
      <c r="A4789" s="226"/>
      <c r="B4789" s="244"/>
      <c r="C4789" s="28"/>
      <c r="D4789" s="28"/>
      <c r="E4789" s="29"/>
      <c r="F4789" s="39" t="s">
        <v>523</v>
      </c>
      <c r="G4789" s="30" t="str">
        <f t="shared" si="90"/>
        <v/>
      </c>
      <c r="H4789" s="31"/>
      <c r="I4789" s="27"/>
      <c r="J4789" s="141">
        <v>0</v>
      </c>
    </row>
    <row r="4790" spans="1:10" ht="15.75" hidden="1" thickBot="1" x14ac:dyDescent="0.3">
      <c r="A4790" s="226"/>
      <c r="B4790" s="244"/>
      <c r="C4790" s="32" t="s">
        <v>68</v>
      </c>
      <c r="D4790" s="32" t="s">
        <v>12</v>
      </c>
      <c r="E4790" s="33">
        <v>0.15</v>
      </c>
      <c r="F4790" s="30">
        <v>22.961500000000001</v>
      </c>
      <c r="G4790" s="30">
        <f t="shared" si="90"/>
        <v>3.4442249999999999</v>
      </c>
      <c r="H4790" s="35">
        <f>SUM(G4790:G4791)</f>
        <v>3.4442249999999999</v>
      </c>
      <c r="I4790" s="36"/>
      <c r="J4790" s="141">
        <v>0</v>
      </c>
    </row>
    <row r="4791" spans="1:10" ht="26.25" hidden="1" thickBot="1" x14ac:dyDescent="0.3">
      <c r="A4791" s="226"/>
      <c r="B4791" s="244"/>
      <c r="C4791" s="32" t="s">
        <v>3559</v>
      </c>
      <c r="D4791" s="32" t="s">
        <v>20</v>
      </c>
      <c r="E4791" s="33">
        <v>1</v>
      </c>
      <c r="F4791" s="27" t="s">
        <v>523</v>
      </c>
      <c r="G4791" s="30" t="str">
        <f t="shared" si="90"/>
        <v/>
      </c>
      <c r="H4791" s="31"/>
      <c r="I4791" s="27"/>
      <c r="J4791" s="141">
        <v>0</v>
      </c>
    </row>
    <row r="4792" spans="1:10" ht="15.75" hidden="1" thickBot="1" x14ac:dyDescent="0.3">
      <c r="A4792" s="227"/>
      <c r="B4792" s="230"/>
      <c r="C4792" s="32"/>
      <c r="D4792" s="32"/>
      <c r="E4792" s="33"/>
      <c r="F4792" s="27" t="s">
        <v>523</v>
      </c>
      <c r="G4792" s="30" t="str">
        <f t="shared" si="90"/>
        <v/>
      </c>
      <c r="H4792" s="31"/>
      <c r="I4792" s="27"/>
      <c r="J4792" s="141">
        <v>0</v>
      </c>
    </row>
    <row r="4793" spans="1:10" ht="15.75" hidden="1" thickBot="1" x14ac:dyDescent="0.3">
      <c r="A4793" s="225" t="s">
        <v>3404</v>
      </c>
      <c r="B4793" s="228" t="str">
        <f>INDEX(Orçamentária!A:B,MATCH(Composições!A4793,Orçamentária!A:A,0),2)</f>
        <v>Batedor/amortecedor lateral para box de correr</v>
      </c>
      <c r="C4793" s="37"/>
      <c r="D4793" s="22" t="str">
        <f>TRIM(INDEX(Orçamentária!C:C,MATCH(Composições!A4793,Orçamentária!A:A,0),1))</f>
        <v>un</v>
      </c>
      <c r="E4793" s="23"/>
      <c r="F4793" s="38" t="s">
        <v>523</v>
      </c>
      <c r="G4793" s="24" t="str">
        <f t="shared" si="90"/>
        <v/>
      </c>
      <c r="H4793" s="25"/>
      <c r="I4793" s="26"/>
      <c r="J4793" s="141">
        <v>0</v>
      </c>
    </row>
    <row r="4794" spans="1:10" ht="15.75" hidden="1" thickBot="1" x14ac:dyDescent="0.3">
      <c r="A4794" s="226"/>
      <c r="B4794" s="244"/>
      <c r="C4794" s="28"/>
      <c r="D4794" s="28"/>
      <c r="E4794" s="29"/>
      <c r="F4794" s="39" t="s">
        <v>523</v>
      </c>
      <c r="G4794" s="30" t="str">
        <f t="shared" si="90"/>
        <v/>
      </c>
      <c r="H4794" s="31"/>
      <c r="I4794" s="27"/>
      <c r="J4794" s="141">
        <v>0</v>
      </c>
    </row>
    <row r="4795" spans="1:10" ht="15.75" hidden="1" thickBot="1" x14ac:dyDescent="0.3">
      <c r="A4795" s="226"/>
      <c r="B4795" s="244"/>
      <c r="C4795" s="32" t="s">
        <v>68</v>
      </c>
      <c r="D4795" s="32" t="s">
        <v>12</v>
      </c>
      <c r="E4795" s="33">
        <v>0.15</v>
      </c>
      <c r="F4795" s="30">
        <v>22.961500000000001</v>
      </c>
      <c r="G4795" s="30">
        <f t="shared" si="90"/>
        <v>3.4442249999999999</v>
      </c>
      <c r="H4795" s="35">
        <f>SUM(G4795:G4796)</f>
        <v>3.4442249999999999</v>
      </c>
      <c r="I4795" s="36"/>
      <c r="J4795" s="141">
        <v>0</v>
      </c>
    </row>
    <row r="4796" spans="1:10" ht="15.75" hidden="1" thickBot="1" x14ac:dyDescent="0.3">
      <c r="A4796" s="226"/>
      <c r="B4796" s="244"/>
      <c r="C4796" s="32" t="s">
        <v>3560</v>
      </c>
      <c r="D4796" s="32" t="s">
        <v>20</v>
      </c>
      <c r="E4796" s="33">
        <v>1</v>
      </c>
      <c r="F4796" s="27" t="s">
        <v>523</v>
      </c>
      <c r="G4796" s="30" t="str">
        <f t="shared" si="90"/>
        <v/>
      </c>
      <c r="H4796" s="31"/>
      <c r="I4796" s="27"/>
      <c r="J4796" s="141">
        <v>0</v>
      </c>
    </row>
    <row r="4797" spans="1:10" ht="15.75" hidden="1" thickBot="1" x14ac:dyDescent="0.3">
      <c r="A4797" s="227"/>
      <c r="B4797" s="230"/>
      <c r="C4797" s="32"/>
      <c r="D4797" s="32"/>
      <c r="E4797" s="33"/>
      <c r="F4797" s="27" t="s">
        <v>523</v>
      </c>
      <c r="G4797" s="30" t="str">
        <f t="shared" si="90"/>
        <v/>
      </c>
      <c r="H4797" s="31"/>
      <c r="I4797" s="27"/>
      <c r="J4797" s="141">
        <v>0</v>
      </c>
    </row>
    <row r="4798" spans="1:10" ht="15.75" hidden="1" thickBot="1" x14ac:dyDescent="0.3">
      <c r="A4798" s="225" t="s">
        <v>3405</v>
      </c>
      <c r="B4798" s="228" t="str">
        <f>INDEX(Orçamentária!A:B,MATCH(Composições!A4798,Orçamentária!A:A,0),2)</f>
        <v>Batedor/limitador superior para box de correr</v>
      </c>
      <c r="C4798" s="37"/>
      <c r="D4798" s="22" t="str">
        <f>TRIM(INDEX(Orçamentária!C:C,MATCH(Composições!A4798,Orçamentária!A:A,0),1))</f>
        <v>un</v>
      </c>
      <c r="E4798" s="23"/>
      <c r="F4798" s="38" t="s">
        <v>523</v>
      </c>
      <c r="G4798" s="24" t="str">
        <f t="shared" si="90"/>
        <v/>
      </c>
      <c r="H4798" s="25"/>
      <c r="I4798" s="26"/>
      <c r="J4798" s="141">
        <v>0</v>
      </c>
    </row>
    <row r="4799" spans="1:10" ht="15.75" hidden="1" thickBot="1" x14ac:dyDescent="0.3">
      <c r="A4799" s="226"/>
      <c r="B4799" s="244"/>
      <c r="C4799" s="28"/>
      <c r="D4799" s="28"/>
      <c r="E4799" s="29"/>
      <c r="F4799" s="39" t="s">
        <v>523</v>
      </c>
      <c r="G4799" s="30" t="str">
        <f t="shared" si="90"/>
        <v/>
      </c>
      <c r="H4799" s="31"/>
      <c r="I4799" s="27"/>
      <c r="J4799" s="141">
        <v>0</v>
      </c>
    </row>
    <row r="4800" spans="1:10" ht="15.75" hidden="1" thickBot="1" x14ac:dyDescent="0.3">
      <c r="A4800" s="226"/>
      <c r="B4800" s="244"/>
      <c r="C4800" s="32" t="s">
        <v>68</v>
      </c>
      <c r="D4800" s="32" t="s">
        <v>12</v>
      </c>
      <c r="E4800" s="33">
        <v>0.15</v>
      </c>
      <c r="F4800" s="30">
        <v>22.961500000000001</v>
      </c>
      <c r="G4800" s="30">
        <f t="shared" si="90"/>
        <v>3.4442249999999999</v>
      </c>
      <c r="H4800" s="35">
        <f>SUM(G4800:G4801)</f>
        <v>3.4442249999999999</v>
      </c>
      <c r="I4800" s="36"/>
      <c r="J4800" s="141">
        <v>0</v>
      </c>
    </row>
    <row r="4801" spans="1:10" ht="26.25" hidden="1" thickBot="1" x14ac:dyDescent="0.3">
      <c r="A4801" s="226"/>
      <c r="B4801" s="244"/>
      <c r="C4801" s="32" t="s">
        <v>3561</v>
      </c>
      <c r="D4801" s="32" t="s">
        <v>20</v>
      </c>
      <c r="E4801" s="33">
        <v>1</v>
      </c>
      <c r="F4801" s="27" t="s">
        <v>523</v>
      </c>
      <c r="G4801" s="30" t="str">
        <f t="shared" si="90"/>
        <v/>
      </c>
      <c r="H4801" s="31"/>
      <c r="I4801" s="27"/>
      <c r="J4801" s="141">
        <v>0</v>
      </c>
    </row>
    <row r="4802" spans="1:10" ht="15.75" hidden="1" thickBot="1" x14ac:dyDescent="0.3">
      <c r="A4802" s="227"/>
      <c r="B4802" s="230"/>
      <c r="C4802" s="32"/>
      <c r="D4802" s="32"/>
      <c r="E4802" s="33"/>
      <c r="F4802" s="27" t="s">
        <v>523</v>
      </c>
      <c r="G4802" s="30" t="str">
        <f t="shared" si="90"/>
        <v/>
      </c>
      <c r="H4802" s="31"/>
      <c r="I4802" s="27"/>
      <c r="J4802" s="141">
        <v>0</v>
      </c>
    </row>
    <row r="4803" spans="1:10" ht="15.75" hidden="1" customHeight="1" thickBot="1" x14ac:dyDescent="0.3">
      <c r="A4803" s="225" t="s">
        <v>3406</v>
      </c>
      <c r="B4803" s="228" t="str">
        <f>INDEX(Orçamentária!A:B,MATCH(Composições!A4803,Orçamentária!A:A,0),2)</f>
        <v>Perfil cadeirinha em alumínio com encaixe para escova de vedação para vidro temperado 8mm</v>
      </c>
      <c r="C4803" s="37"/>
      <c r="D4803" s="22" t="str">
        <f>TRIM(INDEX(Orçamentária!C:C,MATCH(Composições!A4803,Orçamentária!A:A,0),1))</f>
        <v>m</v>
      </c>
      <c r="E4803" s="23"/>
      <c r="F4803" s="38" t="s">
        <v>523</v>
      </c>
      <c r="G4803" s="24" t="str">
        <f t="shared" si="90"/>
        <v/>
      </c>
      <c r="H4803" s="25"/>
      <c r="I4803" s="26"/>
      <c r="J4803" s="141">
        <v>0</v>
      </c>
    </row>
    <row r="4804" spans="1:10" ht="15.75" hidden="1" thickBot="1" x14ac:dyDescent="0.3">
      <c r="A4804" s="231"/>
      <c r="B4804" s="229"/>
      <c r="C4804" s="28"/>
      <c r="D4804" s="28"/>
      <c r="E4804" s="29"/>
      <c r="F4804" s="39" t="s">
        <v>523</v>
      </c>
      <c r="G4804" s="30" t="str">
        <f t="shared" si="90"/>
        <v/>
      </c>
      <c r="H4804" s="31"/>
      <c r="I4804" s="27"/>
      <c r="J4804" s="141">
        <v>0</v>
      </c>
    </row>
    <row r="4805" spans="1:10" ht="15.75" hidden="1" thickBot="1" x14ac:dyDescent="0.3">
      <c r="A4805" s="231"/>
      <c r="B4805" s="229"/>
      <c r="C4805" s="32" t="s">
        <v>68</v>
      </c>
      <c r="D4805" s="32" t="s">
        <v>12</v>
      </c>
      <c r="E4805" s="33">
        <v>0.2</v>
      </c>
      <c r="F4805" s="30">
        <v>22.961500000000001</v>
      </c>
      <c r="G4805" s="30">
        <f t="shared" si="90"/>
        <v>4.5923000000000007</v>
      </c>
      <c r="H4805" s="35">
        <f>SUM(G4805:G4806)</f>
        <v>9.7824920000000013</v>
      </c>
      <c r="I4805" s="36"/>
      <c r="J4805" s="141">
        <v>0</v>
      </c>
    </row>
    <row r="4806" spans="1:10" ht="15.75" hidden="1" thickBot="1" x14ac:dyDescent="0.3">
      <c r="A4806" s="231"/>
      <c r="B4806" s="229"/>
      <c r="C4806" s="32" t="s">
        <v>837</v>
      </c>
      <c r="D4806" s="32" t="s">
        <v>42</v>
      </c>
      <c r="E4806" s="33">
        <v>0.126</v>
      </c>
      <c r="F4806" s="27">
        <v>41.192</v>
      </c>
      <c r="G4806" s="30">
        <f t="shared" si="90"/>
        <v>5.1901919999999997</v>
      </c>
      <c r="H4806" s="31"/>
      <c r="I4806" s="27"/>
      <c r="J4806" s="141">
        <v>0</v>
      </c>
    </row>
    <row r="4807" spans="1:10" ht="15.75" hidden="1" thickBot="1" x14ac:dyDescent="0.3">
      <c r="A4807" s="231"/>
      <c r="B4807" s="229"/>
      <c r="C4807" s="32"/>
      <c r="D4807" s="32"/>
      <c r="E4807" s="33"/>
      <c r="F4807" s="27" t="s">
        <v>523</v>
      </c>
      <c r="G4807" s="30"/>
      <c r="H4807" s="31"/>
      <c r="I4807" s="27"/>
      <c r="J4807" s="141">
        <v>0</v>
      </c>
    </row>
    <row r="4808" spans="1:10" ht="15.75" hidden="1" thickBot="1" x14ac:dyDescent="0.3">
      <c r="A4808" s="231"/>
      <c r="B4808" s="229"/>
      <c r="C4808" s="48" t="s">
        <v>3563</v>
      </c>
      <c r="D4808" s="32"/>
      <c r="E4808" s="33"/>
      <c r="F4808" s="27" t="s">
        <v>523</v>
      </c>
      <c r="G4808" s="30"/>
      <c r="H4808" s="31"/>
      <c r="I4808" s="27"/>
      <c r="J4808" s="141">
        <v>0</v>
      </c>
    </row>
    <row r="4809" spans="1:10" ht="15.75" hidden="1" thickBot="1" x14ac:dyDescent="0.3">
      <c r="A4809" s="231"/>
      <c r="B4809" s="229"/>
      <c r="C4809" s="48" t="s">
        <v>3562</v>
      </c>
      <c r="D4809" s="32"/>
      <c r="E4809" s="33"/>
      <c r="F4809" s="27" t="s">
        <v>523</v>
      </c>
      <c r="G4809" s="30" t="str">
        <f>IF(ISNUMBER(F4809),E4809*F4809,"")</f>
        <v/>
      </c>
      <c r="H4809" s="31"/>
      <c r="I4809" s="27"/>
      <c r="J4809" s="141">
        <v>0</v>
      </c>
    </row>
    <row r="4810" spans="1:10" ht="15.75" hidden="1" thickBot="1" x14ac:dyDescent="0.3">
      <c r="A4810" s="232"/>
      <c r="B4810" s="230"/>
      <c r="C4810" s="48"/>
      <c r="D4810" s="32"/>
      <c r="E4810" s="33"/>
      <c r="F4810" s="27" t="s">
        <v>523</v>
      </c>
      <c r="G4810" s="30"/>
      <c r="H4810" s="31"/>
      <c r="I4810" s="27"/>
      <c r="J4810" s="141">
        <v>0</v>
      </c>
    </row>
    <row r="4811" spans="1:10" ht="15.75" hidden="1" thickBot="1" x14ac:dyDescent="0.3">
      <c r="A4811" s="225" t="s">
        <v>3407</v>
      </c>
      <c r="B4811" s="228" t="str">
        <f>INDEX(Orçamentária!A:B,MATCH(Composições!A4811,Orçamentária!A:A,0),2)</f>
        <v>Perfil em alumínio para acabamento de trilho superior - Vidro temperado 8mm</v>
      </c>
      <c r="C4811" s="37"/>
      <c r="D4811" s="22" t="str">
        <f>TRIM(INDEX(Orçamentária!C:C,MATCH(Composições!A4811,Orçamentária!A:A,0),1))</f>
        <v>m</v>
      </c>
      <c r="E4811" s="23"/>
      <c r="F4811" s="38" t="s">
        <v>523</v>
      </c>
      <c r="G4811" s="24" t="str">
        <f>IF(ISNUMBER(F4811),E4811*F4811,"")</f>
        <v/>
      </c>
      <c r="H4811" s="25"/>
      <c r="I4811" s="26"/>
      <c r="J4811" s="141">
        <v>0</v>
      </c>
    </row>
    <row r="4812" spans="1:10" ht="15.75" hidden="1" thickBot="1" x14ac:dyDescent="0.3">
      <c r="A4812" s="226"/>
      <c r="B4812" s="244"/>
      <c r="C4812" s="28"/>
      <c r="D4812" s="28"/>
      <c r="E4812" s="29"/>
      <c r="F4812" s="39" t="s">
        <v>523</v>
      </c>
      <c r="G4812" s="30" t="str">
        <f>IF(ISNUMBER(F4812),E4812*F4812,"")</f>
        <v/>
      </c>
      <c r="H4812" s="31"/>
      <c r="I4812" s="27"/>
      <c r="J4812" s="141">
        <v>0</v>
      </c>
    </row>
    <row r="4813" spans="1:10" ht="15.75" hidden="1" thickBot="1" x14ac:dyDescent="0.3">
      <c r="A4813" s="226"/>
      <c r="B4813" s="244"/>
      <c r="C4813" s="32" t="s">
        <v>68</v>
      </c>
      <c r="D4813" s="32" t="s">
        <v>12</v>
      </c>
      <c r="E4813" s="33">
        <v>0.2</v>
      </c>
      <c r="F4813" s="30">
        <v>22.961500000000001</v>
      </c>
      <c r="G4813" s="30">
        <f>IF(ISNUMBER(F4813),E4813*F4813,"")</f>
        <v>4.5923000000000007</v>
      </c>
      <c r="H4813" s="35">
        <f>SUM(G4813:G4814)</f>
        <v>13.860500000000002</v>
      </c>
      <c r="I4813" s="36"/>
      <c r="J4813" s="141">
        <v>0</v>
      </c>
    </row>
    <row r="4814" spans="1:10" ht="15.75" hidden="1" thickBot="1" x14ac:dyDescent="0.3">
      <c r="A4814" s="226"/>
      <c r="B4814" s="244"/>
      <c r="C4814" s="32" t="s">
        <v>837</v>
      </c>
      <c r="D4814" s="32" t="s">
        <v>42</v>
      </c>
      <c r="E4814" s="33">
        <v>0.22500000000000001</v>
      </c>
      <c r="F4814" s="27">
        <v>41.192</v>
      </c>
      <c r="G4814" s="30">
        <f>IF(ISNUMBER(F4814),E4814*F4814,"")</f>
        <v>9.2682000000000002</v>
      </c>
      <c r="H4814" s="31"/>
      <c r="I4814" s="27"/>
      <c r="J4814" s="141">
        <v>0</v>
      </c>
    </row>
    <row r="4815" spans="1:10" ht="15.75" hidden="1" thickBot="1" x14ac:dyDescent="0.3">
      <c r="A4815" s="226"/>
      <c r="B4815" s="244"/>
      <c r="C4815" s="32"/>
      <c r="D4815" s="32"/>
      <c r="E4815" s="33"/>
      <c r="F4815" s="27" t="s">
        <v>523</v>
      </c>
      <c r="G4815" s="30"/>
      <c r="H4815" s="31"/>
      <c r="I4815" s="27"/>
      <c r="J4815" s="141">
        <v>0</v>
      </c>
    </row>
    <row r="4816" spans="1:10" ht="15.75" hidden="1" thickBot="1" x14ac:dyDescent="0.3">
      <c r="A4816" s="226"/>
      <c r="B4816" s="244"/>
      <c r="C4816" s="48" t="s">
        <v>3564</v>
      </c>
      <c r="D4816" s="32"/>
      <c r="E4816" s="33"/>
      <c r="F4816" s="27" t="s">
        <v>523</v>
      </c>
      <c r="G4816" s="30"/>
      <c r="H4816" s="31"/>
      <c r="I4816" s="27"/>
      <c r="J4816" s="141">
        <v>0</v>
      </c>
    </row>
    <row r="4817" spans="1:10" ht="15.75" hidden="1" thickBot="1" x14ac:dyDescent="0.3">
      <c r="A4817" s="226"/>
      <c r="B4817" s="244"/>
      <c r="C4817" s="48" t="s">
        <v>3562</v>
      </c>
      <c r="D4817" s="32"/>
      <c r="E4817" s="33"/>
      <c r="F4817" s="27" t="s">
        <v>523</v>
      </c>
      <c r="G4817" s="30"/>
      <c r="H4817" s="31"/>
      <c r="I4817" s="27"/>
      <c r="J4817" s="141">
        <v>0</v>
      </c>
    </row>
    <row r="4818" spans="1:10" ht="15.75" hidden="1" thickBot="1" x14ac:dyDescent="0.3">
      <c r="A4818" s="227"/>
      <c r="B4818" s="230"/>
      <c r="C4818" s="32"/>
      <c r="D4818" s="32"/>
      <c r="E4818" s="33"/>
      <c r="F4818" s="27" t="s">
        <v>523</v>
      </c>
      <c r="G4818" s="30" t="str">
        <f>IF(ISNUMBER(F4818),E4818*F4818,"")</f>
        <v/>
      </c>
      <c r="H4818" s="31"/>
      <c r="I4818" s="27"/>
      <c r="J4818" s="141">
        <v>0</v>
      </c>
    </row>
    <row r="4819" spans="1:10" ht="15.75" hidden="1" thickBot="1" x14ac:dyDescent="0.3">
      <c r="A4819" s="225" t="s">
        <v>3408</v>
      </c>
      <c r="B4819" s="228" t="str">
        <f>INDEX(Orçamentária!A:B,MATCH(Composições!A4819,Orçamentária!A:A,0),2)</f>
        <v>Capa do Perfil Guia Inferior “Click” - Vidro temperado 8mm</v>
      </c>
      <c r="C4819" s="37"/>
      <c r="D4819" s="22" t="str">
        <f>TRIM(INDEX(Orçamentária!C:C,MATCH(Composições!A4819,Orçamentária!A:A,0),1))</f>
        <v>m</v>
      </c>
      <c r="E4819" s="23"/>
      <c r="F4819" s="38" t="s">
        <v>523</v>
      </c>
      <c r="G4819" s="24" t="str">
        <f>IF(ISNUMBER(F4819),E4819*F4819,"")</f>
        <v/>
      </c>
      <c r="H4819" s="25"/>
      <c r="I4819" s="26"/>
      <c r="J4819" s="141">
        <v>0</v>
      </c>
    </row>
    <row r="4820" spans="1:10" ht="15.75" hidden="1" thickBot="1" x14ac:dyDescent="0.3">
      <c r="A4820" s="226"/>
      <c r="B4820" s="244"/>
      <c r="C4820" s="28"/>
      <c r="D4820" s="28"/>
      <c r="E4820" s="29"/>
      <c r="F4820" s="39" t="s">
        <v>523</v>
      </c>
      <c r="G4820" s="30" t="str">
        <f>IF(ISNUMBER(F4820),E4820*F4820,"")</f>
        <v/>
      </c>
      <c r="H4820" s="31"/>
      <c r="I4820" s="27"/>
      <c r="J4820" s="141">
        <v>0</v>
      </c>
    </row>
    <row r="4821" spans="1:10" ht="15.75" hidden="1" thickBot="1" x14ac:dyDescent="0.3">
      <c r="A4821" s="226"/>
      <c r="B4821" s="244"/>
      <c r="C4821" s="32" t="s">
        <v>68</v>
      </c>
      <c r="D4821" s="32" t="s">
        <v>12</v>
      </c>
      <c r="E4821" s="33">
        <v>0.15</v>
      </c>
      <c r="F4821" s="30">
        <v>22.961500000000001</v>
      </c>
      <c r="G4821" s="30">
        <f>IF(ISNUMBER(F4821),E4821*F4821,"")</f>
        <v>3.4442249999999999</v>
      </c>
      <c r="H4821" s="35">
        <f>SUM(G4821:G4822)</f>
        <v>5.7097850000000001</v>
      </c>
      <c r="I4821" s="36"/>
      <c r="J4821" s="141">
        <v>0</v>
      </c>
    </row>
    <row r="4822" spans="1:10" ht="15.75" hidden="1" thickBot="1" x14ac:dyDescent="0.3">
      <c r="A4822" s="226"/>
      <c r="B4822" s="244"/>
      <c r="C4822" s="32" t="s">
        <v>837</v>
      </c>
      <c r="D4822" s="32" t="s">
        <v>42</v>
      </c>
      <c r="E4822" s="33">
        <v>5.5E-2</v>
      </c>
      <c r="F4822" s="27">
        <v>41.192</v>
      </c>
      <c r="G4822" s="30">
        <f>IF(ISNUMBER(F4822),E4822*F4822,"")</f>
        <v>2.2655600000000002</v>
      </c>
      <c r="H4822" s="31"/>
      <c r="I4822" s="27"/>
      <c r="J4822" s="141">
        <v>0</v>
      </c>
    </row>
    <row r="4823" spans="1:10" ht="15.75" hidden="1" thickBot="1" x14ac:dyDescent="0.3">
      <c r="A4823" s="226"/>
      <c r="B4823" s="244"/>
      <c r="C4823" s="32"/>
      <c r="D4823" s="32"/>
      <c r="E4823" s="33"/>
      <c r="F4823" s="27" t="s">
        <v>523</v>
      </c>
      <c r="G4823" s="30"/>
      <c r="H4823" s="31"/>
      <c r="I4823" s="27"/>
      <c r="J4823" s="141">
        <v>0</v>
      </c>
    </row>
    <row r="4824" spans="1:10" ht="15.75" hidden="1" thickBot="1" x14ac:dyDescent="0.3">
      <c r="A4824" s="226"/>
      <c r="B4824" s="244"/>
      <c r="C4824" s="48" t="s">
        <v>3565</v>
      </c>
      <c r="D4824" s="32"/>
      <c r="E4824" s="33"/>
      <c r="F4824" s="27" t="s">
        <v>523</v>
      </c>
      <c r="G4824" s="30"/>
      <c r="H4824" s="31"/>
      <c r="I4824" s="27"/>
      <c r="J4824" s="141">
        <v>0</v>
      </c>
    </row>
    <row r="4825" spans="1:10" ht="15.75" hidden="1" thickBot="1" x14ac:dyDescent="0.3">
      <c r="A4825" s="226"/>
      <c r="B4825" s="244"/>
      <c r="C4825" s="48" t="s">
        <v>3562</v>
      </c>
      <c r="D4825" s="32"/>
      <c r="E4825" s="33"/>
      <c r="F4825" s="27" t="s">
        <v>523</v>
      </c>
      <c r="G4825" s="30"/>
      <c r="H4825" s="31"/>
      <c r="I4825" s="27"/>
      <c r="J4825" s="141">
        <v>0</v>
      </c>
    </row>
    <row r="4826" spans="1:10" ht="15.75" hidden="1" thickBot="1" x14ac:dyDescent="0.3">
      <c r="A4826" s="227"/>
      <c r="B4826" s="230"/>
      <c r="C4826" s="32"/>
      <c r="D4826" s="32"/>
      <c r="E4826" s="33"/>
      <c r="F4826" s="27" t="s">
        <v>523</v>
      </c>
      <c r="G4826" s="30" t="str">
        <f>IF(ISNUMBER(F4826),E4826*F4826,"")</f>
        <v/>
      </c>
      <c r="H4826" s="31"/>
      <c r="I4826" s="27"/>
      <c r="J4826" s="141">
        <v>0</v>
      </c>
    </row>
    <row r="4827" spans="1:10" ht="15.75" hidden="1" thickBot="1" x14ac:dyDescent="0.3">
      <c r="A4827" s="225" t="s">
        <v>3409</v>
      </c>
      <c r="B4827" s="228" t="str">
        <f>INDEX(Orçamentária!A:B,MATCH(Composições!A4827,Orçamentária!A:A,0),2)</f>
        <v>Perfil guia inferior de alumínio para porta de giro em vidro temperado 8mm</v>
      </c>
      <c r="C4827" s="37"/>
      <c r="D4827" s="22" t="str">
        <f>TRIM(INDEX(Orçamentária!C:C,MATCH(Composições!A4827,Orçamentária!A:A,0),1))</f>
        <v>m</v>
      </c>
      <c r="E4827" s="23"/>
      <c r="F4827" s="38" t="s">
        <v>523</v>
      </c>
      <c r="G4827" s="24" t="str">
        <f>IF(ISNUMBER(F4827),E4827*F4827,"")</f>
        <v/>
      </c>
      <c r="H4827" s="25"/>
      <c r="I4827" s="26"/>
      <c r="J4827" s="141">
        <v>0</v>
      </c>
    </row>
    <row r="4828" spans="1:10" ht="15.75" hidden="1" thickBot="1" x14ac:dyDescent="0.3">
      <c r="A4828" s="226"/>
      <c r="B4828" s="244"/>
      <c r="C4828" s="28"/>
      <c r="D4828" s="28"/>
      <c r="E4828" s="29"/>
      <c r="F4828" s="39" t="s">
        <v>523</v>
      </c>
      <c r="G4828" s="30" t="str">
        <f>IF(ISNUMBER(F4828),E4828*F4828,"")</f>
        <v/>
      </c>
      <c r="H4828" s="31"/>
      <c r="I4828" s="27"/>
      <c r="J4828" s="141">
        <v>0</v>
      </c>
    </row>
    <row r="4829" spans="1:10" ht="15.75" hidden="1" thickBot="1" x14ac:dyDescent="0.3">
      <c r="A4829" s="226"/>
      <c r="B4829" s="244"/>
      <c r="C4829" s="32" t="s">
        <v>68</v>
      </c>
      <c r="D4829" s="32" t="s">
        <v>12</v>
      </c>
      <c r="E4829" s="33">
        <v>0.3</v>
      </c>
      <c r="F4829" s="30">
        <v>22.961500000000001</v>
      </c>
      <c r="G4829" s="30">
        <f>IF(ISNUMBER(F4829),E4829*F4829,"")</f>
        <v>6.8884499999999997</v>
      </c>
      <c r="H4829" s="35">
        <f>SUM(G4829:G4830)</f>
        <v>15.456385999999998</v>
      </c>
      <c r="I4829" s="36"/>
      <c r="J4829" s="141">
        <v>0</v>
      </c>
    </row>
    <row r="4830" spans="1:10" ht="15.75" hidden="1" thickBot="1" x14ac:dyDescent="0.3">
      <c r="A4830" s="226"/>
      <c r="B4830" s="244"/>
      <c r="C4830" s="32" t="s">
        <v>837</v>
      </c>
      <c r="D4830" s="32" t="s">
        <v>42</v>
      </c>
      <c r="E4830" s="33">
        <v>0.20799999999999999</v>
      </c>
      <c r="F4830" s="27">
        <v>41.192</v>
      </c>
      <c r="G4830" s="30">
        <f>IF(ISNUMBER(F4830),E4830*F4830,"")</f>
        <v>8.5679359999999996</v>
      </c>
      <c r="H4830" s="31"/>
      <c r="I4830" s="27"/>
      <c r="J4830" s="141">
        <v>0</v>
      </c>
    </row>
    <row r="4831" spans="1:10" ht="15.75" hidden="1" thickBot="1" x14ac:dyDescent="0.3">
      <c r="A4831" s="226"/>
      <c r="B4831" s="244"/>
      <c r="C4831" s="32"/>
      <c r="D4831" s="32"/>
      <c r="E4831" s="33"/>
      <c r="F4831" s="27" t="s">
        <v>523</v>
      </c>
      <c r="G4831" s="30"/>
      <c r="H4831" s="31"/>
      <c r="I4831" s="27"/>
      <c r="J4831" s="141">
        <v>0</v>
      </c>
    </row>
    <row r="4832" spans="1:10" ht="15.75" hidden="1" thickBot="1" x14ac:dyDescent="0.3">
      <c r="A4832" s="226"/>
      <c r="B4832" s="244"/>
      <c r="C4832" s="48" t="s">
        <v>3566</v>
      </c>
      <c r="D4832" s="32"/>
      <c r="E4832" s="33"/>
      <c r="F4832" s="27" t="s">
        <v>523</v>
      </c>
      <c r="G4832" s="30"/>
      <c r="H4832" s="31"/>
      <c r="I4832" s="27"/>
      <c r="J4832" s="141">
        <v>0</v>
      </c>
    </row>
    <row r="4833" spans="1:10" ht="15.75" hidden="1" thickBot="1" x14ac:dyDescent="0.3">
      <c r="A4833" s="226"/>
      <c r="B4833" s="244"/>
      <c r="C4833" s="48" t="s">
        <v>3562</v>
      </c>
      <c r="D4833" s="32"/>
      <c r="E4833" s="33"/>
      <c r="F4833" s="27" t="s">
        <v>523</v>
      </c>
      <c r="G4833" s="30"/>
      <c r="H4833" s="31"/>
      <c r="I4833" s="27"/>
      <c r="J4833" s="141">
        <v>0</v>
      </c>
    </row>
    <row r="4834" spans="1:10" ht="15.75" hidden="1" thickBot="1" x14ac:dyDescent="0.3">
      <c r="A4834" s="227"/>
      <c r="B4834" s="230"/>
      <c r="C4834" s="32"/>
      <c r="D4834" s="32"/>
      <c r="E4834" s="33"/>
      <c r="F4834" s="27" t="s">
        <v>523</v>
      </c>
      <c r="G4834" s="30" t="str">
        <f>IF(ISNUMBER(F4834),E4834*F4834,"")</f>
        <v/>
      </c>
      <c r="H4834" s="31"/>
      <c r="I4834" s="27"/>
      <c r="J4834" s="141">
        <v>0</v>
      </c>
    </row>
    <row r="4835" spans="1:10" ht="15.75" hidden="1" thickBot="1" x14ac:dyDescent="0.3">
      <c r="A4835" s="225" t="s">
        <v>3410</v>
      </c>
      <c r="B4835" s="228" t="str">
        <f>INDEX(Orçamentária!A:B,MATCH(Composições!A4835,Orçamentária!A:A,0),2)</f>
        <v>Perfil guia inferior de alumínio para porta de correr em vidro temperado 8mm</v>
      </c>
      <c r="C4835" s="37"/>
      <c r="D4835" s="22" t="str">
        <f>TRIM(INDEX(Orçamentária!C:C,MATCH(Composições!A4835,Orçamentária!A:A,0),1))</f>
        <v>m</v>
      </c>
      <c r="E4835" s="23"/>
      <c r="F4835" s="38" t="s">
        <v>523</v>
      </c>
      <c r="G4835" s="24" t="str">
        <f>IF(ISNUMBER(F4835),E4835*F4835,"")</f>
        <v/>
      </c>
      <c r="H4835" s="25"/>
      <c r="I4835" s="26"/>
      <c r="J4835" s="141">
        <v>0</v>
      </c>
    </row>
    <row r="4836" spans="1:10" ht="15.75" hidden="1" thickBot="1" x14ac:dyDescent="0.3">
      <c r="A4836" s="226"/>
      <c r="B4836" s="244"/>
      <c r="C4836" s="28"/>
      <c r="D4836" s="28"/>
      <c r="E4836" s="29"/>
      <c r="F4836" s="39" t="s">
        <v>523</v>
      </c>
      <c r="G4836" s="30" t="str">
        <f>IF(ISNUMBER(F4836),E4836*F4836,"")</f>
        <v/>
      </c>
      <c r="H4836" s="31"/>
      <c r="I4836" s="27"/>
      <c r="J4836" s="141">
        <v>0</v>
      </c>
    </row>
    <row r="4837" spans="1:10" ht="15.75" hidden="1" thickBot="1" x14ac:dyDescent="0.3">
      <c r="A4837" s="226"/>
      <c r="B4837" s="244"/>
      <c r="C4837" s="32" t="s">
        <v>68</v>
      </c>
      <c r="D4837" s="32" t="s">
        <v>12</v>
      </c>
      <c r="E4837" s="33">
        <v>0.3</v>
      </c>
      <c r="F4837" s="30">
        <v>22.961500000000001</v>
      </c>
      <c r="G4837" s="30">
        <f>IF(ISNUMBER(F4837),E4837*F4837,"")</f>
        <v>6.8884499999999997</v>
      </c>
      <c r="H4837" s="35">
        <f>SUM(G4837:G4838)</f>
        <v>17.557178</v>
      </c>
      <c r="I4837" s="36"/>
      <c r="J4837" s="141">
        <v>0</v>
      </c>
    </row>
    <row r="4838" spans="1:10" ht="15.75" hidden="1" thickBot="1" x14ac:dyDescent="0.3">
      <c r="A4838" s="226"/>
      <c r="B4838" s="244"/>
      <c r="C4838" s="32" t="s">
        <v>837</v>
      </c>
      <c r="D4838" s="32" t="s">
        <v>42</v>
      </c>
      <c r="E4838" s="33">
        <v>0.25900000000000001</v>
      </c>
      <c r="F4838" s="27">
        <v>41.192</v>
      </c>
      <c r="G4838" s="30">
        <f>IF(ISNUMBER(F4838),E4838*F4838,"")</f>
        <v>10.668728</v>
      </c>
      <c r="H4838" s="31"/>
      <c r="I4838" s="27"/>
      <c r="J4838" s="141">
        <v>0</v>
      </c>
    </row>
    <row r="4839" spans="1:10" ht="15.75" hidden="1" thickBot="1" x14ac:dyDescent="0.3">
      <c r="A4839" s="226"/>
      <c r="B4839" s="244"/>
      <c r="C4839" s="32"/>
      <c r="D4839" s="32"/>
      <c r="E4839" s="33"/>
      <c r="F4839" s="27" t="s">
        <v>523</v>
      </c>
      <c r="G4839" s="30"/>
      <c r="H4839" s="31"/>
      <c r="I4839" s="27"/>
      <c r="J4839" s="141">
        <v>0</v>
      </c>
    </row>
    <row r="4840" spans="1:10" ht="15.75" hidden="1" thickBot="1" x14ac:dyDescent="0.3">
      <c r="A4840" s="226"/>
      <c r="B4840" s="244"/>
      <c r="C4840" s="48" t="s">
        <v>3567</v>
      </c>
      <c r="D4840" s="32"/>
      <c r="E4840" s="33"/>
      <c r="F4840" s="27" t="s">
        <v>523</v>
      </c>
      <c r="G4840" s="30"/>
      <c r="H4840" s="31"/>
      <c r="I4840" s="27"/>
      <c r="J4840" s="141">
        <v>0</v>
      </c>
    </row>
    <row r="4841" spans="1:10" ht="15.75" hidden="1" thickBot="1" x14ac:dyDescent="0.3">
      <c r="A4841" s="226"/>
      <c r="B4841" s="244"/>
      <c r="C4841" s="48" t="s">
        <v>3562</v>
      </c>
      <c r="D4841" s="32"/>
      <c r="E4841" s="33"/>
      <c r="F4841" s="27" t="s">
        <v>523</v>
      </c>
      <c r="G4841" s="30"/>
      <c r="H4841" s="31"/>
      <c r="I4841" s="27"/>
      <c r="J4841" s="141">
        <v>0</v>
      </c>
    </row>
    <row r="4842" spans="1:10" ht="15.75" hidden="1" thickBot="1" x14ac:dyDescent="0.3">
      <c r="A4842" s="227"/>
      <c r="B4842" s="230"/>
      <c r="C4842" s="32"/>
      <c r="D4842" s="32"/>
      <c r="E4842" s="33"/>
      <c r="F4842" s="27" t="s">
        <v>523</v>
      </c>
      <c r="G4842" s="30" t="str">
        <f>IF(ISNUMBER(F4842),E4842*F4842,"")</f>
        <v/>
      </c>
      <c r="H4842" s="31"/>
      <c r="I4842" s="27"/>
      <c r="J4842" s="141">
        <v>0</v>
      </c>
    </row>
    <row r="4843" spans="1:10" ht="15.75" hidden="1" thickBot="1" x14ac:dyDescent="0.3">
      <c r="A4843" s="225" t="s">
        <v>3411</v>
      </c>
      <c r="B4843" s="228" t="str">
        <f>INDEX(Orçamentária!A:B,MATCH(Composições!A4843,Orçamentária!A:A,0),2)</f>
        <v>Trilho superior em alumínio 53,8mm x 49,6mm, para vidro temperado</v>
      </c>
      <c r="C4843" s="37"/>
      <c r="D4843" s="22" t="str">
        <f>TRIM(INDEX(Orçamentária!C:C,MATCH(Composições!A4843,Orçamentária!A:A,0),1))</f>
        <v>m</v>
      </c>
      <c r="E4843" s="23"/>
      <c r="F4843" s="38" t="s">
        <v>523</v>
      </c>
      <c r="G4843" s="24" t="str">
        <f>IF(ISNUMBER(F4843),E4843*F4843,"")</f>
        <v/>
      </c>
      <c r="H4843" s="25"/>
      <c r="I4843" s="26"/>
      <c r="J4843" s="141">
        <v>0</v>
      </c>
    </row>
    <row r="4844" spans="1:10" ht="15.75" hidden="1" thickBot="1" x14ac:dyDescent="0.3">
      <c r="A4844" s="226"/>
      <c r="B4844" s="244"/>
      <c r="C4844" s="28"/>
      <c r="D4844" s="28"/>
      <c r="E4844" s="29"/>
      <c r="F4844" s="39" t="s">
        <v>523</v>
      </c>
      <c r="G4844" s="30" t="str">
        <f>IF(ISNUMBER(F4844),E4844*F4844,"")</f>
        <v/>
      </c>
      <c r="H4844" s="31"/>
      <c r="I4844" s="27"/>
      <c r="J4844" s="141">
        <v>0</v>
      </c>
    </row>
    <row r="4845" spans="1:10" ht="15.75" hidden="1" thickBot="1" x14ac:dyDescent="0.3">
      <c r="A4845" s="226"/>
      <c r="B4845" s="244"/>
      <c r="C4845" s="32" t="s">
        <v>68</v>
      </c>
      <c r="D4845" s="32" t="s">
        <v>12</v>
      </c>
      <c r="E4845" s="33">
        <v>0.3</v>
      </c>
      <c r="F4845" s="30">
        <v>22.961500000000001</v>
      </c>
      <c r="G4845" s="30">
        <f>IF(ISNUMBER(F4845),E4845*F4845,"")</f>
        <v>6.8884499999999997</v>
      </c>
      <c r="H4845" s="35">
        <f>SUM(G4845:G4846)</f>
        <v>28.967362000000001</v>
      </c>
      <c r="I4845" s="36"/>
      <c r="J4845" s="141">
        <v>0</v>
      </c>
    </row>
    <row r="4846" spans="1:10" ht="15.75" hidden="1" thickBot="1" x14ac:dyDescent="0.3">
      <c r="A4846" s="226"/>
      <c r="B4846" s="244"/>
      <c r="C4846" s="32" t="s">
        <v>837</v>
      </c>
      <c r="D4846" s="32" t="s">
        <v>42</v>
      </c>
      <c r="E4846" s="33">
        <v>0.53600000000000003</v>
      </c>
      <c r="F4846" s="27">
        <v>41.192</v>
      </c>
      <c r="G4846" s="30">
        <f>IF(ISNUMBER(F4846),E4846*F4846,"")</f>
        <v>22.078912000000003</v>
      </c>
      <c r="H4846" s="31"/>
      <c r="I4846" s="27"/>
      <c r="J4846" s="141">
        <v>0</v>
      </c>
    </row>
    <row r="4847" spans="1:10" ht="15.75" hidden="1" thickBot="1" x14ac:dyDescent="0.3">
      <c r="A4847" s="226"/>
      <c r="B4847" s="244"/>
      <c r="C4847" s="32"/>
      <c r="D4847" s="32"/>
      <c r="E4847" s="33"/>
      <c r="F4847" s="27" t="s">
        <v>523</v>
      </c>
      <c r="G4847" s="30"/>
      <c r="H4847" s="31"/>
      <c r="I4847" s="27"/>
      <c r="J4847" s="141">
        <v>0</v>
      </c>
    </row>
    <row r="4848" spans="1:10" ht="15.75" hidden="1" thickBot="1" x14ac:dyDescent="0.3">
      <c r="A4848" s="226"/>
      <c r="B4848" s="244"/>
      <c r="C4848" s="48" t="s">
        <v>3568</v>
      </c>
      <c r="D4848" s="32"/>
      <c r="E4848" s="33"/>
      <c r="F4848" s="27" t="s">
        <v>523</v>
      </c>
      <c r="G4848" s="30"/>
      <c r="H4848" s="31"/>
      <c r="I4848" s="27"/>
      <c r="J4848" s="141">
        <v>0</v>
      </c>
    </row>
    <row r="4849" spans="1:10" ht="15.75" hidden="1" thickBot="1" x14ac:dyDescent="0.3">
      <c r="A4849" s="226"/>
      <c r="B4849" s="244"/>
      <c r="C4849" s="48" t="s">
        <v>3562</v>
      </c>
      <c r="D4849" s="32"/>
      <c r="E4849" s="33"/>
      <c r="F4849" s="27" t="s">
        <v>523</v>
      </c>
      <c r="G4849" s="30"/>
      <c r="H4849" s="31"/>
      <c r="I4849" s="27"/>
      <c r="J4849" s="141">
        <v>0</v>
      </c>
    </row>
    <row r="4850" spans="1:10" ht="15.75" hidden="1" thickBot="1" x14ac:dyDescent="0.3">
      <c r="A4850" s="227"/>
      <c r="B4850" s="230"/>
      <c r="C4850" s="32"/>
      <c r="D4850" s="32"/>
      <c r="E4850" s="33"/>
      <c r="F4850" s="27" t="s">
        <v>523</v>
      </c>
      <c r="G4850" s="30" t="str">
        <f>IF(ISNUMBER(F4850),E4850*F4850,"")</f>
        <v/>
      </c>
      <c r="H4850" s="31"/>
      <c r="I4850" s="27"/>
      <c r="J4850" s="141">
        <v>0</v>
      </c>
    </row>
    <row r="4851" spans="1:10" ht="15.75" hidden="1" thickBot="1" x14ac:dyDescent="0.3">
      <c r="A4851" s="225" t="s">
        <v>3412</v>
      </c>
      <c r="B4851" s="228" t="str">
        <f>INDEX(Orçamentária!A:B,MATCH(Composições!A4851,Orçamentária!A:A,0),2)</f>
        <v>Perfil em alumínio, tipo U - 10,5 x 20mm - para box de vidro temperado 8mm</v>
      </c>
      <c r="C4851" s="37"/>
      <c r="D4851" s="22" t="str">
        <f>TRIM(INDEX(Orçamentária!C:C,MATCH(Composições!A4851,Orçamentária!A:A,0),1))</f>
        <v>m</v>
      </c>
      <c r="E4851" s="23"/>
      <c r="F4851" s="38" t="s">
        <v>523</v>
      </c>
      <c r="G4851" s="24" t="str">
        <f>IF(ISNUMBER(F4851),E4851*F4851,"")</f>
        <v/>
      </c>
      <c r="H4851" s="25"/>
      <c r="I4851" s="26"/>
      <c r="J4851" s="141">
        <v>0</v>
      </c>
    </row>
    <row r="4852" spans="1:10" ht="15.75" hidden="1" thickBot="1" x14ac:dyDescent="0.3">
      <c r="A4852" s="226"/>
      <c r="B4852" s="244"/>
      <c r="C4852" s="28"/>
      <c r="D4852" s="28"/>
      <c r="E4852" s="29"/>
      <c r="F4852" s="39" t="s">
        <v>523</v>
      </c>
      <c r="G4852" s="30" t="str">
        <f>IF(ISNUMBER(F4852),E4852*F4852,"")</f>
        <v/>
      </c>
      <c r="H4852" s="31"/>
      <c r="I4852" s="27"/>
      <c r="J4852" s="141">
        <v>0</v>
      </c>
    </row>
    <row r="4853" spans="1:10" ht="15.75" hidden="1" thickBot="1" x14ac:dyDescent="0.3">
      <c r="A4853" s="226"/>
      <c r="B4853" s="244"/>
      <c r="C4853" s="32" t="s">
        <v>68</v>
      </c>
      <c r="D4853" s="32" t="s">
        <v>12</v>
      </c>
      <c r="E4853" s="33">
        <v>0.2</v>
      </c>
      <c r="F4853" s="30">
        <v>22.961500000000001</v>
      </c>
      <c r="G4853" s="30">
        <f>IF(ISNUMBER(F4853),E4853*F4853,"")</f>
        <v>4.5923000000000007</v>
      </c>
      <c r="H4853" s="35">
        <f>SUM(G4853:G4854)</f>
        <v>8.9174600000000002</v>
      </c>
      <c r="I4853" s="36"/>
      <c r="J4853" s="141">
        <v>0</v>
      </c>
    </row>
    <row r="4854" spans="1:10" ht="15.75" hidden="1" thickBot="1" x14ac:dyDescent="0.3">
      <c r="A4854" s="226"/>
      <c r="B4854" s="244"/>
      <c r="C4854" s="32" t="s">
        <v>837</v>
      </c>
      <c r="D4854" s="32" t="s">
        <v>42</v>
      </c>
      <c r="E4854" s="33">
        <v>0.105</v>
      </c>
      <c r="F4854" s="27">
        <v>41.192</v>
      </c>
      <c r="G4854" s="30">
        <f>IF(ISNUMBER(F4854),E4854*F4854,"")</f>
        <v>4.3251599999999994</v>
      </c>
      <c r="H4854" s="31"/>
      <c r="I4854" s="27"/>
      <c r="J4854" s="141">
        <v>0</v>
      </c>
    </row>
    <row r="4855" spans="1:10" ht="15.75" hidden="1" thickBot="1" x14ac:dyDescent="0.3">
      <c r="A4855" s="226"/>
      <c r="B4855" s="244"/>
      <c r="C4855" s="32"/>
      <c r="D4855" s="32"/>
      <c r="E4855" s="33"/>
      <c r="F4855" s="27" t="s">
        <v>523</v>
      </c>
      <c r="G4855" s="30"/>
      <c r="H4855" s="31"/>
      <c r="I4855" s="27"/>
      <c r="J4855" s="141">
        <v>0</v>
      </c>
    </row>
    <row r="4856" spans="1:10" ht="15.75" hidden="1" thickBot="1" x14ac:dyDescent="0.3">
      <c r="A4856" s="226"/>
      <c r="B4856" s="244"/>
      <c r="C4856" s="48" t="s">
        <v>3569</v>
      </c>
      <c r="D4856" s="32"/>
      <c r="E4856" s="33"/>
      <c r="F4856" s="27" t="s">
        <v>523</v>
      </c>
      <c r="G4856" s="30"/>
      <c r="H4856" s="31"/>
      <c r="I4856" s="27"/>
      <c r="J4856" s="141">
        <v>0</v>
      </c>
    </row>
    <row r="4857" spans="1:10" ht="15.75" hidden="1" thickBot="1" x14ac:dyDescent="0.3">
      <c r="A4857" s="226"/>
      <c r="B4857" s="244"/>
      <c r="C4857" s="48" t="s">
        <v>3562</v>
      </c>
      <c r="D4857" s="32"/>
      <c r="E4857" s="33"/>
      <c r="F4857" s="27" t="s">
        <v>523</v>
      </c>
      <c r="G4857" s="30"/>
      <c r="H4857" s="31"/>
      <c r="I4857" s="27"/>
      <c r="J4857" s="141">
        <v>0</v>
      </c>
    </row>
    <row r="4858" spans="1:10" ht="15.75" hidden="1" thickBot="1" x14ac:dyDescent="0.3">
      <c r="A4858" s="227"/>
      <c r="B4858" s="230"/>
      <c r="C4858" s="32"/>
      <c r="D4858" s="32"/>
      <c r="E4858" s="33"/>
      <c r="F4858" s="27" t="s">
        <v>523</v>
      </c>
      <c r="G4858" s="30" t="str">
        <f>IF(ISNUMBER(F4858),E4858*F4858,"")</f>
        <v/>
      </c>
      <c r="H4858" s="31"/>
      <c r="I4858" s="27"/>
      <c r="J4858" s="141">
        <v>0</v>
      </c>
    </row>
    <row r="4859" spans="1:10" ht="15.75" hidden="1" thickBot="1" x14ac:dyDescent="0.3">
      <c r="A4859" s="225" t="s">
        <v>3413</v>
      </c>
      <c r="B4859" s="228" t="str">
        <f>INDEX(Orçamentária!A:B,MATCH(Composições!A4859,Orçamentária!A:A,0),2)</f>
        <v>Perfil em alumínio , tipo U –  14 x 20mm - para box de vidro temperado 8mm</v>
      </c>
      <c r="C4859" s="37"/>
      <c r="D4859" s="22" t="str">
        <f>TRIM(INDEX(Orçamentária!C:C,MATCH(Composições!A4859,Orçamentária!A:A,0),1))</f>
        <v>m</v>
      </c>
      <c r="E4859" s="23"/>
      <c r="F4859" s="38" t="s">
        <v>523</v>
      </c>
      <c r="G4859" s="24" t="str">
        <f>IF(ISNUMBER(F4859),E4859*F4859,"")</f>
        <v/>
      </c>
      <c r="H4859" s="25"/>
      <c r="I4859" s="26"/>
      <c r="J4859" s="141">
        <v>0</v>
      </c>
    </row>
    <row r="4860" spans="1:10" ht="15.75" hidden="1" thickBot="1" x14ac:dyDescent="0.3">
      <c r="A4860" s="226"/>
      <c r="B4860" s="244"/>
      <c r="C4860" s="28"/>
      <c r="D4860" s="28"/>
      <c r="E4860" s="29"/>
      <c r="F4860" s="39" t="s">
        <v>523</v>
      </c>
      <c r="G4860" s="30" t="str">
        <f>IF(ISNUMBER(F4860),E4860*F4860,"")</f>
        <v/>
      </c>
      <c r="H4860" s="31"/>
      <c r="I4860" s="27"/>
      <c r="J4860" s="141">
        <v>0</v>
      </c>
    </row>
    <row r="4861" spans="1:10" ht="15.75" hidden="1" thickBot="1" x14ac:dyDescent="0.3">
      <c r="A4861" s="226"/>
      <c r="B4861" s="244"/>
      <c r="C4861" s="32" t="s">
        <v>68</v>
      </c>
      <c r="D4861" s="32" t="s">
        <v>12</v>
      </c>
      <c r="E4861" s="33">
        <v>0.2</v>
      </c>
      <c r="F4861" s="30">
        <v>22.961500000000001</v>
      </c>
      <c r="G4861" s="30">
        <f>IF(ISNUMBER(F4861),E4861*F4861,"")</f>
        <v>4.5923000000000007</v>
      </c>
      <c r="H4861" s="35">
        <f>SUM(G4861:G4862)</f>
        <v>9.4941480000000009</v>
      </c>
      <c r="I4861" s="36"/>
      <c r="J4861" s="141">
        <v>0</v>
      </c>
    </row>
    <row r="4862" spans="1:10" ht="15.75" hidden="1" thickBot="1" x14ac:dyDescent="0.3">
      <c r="A4862" s="226"/>
      <c r="B4862" s="244"/>
      <c r="C4862" s="32" t="s">
        <v>837</v>
      </c>
      <c r="D4862" s="32" t="s">
        <v>42</v>
      </c>
      <c r="E4862" s="33">
        <v>0.11899999999999999</v>
      </c>
      <c r="F4862" s="27">
        <v>41.192</v>
      </c>
      <c r="G4862" s="30">
        <f>IF(ISNUMBER(F4862),E4862*F4862,"")</f>
        <v>4.9018480000000002</v>
      </c>
      <c r="H4862" s="31"/>
      <c r="I4862" s="27"/>
      <c r="J4862" s="141">
        <v>0</v>
      </c>
    </row>
    <row r="4863" spans="1:10" ht="15.75" hidden="1" thickBot="1" x14ac:dyDescent="0.3">
      <c r="A4863" s="226"/>
      <c r="B4863" s="244"/>
      <c r="C4863" s="32"/>
      <c r="D4863" s="32"/>
      <c r="E4863" s="33"/>
      <c r="F4863" s="27" t="s">
        <v>523</v>
      </c>
      <c r="G4863" s="30"/>
      <c r="H4863" s="31"/>
      <c r="I4863" s="27"/>
      <c r="J4863" s="141">
        <v>0</v>
      </c>
    </row>
    <row r="4864" spans="1:10" ht="15.75" hidden="1" thickBot="1" x14ac:dyDescent="0.3">
      <c r="A4864" s="226"/>
      <c r="B4864" s="244"/>
      <c r="C4864" s="48" t="s">
        <v>3570</v>
      </c>
      <c r="D4864" s="32"/>
      <c r="E4864" s="33"/>
      <c r="F4864" s="27" t="s">
        <v>523</v>
      </c>
      <c r="G4864" s="30"/>
      <c r="H4864" s="31"/>
      <c r="I4864" s="27"/>
      <c r="J4864" s="141">
        <v>0</v>
      </c>
    </row>
    <row r="4865" spans="1:10" ht="15.75" hidden="1" thickBot="1" x14ac:dyDescent="0.3">
      <c r="A4865" s="226"/>
      <c r="B4865" s="244"/>
      <c r="C4865" s="48" t="s">
        <v>3562</v>
      </c>
      <c r="D4865" s="32"/>
      <c r="E4865" s="33"/>
      <c r="F4865" s="27" t="s">
        <v>523</v>
      </c>
      <c r="G4865" s="30"/>
      <c r="H4865" s="31"/>
      <c r="I4865" s="27"/>
      <c r="J4865" s="141">
        <v>0</v>
      </c>
    </row>
    <row r="4866" spans="1:10" ht="15.75" hidden="1" thickBot="1" x14ac:dyDescent="0.3">
      <c r="A4866" s="227"/>
      <c r="B4866" s="230"/>
      <c r="C4866" s="32"/>
      <c r="D4866" s="32"/>
      <c r="E4866" s="33"/>
      <c r="F4866" s="27" t="s">
        <v>523</v>
      </c>
      <c r="G4866" s="30" t="str">
        <f t="shared" ref="G4866:G4929" si="91">IF(ISNUMBER(F4866),E4866*F4866,"")</f>
        <v/>
      </c>
      <c r="H4866" s="31"/>
      <c r="I4866" s="27"/>
      <c r="J4866" s="141">
        <v>0</v>
      </c>
    </row>
    <row r="4867" spans="1:10" ht="15.75" hidden="1" thickBot="1" x14ac:dyDescent="0.3">
      <c r="A4867" s="225" t="s">
        <v>3414</v>
      </c>
      <c r="B4867" s="228" t="str">
        <f>INDEX(Orçamentária!A:B,MATCH(Composições!A4867,Orçamentária!A:A,0),2)</f>
        <v>Bacia convencional – Linha Residencial</v>
      </c>
      <c r="C4867" s="37"/>
      <c r="D4867" s="22" t="str">
        <f>TRIM(INDEX(Orçamentária!C:C,MATCH(Composições!A4867,Orçamentária!A:A,0),1))</f>
        <v>un</v>
      </c>
      <c r="E4867" s="23"/>
      <c r="F4867" s="38" t="s">
        <v>523</v>
      </c>
      <c r="G4867" s="24" t="str">
        <f t="shared" si="91"/>
        <v/>
      </c>
      <c r="H4867" s="25"/>
      <c r="I4867" s="26"/>
      <c r="J4867" s="141">
        <v>0</v>
      </c>
    </row>
    <row r="4868" spans="1:10" ht="15.75" hidden="1" thickBot="1" x14ac:dyDescent="0.3">
      <c r="A4868" s="226"/>
      <c r="B4868" s="244"/>
      <c r="C4868" s="28"/>
      <c r="D4868" s="28"/>
      <c r="E4868" s="29"/>
      <c r="F4868" s="39" t="s">
        <v>523</v>
      </c>
      <c r="G4868" s="27" t="str">
        <f t="shared" si="91"/>
        <v/>
      </c>
      <c r="H4868" s="31"/>
      <c r="I4868" s="27"/>
      <c r="J4868" s="141">
        <v>0</v>
      </c>
    </row>
    <row r="4869" spans="1:10" ht="26.25" hidden="1" thickBot="1" x14ac:dyDescent="0.3">
      <c r="A4869" s="226"/>
      <c r="B4869" s="244"/>
      <c r="C4869" s="32" t="s">
        <v>3575</v>
      </c>
      <c r="D4869" s="43" t="s">
        <v>280</v>
      </c>
      <c r="E4869" s="33">
        <v>1</v>
      </c>
      <c r="F4869" s="30" t="s">
        <v>523</v>
      </c>
      <c r="G4869" s="30" t="str">
        <f t="shared" si="91"/>
        <v/>
      </c>
      <c r="H4869" s="35">
        <f>SUM(G4869:G4875)</f>
        <v>78.95213545</v>
      </c>
      <c r="I4869" s="36"/>
      <c r="J4869" s="141">
        <v>0</v>
      </c>
    </row>
    <row r="4870" spans="1:10" ht="26.25" hidden="1" thickBot="1" x14ac:dyDescent="0.3">
      <c r="A4870" s="226"/>
      <c r="B4870" s="244"/>
      <c r="C4870" s="32" t="s">
        <v>303</v>
      </c>
      <c r="D4870" s="32" t="s">
        <v>20</v>
      </c>
      <c r="E4870" s="33">
        <v>1</v>
      </c>
      <c r="F4870" s="30" t="s">
        <v>523</v>
      </c>
      <c r="G4870" s="30" t="str">
        <f t="shared" si="91"/>
        <v/>
      </c>
      <c r="H4870" s="31"/>
      <c r="I4870" s="27"/>
      <c r="J4870" s="141">
        <v>0</v>
      </c>
    </row>
    <row r="4871" spans="1:10" ht="26.25" hidden="1" thickBot="1" x14ac:dyDescent="0.3">
      <c r="A4871" s="226"/>
      <c r="B4871" s="244"/>
      <c r="C4871" s="32" t="s">
        <v>330</v>
      </c>
      <c r="D4871" s="43" t="s">
        <v>280</v>
      </c>
      <c r="E4871" s="33">
        <v>2</v>
      </c>
      <c r="F4871" s="30">
        <v>20.728999999999999</v>
      </c>
      <c r="G4871" s="30">
        <f t="shared" si="91"/>
        <v>41.457999999999998</v>
      </c>
      <c r="H4871" s="31"/>
      <c r="I4871" s="27"/>
      <c r="J4871" s="141">
        <v>0</v>
      </c>
    </row>
    <row r="4872" spans="1:10" ht="26.25" hidden="1" thickBot="1" x14ac:dyDescent="0.3">
      <c r="A4872" s="226"/>
      <c r="B4872" s="244"/>
      <c r="C4872" s="32" t="s">
        <v>6627</v>
      </c>
      <c r="D4872" s="43" t="s">
        <v>20</v>
      </c>
      <c r="E4872" s="33">
        <v>1</v>
      </c>
      <c r="F4872" s="30">
        <v>13.2905</v>
      </c>
      <c r="G4872" s="50">
        <f t="shared" si="91"/>
        <v>13.2905</v>
      </c>
      <c r="H4872" s="31"/>
      <c r="I4872" s="27"/>
      <c r="J4872" s="141">
        <v>0</v>
      </c>
    </row>
    <row r="4873" spans="1:10" ht="15.75" hidden="1" thickBot="1" x14ac:dyDescent="0.3">
      <c r="A4873" s="226"/>
      <c r="B4873" s="244"/>
      <c r="C4873" s="32" t="s">
        <v>3539</v>
      </c>
      <c r="D4873" s="43" t="s">
        <v>42</v>
      </c>
      <c r="E4873" s="33">
        <v>8.8099999999999998E-2</v>
      </c>
      <c r="F4873" s="30">
        <v>64.619</v>
      </c>
      <c r="G4873" s="30">
        <f t="shared" si="91"/>
        <v>5.6929338999999999</v>
      </c>
      <c r="H4873" s="31"/>
      <c r="I4873" s="27"/>
      <c r="J4873" s="141">
        <v>0</v>
      </c>
    </row>
    <row r="4874" spans="1:10" ht="15.75" hidden="1" thickBot="1" x14ac:dyDescent="0.3">
      <c r="A4874" s="226"/>
      <c r="B4874" s="244"/>
      <c r="C4874" s="32" t="s">
        <v>39</v>
      </c>
      <c r="D4874" s="43" t="s">
        <v>12</v>
      </c>
      <c r="E4874" s="33">
        <v>0.49680000000000002</v>
      </c>
      <c r="F4874" s="27">
        <v>24.300999999999998</v>
      </c>
      <c r="G4874" s="30">
        <f t="shared" si="91"/>
        <v>12.072736799999999</v>
      </c>
      <c r="H4874" s="31"/>
      <c r="I4874" s="27"/>
      <c r="J4874" s="141">
        <v>0</v>
      </c>
    </row>
    <row r="4875" spans="1:10" ht="15.75" hidden="1" thickBot="1" x14ac:dyDescent="0.3">
      <c r="A4875" s="226"/>
      <c r="B4875" s="244"/>
      <c r="C4875" s="32" t="s">
        <v>23</v>
      </c>
      <c r="D4875" s="43" t="s">
        <v>12</v>
      </c>
      <c r="E4875" s="33">
        <v>0.34949999999999998</v>
      </c>
      <c r="F4875" s="27">
        <v>18.420500000000001</v>
      </c>
      <c r="G4875" s="30">
        <f t="shared" si="91"/>
        <v>6.4379647499999999</v>
      </c>
      <c r="H4875" s="31"/>
      <c r="I4875" s="27"/>
      <c r="J4875" s="141">
        <v>0</v>
      </c>
    </row>
    <row r="4876" spans="1:10" ht="15.75" hidden="1" thickBot="1" x14ac:dyDescent="0.3">
      <c r="A4876" s="227"/>
      <c r="B4876" s="230"/>
      <c r="C4876" s="32"/>
      <c r="D4876" s="32"/>
      <c r="E4876" s="33"/>
      <c r="F4876" s="27" t="s">
        <v>523</v>
      </c>
      <c r="G4876" s="27" t="str">
        <f t="shared" si="91"/>
        <v/>
      </c>
      <c r="H4876" s="31"/>
      <c r="I4876" s="27"/>
      <c r="J4876" s="141">
        <v>0</v>
      </c>
    </row>
    <row r="4877" spans="1:10" ht="15.75" hidden="1" thickBot="1" x14ac:dyDescent="0.3">
      <c r="A4877" s="225" t="s">
        <v>3415</v>
      </c>
      <c r="B4877" s="228" t="str">
        <f>INDEX(Orçamentária!A:B,MATCH(Composições!A4877,Orçamentária!A:A,0),2)</f>
        <v>Bidê 3 furos - Linha Residencial</v>
      </c>
      <c r="C4877" s="37"/>
      <c r="D4877" s="22" t="str">
        <f>TRIM(INDEX(Orçamentária!C:C,MATCH(Composições!A4877,Orçamentária!A:A,0),1))</f>
        <v>un</v>
      </c>
      <c r="E4877" s="23"/>
      <c r="F4877" s="38" t="s">
        <v>523</v>
      </c>
      <c r="G4877" s="24" t="str">
        <f t="shared" si="91"/>
        <v/>
      </c>
      <c r="H4877" s="25"/>
      <c r="I4877" s="26"/>
      <c r="J4877" s="141">
        <v>0</v>
      </c>
    </row>
    <row r="4878" spans="1:10" ht="15.75" hidden="1" thickBot="1" x14ac:dyDescent="0.3">
      <c r="A4878" s="226"/>
      <c r="B4878" s="244"/>
      <c r="C4878" s="28"/>
      <c r="D4878" s="28"/>
      <c r="E4878" s="29"/>
      <c r="F4878" s="39" t="s">
        <v>523</v>
      </c>
      <c r="G4878" s="27" t="str">
        <f t="shared" si="91"/>
        <v/>
      </c>
      <c r="H4878" s="31"/>
      <c r="I4878" s="27"/>
      <c r="J4878" s="141">
        <v>0</v>
      </c>
    </row>
    <row r="4879" spans="1:10" ht="15.75" hidden="1" thickBot="1" x14ac:dyDescent="0.3">
      <c r="A4879" s="226"/>
      <c r="B4879" s="244"/>
      <c r="C4879" s="32" t="s">
        <v>3573</v>
      </c>
      <c r="D4879" s="43" t="s">
        <v>280</v>
      </c>
      <c r="E4879" s="33">
        <v>1</v>
      </c>
      <c r="F4879" s="30" t="s">
        <v>523</v>
      </c>
      <c r="G4879" s="30" t="str">
        <f t="shared" si="91"/>
        <v/>
      </c>
      <c r="H4879" s="35">
        <f>SUM(G4879:G4884)</f>
        <v>78.95213545</v>
      </c>
      <c r="I4879" s="36"/>
      <c r="J4879" s="141">
        <v>0</v>
      </c>
    </row>
    <row r="4880" spans="1:10" ht="26.25" hidden="1" thickBot="1" x14ac:dyDescent="0.3">
      <c r="A4880" s="226"/>
      <c r="B4880" s="244"/>
      <c r="C4880" s="32" t="s">
        <v>6627</v>
      </c>
      <c r="D4880" s="43" t="s">
        <v>20</v>
      </c>
      <c r="E4880" s="33">
        <v>1</v>
      </c>
      <c r="F4880" s="30">
        <v>13.2905</v>
      </c>
      <c r="G4880" s="50">
        <f t="shared" si="91"/>
        <v>13.2905</v>
      </c>
      <c r="H4880" s="31"/>
      <c r="I4880" s="27"/>
      <c r="J4880" s="141">
        <v>0</v>
      </c>
    </row>
    <row r="4881" spans="1:10" ht="26.25" hidden="1" thickBot="1" x14ac:dyDescent="0.3">
      <c r="A4881" s="226"/>
      <c r="B4881" s="244"/>
      <c r="C4881" s="32" t="s">
        <v>330</v>
      </c>
      <c r="D4881" s="43" t="s">
        <v>280</v>
      </c>
      <c r="E4881" s="33">
        <v>2</v>
      </c>
      <c r="F4881" s="30">
        <v>20.728999999999999</v>
      </c>
      <c r="G4881" s="30">
        <f t="shared" si="91"/>
        <v>41.457999999999998</v>
      </c>
      <c r="H4881" s="31"/>
      <c r="I4881" s="27"/>
      <c r="J4881" s="141">
        <v>0</v>
      </c>
    </row>
    <row r="4882" spans="1:10" ht="15.75" hidden="1" thickBot="1" x14ac:dyDescent="0.3">
      <c r="A4882" s="226"/>
      <c r="B4882" s="244"/>
      <c r="C4882" s="32" t="s">
        <v>3539</v>
      </c>
      <c r="D4882" s="43" t="s">
        <v>42</v>
      </c>
      <c r="E4882" s="33">
        <v>8.8099999999999998E-2</v>
      </c>
      <c r="F4882" s="30">
        <v>64.619</v>
      </c>
      <c r="G4882" s="30">
        <f t="shared" si="91"/>
        <v>5.6929338999999999</v>
      </c>
      <c r="H4882" s="31"/>
      <c r="I4882" s="27"/>
      <c r="J4882" s="141">
        <v>0</v>
      </c>
    </row>
    <row r="4883" spans="1:10" ht="15.75" hidden="1" thickBot="1" x14ac:dyDescent="0.3">
      <c r="A4883" s="226"/>
      <c r="B4883" s="244"/>
      <c r="C4883" s="32" t="s">
        <v>39</v>
      </c>
      <c r="D4883" s="43" t="s">
        <v>12</v>
      </c>
      <c r="E4883" s="33">
        <v>0.49680000000000002</v>
      </c>
      <c r="F4883" s="27">
        <v>24.300999999999998</v>
      </c>
      <c r="G4883" s="30">
        <f t="shared" si="91"/>
        <v>12.072736799999999</v>
      </c>
      <c r="H4883" s="31"/>
      <c r="I4883" s="27"/>
      <c r="J4883" s="141">
        <v>0</v>
      </c>
    </row>
    <row r="4884" spans="1:10" ht="15.75" hidden="1" thickBot="1" x14ac:dyDescent="0.3">
      <c r="A4884" s="226"/>
      <c r="B4884" s="244"/>
      <c r="C4884" s="32" t="s">
        <v>23</v>
      </c>
      <c r="D4884" s="43" t="s">
        <v>12</v>
      </c>
      <c r="E4884" s="33">
        <v>0.34949999999999998</v>
      </c>
      <c r="F4884" s="27">
        <v>18.420500000000001</v>
      </c>
      <c r="G4884" s="30">
        <f t="shared" si="91"/>
        <v>6.4379647499999999</v>
      </c>
      <c r="H4884" s="31"/>
      <c r="I4884" s="27"/>
      <c r="J4884" s="141">
        <v>0</v>
      </c>
    </row>
    <row r="4885" spans="1:10" ht="15.75" hidden="1" thickBot="1" x14ac:dyDescent="0.3">
      <c r="A4885" s="227"/>
      <c r="B4885" s="230"/>
      <c r="C4885" s="32"/>
      <c r="D4885" s="32"/>
      <c r="E4885" s="33"/>
      <c r="F4885" s="27" t="s">
        <v>523</v>
      </c>
      <c r="G4885" s="27" t="str">
        <f t="shared" si="91"/>
        <v/>
      </c>
      <c r="H4885" s="31"/>
      <c r="I4885" s="27"/>
      <c r="J4885" s="141">
        <v>0</v>
      </c>
    </row>
    <row r="4886" spans="1:10" ht="15.75" hidden="1" thickBot="1" x14ac:dyDescent="0.3">
      <c r="A4886" s="225" t="s">
        <v>3418</v>
      </c>
      <c r="B4886" s="228" t="str">
        <f>INDEX(Orçamentária!A:B,MATCH(Composições!A4886,Orçamentária!A:A,0),2)</f>
        <v>Chuveiro de metal com tubo de parede – Linha Residencial</v>
      </c>
      <c r="C4886" s="37"/>
      <c r="D4886" s="22" t="str">
        <f>TRIM(INDEX(Orçamentária!C:C,MATCH(Composições!A4886,Orçamentária!A:A,0),1))</f>
        <v>un</v>
      </c>
      <c r="E4886" s="23"/>
      <c r="F4886" s="45" t="s">
        <v>523</v>
      </c>
      <c r="G4886" s="24" t="str">
        <f t="shared" si="91"/>
        <v/>
      </c>
      <c r="H4886" s="25"/>
      <c r="I4886" s="26"/>
      <c r="J4886" s="141">
        <v>0</v>
      </c>
    </row>
    <row r="4887" spans="1:10" ht="15.75" hidden="1" thickBot="1" x14ac:dyDescent="0.3">
      <c r="A4887" s="231"/>
      <c r="B4887" s="244"/>
      <c r="C4887" s="28"/>
      <c r="D4887" s="28"/>
      <c r="E4887" s="29"/>
      <c r="F4887" s="50" t="s">
        <v>523</v>
      </c>
      <c r="G4887" s="50" t="str">
        <f t="shared" si="91"/>
        <v/>
      </c>
      <c r="H4887" s="69"/>
      <c r="I4887" s="70"/>
      <c r="J4887" s="141">
        <v>0</v>
      </c>
    </row>
    <row r="4888" spans="1:10" ht="26.25" hidden="1" thickBot="1" x14ac:dyDescent="0.3">
      <c r="A4888" s="231"/>
      <c r="B4888" s="244"/>
      <c r="C4888" s="32" t="s">
        <v>3574</v>
      </c>
      <c r="D4888" s="32" t="s">
        <v>280</v>
      </c>
      <c r="E4888" s="33">
        <v>1</v>
      </c>
      <c r="F4888" s="50" t="s">
        <v>523</v>
      </c>
      <c r="G4888" s="50" t="str">
        <f t="shared" si="91"/>
        <v/>
      </c>
      <c r="H4888" s="35">
        <f>SUM(G4888:G4891)</f>
        <v>13.538791049999999</v>
      </c>
      <c r="I4888" s="36"/>
      <c r="J4888" s="141">
        <v>0</v>
      </c>
    </row>
    <row r="4889" spans="1:10" ht="15.75" hidden="1" thickBot="1" x14ac:dyDescent="0.3">
      <c r="A4889" s="231"/>
      <c r="B4889" s="244"/>
      <c r="C4889" s="32" t="s">
        <v>1071</v>
      </c>
      <c r="D4889" s="32" t="s">
        <v>280</v>
      </c>
      <c r="E4889" s="33">
        <v>2.1000000000000001E-2</v>
      </c>
      <c r="F4889" s="50">
        <v>4.3699999999999992</v>
      </c>
      <c r="G4889" s="50">
        <f t="shared" si="91"/>
        <v>9.176999999999999E-2</v>
      </c>
      <c r="H4889" s="69"/>
      <c r="I4889" s="70"/>
      <c r="J4889" s="141">
        <v>0</v>
      </c>
    </row>
    <row r="4890" spans="1:10" ht="26.25" hidden="1" thickBot="1" x14ac:dyDescent="0.3">
      <c r="A4890" s="231"/>
      <c r="B4890" s="244"/>
      <c r="C4890" s="32" t="s">
        <v>957</v>
      </c>
      <c r="D4890" s="32" t="s">
        <v>705</v>
      </c>
      <c r="E4890" s="33">
        <v>0.44669999999999999</v>
      </c>
      <c r="F4890" s="50">
        <v>24.300999999999998</v>
      </c>
      <c r="G4890" s="50">
        <f t="shared" si="91"/>
        <v>10.855256699999998</v>
      </c>
      <c r="H4890" s="69"/>
      <c r="I4890" s="70"/>
      <c r="J4890" s="141">
        <v>0</v>
      </c>
    </row>
    <row r="4891" spans="1:10" ht="15.75" hidden="1" thickBot="1" x14ac:dyDescent="0.3">
      <c r="A4891" s="231"/>
      <c r="B4891" s="244"/>
      <c r="C4891" s="32" t="s">
        <v>706</v>
      </c>
      <c r="D4891" s="32" t="s">
        <v>705</v>
      </c>
      <c r="E4891" s="33">
        <v>0.14069999999999999</v>
      </c>
      <c r="F4891" s="50">
        <v>18.420500000000001</v>
      </c>
      <c r="G4891" s="50">
        <f t="shared" si="91"/>
        <v>2.5917643500000001</v>
      </c>
      <c r="H4891" s="69"/>
      <c r="I4891" s="70"/>
      <c r="J4891" s="141">
        <v>0</v>
      </c>
    </row>
    <row r="4892" spans="1:10" ht="15.75" hidden="1" thickBot="1" x14ac:dyDescent="0.3">
      <c r="A4892" s="232"/>
      <c r="B4892" s="230"/>
      <c r="C4892" s="32"/>
      <c r="D4892" s="32"/>
      <c r="E4892" s="33"/>
      <c r="F4892" s="50" t="s">
        <v>523</v>
      </c>
      <c r="G4892" s="50" t="str">
        <f t="shared" si="91"/>
        <v/>
      </c>
      <c r="H4892" s="69"/>
      <c r="I4892" s="70"/>
      <c r="J4892" s="141">
        <v>0</v>
      </c>
    </row>
    <row r="4893" spans="1:10" ht="15.75" hidden="1" thickBot="1" x14ac:dyDescent="0.3">
      <c r="A4893" s="225" t="s">
        <v>3419</v>
      </c>
      <c r="B4893" s="228" t="str">
        <f>INDEX(Orçamentária!A:B,MATCH(Composições!A4893,Orçamentária!A:A,0),2)</f>
        <v>Misturador para bidê – Linha Residencial</v>
      </c>
      <c r="C4893" s="37"/>
      <c r="D4893" s="22" t="str">
        <f>TRIM(INDEX(Orçamentária!C:C,MATCH(Composições!A4893,Orçamentária!A:A,0),1))</f>
        <v>un</v>
      </c>
      <c r="E4893" s="23"/>
      <c r="F4893" s="45" t="s">
        <v>523</v>
      </c>
      <c r="G4893" s="24" t="str">
        <f t="shared" si="91"/>
        <v/>
      </c>
      <c r="H4893" s="25"/>
      <c r="I4893" s="26"/>
      <c r="J4893" s="141">
        <v>0</v>
      </c>
    </row>
    <row r="4894" spans="1:10" ht="15.75" hidden="1" thickBot="1" x14ac:dyDescent="0.3">
      <c r="A4894" s="231"/>
      <c r="B4894" s="244"/>
      <c r="C4894" s="28"/>
      <c r="D4894" s="28"/>
      <c r="E4894" s="29"/>
      <c r="F4894" s="50" t="s">
        <v>523</v>
      </c>
      <c r="G4894" s="50" t="str">
        <f t="shared" si="91"/>
        <v/>
      </c>
      <c r="H4894" s="69"/>
      <c r="I4894" s="70"/>
      <c r="J4894" s="141">
        <v>0</v>
      </c>
    </row>
    <row r="4895" spans="1:10" ht="15.75" hidden="1" thickBot="1" x14ac:dyDescent="0.3">
      <c r="A4895" s="231"/>
      <c r="B4895" s="244"/>
      <c r="C4895" s="32" t="s">
        <v>1071</v>
      </c>
      <c r="D4895" s="32" t="s">
        <v>280</v>
      </c>
      <c r="E4895" s="33">
        <v>4.2000000000000003E-2</v>
      </c>
      <c r="F4895" s="50">
        <v>4.3699999999999992</v>
      </c>
      <c r="G4895" s="50">
        <f t="shared" si="91"/>
        <v>0.18353999999999998</v>
      </c>
      <c r="H4895" s="35">
        <f>SUM(G4895:G4898)</f>
        <v>14.131586299999999</v>
      </c>
      <c r="I4895" s="36"/>
      <c r="J4895" s="141">
        <v>0</v>
      </c>
    </row>
    <row r="4896" spans="1:10" ht="15.75" hidden="1" thickBot="1" x14ac:dyDescent="0.3">
      <c r="A4896" s="231"/>
      <c r="B4896" s="244"/>
      <c r="C4896" s="32" t="s">
        <v>3572</v>
      </c>
      <c r="D4896" s="32" t="s">
        <v>280</v>
      </c>
      <c r="E4896" s="33">
        <v>1</v>
      </c>
      <c r="F4896" s="50" t="s">
        <v>523</v>
      </c>
      <c r="G4896" s="50" t="str">
        <f t="shared" si="91"/>
        <v/>
      </c>
      <c r="H4896" s="69"/>
      <c r="I4896" s="70"/>
      <c r="J4896" s="141">
        <v>0</v>
      </c>
    </row>
    <row r="4897" spans="1:10" ht="26.25" hidden="1" thickBot="1" x14ac:dyDescent="0.3">
      <c r="A4897" s="231"/>
      <c r="B4897" s="244"/>
      <c r="C4897" s="32" t="s">
        <v>957</v>
      </c>
      <c r="D4897" s="32" t="s">
        <v>705</v>
      </c>
      <c r="E4897" s="33">
        <v>0.46329999999999999</v>
      </c>
      <c r="F4897" s="50">
        <v>24.300999999999998</v>
      </c>
      <c r="G4897" s="50">
        <f t="shared" si="91"/>
        <v>11.258653299999999</v>
      </c>
      <c r="H4897" s="69"/>
      <c r="I4897" s="70"/>
      <c r="J4897" s="141">
        <v>0</v>
      </c>
    </row>
    <row r="4898" spans="1:10" ht="15.75" hidden="1" thickBot="1" x14ac:dyDescent="0.3">
      <c r="A4898" s="231"/>
      <c r="B4898" s="244"/>
      <c r="C4898" s="32" t="s">
        <v>706</v>
      </c>
      <c r="D4898" s="32" t="s">
        <v>705</v>
      </c>
      <c r="E4898" s="33">
        <v>0.14599999999999999</v>
      </c>
      <c r="F4898" s="50">
        <v>18.420500000000001</v>
      </c>
      <c r="G4898" s="50">
        <f t="shared" si="91"/>
        <v>2.6893929999999999</v>
      </c>
      <c r="H4898" s="69"/>
      <c r="I4898" s="70"/>
      <c r="J4898" s="141">
        <v>0</v>
      </c>
    </row>
    <row r="4899" spans="1:10" ht="15.75" hidden="1" thickBot="1" x14ac:dyDescent="0.3">
      <c r="A4899" s="232"/>
      <c r="B4899" s="230"/>
      <c r="C4899" s="32"/>
      <c r="D4899" s="32"/>
      <c r="E4899" s="33"/>
      <c r="F4899" s="50" t="s">
        <v>523</v>
      </c>
      <c r="G4899" s="50" t="str">
        <f t="shared" si="91"/>
        <v/>
      </c>
      <c r="H4899" s="69"/>
      <c r="I4899" s="70"/>
      <c r="J4899" s="141">
        <v>0</v>
      </c>
    </row>
    <row r="4900" spans="1:10" ht="15.75" hidden="1" thickBot="1" x14ac:dyDescent="0.3">
      <c r="A4900" s="225" t="s">
        <v>3420</v>
      </c>
      <c r="B4900" s="228" t="str">
        <f>INDEX(Orçamentária!A:B,MATCH(Composições!A4900,Orçamentária!A:A,0),2)</f>
        <v>Misturador de mesa para cozinha bica móvel – Linha Residencial</v>
      </c>
      <c r="C4900" s="37"/>
      <c r="D4900" s="22" t="str">
        <f>TRIM(INDEX(Orçamentária!C:C,MATCH(Composições!A4900,Orçamentária!A:A,0),1))</f>
        <v>un</v>
      </c>
      <c r="E4900" s="23"/>
      <c r="F4900" s="45" t="s">
        <v>523</v>
      </c>
      <c r="G4900" s="24" t="str">
        <f t="shared" si="91"/>
        <v/>
      </c>
      <c r="H4900" s="25"/>
      <c r="I4900" s="26"/>
      <c r="J4900" s="141">
        <v>0</v>
      </c>
    </row>
    <row r="4901" spans="1:10" ht="15.75" hidden="1" thickBot="1" x14ac:dyDescent="0.3">
      <c r="A4901" s="231"/>
      <c r="B4901" s="244"/>
      <c r="C4901" s="28"/>
      <c r="D4901" s="28"/>
      <c r="E4901" s="29"/>
      <c r="F4901" s="50" t="s">
        <v>523</v>
      </c>
      <c r="G4901" s="50" t="str">
        <f t="shared" si="91"/>
        <v/>
      </c>
      <c r="H4901" s="69"/>
      <c r="I4901" s="70"/>
      <c r="J4901" s="141">
        <v>0</v>
      </c>
    </row>
    <row r="4902" spans="1:10" ht="15.75" hidden="1" thickBot="1" x14ac:dyDescent="0.3">
      <c r="A4902" s="231"/>
      <c r="B4902" s="244"/>
      <c r="C4902" s="32" t="s">
        <v>1071</v>
      </c>
      <c r="D4902" s="32" t="s">
        <v>280</v>
      </c>
      <c r="E4902" s="33">
        <v>4.2000000000000003E-2</v>
      </c>
      <c r="F4902" s="50">
        <v>4.3699999999999992</v>
      </c>
      <c r="G4902" s="50">
        <f t="shared" si="91"/>
        <v>0.18353999999999998</v>
      </c>
      <c r="H4902" s="35">
        <f>SUM(G4902:G4905)</f>
        <v>7.0053702999999992</v>
      </c>
      <c r="I4902" s="36"/>
      <c r="J4902" s="141">
        <v>0</v>
      </c>
    </row>
    <row r="4903" spans="1:10" ht="26.25" hidden="1" thickBot="1" x14ac:dyDescent="0.3">
      <c r="A4903" s="231"/>
      <c r="B4903" s="244"/>
      <c r="C4903" s="32" t="s">
        <v>3571</v>
      </c>
      <c r="D4903" s="32" t="s">
        <v>280</v>
      </c>
      <c r="E4903" s="33">
        <v>1</v>
      </c>
      <c r="F4903" s="50" t="s">
        <v>523</v>
      </c>
      <c r="G4903" s="50" t="str">
        <f t="shared" si="91"/>
        <v/>
      </c>
      <c r="H4903" s="69"/>
      <c r="I4903" s="70"/>
      <c r="J4903" s="141">
        <v>0</v>
      </c>
    </row>
    <row r="4904" spans="1:10" ht="26.25" hidden="1" thickBot="1" x14ac:dyDescent="0.3">
      <c r="A4904" s="231"/>
      <c r="B4904" s="244"/>
      <c r="C4904" s="32" t="s">
        <v>957</v>
      </c>
      <c r="D4904" s="32" t="s">
        <v>705</v>
      </c>
      <c r="E4904" s="33">
        <v>0.2266</v>
      </c>
      <c r="F4904" s="50">
        <v>24.300999999999998</v>
      </c>
      <c r="G4904" s="50">
        <f t="shared" si="91"/>
        <v>5.5066065999999996</v>
      </c>
      <c r="H4904" s="69"/>
      <c r="I4904" s="70"/>
      <c r="J4904" s="141">
        <v>0</v>
      </c>
    </row>
    <row r="4905" spans="1:10" ht="15.75" hidden="1" thickBot="1" x14ac:dyDescent="0.3">
      <c r="A4905" s="231"/>
      <c r="B4905" s="244"/>
      <c r="C4905" s="32" t="s">
        <v>706</v>
      </c>
      <c r="D4905" s="32" t="s">
        <v>705</v>
      </c>
      <c r="E4905" s="33">
        <v>7.1400000000000005E-2</v>
      </c>
      <c r="F4905" s="50">
        <v>18.420500000000001</v>
      </c>
      <c r="G4905" s="50">
        <f t="shared" si="91"/>
        <v>1.3152237000000002</v>
      </c>
      <c r="H4905" s="69"/>
      <c r="I4905" s="70"/>
      <c r="J4905" s="141">
        <v>0</v>
      </c>
    </row>
    <row r="4906" spans="1:10" ht="15.75" hidden="1" thickBot="1" x14ac:dyDescent="0.3">
      <c r="A4906" s="232"/>
      <c r="B4906" s="230"/>
      <c r="C4906" s="32"/>
      <c r="D4906" s="32"/>
      <c r="E4906" s="33"/>
      <c r="F4906" s="50" t="s">
        <v>523</v>
      </c>
      <c r="G4906" s="50" t="str">
        <f t="shared" si="91"/>
        <v/>
      </c>
      <c r="H4906" s="69"/>
      <c r="I4906" s="70"/>
      <c r="J4906" s="141">
        <v>0</v>
      </c>
    </row>
    <row r="4907" spans="1:10" ht="15.75" hidden="1" thickBot="1" x14ac:dyDescent="0.3">
      <c r="A4907" s="225" t="s">
        <v>3421</v>
      </c>
      <c r="B4907" s="228" t="str">
        <f>INDEX(Orçamentária!A:B,MATCH(Composições!A4907,Orçamentária!A:A,0),2)</f>
        <v>Misturador de mesa para lavatório bica alta – Linha Residencial</v>
      </c>
      <c r="C4907" s="37"/>
      <c r="D4907" s="22" t="str">
        <f>TRIM(INDEX(Orçamentária!C:C,MATCH(Composições!A4907,Orçamentária!A:A,0),1))</f>
        <v>un</v>
      </c>
      <c r="E4907" s="23"/>
      <c r="F4907" s="45" t="s">
        <v>523</v>
      </c>
      <c r="G4907" s="24" t="str">
        <f t="shared" si="91"/>
        <v/>
      </c>
      <c r="H4907" s="25"/>
      <c r="I4907" s="26"/>
      <c r="J4907" s="141">
        <v>0</v>
      </c>
    </row>
    <row r="4908" spans="1:10" ht="15.75" hidden="1" thickBot="1" x14ac:dyDescent="0.3">
      <c r="A4908" s="231"/>
      <c r="B4908" s="244"/>
      <c r="C4908" s="28"/>
      <c r="D4908" s="28"/>
      <c r="E4908" s="29"/>
      <c r="F4908" s="50" t="s">
        <v>523</v>
      </c>
      <c r="G4908" s="50" t="str">
        <f t="shared" si="91"/>
        <v/>
      </c>
      <c r="H4908" s="69"/>
      <c r="I4908" s="70"/>
      <c r="J4908" s="141">
        <v>0</v>
      </c>
    </row>
    <row r="4909" spans="1:10" ht="15.75" hidden="1" thickBot="1" x14ac:dyDescent="0.3">
      <c r="A4909" s="231"/>
      <c r="B4909" s="244"/>
      <c r="C4909" s="32" t="s">
        <v>1071</v>
      </c>
      <c r="D4909" s="32" t="s">
        <v>280</v>
      </c>
      <c r="E4909" s="33">
        <v>4.2000000000000003E-2</v>
      </c>
      <c r="F4909" s="50">
        <v>4.3699999999999992</v>
      </c>
      <c r="G4909" s="50">
        <f t="shared" si="91"/>
        <v>0.18353999999999998</v>
      </c>
      <c r="H4909" s="35">
        <f>SUM(G4909:G4912)</f>
        <v>14.131586299999999</v>
      </c>
      <c r="I4909" s="36"/>
      <c r="J4909" s="141">
        <v>0</v>
      </c>
    </row>
    <row r="4910" spans="1:10" ht="26.25" hidden="1" thickBot="1" x14ac:dyDescent="0.3">
      <c r="A4910" s="231"/>
      <c r="B4910" s="244"/>
      <c r="C4910" s="32" t="s">
        <v>3576</v>
      </c>
      <c r="D4910" s="32" t="s">
        <v>280</v>
      </c>
      <c r="E4910" s="33">
        <v>1</v>
      </c>
      <c r="F4910" s="50" t="s">
        <v>523</v>
      </c>
      <c r="G4910" s="50" t="str">
        <f t="shared" si="91"/>
        <v/>
      </c>
      <c r="H4910" s="69"/>
      <c r="I4910" s="70"/>
      <c r="J4910" s="141">
        <v>0</v>
      </c>
    </row>
    <row r="4911" spans="1:10" ht="26.25" hidden="1" thickBot="1" x14ac:dyDescent="0.3">
      <c r="A4911" s="231"/>
      <c r="B4911" s="244"/>
      <c r="C4911" s="32" t="s">
        <v>957</v>
      </c>
      <c r="D4911" s="32" t="s">
        <v>705</v>
      </c>
      <c r="E4911" s="33">
        <v>0.46329999999999999</v>
      </c>
      <c r="F4911" s="50">
        <v>24.300999999999998</v>
      </c>
      <c r="G4911" s="50">
        <f t="shared" si="91"/>
        <v>11.258653299999999</v>
      </c>
      <c r="H4911" s="69"/>
      <c r="I4911" s="70"/>
      <c r="J4911" s="141">
        <v>0</v>
      </c>
    </row>
    <row r="4912" spans="1:10" ht="15.75" hidden="1" thickBot="1" x14ac:dyDescent="0.3">
      <c r="A4912" s="231"/>
      <c r="B4912" s="244"/>
      <c r="C4912" s="32" t="s">
        <v>706</v>
      </c>
      <c r="D4912" s="32" t="s">
        <v>705</v>
      </c>
      <c r="E4912" s="33">
        <v>0.14599999999999999</v>
      </c>
      <c r="F4912" s="50">
        <v>18.420500000000001</v>
      </c>
      <c r="G4912" s="50">
        <f t="shared" si="91"/>
        <v>2.6893929999999999</v>
      </c>
      <c r="H4912" s="69"/>
      <c r="I4912" s="70"/>
      <c r="J4912" s="141">
        <v>0</v>
      </c>
    </row>
    <row r="4913" spans="1:10" ht="15.75" hidden="1" thickBot="1" x14ac:dyDescent="0.3">
      <c r="A4913" s="232"/>
      <c r="B4913" s="230"/>
      <c r="C4913" s="32"/>
      <c r="D4913" s="32"/>
      <c r="E4913" s="33"/>
      <c r="F4913" s="50" t="s">
        <v>523</v>
      </c>
      <c r="G4913" s="50" t="str">
        <f t="shared" si="91"/>
        <v/>
      </c>
      <c r="H4913" s="69"/>
      <c r="I4913" s="70"/>
      <c r="J4913" s="141">
        <v>0</v>
      </c>
    </row>
    <row r="4914" spans="1:10" ht="15.75" hidden="1" thickBot="1" x14ac:dyDescent="0.3">
      <c r="A4914" s="225" t="s">
        <v>3422</v>
      </c>
      <c r="B4914" s="228" t="str">
        <f>INDEX(Orçamentária!A:B,MATCH(Composições!A4914,Orçamentária!A:A,0),2)</f>
        <v>Misturador de parede para cozinha bica móvel – Linha Residencial</v>
      </c>
      <c r="C4914" s="37"/>
      <c r="D4914" s="22" t="str">
        <f>TRIM(INDEX(Orçamentária!C:C,MATCH(Composições!A4914,Orçamentária!A:A,0),1))</f>
        <v>un</v>
      </c>
      <c r="E4914" s="23"/>
      <c r="F4914" s="45" t="s">
        <v>523</v>
      </c>
      <c r="G4914" s="24" t="str">
        <f t="shared" si="91"/>
        <v/>
      </c>
      <c r="H4914" s="25"/>
      <c r="I4914" s="26"/>
      <c r="J4914" s="141">
        <v>0</v>
      </c>
    </row>
    <row r="4915" spans="1:10" ht="15.75" hidden="1" thickBot="1" x14ac:dyDescent="0.3">
      <c r="A4915" s="231"/>
      <c r="B4915" s="244"/>
      <c r="C4915" s="28"/>
      <c r="D4915" s="28"/>
      <c r="E4915" s="29"/>
      <c r="F4915" s="50" t="s">
        <v>523</v>
      </c>
      <c r="G4915" s="50" t="str">
        <f t="shared" si="91"/>
        <v/>
      </c>
      <c r="H4915" s="69"/>
      <c r="I4915" s="70"/>
      <c r="J4915" s="141">
        <v>0</v>
      </c>
    </row>
    <row r="4916" spans="1:10" ht="15.75" hidden="1" thickBot="1" x14ac:dyDescent="0.3">
      <c r="A4916" s="231"/>
      <c r="B4916" s="244"/>
      <c r="C4916" s="32" t="s">
        <v>1071</v>
      </c>
      <c r="D4916" s="32" t="s">
        <v>280</v>
      </c>
      <c r="E4916" s="33">
        <v>4.2000000000000003E-2</v>
      </c>
      <c r="F4916" s="50">
        <v>4.3699999999999992</v>
      </c>
      <c r="G4916" s="50">
        <f t="shared" si="91"/>
        <v>0.18353999999999998</v>
      </c>
      <c r="H4916" s="35">
        <f>SUM(G4916:G4919)</f>
        <v>7.0053702999999992</v>
      </c>
      <c r="I4916" s="36"/>
      <c r="J4916" s="141">
        <v>0</v>
      </c>
    </row>
    <row r="4917" spans="1:10" ht="26.25" hidden="1" thickBot="1" x14ac:dyDescent="0.3">
      <c r="A4917" s="231"/>
      <c r="B4917" s="244"/>
      <c r="C4917" s="32" t="s">
        <v>3577</v>
      </c>
      <c r="D4917" s="32" t="s">
        <v>280</v>
      </c>
      <c r="E4917" s="33">
        <v>1</v>
      </c>
      <c r="F4917" s="50" t="s">
        <v>523</v>
      </c>
      <c r="G4917" s="50" t="str">
        <f t="shared" si="91"/>
        <v/>
      </c>
      <c r="H4917" s="69"/>
      <c r="I4917" s="70"/>
      <c r="J4917" s="141">
        <v>0</v>
      </c>
    </row>
    <row r="4918" spans="1:10" ht="26.25" hidden="1" thickBot="1" x14ac:dyDescent="0.3">
      <c r="A4918" s="231"/>
      <c r="B4918" s="244"/>
      <c r="C4918" s="32" t="s">
        <v>957</v>
      </c>
      <c r="D4918" s="32" t="s">
        <v>705</v>
      </c>
      <c r="E4918" s="33">
        <v>0.2266</v>
      </c>
      <c r="F4918" s="50">
        <v>24.300999999999998</v>
      </c>
      <c r="G4918" s="50">
        <f t="shared" si="91"/>
        <v>5.5066065999999996</v>
      </c>
      <c r="H4918" s="69"/>
      <c r="I4918" s="70"/>
      <c r="J4918" s="141">
        <v>0</v>
      </c>
    </row>
    <row r="4919" spans="1:10" ht="15.75" hidden="1" thickBot="1" x14ac:dyDescent="0.3">
      <c r="A4919" s="231"/>
      <c r="B4919" s="244"/>
      <c r="C4919" s="32" t="s">
        <v>706</v>
      </c>
      <c r="D4919" s="32" t="s">
        <v>705</v>
      </c>
      <c r="E4919" s="33">
        <v>7.1400000000000005E-2</v>
      </c>
      <c r="F4919" s="50">
        <v>18.420500000000001</v>
      </c>
      <c r="G4919" s="50">
        <f t="shared" si="91"/>
        <v>1.3152237000000002</v>
      </c>
      <c r="H4919" s="69"/>
      <c r="I4919" s="70"/>
      <c r="J4919" s="141">
        <v>0</v>
      </c>
    </row>
    <row r="4920" spans="1:10" ht="15.75" hidden="1" thickBot="1" x14ac:dyDescent="0.3">
      <c r="A4920" s="232"/>
      <c r="B4920" s="230"/>
      <c r="C4920" s="32"/>
      <c r="D4920" s="32"/>
      <c r="E4920" s="33"/>
      <c r="F4920" s="50" t="s">
        <v>523</v>
      </c>
      <c r="G4920" s="50" t="str">
        <f t="shared" si="91"/>
        <v/>
      </c>
      <c r="H4920" s="69"/>
      <c r="I4920" s="70"/>
      <c r="J4920" s="141">
        <v>0</v>
      </c>
    </row>
    <row r="4921" spans="1:10" ht="15.75" hidden="1" thickBot="1" x14ac:dyDescent="0.3">
      <c r="A4921" s="225" t="s">
        <v>3423</v>
      </c>
      <c r="B4921" s="228" t="str">
        <f>INDEX(Orçamentária!A:B,MATCH(Composições!A4921,Orçamentária!A:A,0),2)</f>
        <v>Dobradiça automática vidro/vidro para box de vidro temperado</v>
      </c>
      <c r="C4921" s="37"/>
      <c r="D4921" s="22" t="str">
        <f>TRIM(INDEX(Orçamentária!C:C,MATCH(Composições!A4921,Orçamentária!A:A,0),1))</f>
        <v>un</v>
      </c>
      <c r="E4921" s="23"/>
      <c r="F4921" s="38" t="s">
        <v>523</v>
      </c>
      <c r="G4921" s="24" t="str">
        <f t="shared" si="91"/>
        <v/>
      </c>
      <c r="H4921" s="25"/>
      <c r="I4921" s="26"/>
      <c r="J4921" s="141">
        <v>0</v>
      </c>
    </row>
    <row r="4922" spans="1:10" ht="15.75" hidden="1" thickBot="1" x14ac:dyDescent="0.3">
      <c r="A4922" s="226"/>
      <c r="B4922" s="244"/>
      <c r="C4922" s="28"/>
      <c r="D4922" s="28"/>
      <c r="E4922" s="29"/>
      <c r="F4922" s="39" t="s">
        <v>523</v>
      </c>
      <c r="G4922" s="30" t="str">
        <f t="shared" si="91"/>
        <v/>
      </c>
      <c r="H4922" s="31"/>
      <c r="I4922" s="27"/>
      <c r="J4922" s="141">
        <v>0</v>
      </c>
    </row>
    <row r="4923" spans="1:10" ht="15.75" hidden="1" thickBot="1" x14ac:dyDescent="0.3">
      <c r="A4923" s="226"/>
      <c r="B4923" s="244"/>
      <c r="C4923" s="32" t="s">
        <v>68</v>
      </c>
      <c r="D4923" s="32" t="s">
        <v>12</v>
      </c>
      <c r="E4923" s="33">
        <v>0.3</v>
      </c>
      <c r="F4923" s="30">
        <v>22.961500000000001</v>
      </c>
      <c r="G4923" s="30">
        <f t="shared" si="91"/>
        <v>6.8884499999999997</v>
      </c>
      <c r="H4923" s="35">
        <f>SUM(G4923:G4924)</f>
        <v>6.8884499999999997</v>
      </c>
      <c r="I4923" s="36"/>
      <c r="J4923" s="141">
        <v>0</v>
      </c>
    </row>
    <row r="4924" spans="1:10" ht="26.25" hidden="1" thickBot="1" x14ac:dyDescent="0.3">
      <c r="A4924" s="226"/>
      <c r="B4924" s="244"/>
      <c r="C4924" s="32" t="s">
        <v>3578</v>
      </c>
      <c r="D4924" s="43" t="s">
        <v>20</v>
      </c>
      <c r="E4924" s="33">
        <v>1</v>
      </c>
      <c r="F4924" s="27" t="s">
        <v>523</v>
      </c>
      <c r="G4924" s="30" t="str">
        <f t="shared" si="91"/>
        <v/>
      </c>
      <c r="H4924" s="31"/>
      <c r="I4924" s="27"/>
      <c r="J4924" s="141">
        <v>0</v>
      </c>
    </row>
    <row r="4925" spans="1:10" ht="15.75" hidden="1" thickBot="1" x14ac:dyDescent="0.3">
      <c r="A4925" s="227"/>
      <c r="B4925" s="230"/>
      <c r="C4925" s="32"/>
      <c r="D4925" s="32"/>
      <c r="E4925" s="33"/>
      <c r="F4925" s="27" t="s">
        <v>523</v>
      </c>
      <c r="G4925" s="30" t="str">
        <f t="shared" si="91"/>
        <v/>
      </c>
      <c r="H4925" s="31"/>
      <c r="I4925" s="27"/>
      <c r="J4925" s="141">
        <v>0</v>
      </c>
    </row>
    <row r="4926" spans="1:10" ht="15.75" hidden="1" thickBot="1" x14ac:dyDescent="0.3">
      <c r="A4926" s="225" t="s">
        <v>3424</v>
      </c>
      <c r="B4926" s="228" t="str">
        <f>INDEX(Orçamentária!A:B,MATCH(Composições!A4926,Orçamentária!A:A,0),2)</f>
        <v>Luminária tipo arandela – Linha Residencial</v>
      </c>
      <c r="C4926" s="37"/>
      <c r="D4926" s="22" t="str">
        <f>TRIM(INDEX(Orçamentária!C:C,MATCH(Composições!A4926,Orçamentária!A:A,0),1))</f>
        <v>un</v>
      </c>
      <c r="E4926" s="23"/>
      <c r="F4926" s="38" t="s">
        <v>523</v>
      </c>
      <c r="G4926" s="24" t="str">
        <f t="shared" si="91"/>
        <v/>
      </c>
      <c r="H4926" s="25"/>
      <c r="I4926" s="26"/>
      <c r="J4926" s="141">
        <v>0</v>
      </c>
    </row>
    <row r="4927" spans="1:10" ht="15.75" hidden="1" thickBot="1" x14ac:dyDescent="0.3">
      <c r="A4927" s="226"/>
      <c r="B4927" s="244"/>
      <c r="C4927" s="28"/>
      <c r="D4927" s="28"/>
      <c r="E4927" s="29"/>
      <c r="F4927" s="39" t="s">
        <v>523</v>
      </c>
      <c r="G4927" s="27" t="str">
        <f t="shared" si="91"/>
        <v/>
      </c>
      <c r="H4927" s="31"/>
      <c r="I4927" s="27"/>
      <c r="J4927" s="141">
        <v>0</v>
      </c>
    </row>
    <row r="4928" spans="1:10" ht="26.25" hidden="1" thickBot="1" x14ac:dyDescent="0.3">
      <c r="A4928" s="226"/>
      <c r="B4928" s="244"/>
      <c r="C4928" s="32" t="s">
        <v>3580</v>
      </c>
      <c r="D4928" s="32" t="s">
        <v>144</v>
      </c>
      <c r="E4928" s="33">
        <v>1</v>
      </c>
      <c r="F4928" s="30" t="s">
        <v>523</v>
      </c>
      <c r="G4928" s="30" t="str">
        <f t="shared" si="91"/>
        <v/>
      </c>
      <c r="H4928" s="35">
        <f>SUM(G4928:G4931)</f>
        <v>15.726679999999998</v>
      </c>
      <c r="I4928" s="36"/>
      <c r="J4928" s="141">
        <v>0</v>
      </c>
    </row>
    <row r="4929" spans="1:10" ht="26.25" hidden="1" thickBot="1" x14ac:dyDescent="0.3">
      <c r="A4929" s="226"/>
      <c r="B4929" s="244"/>
      <c r="C4929" s="32" t="s">
        <v>3579</v>
      </c>
      <c r="D4929" s="32" t="s">
        <v>144</v>
      </c>
      <c r="E4929" s="33">
        <v>1</v>
      </c>
      <c r="F4929" s="30" t="s">
        <v>523</v>
      </c>
      <c r="G4929" s="30" t="str">
        <f t="shared" si="91"/>
        <v/>
      </c>
      <c r="H4929" s="41"/>
      <c r="I4929" s="42"/>
      <c r="J4929" s="141">
        <v>0</v>
      </c>
    </row>
    <row r="4930" spans="1:10" ht="15.75" hidden="1" thickBot="1" x14ac:dyDescent="0.3">
      <c r="A4930" s="226"/>
      <c r="B4930" s="244"/>
      <c r="C4930" s="32" t="s">
        <v>74</v>
      </c>
      <c r="D4930" s="43" t="s">
        <v>12</v>
      </c>
      <c r="E4930" s="33">
        <v>0.19719999999999999</v>
      </c>
      <c r="F4930" s="27">
        <v>19.4085</v>
      </c>
      <c r="G4930" s="27">
        <f t="shared" ref="G4930:G4993" si="92">IF(ISNUMBER(F4930),E4930*F4930,"")</f>
        <v>3.8273561999999997</v>
      </c>
      <c r="H4930" s="31"/>
      <c r="I4930" s="27"/>
      <c r="J4930" s="141">
        <v>0</v>
      </c>
    </row>
    <row r="4931" spans="1:10" ht="15.75" hidden="1" thickBot="1" x14ac:dyDescent="0.3">
      <c r="A4931" s="226"/>
      <c r="B4931" s="244"/>
      <c r="C4931" s="32" t="s">
        <v>30</v>
      </c>
      <c r="D4931" s="32" t="s">
        <v>12</v>
      </c>
      <c r="E4931" s="33">
        <v>0.47320000000000001</v>
      </c>
      <c r="F4931" s="27">
        <v>25.146499999999996</v>
      </c>
      <c r="G4931" s="27">
        <f t="shared" si="92"/>
        <v>11.899323799999998</v>
      </c>
      <c r="H4931" s="31"/>
      <c r="I4931" s="27"/>
      <c r="J4931" s="141">
        <v>0</v>
      </c>
    </row>
    <row r="4932" spans="1:10" ht="15.75" hidden="1" thickBot="1" x14ac:dyDescent="0.3">
      <c r="A4932" s="227"/>
      <c r="B4932" s="230"/>
      <c r="C4932" s="32"/>
      <c r="D4932" s="32"/>
      <c r="E4932" s="33"/>
      <c r="F4932" s="27" t="s">
        <v>523</v>
      </c>
      <c r="G4932" s="27" t="str">
        <f t="shared" si="92"/>
        <v/>
      </c>
      <c r="H4932" s="31"/>
      <c r="I4932" s="27"/>
      <c r="J4932" s="141">
        <v>0</v>
      </c>
    </row>
    <row r="4933" spans="1:10" ht="15.75" hidden="1" thickBot="1" x14ac:dyDescent="0.3">
      <c r="A4933" s="225" t="s">
        <v>3425</v>
      </c>
      <c r="B4933" s="228" t="str">
        <f>INDEX(Orçamentária!A:B,MATCH(Composições!A4933,Orçamentária!A:A,0),2)</f>
        <v>Tê misturador de transição 1/2” ou 3/4” – Linha Residencial</v>
      </c>
      <c r="C4933" s="37"/>
      <c r="D4933" s="22" t="str">
        <f>TRIM(INDEX(Orçamentária!C:C,MATCH(Composições!A4933,Orçamentária!A:A,0),1))</f>
        <v>un</v>
      </c>
      <c r="E4933" s="23"/>
      <c r="F4933" s="38" t="s">
        <v>523</v>
      </c>
      <c r="G4933" s="24" t="str">
        <f t="shared" si="92"/>
        <v/>
      </c>
      <c r="H4933" s="25"/>
      <c r="I4933" s="26"/>
      <c r="J4933" s="141">
        <v>0</v>
      </c>
    </row>
    <row r="4934" spans="1:10" ht="15.75" hidden="1" thickBot="1" x14ac:dyDescent="0.3">
      <c r="A4934" s="226"/>
      <c r="B4934" s="244"/>
      <c r="C4934" s="28"/>
      <c r="D4934" s="28"/>
      <c r="E4934" s="29"/>
      <c r="F4934" s="39" t="s">
        <v>523</v>
      </c>
      <c r="G4934" s="27" t="str">
        <f t="shared" si="92"/>
        <v/>
      </c>
      <c r="H4934" s="31"/>
      <c r="I4934" s="27"/>
      <c r="J4934" s="141">
        <v>0</v>
      </c>
    </row>
    <row r="4935" spans="1:10" ht="15.75" hidden="1" thickBot="1" x14ac:dyDescent="0.3">
      <c r="A4935" s="226"/>
      <c r="B4935" s="244"/>
      <c r="C4935" s="32" t="s">
        <v>3253</v>
      </c>
      <c r="D4935" s="32" t="s">
        <v>280</v>
      </c>
      <c r="E4935" s="33">
        <v>1.2E-2</v>
      </c>
      <c r="F4935" s="30">
        <v>33.6965</v>
      </c>
      <c r="G4935" s="30">
        <f t="shared" si="92"/>
        <v>0.404358</v>
      </c>
      <c r="H4935" s="35">
        <f>SUM(G4935:G4938)</f>
        <v>41.291826</v>
      </c>
      <c r="I4935" s="36"/>
      <c r="J4935" s="141">
        <v>0</v>
      </c>
    </row>
    <row r="4936" spans="1:10" ht="26.25" hidden="1" thickBot="1" x14ac:dyDescent="0.3">
      <c r="A4936" s="226"/>
      <c r="B4936" s="244"/>
      <c r="C4936" s="32" t="s">
        <v>3371</v>
      </c>
      <c r="D4936" s="32" t="s">
        <v>280</v>
      </c>
      <c r="E4936" s="33">
        <v>1</v>
      </c>
      <c r="F4936" s="30">
        <v>32.945999999999998</v>
      </c>
      <c r="G4936" s="30">
        <f t="shared" si="92"/>
        <v>32.945999999999998</v>
      </c>
      <c r="H4936" s="41"/>
      <c r="I4936" s="42"/>
      <c r="J4936" s="141">
        <v>0</v>
      </c>
    </row>
    <row r="4937" spans="1:10" ht="26.25" hidden="1" thickBot="1" x14ac:dyDescent="0.3">
      <c r="A4937" s="226"/>
      <c r="B4937" s="244"/>
      <c r="C4937" s="32" t="s">
        <v>956</v>
      </c>
      <c r="D4937" s="43" t="s">
        <v>705</v>
      </c>
      <c r="E4937" s="33">
        <v>0.183</v>
      </c>
      <c r="F4937" s="27">
        <v>19.094999999999999</v>
      </c>
      <c r="G4937" s="27">
        <f t="shared" si="92"/>
        <v>3.4943849999999999</v>
      </c>
      <c r="H4937" s="31"/>
      <c r="I4937" s="27"/>
      <c r="J4937" s="141">
        <v>0</v>
      </c>
    </row>
    <row r="4938" spans="1:10" ht="26.25" hidden="1" thickBot="1" x14ac:dyDescent="0.3">
      <c r="A4938" s="226"/>
      <c r="B4938" s="244"/>
      <c r="C4938" s="32" t="s">
        <v>957</v>
      </c>
      <c r="D4938" s="32" t="s">
        <v>705</v>
      </c>
      <c r="E4938" s="33">
        <v>0.183</v>
      </c>
      <c r="F4938" s="27">
        <v>24.300999999999998</v>
      </c>
      <c r="G4938" s="27">
        <f t="shared" si="92"/>
        <v>4.4470829999999992</v>
      </c>
      <c r="H4938" s="31"/>
      <c r="I4938" s="27"/>
      <c r="J4938" s="141">
        <v>0</v>
      </c>
    </row>
    <row r="4939" spans="1:10" ht="15.75" hidden="1" thickBot="1" x14ac:dyDescent="0.3">
      <c r="A4939" s="227"/>
      <c r="B4939" s="230"/>
      <c r="C4939" s="32"/>
      <c r="D4939" s="32"/>
      <c r="E4939" s="33"/>
      <c r="F4939" s="27" t="s">
        <v>523</v>
      </c>
      <c r="G4939" s="27" t="str">
        <f t="shared" si="92"/>
        <v/>
      </c>
      <c r="H4939" s="31"/>
      <c r="I4939" s="27"/>
      <c r="J4939" s="141">
        <v>0</v>
      </c>
    </row>
    <row r="4940" spans="1:10" ht="15.75" hidden="1" thickBot="1" x14ac:dyDescent="0.3">
      <c r="A4940" s="225" t="s">
        <v>3426</v>
      </c>
      <c r="B4940" s="228" t="str">
        <f>INDEX(Orçamentária!A:B,MATCH(Composições!A4940,Orçamentária!A:A,0),2)</f>
        <v>Base para válvula de descarga 1 1/2”</v>
      </c>
      <c r="C4940" s="37"/>
      <c r="D4940" s="22" t="str">
        <f>TRIM(INDEX(Orçamentária!C:C,MATCH(Composições!A4940,Orçamentária!A:A,0),1))</f>
        <v>un</v>
      </c>
      <c r="E4940" s="23"/>
      <c r="F4940" s="38" t="s">
        <v>523</v>
      </c>
      <c r="G4940" s="24" t="str">
        <f t="shared" si="92"/>
        <v/>
      </c>
      <c r="H4940" s="25"/>
      <c r="I4940" s="26"/>
      <c r="J4940" s="141">
        <v>0</v>
      </c>
    </row>
    <row r="4941" spans="1:10" ht="15.75" hidden="1" thickBot="1" x14ac:dyDescent="0.3">
      <c r="A4941" s="226"/>
      <c r="B4941" s="244"/>
      <c r="C4941" s="28"/>
      <c r="D4941" s="28"/>
      <c r="E4941" s="29"/>
      <c r="F4941" s="39" t="s">
        <v>523</v>
      </c>
      <c r="G4941" s="27" t="str">
        <f t="shared" si="92"/>
        <v/>
      </c>
      <c r="H4941" s="31"/>
      <c r="I4941" s="27"/>
      <c r="J4941" s="141">
        <v>0</v>
      </c>
    </row>
    <row r="4942" spans="1:10" ht="15.75" hidden="1" thickBot="1" x14ac:dyDescent="0.3">
      <c r="A4942" s="226"/>
      <c r="B4942" s="244"/>
      <c r="C4942" s="32" t="s">
        <v>319</v>
      </c>
      <c r="D4942" s="32" t="s">
        <v>280</v>
      </c>
      <c r="E4942" s="33">
        <v>1.9199999999999998E-2</v>
      </c>
      <c r="F4942" s="30">
        <v>16.111999999999998</v>
      </c>
      <c r="G4942" s="30">
        <f t="shared" si="92"/>
        <v>0.30935039999999991</v>
      </c>
      <c r="H4942" s="35">
        <f>SUM(G4942:G4945)</f>
        <v>32.418050799999996</v>
      </c>
      <c r="I4942" s="36"/>
      <c r="J4942" s="141">
        <v>0</v>
      </c>
    </row>
    <row r="4943" spans="1:10" ht="15.75" hidden="1" thickBot="1" x14ac:dyDescent="0.3">
      <c r="A4943" s="226"/>
      <c r="B4943" s="244"/>
      <c r="C4943" s="32" t="s">
        <v>3581</v>
      </c>
      <c r="D4943" s="32" t="s">
        <v>280</v>
      </c>
      <c r="E4943" s="33">
        <v>1</v>
      </c>
      <c r="F4943" s="30" t="s">
        <v>523</v>
      </c>
      <c r="G4943" s="30" t="str">
        <f t="shared" si="92"/>
        <v/>
      </c>
      <c r="H4943" s="41"/>
      <c r="I4943" s="42"/>
      <c r="J4943" s="141">
        <v>0</v>
      </c>
    </row>
    <row r="4944" spans="1:10" ht="26.25" hidden="1" thickBot="1" x14ac:dyDescent="0.3">
      <c r="A4944" s="226"/>
      <c r="B4944" s="244"/>
      <c r="C4944" s="32" t="s">
        <v>956</v>
      </c>
      <c r="D4944" s="43" t="s">
        <v>705</v>
      </c>
      <c r="E4944" s="33">
        <f>ROUND(0.9249*0.8,4)</f>
        <v>0.7399</v>
      </c>
      <c r="F4944" s="27">
        <v>19.094999999999999</v>
      </c>
      <c r="G4944" s="27">
        <f t="shared" si="92"/>
        <v>14.1283905</v>
      </c>
      <c r="H4944" s="31"/>
      <c r="I4944" s="27"/>
      <c r="J4944" s="141">
        <v>0</v>
      </c>
    </row>
    <row r="4945" spans="1:10" ht="26.25" hidden="1" thickBot="1" x14ac:dyDescent="0.3">
      <c r="A4945" s="226"/>
      <c r="B4945" s="244"/>
      <c r="C4945" s="32" t="s">
        <v>957</v>
      </c>
      <c r="D4945" s="32" t="s">
        <v>705</v>
      </c>
      <c r="E4945" s="33">
        <f>ROUND(0.9249*0.8,4)</f>
        <v>0.7399</v>
      </c>
      <c r="F4945" s="27">
        <v>24.300999999999998</v>
      </c>
      <c r="G4945" s="27">
        <f t="shared" si="92"/>
        <v>17.980309899999998</v>
      </c>
      <c r="H4945" s="31"/>
      <c r="I4945" s="27"/>
      <c r="J4945" s="141">
        <v>0</v>
      </c>
    </row>
    <row r="4946" spans="1:10" ht="15.75" hidden="1" thickBot="1" x14ac:dyDescent="0.3">
      <c r="A4946" s="227"/>
      <c r="B4946" s="230"/>
      <c r="C4946" s="32"/>
      <c r="D4946" s="32"/>
      <c r="E4946" s="33"/>
      <c r="F4946" s="27" t="s">
        <v>523</v>
      </c>
      <c r="G4946" s="27" t="str">
        <f t="shared" si="92"/>
        <v/>
      </c>
      <c r="H4946" s="31"/>
      <c r="I4946" s="27"/>
      <c r="J4946" s="141">
        <v>0</v>
      </c>
    </row>
    <row r="4947" spans="1:10" ht="15.75" hidden="1" thickBot="1" x14ac:dyDescent="0.3">
      <c r="A4947" s="225" t="s">
        <v>3427</v>
      </c>
      <c r="B4947" s="228" t="str">
        <f>INDEX(Orçamentária!A:B,MATCH(Composições!A4947,Orçamentária!A:A,0),2)</f>
        <v>Base para válvula de descarga 1 1/4”</v>
      </c>
      <c r="C4947" s="37"/>
      <c r="D4947" s="22" t="str">
        <f>TRIM(INDEX(Orçamentária!C:C,MATCH(Composições!A4947,Orçamentária!A:A,0),1))</f>
        <v>un</v>
      </c>
      <c r="E4947" s="23"/>
      <c r="F4947" s="38" t="s">
        <v>523</v>
      </c>
      <c r="G4947" s="24" t="str">
        <f t="shared" si="92"/>
        <v/>
      </c>
      <c r="H4947" s="25"/>
      <c r="I4947" s="26"/>
      <c r="J4947" s="141">
        <v>0</v>
      </c>
    </row>
    <row r="4948" spans="1:10" ht="15.75" hidden="1" thickBot="1" x14ac:dyDescent="0.3">
      <c r="A4948" s="226"/>
      <c r="B4948" s="244"/>
      <c r="C4948" s="28"/>
      <c r="D4948" s="28"/>
      <c r="E4948" s="29"/>
      <c r="F4948" s="39" t="s">
        <v>523</v>
      </c>
      <c r="G4948" s="27" t="str">
        <f t="shared" si="92"/>
        <v/>
      </c>
      <c r="H4948" s="31"/>
      <c r="I4948" s="27"/>
      <c r="J4948" s="141">
        <v>0</v>
      </c>
    </row>
    <row r="4949" spans="1:10" ht="15.75" hidden="1" thickBot="1" x14ac:dyDescent="0.3">
      <c r="A4949" s="226"/>
      <c r="B4949" s="244"/>
      <c r="C4949" s="32" t="s">
        <v>319</v>
      </c>
      <c r="D4949" s="32" t="s">
        <v>280</v>
      </c>
      <c r="E4949" s="33">
        <v>1.9199999999999998E-2</v>
      </c>
      <c r="F4949" s="30">
        <v>16.111999999999998</v>
      </c>
      <c r="G4949" s="30">
        <f t="shared" si="92"/>
        <v>0.30935039999999991</v>
      </c>
      <c r="H4949" s="35">
        <f>SUM(G4949:G4952)</f>
        <v>32.418050799999996</v>
      </c>
      <c r="I4949" s="36"/>
      <c r="J4949" s="141">
        <v>0</v>
      </c>
    </row>
    <row r="4950" spans="1:10" ht="15.75" hidden="1" thickBot="1" x14ac:dyDescent="0.3">
      <c r="A4950" s="226"/>
      <c r="B4950" s="244"/>
      <c r="C4950" s="32" t="s">
        <v>3582</v>
      </c>
      <c r="D4950" s="32" t="s">
        <v>280</v>
      </c>
      <c r="E4950" s="33">
        <v>1</v>
      </c>
      <c r="F4950" s="30" t="s">
        <v>523</v>
      </c>
      <c r="G4950" s="30" t="str">
        <f t="shared" si="92"/>
        <v/>
      </c>
      <c r="H4950" s="41"/>
      <c r="I4950" s="42"/>
      <c r="J4950" s="141">
        <v>0</v>
      </c>
    </row>
    <row r="4951" spans="1:10" ht="26.25" hidden="1" thickBot="1" x14ac:dyDescent="0.3">
      <c r="A4951" s="226"/>
      <c r="B4951" s="244"/>
      <c r="C4951" s="32" t="s">
        <v>956</v>
      </c>
      <c r="D4951" s="43" t="s">
        <v>705</v>
      </c>
      <c r="E4951" s="33">
        <f t="shared" ref="E4951:E4952" si="93">ROUND(0.9249*0.8,4)</f>
        <v>0.7399</v>
      </c>
      <c r="F4951" s="27">
        <v>19.094999999999999</v>
      </c>
      <c r="G4951" s="27">
        <f t="shared" si="92"/>
        <v>14.1283905</v>
      </c>
      <c r="H4951" s="31"/>
      <c r="I4951" s="27"/>
      <c r="J4951" s="141">
        <v>0</v>
      </c>
    </row>
    <row r="4952" spans="1:10" ht="26.25" hidden="1" thickBot="1" x14ac:dyDescent="0.3">
      <c r="A4952" s="226"/>
      <c r="B4952" s="244"/>
      <c r="C4952" s="32" t="s">
        <v>957</v>
      </c>
      <c r="D4952" s="32" t="s">
        <v>705</v>
      </c>
      <c r="E4952" s="33">
        <f t="shared" si="93"/>
        <v>0.7399</v>
      </c>
      <c r="F4952" s="27">
        <v>24.300999999999998</v>
      </c>
      <c r="G4952" s="27">
        <f t="shared" si="92"/>
        <v>17.980309899999998</v>
      </c>
      <c r="H4952" s="31"/>
      <c r="I4952" s="27"/>
      <c r="J4952" s="141">
        <v>0</v>
      </c>
    </row>
    <row r="4953" spans="1:10" ht="15.75" hidden="1" thickBot="1" x14ac:dyDescent="0.3">
      <c r="A4953" s="227"/>
      <c r="B4953" s="230"/>
      <c r="C4953" s="32"/>
      <c r="D4953" s="32"/>
      <c r="E4953" s="33"/>
      <c r="F4953" s="27" t="s">
        <v>523</v>
      </c>
      <c r="G4953" s="27" t="str">
        <f t="shared" si="92"/>
        <v/>
      </c>
      <c r="H4953" s="31"/>
      <c r="I4953" s="27"/>
      <c r="J4953" s="141">
        <v>0</v>
      </c>
    </row>
    <row r="4954" spans="1:10" ht="15.75" hidden="1" thickBot="1" x14ac:dyDescent="0.3">
      <c r="A4954" s="225" t="s">
        <v>3428</v>
      </c>
      <c r="B4954" s="228" t="str">
        <f>INDEX(Orçamentária!A:B,MATCH(Composições!A4954,Orçamentária!A:A,0),2)</f>
        <v>Anel de Vedação para bacia sanitária</v>
      </c>
      <c r="C4954" s="37"/>
      <c r="D4954" s="22" t="str">
        <f>TRIM(INDEX(Orçamentária!C:C,MATCH(Composições!A4954,Orçamentária!A:A,0),1))</f>
        <v>un</v>
      </c>
      <c r="E4954" s="23"/>
      <c r="F4954" s="38" t="s">
        <v>523</v>
      </c>
      <c r="G4954" s="24" t="str">
        <f t="shared" si="92"/>
        <v/>
      </c>
      <c r="H4954" s="25"/>
      <c r="I4954" s="26"/>
      <c r="J4954" s="141">
        <v>0</v>
      </c>
    </row>
    <row r="4955" spans="1:10" ht="15.75" hidden="1" thickBot="1" x14ac:dyDescent="0.3">
      <c r="A4955" s="226"/>
      <c r="B4955" s="244"/>
      <c r="C4955" s="28"/>
      <c r="D4955" s="28"/>
      <c r="E4955" s="29"/>
      <c r="F4955" s="39" t="s">
        <v>523</v>
      </c>
      <c r="G4955" s="30" t="str">
        <f t="shared" si="92"/>
        <v/>
      </c>
      <c r="H4955" s="31"/>
      <c r="I4955" s="27"/>
      <c r="J4955" s="141">
        <v>0</v>
      </c>
    </row>
    <row r="4956" spans="1:10" ht="26.25" hidden="1" thickBot="1" x14ac:dyDescent="0.3">
      <c r="A4956" s="226"/>
      <c r="B4956" s="244"/>
      <c r="C4956" s="32" t="s">
        <v>6627</v>
      </c>
      <c r="D4956" s="43" t="s">
        <v>20</v>
      </c>
      <c r="E4956" s="33">
        <v>1</v>
      </c>
      <c r="F4956" s="30">
        <v>13.2905</v>
      </c>
      <c r="G4956" s="50">
        <f t="shared" si="92"/>
        <v>13.2905</v>
      </c>
      <c r="H4956" s="35">
        <f>SUM(G4956:G4957)</f>
        <v>15.720599999999999</v>
      </c>
      <c r="I4956" s="27"/>
      <c r="J4956" s="141">
        <v>0</v>
      </c>
    </row>
    <row r="4957" spans="1:10" ht="26.25" hidden="1" thickBot="1" x14ac:dyDescent="0.3">
      <c r="A4957" s="226"/>
      <c r="B4957" s="244"/>
      <c r="C4957" s="32" t="s">
        <v>957</v>
      </c>
      <c r="D4957" s="32" t="s">
        <v>705</v>
      </c>
      <c r="E4957" s="33">
        <v>0.1</v>
      </c>
      <c r="F4957" s="27">
        <v>24.300999999999998</v>
      </c>
      <c r="G4957" s="27">
        <f t="shared" si="92"/>
        <v>2.4300999999999999</v>
      </c>
      <c r="H4957" s="31"/>
      <c r="I4957" s="27"/>
      <c r="J4957" s="141">
        <v>0</v>
      </c>
    </row>
    <row r="4958" spans="1:10" ht="15.75" hidden="1" thickBot="1" x14ac:dyDescent="0.3">
      <c r="A4958" s="227"/>
      <c r="B4958" s="230"/>
      <c r="C4958" s="32"/>
      <c r="D4958" s="32"/>
      <c r="E4958" s="33"/>
      <c r="F4958" s="27" t="s">
        <v>523</v>
      </c>
      <c r="G4958" s="30" t="str">
        <f t="shared" si="92"/>
        <v/>
      </c>
      <c r="H4958" s="31"/>
      <c r="I4958" s="27"/>
      <c r="J4958" s="141">
        <v>0</v>
      </c>
    </row>
    <row r="4959" spans="1:10" ht="15.75" hidden="1" thickBot="1" x14ac:dyDescent="0.3">
      <c r="A4959" s="239" t="s">
        <v>3429</v>
      </c>
      <c r="B4959" s="236" t="str">
        <f>INDEX(Orçamentária!A:B,MATCH(Composições!A4959,Orçamentária!A:A,0),2)</f>
        <v>Folha de porta em madeira e MDF 2,10x0,60m</v>
      </c>
      <c r="C4959" s="37"/>
      <c r="D4959" s="22" t="str">
        <f>TRIM(INDEX(Orçamentária!C:C,MATCH(Composições!A4959,Orçamentária!A:A,0),1))</f>
        <v>un</v>
      </c>
      <c r="E4959" s="23"/>
      <c r="F4959" s="38" t="s">
        <v>523</v>
      </c>
      <c r="G4959" s="24" t="str">
        <f t="shared" si="92"/>
        <v/>
      </c>
      <c r="H4959" s="25"/>
      <c r="I4959" s="26"/>
      <c r="J4959" s="141">
        <v>0</v>
      </c>
    </row>
    <row r="4960" spans="1:10" ht="15.75" hidden="1" thickBot="1" x14ac:dyDescent="0.3">
      <c r="A4960" s="240"/>
      <c r="B4960" s="245"/>
      <c r="C4960" s="28"/>
      <c r="D4960" s="28"/>
      <c r="E4960" s="29"/>
      <c r="F4960" s="39" t="s">
        <v>523</v>
      </c>
      <c r="G4960" s="27" t="str">
        <f t="shared" si="92"/>
        <v/>
      </c>
      <c r="H4960" s="31"/>
      <c r="I4960" s="27"/>
      <c r="J4960" s="141">
        <v>0</v>
      </c>
    </row>
    <row r="4961" spans="1:10" ht="51.75" hidden="1" thickBot="1" x14ac:dyDescent="0.3">
      <c r="A4961" s="240"/>
      <c r="B4961" s="245"/>
      <c r="C4961" s="32" t="s">
        <v>3743</v>
      </c>
      <c r="D4961" s="43" t="s">
        <v>280</v>
      </c>
      <c r="E4961" s="33">
        <v>1</v>
      </c>
      <c r="F4961" s="30">
        <v>244.44449999999998</v>
      </c>
      <c r="G4961" s="30">
        <f t="shared" si="92"/>
        <v>244.44449999999998</v>
      </c>
      <c r="H4961" s="35">
        <f>SUM(G4961:G4963)</f>
        <v>278.11212759999995</v>
      </c>
      <c r="I4961" s="36"/>
      <c r="J4961" s="141">
        <v>0</v>
      </c>
    </row>
    <row r="4962" spans="1:10" ht="15.75" hidden="1" thickBot="1" x14ac:dyDescent="0.3">
      <c r="A4962" s="240"/>
      <c r="B4962" s="245"/>
      <c r="C4962" s="32" t="s">
        <v>704</v>
      </c>
      <c r="D4962" s="43" t="s">
        <v>705</v>
      </c>
      <c r="E4962" s="33">
        <f>ROUND(1.282*0.8,4)</f>
        <v>1.0256000000000001</v>
      </c>
      <c r="F4962" s="27">
        <v>23.616999999999997</v>
      </c>
      <c r="G4962" s="30">
        <f t="shared" si="92"/>
        <v>24.221595199999999</v>
      </c>
      <c r="H4962" s="31"/>
      <c r="I4962" s="27"/>
      <c r="J4962" s="141">
        <v>0</v>
      </c>
    </row>
    <row r="4963" spans="1:10" ht="15.75" hidden="1" thickBot="1" x14ac:dyDescent="0.3">
      <c r="A4963" s="240"/>
      <c r="B4963" s="245"/>
      <c r="C4963" s="32" t="s">
        <v>706</v>
      </c>
      <c r="D4963" s="43" t="s">
        <v>705</v>
      </c>
      <c r="E4963" s="33">
        <f>ROUND(0.641*0.8,4)</f>
        <v>0.51280000000000003</v>
      </c>
      <c r="F4963" s="27">
        <v>18.420500000000001</v>
      </c>
      <c r="G4963" s="30">
        <f t="shared" si="92"/>
        <v>9.4460324000000018</v>
      </c>
      <c r="H4963" s="31"/>
      <c r="I4963" s="27"/>
      <c r="J4963" s="141">
        <v>0</v>
      </c>
    </row>
    <row r="4964" spans="1:10" ht="15.75" hidden="1" thickBot="1" x14ac:dyDescent="0.3">
      <c r="A4964" s="240"/>
      <c r="B4964" s="245"/>
      <c r="C4964" s="32"/>
      <c r="D4964" s="43"/>
      <c r="E4964" s="33"/>
      <c r="F4964" s="30" t="s">
        <v>523</v>
      </c>
      <c r="G4964" s="30" t="str">
        <f t="shared" si="92"/>
        <v/>
      </c>
      <c r="H4964" s="31"/>
      <c r="I4964" s="27"/>
      <c r="J4964" s="141">
        <v>0</v>
      </c>
    </row>
    <row r="4965" spans="1:10" ht="15.75" hidden="1" thickBot="1" x14ac:dyDescent="0.3">
      <c r="A4965" s="239" t="s">
        <v>3430</v>
      </c>
      <c r="B4965" s="236" t="str">
        <f>INDEX(Orçamentária!A:B,MATCH(Composições!A4965,Orçamentária!A:A,0),2)</f>
        <v>Folha de porta em madeira e MDF 2,10x0,70m</v>
      </c>
      <c r="C4965" s="37"/>
      <c r="D4965" s="22" t="str">
        <f>TRIM(INDEX(Orçamentária!C:C,MATCH(Composições!A4965,Orçamentária!A:A,0),1))</f>
        <v>un</v>
      </c>
      <c r="E4965" s="23"/>
      <c r="F4965" s="38" t="s">
        <v>523</v>
      </c>
      <c r="G4965" s="24" t="str">
        <f t="shared" si="92"/>
        <v/>
      </c>
      <c r="H4965" s="25"/>
      <c r="I4965" s="26"/>
      <c r="J4965" s="141">
        <v>0</v>
      </c>
    </row>
    <row r="4966" spans="1:10" ht="15.75" hidden="1" thickBot="1" x14ac:dyDescent="0.3">
      <c r="A4966" s="240"/>
      <c r="B4966" s="245"/>
      <c r="C4966" s="28"/>
      <c r="D4966" s="28"/>
      <c r="E4966" s="29"/>
      <c r="F4966" s="39" t="s">
        <v>523</v>
      </c>
      <c r="G4966" s="27" t="str">
        <f t="shared" si="92"/>
        <v/>
      </c>
      <c r="H4966" s="31"/>
      <c r="I4966" s="27"/>
      <c r="J4966" s="141">
        <v>0</v>
      </c>
    </row>
    <row r="4967" spans="1:10" ht="51.75" hidden="1" thickBot="1" x14ac:dyDescent="0.3">
      <c r="A4967" s="240"/>
      <c r="B4967" s="245"/>
      <c r="C4967" s="32" t="s">
        <v>3738</v>
      </c>
      <c r="D4967" s="43" t="s">
        <v>280</v>
      </c>
      <c r="E4967" s="33">
        <v>1</v>
      </c>
      <c r="F4967" s="30">
        <v>265.71499999999997</v>
      </c>
      <c r="G4967" s="30">
        <f t="shared" si="92"/>
        <v>265.71499999999997</v>
      </c>
      <c r="H4967" s="35">
        <f>SUM(G4967:G4969)</f>
        <v>302.84918519999997</v>
      </c>
      <c r="I4967" s="36"/>
      <c r="J4967" s="141">
        <v>0</v>
      </c>
    </row>
    <row r="4968" spans="1:10" ht="15.75" hidden="1" thickBot="1" x14ac:dyDescent="0.3">
      <c r="A4968" s="240"/>
      <c r="B4968" s="245"/>
      <c r="C4968" s="32" t="s">
        <v>704</v>
      </c>
      <c r="D4968" s="43" t="s">
        <v>705</v>
      </c>
      <c r="E4968" s="33">
        <f>ROUND(1.414*0.8,4)</f>
        <v>1.1312</v>
      </c>
      <c r="F4968" s="27">
        <v>23.616999999999997</v>
      </c>
      <c r="G4968" s="30">
        <f t="shared" si="92"/>
        <v>26.715550399999998</v>
      </c>
      <c r="H4968" s="31"/>
      <c r="I4968" s="27"/>
      <c r="J4968" s="141">
        <v>0</v>
      </c>
    </row>
    <row r="4969" spans="1:10" ht="15.75" hidden="1" thickBot="1" x14ac:dyDescent="0.3">
      <c r="A4969" s="240"/>
      <c r="B4969" s="245"/>
      <c r="C4969" s="32" t="s">
        <v>706</v>
      </c>
      <c r="D4969" s="43" t="s">
        <v>705</v>
      </c>
      <c r="E4969" s="33">
        <f>ROUND(0.707*0.8,4)</f>
        <v>0.56559999999999999</v>
      </c>
      <c r="F4969" s="27">
        <v>18.420500000000001</v>
      </c>
      <c r="G4969" s="30">
        <f t="shared" si="92"/>
        <v>10.4186348</v>
      </c>
      <c r="H4969" s="31"/>
      <c r="I4969" s="27"/>
      <c r="J4969" s="141">
        <v>0</v>
      </c>
    </row>
    <row r="4970" spans="1:10" ht="15.75" hidden="1" thickBot="1" x14ac:dyDescent="0.3">
      <c r="A4970" s="240"/>
      <c r="B4970" s="245"/>
      <c r="C4970" s="32"/>
      <c r="D4970" s="43"/>
      <c r="E4970" s="33"/>
      <c r="F4970" s="30" t="s">
        <v>523</v>
      </c>
      <c r="G4970" s="30" t="str">
        <f t="shared" si="92"/>
        <v/>
      </c>
      <c r="H4970" s="31"/>
      <c r="I4970" s="27"/>
      <c r="J4970" s="141">
        <v>0</v>
      </c>
    </row>
    <row r="4971" spans="1:10" ht="15.75" hidden="1" thickBot="1" x14ac:dyDescent="0.3">
      <c r="A4971" s="239" t="s">
        <v>3431</v>
      </c>
      <c r="B4971" s="236" t="str">
        <f>INDEX(Orçamentária!A:B,MATCH(Composições!A4971,Orçamentária!A:A,0),2)</f>
        <v>Folha de porta em madeira e MDF 2,10x0,80m</v>
      </c>
      <c r="C4971" s="37"/>
      <c r="D4971" s="22" t="str">
        <f>TRIM(INDEX(Orçamentária!C:C,MATCH(Composições!A4971,Orçamentária!A:A,0),1))</f>
        <v>un</v>
      </c>
      <c r="E4971" s="23"/>
      <c r="F4971" s="38" t="s">
        <v>523</v>
      </c>
      <c r="G4971" s="24" t="str">
        <f t="shared" si="92"/>
        <v/>
      </c>
      <c r="H4971" s="25"/>
      <c r="I4971" s="26"/>
      <c r="J4971" s="141">
        <v>0</v>
      </c>
    </row>
    <row r="4972" spans="1:10" ht="15.75" hidden="1" thickBot="1" x14ac:dyDescent="0.3">
      <c r="A4972" s="240"/>
      <c r="B4972" s="245"/>
      <c r="C4972" s="28"/>
      <c r="D4972" s="28"/>
      <c r="E4972" s="29"/>
      <c r="F4972" s="39" t="s">
        <v>523</v>
      </c>
      <c r="G4972" s="27" t="str">
        <f t="shared" si="92"/>
        <v/>
      </c>
      <c r="H4972" s="31"/>
      <c r="I4972" s="27"/>
      <c r="J4972" s="141">
        <v>0</v>
      </c>
    </row>
    <row r="4973" spans="1:10" ht="51.75" hidden="1" thickBot="1" x14ac:dyDescent="0.3">
      <c r="A4973" s="240"/>
      <c r="B4973" s="245"/>
      <c r="C4973" s="32" t="s">
        <v>3740</v>
      </c>
      <c r="D4973" s="43" t="s">
        <v>280</v>
      </c>
      <c r="E4973" s="33">
        <v>1</v>
      </c>
      <c r="F4973" s="30">
        <v>300.09549999999996</v>
      </c>
      <c r="G4973" s="30">
        <f t="shared" si="92"/>
        <v>300.09549999999996</v>
      </c>
      <c r="H4973" s="35">
        <f>SUM(G4973:G4975)</f>
        <v>340.69624279999994</v>
      </c>
      <c r="I4973" s="36"/>
      <c r="J4973" s="141">
        <v>0</v>
      </c>
    </row>
    <row r="4974" spans="1:10" ht="15.75" hidden="1" thickBot="1" x14ac:dyDescent="0.3">
      <c r="A4974" s="240"/>
      <c r="B4974" s="245"/>
      <c r="C4974" s="32" t="s">
        <v>704</v>
      </c>
      <c r="D4974" s="43" t="s">
        <v>705</v>
      </c>
      <c r="E4974" s="33">
        <f>ROUND(1.546*0.8,4)</f>
        <v>1.2367999999999999</v>
      </c>
      <c r="F4974" s="27">
        <v>23.616999999999997</v>
      </c>
      <c r="G4974" s="30">
        <f t="shared" si="92"/>
        <v>29.209505599999993</v>
      </c>
      <c r="H4974" s="31"/>
      <c r="I4974" s="27"/>
      <c r="J4974" s="141">
        <v>0</v>
      </c>
    </row>
    <row r="4975" spans="1:10" ht="15.75" hidden="1" thickBot="1" x14ac:dyDescent="0.3">
      <c r="A4975" s="240"/>
      <c r="B4975" s="245"/>
      <c r="C4975" s="32" t="s">
        <v>706</v>
      </c>
      <c r="D4975" s="43" t="s">
        <v>705</v>
      </c>
      <c r="E4975" s="33">
        <f>ROUND(0.773*0.8,4)</f>
        <v>0.61839999999999995</v>
      </c>
      <c r="F4975" s="27">
        <v>18.420500000000001</v>
      </c>
      <c r="G4975" s="30">
        <f t="shared" si="92"/>
        <v>11.391237199999999</v>
      </c>
      <c r="H4975" s="31"/>
      <c r="I4975" s="27"/>
      <c r="J4975" s="141">
        <v>0</v>
      </c>
    </row>
    <row r="4976" spans="1:10" ht="15.75" hidden="1" thickBot="1" x14ac:dyDescent="0.3">
      <c r="A4976" s="240"/>
      <c r="B4976" s="245"/>
      <c r="C4976" s="32"/>
      <c r="D4976" s="43"/>
      <c r="E4976" s="33"/>
      <c r="F4976" s="30" t="s">
        <v>523</v>
      </c>
      <c r="G4976" s="30" t="str">
        <f t="shared" si="92"/>
        <v/>
      </c>
      <c r="H4976" s="31"/>
      <c r="I4976" s="27"/>
      <c r="J4976" s="141">
        <v>0</v>
      </c>
    </row>
    <row r="4977" spans="1:10" ht="15.75" hidden="1" thickBot="1" x14ac:dyDescent="0.3">
      <c r="A4977" s="239" t="s">
        <v>3432</v>
      </c>
      <c r="B4977" s="236" t="str">
        <f>INDEX(Orçamentária!A:B,MATCH(Composições!A4977,Orçamentária!A:A,0),2)</f>
        <v>Folha de porta em madeira e MDF 2,10x0,90m</v>
      </c>
      <c r="C4977" s="37"/>
      <c r="D4977" s="22" t="str">
        <f>TRIM(INDEX(Orçamentária!C:C,MATCH(Composições!A4977,Orçamentária!A:A,0),1))</f>
        <v>un</v>
      </c>
      <c r="E4977" s="23"/>
      <c r="F4977" s="38" t="s">
        <v>523</v>
      </c>
      <c r="G4977" s="24" t="str">
        <f t="shared" si="92"/>
        <v/>
      </c>
      <c r="H4977" s="25"/>
      <c r="I4977" s="26"/>
      <c r="J4977" s="141">
        <v>0</v>
      </c>
    </row>
    <row r="4978" spans="1:10" ht="15.75" hidden="1" thickBot="1" x14ac:dyDescent="0.3">
      <c r="A4978" s="240"/>
      <c r="B4978" s="245"/>
      <c r="C4978" s="28"/>
      <c r="D4978" s="28"/>
      <c r="E4978" s="29"/>
      <c r="F4978" s="39" t="s">
        <v>523</v>
      </c>
      <c r="G4978" s="27" t="str">
        <f t="shared" si="92"/>
        <v/>
      </c>
      <c r="H4978" s="31"/>
      <c r="I4978" s="27"/>
      <c r="J4978" s="141">
        <v>0</v>
      </c>
    </row>
    <row r="4979" spans="1:10" ht="51.75" hidden="1" thickBot="1" x14ac:dyDescent="0.3">
      <c r="A4979" s="240"/>
      <c r="B4979" s="245"/>
      <c r="C4979" s="32" t="s">
        <v>3742</v>
      </c>
      <c r="D4979" s="43" t="s">
        <v>280</v>
      </c>
      <c r="E4979" s="33">
        <v>1</v>
      </c>
      <c r="F4979" s="30">
        <v>335.36899999999997</v>
      </c>
      <c r="G4979" s="30">
        <f t="shared" si="92"/>
        <v>335.36899999999997</v>
      </c>
      <c r="H4979" s="35">
        <f>SUM(G4979:G4981)</f>
        <v>379.43630039999999</v>
      </c>
      <c r="I4979" s="36"/>
      <c r="J4979" s="141">
        <v>0</v>
      </c>
    </row>
    <row r="4980" spans="1:10" ht="15.75" hidden="1" thickBot="1" x14ac:dyDescent="0.3">
      <c r="A4980" s="240"/>
      <c r="B4980" s="245"/>
      <c r="C4980" s="32" t="s">
        <v>704</v>
      </c>
      <c r="D4980" s="43" t="s">
        <v>705</v>
      </c>
      <c r="E4980" s="33">
        <f>ROUND(1.678*0.8,4)</f>
        <v>1.3424</v>
      </c>
      <c r="F4980" s="27">
        <v>23.616999999999997</v>
      </c>
      <c r="G4980" s="30">
        <f t="shared" si="92"/>
        <v>31.703460799999998</v>
      </c>
      <c r="H4980" s="31"/>
      <c r="I4980" s="27"/>
      <c r="J4980" s="141">
        <v>0</v>
      </c>
    </row>
    <row r="4981" spans="1:10" ht="15.75" hidden="1" thickBot="1" x14ac:dyDescent="0.3">
      <c r="A4981" s="240"/>
      <c r="B4981" s="245"/>
      <c r="C4981" s="32" t="s">
        <v>706</v>
      </c>
      <c r="D4981" s="43" t="s">
        <v>705</v>
      </c>
      <c r="E4981" s="33">
        <f>ROUND(0.839*0.8,4)</f>
        <v>0.67120000000000002</v>
      </c>
      <c r="F4981" s="27">
        <v>18.420500000000001</v>
      </c>
      <c r="G4981" s="30">
        <f t="shared" si="92"/>
        <v>12.3638396</v>
      </c>
      <c r="H4981" s="31"/>
      <c r="I4981" s="27"/>
      <c r="J4981" s="141">
        <v>0</v>
      </c>
    </row>
    <row r="4982" spans="1:10" ht="15.75" hidden="1" thickBot="1" x14ac:dyDescent="0.3">
      <c r="A4982" s="240"/>
      <c r="B4982" s="245"/>
      <c r="C4982" s="32"/>
      <c r="D4982" s="43"/>
      <c r="E4982" s="33"/>
      <c r="F4982" s="30" t="s">
        <v>523</v>
      </c>
      <c r="G4982" s="30" t="str">
        <f t="shared" si="92"/>
        <v/>
      </c>
      <c r="H4982" s="31"/>
      <c r="I4982" s="27"/>
      <c r="J4982" s="141">
        <v>0</v>
      </c>
    </row>
    <row r="4983" spans="1:10" ht="15.75" hidden="1" thickBot="1" x14ac:dyDescent="0.3">
      <c r="A4983" s="239" t="s">
        <v>3433</v>
      </c>
      <c r="B4983" s="236" t="str">
        <f>INDEX(Orçamentária!A:B,MATCH(Composições!A4983,Orçamentária!A:A,0),2)</f>
        <v>Remoção de boiler</v>
      </c>
      <c r="C4983" s="37"/>
      <c r="D4983" s="22" t="str">
        <f>TRIM(INDEX(Orçamentária!C:C,MATCH(Composições!A4983,Orçamentária!A:A,0),1))</f>
        <v>un</v>
      </c>
      <c r="E4983" s="23"/>
      <c r="F4983" s="38" t="s">
        <v>523</v>
      </c>
      <c r="G4983" s="24" t="str">
        <f t="shared" si="92"/>
        <v/>
      </c>
      <c r="H4983" s="25"/>
      <c r="I4983" s="26"/>
      <c r="J4983" s="141">
        <v>0</v>
      </c>
    </row>
    <row r="4984" spans="1:10" ht="15.75" hidden="1" thickBot="1" x14ac:dyDescent="0.3">
      <c r="A4984" s="240"/>
      <c r="B4984" s="245"/>
      <c r="C4984" s="28"/>
      <c r="D4984" s="28"/>
      <c r="E4984" s="29"/>
      <c r="F4984" s="39" t="s">
        <v>523</v>
      </c>
      <c r="G4984" s="27" t="str">
        <f t="shared" si="92"/>
        <v/>
      </c>
      <c r="H4984" s="31"/>
      <c r="I4984" s="27"/>
      <c r="J4984" s="141">
        <v>0</v>
      </c>
    </row>
    <row r="4985" spans="1:10" ht="26.25" hidden="1" thickBot="1" x14ac:dyDescent="0.3">
      <c r="A4985" s="240"/>
      <c r="B4985" s="245"/>
      <c r="C4985" s="32" t="s">
        <v>956</v>
      </c>
      <c r="D4985" s="43" t="s">
        <v>705</v>
      </c>
      <c r="E4985" s="33">
        <f>4*0.3</f>
        <v>1.2</v>
      </c>
      <c r="F4985" s="27">
        <v>19.094999999999999</v>
      </c>
      <c r="G4985" s="27">
        <f t="shared" si="92"/>
        <v>22.913999999999998</v>
      </c>
      <c r="H4985" s="35">
        <f>SUM(G4985:G4988)</f>
        <v>78.808199999999999</v>
      </c>
      <c r="I4985" s="36"/>
      <c r="J4985" s="141">
        <v>0</v>
      </c>
    </row>
    <row r="4986" spans="1:10" ht="26.25" hidden="1" thickBot="1" x14ac:dyDescent="0.3">
      <c r="A4986" s="240"/>
      <c r="B4986" s="245"/>
      <c r="C4986" s="32" t="s">
        <v>957</v>
      </c>
      <c r="D4986" s="32" t="s">
        <v>705</v>
      </c>
      <c r="E4986" s="33">
        <f>4*0.3</f>
        <v>1.2</v>
      </c>
      <c r="F4986" s="27">
        <v>24.300999999999998</v>
      </c>
      <c r="G4986" s="27">
        <f t="shared" si="92"/>
        <v>29.161199999999997</v>
      </c>
      <c r="H4986" s="41"/>
      <c r="I4986" s="42"/>
      <c r="J4986" s="141">
        <v>0</v>
      </c>
    </row>
    <row r="4987" spans="1:10" ht="15.75" hidden="1" thickBot="1" x14ac:dyDescent="0.3">
      <c r="A4987" s="240"/>
      <c r="B4987" s="245"/>
      <c r="C4987" s="32" t="s">
        <v>74</v>
      </c>
      <c r="D4987" s="43" t="s">
        <v>705</v>
      </c>
      <c r="E4987" s="33">
        <f>2*0.3</f>
        <v>0.6</v>
      </c>
      <c r="F4987" s="27">
        <v>19.4085</v>
      </c>
      <c r="G4987" s="27">
        <f t="shared" si="92"/>
        <v>11.645099999999999</v>
      </c>
      <c r="H4987" s="31"/>
      <c r="I4987" s="27"/>
      <c r="J4987" s="141">
        <v>0</v>
      </c>
    </row>
    <row r="4988" spans="1:10" ht="15.75" hidden="1" thickBot="1" x14ac:dyDescent="0.3">
      <c r="A4988" s="240"/>
      <c r="B4988" s="245"/>
      <c r="C4988" s="32" t="s">
        <v>30</v>
      </c>
      <c r="D4988" s="32" t="s">
        <v>705</v>
      </c>
      <c r="E4988" s="33">
        <f>2*0.3</f>
        <v>0.6</v>
      </c>
      <c r="F4988" s="27">
        <v>25.146499999999996</v>
      </c>
      <c r="G4988" s="27">
        <f t="shared" si="92"/>
        <v>15.087899999999998</v>
      </c>
      <c r="H4988" s="31"/>
      <c r="I4988" s="27"/>
      <c r="J4988" s="141">
        <v>0</v>
      </c>
    </row>
    <row r="4989" spans="1:10" ht="15.75" hidden="1" thickBot="1" x14ac:dyDescent="0.3">
      <c r="A4989" s="241"/>
      <c r="B4989" s="238"/>
      <c r="C4989" s="32"/>
      <c r="D4989" s="32"/>
      <c r="E4989" s="33"/>
      <c r="F4989" s="27" t="s">
        <v>523</v>
      </c>
      <c r="G4989" s="27" t="str">
        <f t="shared" si="92"/>
        <v/>
      </c>
      <c r="H4989" s="31"/>
      <c r="I4989" s="27"/>
      <c r="J4989" s="141">
        <v>0</v>
      </c>
    </row>
    <row r="4990" spans="1:10" ht="15.75" hidden="1" thickBot="1" x14ac:dyDescent="0.3">
      <c r="A4990" s="225" t="s">
        <v>3434</v>
      </c>
      <c r="B4990" s="228" t="str">
        <f>INDEX(Orçamentária!A:B,MATCH(Composições!A4990,Orçamentária!A:A,0),2)</f>
        <v>Remoção de tacos de madeira</v>
      </c>
      <c r="C4990" s="37"/>
      <c r="D4990" s="22" t="str">
        <f>TRIM(INDEX(Orçamentária!C:C,MATCH(Composições!A4990,Orçamentária!A:A,0),1))</f>
        <v>m2</v>
      </c>
      <c r="E4990" s="23"/>
      <c r="F4990" s="38" t="s">
        <v>523</v>
      </c>
      <c r="G4990" s="24" t="str">
        <f t="shared" si="92"/>
        <v/>
      </c>
      <c r="H4990" s="25"/>
      <c r="I4990" s="26"/>
      <c r="J4990" s="141">
        <v>0</v>
      </c>
    </row>
    <row r="4991" spans="1:10" ht="15.75" hidden="1" thickBot="1" x14ac:dyDescent="0.3">
      <c r="A4991" s="226"/>
      <c r="B4991" s="244"/>
      <c r="C4991" s="28"/>
      <c r="D4991" s="28"/>
      <c r="E4991" s="29"/>
      <c r="F4991" s="39" t="s">
        <v>523</v>
      </c>
      <c r="G4991" s="27" t="str">
        <f t="shared" si="92"/>
        <v/>
      </c>
      <c r="H4991" s="31"/>
      <c r="I4991" s="27"/>
      <c r="J4991" s="141">
        <v>0</v>
      </c>
    </row>
    <row r="4992" spans="1:10" ht="15.75" hidden="1" thickBot="1" x14ac:dyDescent="0.3">
      <c r="A4992" s="226"/>
      <c r="B4992" s="244"/>
      <c r="C4992" s="32" t="s">
        <v>704</v>
      </c>
      <c r="D4992" s="32" t="s">
        <v>705</v>
      </c>
      <c r="E4992" s="33">
        <v>0.12</v>
      </c>
      <c r="F4992" s="30">
        <v>23.616999999999997</v>
      </c>
      <c r="G4992" s="30">
        <f t="shared" si="92"/>
        <v>2.8340399999999994</v>
      </c>
      <c r="H4992" s="35">
        <f>SUM(G4992:G4993)</f>
        <v>26.226839999999996</v>
      </c>
      <c r="I4992" s="36"/>
      <c r="J4992" s="141">
        <v>0</v>
      </c>
    </row>
    <row r="4993" spans="1:10" ht="15.75" hidden="1" thickBot="1" x14ac:dyDescent="0.3">
      <c r="A4993" s="226"/>
      <c r="B4993" s="244"/>
      <c r="C4993" s="32" t="s">
        <v>788</v>
      </c>
      <c r="D4993" s="32" t="s">
        <v>705</v>
      </c>
      <c r="E4993" s="33">
        <v>1.2</v>
      </c>
      <c r="F4993" s="30">
        <v>19.494</v>
      </c>
      <c r="G4993" s="30">
        <f t="shared" si="92"/>
        <v>23.392799999999998</v>
      </c>
      <c r="H4993" s="41"/>
      <c r="I4993" s="42"/>
      <c r="J4993" s="141">
        <v>0</v>
      </c>
    </row>
    <row r="4994" spans="1:10" ht="15.75" hidden="1" thickBot="1" x14ac:dyDescent="0.3">
      <c r="A4994" s="227"/>
      <c r="B4994" s="230"/>
      <c r="C4994" s="32"/>
      <c r="D4994" s="32"/>
      <c r="E4994" s="33"/>
      <c r="F4994" s="27" t="s">
        <v>523</v>
      </c>
      <c r="G4994" s="27" t="str">
        <f t="shared" ref="G4994:G5057" si="94">IF(ISNUMBER(F4994),E4994*F4994,"")</f>
        <v/>
      </c>
      <c r="H4994" s="31"/>
      <c r="I4994" s="27"/>
      <c r="J4994" s="141">
        <v>0</v>
      </c>
    </row>
    <row r="4995" spans="1:10" ht="15.75" hidden="1" thickBot="1" x14ac:dyDescent="0.3">
      <c r="A4995" s="225" t="s">
        <v>3435</v>
      </c>
      <c r="B4995" s="228" t="str">
        <f>INDEX(Orçamentária!A:B,MATCH(Composições!A4995,Orçamentária!A:A,0),2)</f>
        <v>Cerâmica 30x60cm - Glacier White - Portobello – Linha Residencial</v>
      </c>
      <c r="C4995" s="37"/>
      <c r="D4995" s="22" t="str">
        <f>TRIM(INDEX(Orçamentária!C:C,MATCH(Composições!A4995,Orçamentária!A:A,0),1))</f>
        <v>m2</v>
      </c>
      <c r="E4995" s="23"/>
      <c r="F4995" s="45" t="s">
        <v>523</v>
      </c>
      <c r="G4995" s="24" t="str">
        <f t="shared" si="94"/>
        <v/>
      </c>
      <c r="H4995" s="25"/>
      <c r="I4995" s="26"/>
      <c r="J4995" s="141">
        <v>0</v>
      </c>
    </row>
    <row r="4996" spans="1:10" ht="15.75" hidden="1" thickBot="1" x14ac:dyDescent="0.3">
      <c r="A4996" s="231"/>
      <c r="B4996" s="244"/>
      <c r="C4996" s="28"/>
      <c r="D4996" s="28"/>
      <c r="E4996" s="29"/>
      <c r="F4996" s="50" t="s">
        <v>523</v>
      </c>
      <c r="G4996" s="50" t="str">
        <f t="shared" si="94"/>
        <v/>
      </c>
      <c r="H4996" s="69"/>
      <c r="I4996" s="70"/>
      <c r="J4996" s="141">
        <v>0</v>
      </c>
    </row>
    <row r="4997" spans="1:10" ht="26.25" hidden="1" thickBot="1" x14ac:dyDescent="0.3">
      <c r="A4997" s="231"/>
      <c r="B4997" s="244"/>
      <c r="C4997" s="32" t="s">
        <v>3583</v>
      </c>
      <c r="D4997" s="32" t="s">
        <v>95</v>
      </c>
      <c r="E4997" s="33">
        <v>1.08</v>
      </c>
      <c r="F4997" s="50" t="s">
        <v>523</v>
      </c>
      <c r="G4997" s="50" t="str">
        <f t="shared" si="94"/>
        <v/>
      </c>
      <c r="H4997" s="35">
        <f>SUM(G4997:G5001)</f>
        <v>29.618720000000003</v>
      </c>
      <c r="I4997" s="36"/>
      <c r="J4997" s="141">
        <v>0</v>
      </c>
    </row>
    <row r="4998" spans="1:10" ht="15.75" hidden="1" thickBot="1" x14ac:dyDescent="0.3">
      <c r="A4998" s="231"/>
      <c r="B4998" s="244"/>
      <c r="C4998" s="32" t="s">
        <v>3538</v>
      </c>
      <c r="D4998" s="32" t="s">
        <v>42</v>
      </c>
      <c r="E4998" s="33">
        <v>6.14</v>
      </c>
      <c r="F4998" s="50">
        <v>0.96899999999999997</v>
      </c>
      <c r="G4998" s="50">
        <f t="shared" si="94"/>
        <v>5.9496599999999997</v>
      </c>
      <c r="H4998" s="69"/>
      <c r="I4998" s="70"/>
      <c r="J4998" s="141">
        <v>0</v>
      </c>
    </row>
    <row r="4999" spans="1:10" ht="15.75" hidden="1" thickBot="1" x14ac:dyDescent="0.3">
      <c r="A4999" s="231"/>
      <c r="B4999" s="244"/>
      <c r="C4999" s="32" t="s">
        <v>3536</v>
      </c>
      <c r="D4999" s="32" t="s">
        <v>42</v>
      </c>
      <c r="E4999" s="33">
        <v>0.22</v>
      </c>
      <c r="F4999" s="50">
        <v>3.0590000000000002</v>
      </c>
      <c r="G4999" s="50">
        <f t="shared" si="94"/>
        <v>0.67298000000000002</v>
      </c>
      <c r="H4999" s="69"/>
      <c r="I4999" s="70"/>
      <c r="J4999" s="141">
        <v>0</v>
      </c>
    </row>
    <row r="5000" spans="1:10" ht="15.75" hidden="1" thickBot="1" x14ac:dyDescent="0.3">
      <c r="A5000" s="231"/>
      <c r="B5000" s="244"/>
      <c r="C5000" s="32" t="s">
        <v>36</v>
      </c>
      <c r="D5000" s="32" t="s">
        <v>12</v>
      </c>
      <c r="E5000" s="33">
        <v>0.66</v>
      </c>
      <c r="F5000" s="50">
        <v>24.795000000000002</v>
      </c>
      <c r="G5000" s="50">
        <f t="shared" si="94"/>
        <v>16.364700000000003</v>
      </c>
      <c r="H5000" s="69"/>
      <c r="I5000" s="70"/>
      <c r="J5000" s="141">
        <v>0</v>
      </c>
    </row>
    <row r="5001" spans="1:10" ht="15.75" hidden="1" thickBot="1" x14ac:dyDescent="0.3">
      <c r="A5001" s="231"/>
      <c r="B5001" s="244"/>
      <c r="C5001" s="32" t="s">
        <v>23</v>
      </c>
      <c r="D5001" s="32" t="s">
        <v>12</v>
      </c>
      <c r="E5001" s="33">
        <v>0.36</v>
      </c>
      <c r="F5001" s="50">
        <v>18.420500000000001</v>
      </c>
      <c r="G5001" s="50">
        <f t="shared" si="94"/>
        <v>6.6313800000000001</v>
      </c>
      <c r="H5001" s="69"/>
      <c r="I5001" s="70"/>
      <c r="J5001" s="141">
        <v>0</v>
      </c>
    </row>
    <row r="5002" spans="1:10" ht="15.75" hidden="1" thickBot="1" x14ac:dyDescent="0.3">
      <c r="A5002" s="231"/>
      <c r="B5002" s="244"/>
      <c r="C5002" s="32"/>
      <c r="D5002" s="43"/>
      <c r="E5002" s="33"/>
      <c r="F5002" s="50" t="s">
        <v>523</v>
      </c>
      <c r="G5002" s="50" t="str">
        <f t="shared" si="94"/>
        <v/>
      </c>
      <c r="H5002" s="69"/>
      <c r="I5002" s="70"/>
      <c r="J5002" s="141">
        <v>0</v>
      </c>
    </row>
    <row r="5003" spans="1:10" ht="15.75" hidden="1" thickBot="1" x14ac:dyDescent="0.3">
      <c r="A5003" s="239" t="s">
        <v>3436</v>
      </c>
      <c r="B5003" s="236" t="str">
        <f>INDEX(Orçamentária!A:B,MATCH(Composições!A5003,Orçamentária!A:A,0),2)</f>
        <v>Instalação de tacos de madeira reaproveitados</v>
      </c>
      <c r="C5003" s="37"/>
      <c r="D5003" s="22" t="str">
        <f>TRIM(INDEX(Orçamentária!C:C,MATCH(Composições!A5003,Orçamentária!A:A,0),1))</f>
        <v>m2</v>
      </c>
      <c r="E5003" s="23"/>
      <c r="F5003" s="38" t="s">
        <v>523</v>
      </c>
      <c r="G5003" s="24" t="str">
        <f t="shared" si="94"/>
        <v/>
      </c>
      <c r="H5003" s="25"/>
      <c r="I5003" s="26"/>
      <c r="J5003" s="141">
        <v>0</v>
      </c>
    </row>
    <row r="5004" spans="1:10" ht="15.75" hidden="1" thickBot="1" x14ac:dyDescent="0.3">
      <c r="A5004" s="240"/>
      <c r="B5004" s="245"/>
      <c r="C5004" s="28"/>
      <c r="D5004" s="28"/>
      <c r="E5004" s="29"/>
      <c r="F5004" s="39" t="s">
        <v>523</v>
      </c>
      <c r="G5004" s="27" t="str">
        <f t="shared" si="94"/>
        <v/>
      </c>
      <c r="H5004" s="31"/>
      <c r="I5004" s="27"/>
      <c r="J5004" s="141">
        <v>0</v>
      </c>
    </row>
    <row r="5005" spans="1:10" ht="15.75" hidden="1" thickBot="1" x14ac:dyDescent="0.3">
      <c r="A5005" s="240"/>
      <c r="B5005" s="245"/>
      <c r="C5005" s="32" t="s">
        <v>1242</v>
      </c>
      <c r="D5005" s="148" t="s">
        <v>42</v>
      </c>
      <c r="E5005" s="33">
        <v>0.57499999999999996</v>
      </c>
      <c r="F5005" s="30">
        <v>41.249000000000002</v>
      </c>
      <c r="G5005" s="30">
        <f t="shared" si="94"/>
        <v>23.718174999999999</v>
      </c>
      <c r="H5005" s="35">
        <f>SUM(G5005:G5007)</f>
        <v>42.323685599999997</v>
      </c>
      <c r="I5005" s="36"/>
      <c r="J5005" s="141">
        <v>0</v>
      </c>
    </row>
    <row r="5006" spans="1:10" ht="15.75" hidden="1" thickBot="1" x14ac:dyDescent="0.3">
      <c r="A5006" s="240"/>
      <c r="B5006" s="245"/>
      <c r="C5006" s="32" t="s">
        <v>706</v>
      </c>
      <c r="D5006" s="32" t="s">
        <v>705</v>
      </c>
      <c r="E5006" s="33">
        <v>0.2399</v>
      </c>
      <c r="F5006" s="30">
        <v>18.420500000000001</v>
      </c>
      <c r="G5006" s="30">
        <f t="shared" si="94"/>
        <v>4.4190779500000001</v>
      </c>
      <c r="H5006" s="41"/>
      <c r="I5006" s="42"/>
      <c r="J5006" s="141">
        <v>0</v>
      </c>
    </row>
    <row r="5007" spans="1:10" ht="15.75" hidden="1" thickBot="1" x14ac:dyDescent="0.3">
      <c r="A5007" s="240"/>
      <c r="B5007" s="245"/>
      <c r="C5007" s="32" t="s">
        <v>1221</v>
      </c>
      <c r="D5007" s="43" t="s">
        <v>705</v>
      </c>
      <c r="E5007" s="33">
        <v>0.57589999999999997</v>
      </c>
      <c r="F5007" s="27">
        <v>24.633499999999998</v>
      </c>
      <c r="G5007" s="27">
        <f t="shared" si="94"/>
        <v>14.186432649999999</v>
      </c>
      <c r="H5007" s="31"/>
      <c r="I5007" s="27"/>
      <c r="J5007" s="141">
        <v>0</v>
      </c>
    </row>
    <row r="5008" spans="1:10" ht="15.75" hidden="1" thickBot="1" x14ac:dyDescent="0.3">
      <c r="A5008" s="241"/>
      <c r="B5008" s="238"/>
      <c r="C5008" s="32"/>
      <c r="D5008" s="32"/>
      <c r="E5008" s="33"/>
      <c r="F5008" s="27" t="s">
        <v>523</v>
      </c>
      <c r="G5008" s="27" t="str">
        <f t="shared" si="94"/>
        <v/>
      </c>
      <c r="H5008" s="31"/>
      <c r="I5008" s="27"/>
      <c r="J5008" s="141">
        <v>0</v>
      </c>
    </row>
    <row r="5009" spans="1:10" ht="15.75" hidden="1" thickBot="1" x14ac:dyDescent="0.3">
      <c r="A5009" s="239" t="s">
        <v>3441</v>
      </c>
      <c r="B5009" s="236" t="str">
        <f>INDEX(Orçamentária!A:B,MATCH(Composições!A5009,Orçamentária!A:A,0),2)</f>
        <v>Instalação de cortinas reaproveitadas</v>
      </c>
      <c r="C5009" s="37"/>
      <c r="D5009" s="22" t="str">
        <f>TRIM(INDEX(Orçamentária!C:C,MATCH(Composições!A5009,Orçamentária!A:A,0),1))</f>
        <v>m</v>
      </c>
      <c r="E5009" s="23"/>
      <c r="F5009" s="38" t="s">
        <v>523</v>
      </c>
      <c r="G5009" s="24" t="str">
        <f t="shared" si="94"/>
        <v/>
      </c>
      <c r="H5009" s="25"/>
      <c r="I5009" s="26"/>
      <c r="J5009" s="141">
        <v>0</v>
      </c>
    </row>
    <row r="5010" spans="1:10" ht="15.75" hidden="1" thickBot="1" x14ac:dyDescent="0.3">
      <c r="A5010" s="240"/>
      <c r="B5010" s="245"/>
      <c r="C5010" s="28"/>
      <c r="D5010" s="28"/>
      <c r="E5010" s="29"/>
      <c r="F5010" s="39" t="s">
        <v>523</v>
      </c>
      <c r="G5010" s="27" t="str">
        <f t="shared" si="94"/>
        <v/>
      </c>
      <c r="H5010" s="31"/>
      <c r="I5010" s="27"/>
      <c r="J5010" s="141">
        <v>0</v>
      </c>
    </row>
    <row r="5011" spans="1:10" ht="15.75" hidden="1" thickBot="1" x14ac:dyDescent="0.3">
      <c r="A5011" s="240"/>
      <c r="B5011" s="245"/>
      <c r="C5011" s="32" t="s">
        <v>1385</v>
      </c>
      <c r="D5011" s="32" t="s">
        <v>705</v>
      </c>
      <c r="E5011" s="33">
        <v>0.5</v>
      </c>
      <c r="F5011" s="30">
        <v>19.474999999999998</v>
      </c>
      <c r="G5011" s="30">
        <f t="shared" si="94"/>
        <v>9.7374999999999989</v>
      </c>
      <c r="H5011" s="35">
        <f>SUM(G5011:G5011)</f>
        <v>9.7374999999999989</v>
      </c>
      <c r="I5011" s="36"/>
      <c r="J5011" s="141">
        <v>0</v>
      </c>
    </row>
    <row r="5012" spans="1:10" ht="15.75" hidden="1" thickBot="1" x14ac:dyDescent="0.3">
      <c r="A5012" s="241"/>
      <c r="B5012" s="238"/>
      <c r="C5012" s="32"/>
      <c r="D5012" s="32"/>
      <c r="E5012" s="33"/>
      <c r="F5012" s="27" t="s">
        <v>523</v>
      </c>
      <c r="G5012" s="27" t="str">
        <f t="shared" si="94"/>
        <v/>
      </c>
      <c r="H5012" s="31"/>
      <c r="I5012" s="27"/>
      <c r="J5012" s="141">
        <v>0</v>
      </c>
    </row>
    <row r="5013" spans="1:10" ht="15.75" hidden="1" thickBot="1" x14ac:dyDescent="0.3">
      <c r="A5013" s="239" t="s">
        <v>3442</v>
      </c>
      <c r="B5013" s="236" t="str">
        <f>INDEX(Orçamentária!A:B,MATCH(Composições!A5013,Orçamentária!A:A,0),2)</f>
        <v>Tubo CPVC soldável 22mm – Linha Residencial</v>
      </c>
      <c r="C5013" s="37"/>
      <c r="D5013" s="22" t="str">
        <f>TRIM(INDEX(Orçamentária!C:C,MATCH(Composições!A5013,Orçamentária!A:A,0),1))</f>
        <v>m</v>
      </c>
      <c r="E5013" s="23"/>
      <c r="F5013" s="38" t="s">
        <v>523</v>
      </c>
      <c r="G5013" s="24" t="str">
        <f t="shared" si="94"/>
        <v/>
      </c>
      <c r="H5013" s="25"/>
      <c r="I5013" s="26"/>
      <c r="J5013" s="141">
        <v>0</v>
      </c>
    </row>
    <row r="5014" spans="1:10" ht="15.75" hidden="1" thickBot="1" x14ac:dyDescent="0.3">
      <c r="A5014" s="240"/>
      <c r="B5014" s="245"/>
      <c r="C5014" s="28"/>
      <c r="D5014" s="28"/>
      <c r="E5014" s="29"/>
      <c r="F5014" s="39" t="s">
        <v>523</v>
      </c>
      <c r="G5014" s="27" t="str">
        <f t="shared" si="94"/>
        <v/>
      </c>
      <c r="H5014" s="31"/>
      <c r="I5014" s="27"/>
      <c r="J5014" s="141">
        <v>0</v>
      </c>
    </row>
    <row r="5015" spans="1:10" ht="15.75" hidden="1" thickBot="1" x14ac:dyDescent="0.3">
      <c r="A5015" s="240"/>
      <c r="B5015" s="245"/>
      <c r="C5015" s="32" t="s">
        <v>3390</v>
      </c>
      <c r="D5015" s="32" t="s">
        <v>480</v>
      </c>
      <c r="E5015" s="33">
        <v>1.0609999999999999</v>
      </c>
      <c r="F5015" s="30">
        <v>15.798499999999999</v>
      </c>
      <c r="G5015" s="30">
        <f t="shared" si="94"/>
        <v>16.762208499999996</v>
      </c>
      <c r="H5015" s="35">
        <f>SUM(G5015:G5017)</f>
        <v>31.473452499999997</v>
      </c>
      <c r="I5015" s="36"/>
      <c r="J5015" s="141">
        <v>0</v>
      </c>
    </row>
    <row r="5016" spans="1:10" ht="26.25" hidden="1" thickBot="1" x14ac:dyDescent="0.3">
      <c r="A5016" s="240"/>
      <c r="B5016" s="245"/>
      <c r="C5016" s="32" t="s">
        <v>956</v>
      </c>
      <c r="D5016" s="32" t="s">
        <v>705</v>
      </c>
      <c r="E5016" s="33">
        <v>0.33900000000000002</v>
      </c>
      <c r="F5016" s="30">
        <v>19.094999999999999</v>
      </c>
      <c r="G5016" s="30">
        <f t="shared" si="94"/>
        <v>6.4732050000000001</v>
      </c>
      <c r="H5016" s="41"/>
      <c r="I5016" s="42"/>
      <c r="J5016" s="141">
        <v>0</v>
      </c>
    </row>
    <row r="5017" spans="1:10" ht="26.25" hidden="1" thickBot="1" x14ac:dyDescent="0.3">
      <c r="A5017" s="240"/>
      <c r="B5017" s="245"/>
      <c r="C5017" s="32" t="s">
        <v>957</v>
      </c>
      <c r="D5017" s="43" t="s">
        <v>705</v>
      </c>
      <c r="E5017" s="33">
        <v>0.33900000000000002</v>
      </c>
      <c r="F5017" s="27">
        <v>24.300999999999998</v>
      </c>
      <c r="G5017" s="27">
        <f t="shared" si="94"/>
        <v>8.2380390000000006</v>
      </c>
      <c r="H5017" s="31"/>
      <c r="I5017" s="27"/>
      <c r="J5017" s="141">
        <v>0</v>
      </c>
    </row>
    <row r="5018" spans="1:10" ht="15.75" hidden="1" thickBot="1" x14ac:dyDescent="0.3">
      <c r="A5018" s="241"/>
      <c r="B5018" s="238"/>
      <c r="C5018" s="32"/>
      <c r="D5018" s="32"/>
      <c r="E5018" s="33"/>
      <c r="F5018" s="27" t="s">
        <v>523</v>
      </c>
      <c r="G5018" s="27" t="str">
        <f t="shared" si="94"/>
        <v/>
      </c>
      <c r="H5018" s="31"/>
      <c r="I5018" s="27"/>
      <c r="J5018" s="141">
        <v>0</v>
      </c>
    </row>
    <row r="5019" spans="1:10" ht="15.75" hidden="1" thickBot="1" x14ac:dyDescent="0.3">
      <c r="A5019" s="239" t="s">
        <v>3443</v>
      </c>
      <c r="B5019" s="236" t="str">
        <f>INDEX(Orçamentária!A:B,MATCH(Composições!A5019,Orçamentária!A:A,0),2)</f>
        <v>Tubo CPVC soldável 28mm – Linha Residencial</v>
      </c>
      <c r="C5019" s="37"/>
      <c r="D5019" s="22" t="str">
        <f>TRIM(INDEX(Orçamentária!C:C,MATCH(Composições!A5019,Orçamentária!A:A,0),1))</f>
        <v>m</v>
      </c>
      <c r="E5019" s="23"/>
      <c r="F5019" s="38" t="s">
        <v>523</v>
      </c>
      <c r="G5019" s="24" t="str">
        <f t="shared" si="94"/>
        <v/>
      </c>
      <c r="H5019" s="25"/>
      <c r="I5019" s="26"/>
      <c r="J5019" s="141">
        <v>0</v>
      </c>
    </row>
    <row r="5020" spans="1:10" ht="15.75" hidden="1" thickBot="1" x14ac:dyDescent="0.3">
      <c r="A5020" s="240"/>
      <c r="B5020" s="245"/>
      <c r="C5020" s="28"/>
      <c r="D5020" s="28"/>
      <c r="E5020" s="29"/>
      <c r="F5020" s="39" t="s">
        <v>523</v>
      </c>
      <c r="G5020" s="27" t="str">
        <f t="shared" si="94"/>
        <v/>
      </c>
      <c r="H5020" s="31"/>
      <c r="I5020" s="27"/>
      <c r="J5020" s="141">
        <v>0</v>
      </c>
    </row>
    <row r="5021" spans="1:10" ht="15.75" hidden="1" thickBot="1" x14ac:dyDescent="0.3">
      <c r="A5021" s="240"/>
      <c r="B5021" s="245"/>
      <c r="C5021" s="32" t="s">
        <v>3391</v>
      </c>
      <c r="D5021" s="32" t="s">
        <v>480</v>
      </c>
      <c r="E5021" s="33">
        <v>1.0609999999999999</v>
      </c>
      <c r="F5021" s="30">
        <v>25.355499999999999</v>
      </c>
      <c r="G5021" s="30">
        <f t="shared" si="94"/>
        <v>26.902185499999998</v>
      </c>
      <c r="H5021" s="35">
        <f>SUM(G5021:G5023)</f>
        <v>44.260585499999998</v>
      </c>
      <c r="I5021" s="36"/>
      <c r="J5021" s="141">
        <v>0</v>
      </c>
    </row>
    <row r="5022" spans="1:10" ht="26.25" hidden="1" thickBot="1" x14ac:dyDescent="0.3">
      <c r="A5022" s="240"/>
      <c r="B5022" s="245"/>
      <c r="C5022" s="32" t="s">
        <v>956</v>
      </c>
      <c r="D5022" s="32" t="s">
        <v>705</v>
      </c>
      <c r="E5022" s="33">
        <v>0.4</v>
      </c>
      <c r="F5022" s="30">
        <v>19.094999999999999</v>
      </c>
      <c r="G5022" s="30">
        <f t="shared" si="94"/>
        <v>7.6379999999999999</v>
      </c>
      <c r="H5022" s="41"/>
      <c r="I5022" s="42"/>
      <c r="J5022" s="141">
        <v>0</v>
      </c>
    </row>
    <row r="5023" spans="1:10" ht="26.25" hidden="1" thickBot="1" x14ac:dyDescent="0.3">
      <c r="A5023" s="240"/>
      <c r="B5023" s="245"/>
      <c r="C5023" s="32" t="s">
        <v>957</v>
      </c>
      <c r="D5023" s="43" t="s">
        <v>705</v>
      </c>
      <c r="E5023" s="33">
        <v>0.4</v>
      </c>
      <c r="F5023" s="27">
        <v>24.300999999999998</v>
      </c>
      <c r="G5023" s="27">
        <f t="shared" si="94"/>
        <v>9.7203999999999997</v>
      </c>
      <c r="H5023" s="31"/>
      <c r="I5023" s="27"/>
      <c r="J5023" s="141">
        <v>0</v>
      </c>
    </row>
    <row r="5024" spans="1:10" ht="15.75" hidden="1" thickBot="1" x14ac:dyDescent="0.3">
      <c r="A5024" s="241"/>
      <c r="B5024" s="238"/>
      <c r="C5024" s="32"/>
      <c r="D5024" s="32"/>
      <c r="E5024" s="33"/>
      <c r="F5024" s="27" t="s">
        <v>523</v>
      </c>
      <c r="G5024" s="27" t="str">
        <f t="shared" si="94"/>
        <v/>
      </c>
      <c r="H5024" s="31"/>
      <c r="I5024" s="27"/>
      <c r="J5024" s="141">
        <v>0</v>
      </c>
    </row>
    <row r="5025" spans="1:10" ht="15.75" hidden="1" thickBot="1" x14ac:dyDescent="0.3">
      <c r="A5025" s="225" t="s">
        <v>3444</v>
      </c>
      <c r="B5025" s="228" t="str">
        <f>INDEX(Orçamentária!A:B,MATCH(Composições!A5025,Orçamentária!A:A,0),2)</f>
        <v>Instalação de bidê reaproveitado</v>
      </c>
      <c r="C5025" s="37"/>
      <c r="D5025" s="22" t="str">
        <f>TRIM(INDEX(Orçamentária!C:C,MATCH(Composições!A5025,Orçamentária!A:A,0),1))</f>
        <v>un</v>
      </c>
      <c r="E5025" s="23"/>
      <c r="F5025" s="38" t="s">
        <v>523</v>
      </c>
      <c r="G5025" s="24" t="str">
        <f t="shared" si="94"/>
        <v/>
      </c>
      <c r="H5025" s="25"/>
      <c r="I5025" s="26"/>
      <c r="J5025" s="141">
        <v>0</v>
      </c>
    </row>
    <row r="5026" spans="1:10" ht="15.75" hidden="1" thickBot="1" x14ac:dyDescent="0.3">
      <c r="A5026" s="226"/>
      <c r="B5026" s="244"/>
      <c r="C5026" s="28"/>
      <c r="D5026" s="28"/>
      <c r="E5026" s="29"/>
      <c r="F5026" s="39" t="s">
        <v>523</v>
      </c>
      <c r="G5026" s="27" t="str">
        <f t="shared" si="94"/>
        <v/>
      </c>
      <c r="H5026" s="31"/>
      <c r="I5026" s="27"/>
      <c r="J5026" s="141">
        <v>0</v>
      </c>
    </row>
    <row r="5027" spans="1:10" ht="26.25" hidden="1" thickBot="1" x14ac:dyDescent="0.3">
      <c r="A5027" s="226"/>
      <c r="B5027" s="244"/>
      <c r="C5027" s="32" t="s">
        <v>330</v>
      </c>
      <c r="D5027" s="43" t="s">
        <v>280</v>
      </c>
      <c r="E5027" s="33">
        <v>2</v>
      </c>
      <c r="F5027" s="30">
        <v>20.728999999999999</v>
      </c>
      <c r="G5027" s="30">
        <f t="shared" si="94"/>
        <v>41.457999999999998</v>
      </c>
      <c r="H5027" s="35">
        <f>SUM(G5027:G5031)</f>
        <v>78.95213545</v>
      </c>
      <c r="I5027" s="36"/>
      <c r="J5027" s="141">
        <v>0</v>
      </c>
    </row>
    <row r="5028" spans="1:10" ht="26.25" hidden="1" thickBot="1" x14ac:dyDescent="0.3">
      <c r="A5028" s="226"/>
      <c r="B5028" s="244"/>
      <c r="C5028" s="32" t="s">
        <v>6627</v>
      </c>
      <c r="D5028" s="43" t="s">
        <v>280</v>
      </c>
      <c r="E5028" s="33">
        <v>1</v>
      </c>
      <c r="F5028" s="30">
        <v>13.2905</v>
      </c>
      <c r="G5028" s="30">
        <f t="shared" si="94"/>
        <v>13.2905</v>
      </c>
      <c r="H5028" s="31"/>
      <c r="I5028" s="36"/>
      <c r="J5028" s="141">
        <v>0</v>
      </c>
    </row>
    <row r="5029" spans="1:10" ht="15.75" hidden="1" thickBot="1" x14ac:dyDescent="0.3">
      <c r="A5029" s="226"/>
      <c r="B5029" s="244"/>
      <c r="C5029" s="32" t="s">
        <v>3539</v>
      </c>
      <c r="D5029" s="43" t="s">
        <v>42</v>
      </c>
      <c r="E5029" s="33">
        <v>8.8099999999999998E-2</v>
      </c>
      <c r="F5029" s="30">
        <v>64.619</v>
      </c>
      <c r="G5029" s="30">
        <f t="shared" si="94"/>
        <v>5.6929338999999999</v>
      </c>
      <c r="H5029" s="31"/>
      <c r="I5029" s="27"/>
      <c r="J5029" s="141">
        <v>0</v>
      </c>
    </row>
    <row r="5030" spans="1:10" ht="15.75" hidden="1" thickBot="1" x14ac:dyDescent="0.3">
      <c r="A5030" s="226"/>
      <c r="B5030" s="244"/>
      <c r="C5030" s="32" t="s">
        <v>39</v>
      </c>
      <c r="D5030" s="43" t="s">
        <v>12</v>
      </c>
      <c r="E5030" s="33">
        <v>0.49680000000000002</v>
      </c>
      <c r="F5030" s="27">
        <v>24.300999999999998</v>
      </c>
      <c r="G5030" s="30">
        <f t="shared" si="94"/>
        <v>12.072736799999999</v>
      </c>
      <c r="H5030" s="31"/>
      <c r="I5030" s="27"/>
      <c r="J5030" s="141">
        <v>0</v>
      </c>
    </row>
    <row r="5031" spans="1:10" ht="15.75" hidden="1" thickBot="1" x14ac:dyDescent="0.3">
      <c r="A5031" s="226"/>
      <c r="B5031" s="244"/>
      <c r="C5031" s="32" t="s">
        <v>23</v>
      </c>
      <c r="D5031" s="43" t="s">
        <v>12</v>
      </c>
      <c r="E5031" s="33">
        <v>0.34949999999999998</v>
      </c>
      <c r="F5031" s="27">
        <v>18.420500000000001</v>
      </c>
      <c r="G5031" s="30">
        <f t="shared" si="94"/>
        <v>6.4379647499999999</v>
      </c>
      <c r="H5031" s="31"/>
      <c r="I5031" s="27"/>
      <c r="J5031" s="141">
        <v>0</v>
      </c>
    </row>
    <row r="5032" spans="1:10" ht="15.75" hidden="1" thickBot="1" x14ac:dyDescent="0.3">
      <c r="A5032" s="227"/>
      <c r="B5032" s="230"/>
      <c r="C5032" s="32"/>
      <c r="D5032" s="32"/>
      <c r="E5032" s="33"/>
      <c r="F5032" s="27" t="s">
        <v>523</v>
      </c>
      <c r="G5032" s="27" t="str">
        <f t="shared" si="94"/>
        <v/>
      </c>
      <c r="H5032" s="31"/>
      <c r="I5032" s="27"/>
      <c r="J5032" s="141">
        <v>0</v>
      </c>
    </row>
    <row r="5033" spans="1:10" ht="15.75" hidden="1" thickBot="1" x14ac:dyDescent="0.3">
      <c r="A5033" s="225" t="s">
        <v>3445</v>
      </c>
      <c r="B5033" s="228" t="str">
        <f>INDEX(Orçamentária!A:B,MATCH(Composições!A5033,Orçamentária!A:A,0),2)</f>
        <v>Aquecedor elétrico para pia – Linha Residencial</v>
      </c>
      <c r="C5033" s="37"/>
      <c r="D5033" s="22" t="str">
        <f>TRIM(INDEX(Orçamentária!C:C,MATCH(Composições!A5033,Orçamentária!A:A,0),1))</f>
        <v>un</v>
      </c>
      <c r="E5033" s="23"/>
      <c r="F5033" s="38" t="s">
        <v>523</v>
      </c>
      <c r="G5033" s="24" t="str">
        <f t="shared" si="94"/>
        <v/>
      </c>
      <c r="H5033" s="25"/>
      <c r="I5033" s="26"/>
      <c r="J5033" s="141">
        <v>0</v>
      </c>
    </row>
    <row r="5034" spans="1:10" ht="15.75" hidden="1" thickBot="1" x14ac:dyDescent="0.3">
      <c r="A5034" s="226"/>
      <c r="B5034" s="244"/>
      <c r="C5034" s="28"/>
      <c r="D5034" s="28"/>
      <c r="E5034" s="29"/>
      <c r="F5034" s="39" t="s">
        <v>523</v>
      </c>
      <c r="G5034" s="27" t="str">
        <f t="shared" si="94"/>
        <v/>
      </c>
      <c r="H5034" s="31"/>
      <c r="I5034" s="27"/>
      <c r="J5034" s="141">
        <v>0</v>
      </c>
    </row>
    <row r="5035" spans="1:10" ht="26.25" hidden="1" thickBot="1" x14ac:dyDescent="0.3">
      <c r="A5035" s="226"/>
      <c r="B5035" s="244"/>
      <c r="C5035" s="32" t="s">
        <v>957</v>
      </c>
      <c r="D5035" s="43" t="s">
        <v>705</v>
      </c>
      <c r="E5035" s="33">
        <v>0.5</v>
      </c>
      <c r="F5035" s="27">
        <v>24.300999999999998</v>
      </c>
      <c r="G5035" s="27">
        <f t="shared" si="94"/>
        <v>12.150499999999999</v>
      </c>
      <c r="H5035" s="35">
        <f>SUM(G5035:G5038)</f>
        <v>21.849452800000002</v>
      </c>
      <c r="I5035" s="36"/>
      <c r="J5035" s="141">
        <v>0</v>
      </c>
    </row>
    <row r="5036" spans="1:10" ht="26.25" hidden="1" thickBot="1" x14ac:dyDescent="0.3">
      <c r="A5036" s="226"/>
      <c r="B5036" s="244"/>
      <c r="C5036" s="32" t="s">
        <v>956</v>
      </c>
      <c r="D5036" s="32" t="s">
        <v>705</v>
      </c>
      <c r="E5036" s="33">
        <v>0.5</v>
      </c>
      <c r="F5036" s="30">
        <v>19.094999999999999</v>
      </c>
      <c r="G5036" s="30">
        <f t="shared" si="94"/>
        <v>9.5474999999999994</v>
      </c>
      <c r="H5036" s="31"/>
      <c r="I5036" s="27"/>
      <c r="J5036" s="141">
        <v>0</v>
      </c>
    </row>
    <row r="5037" spans="1:10" ht="15.75" hidden="1" thickBot="1" x14ac:dyDescent="0.3">
      <c r="A5037" s="226"/>
      <c r="B5037" s="244"/>
      <c r="C5037" s="32" t="s">
        <v>319</v>
      </c>
      <c r="D5037" s="32" t="s">
        <v>280</v>
      </c>
      <c r="E5037" s="33">
        <f>0.47/50</f>
        <v>9.3999999999999986E-3</v>
      </c>
      <c r="F5037" s="30">
        <v>16.111999999999998</v>
      </c>
      <c r="G5037" s="30">
        <f t="shared" si="94"/>
        <v>0.15145279999999997</v>
      </c>
      <c r="H5037" s="31"/>
      <c r="I5037" s="27"/>
      <c r="J5037" s="141">
        <v>0</v>
      </c>
    </row>
    <row r="5038" spans="1:10" ht="15.75" hidden="1" thickBot="1" x14ac:dyDescent="0.3">
      <c r="A5038" s="226"/>
      <c r="B5038" s="244"/>
      <c r="C5038" s="32" t="s">
        <v>3584</v>
      </c>
      <c r="D5038" s="32" t="s">
        <v>280</v>
      </c>
      <c r="E5038" s="33">
        <v>1</v>
      </c>
      <c r="F5038" s="27" t="s">
        <v>523</v>
      </c>
      <c r="G5038" s="30" t="str">
        <f t="shared" si="94"/>
        <v/>
      </c>
      <c r="H5038" s="31"/>
      <c r="I5038" s="27"/>
      <c r="J5038" s="141">
        <v>0</v>
      </c>
    </row>
    <row r="5039" spans="1:10" ht="15.75" hidden="1" thickBot="1" x14ac:dyDescent="0.3">
      <c r="A5039" s="227"/>
      <c r="B5039" s="230"/>
      <c r="C5039" s="32"/>
      <c r="D5039" s="32"/>
      <c r="E5039" s="33"/>
      <c r="F5039" s="27" t="s">
        <v>523</v>
      </c>
      <c r="G5039" s="27" t="str">
        <f t="shared" si="94"/>
        <v/>
      </c>
      <c r="H5039" s="31"/>
      <c r="I5039" s="27"/>
      <c r="J5039" s="141">
        <v>0</v>
      </c>
    </row>
    <row r="5040" spans="1:10" ht="15.75" hidden="1" thickBot="1" x14ac:dyDescent="0.3">
      <c r="A5040" s="225" t="s">
        <v>3446</v>
      </c>
      <c r="B5040" s="228" t="str">
        <f>INDEX(Orçamentária!A:B,MATCH(Composições!A5040,Orçamentária!A:A,0),2)</f>
        <v>Chuveiro elétrico – Linha Residencial</v>
      </c>
      <c r="C5040" s="37"/>
      <c r="D5040" s="22" t="str">
        <f>TRIM(INDEX(Orçamentária!C:C,MATCH(Composições!A5040,Orçamentária!A:A,0),1))</f>
        <v>un</v>
      </c>
      <c r="E5040" s="23"/>
      <c r="F5040" s="45" t="s">
        <v>523</v>
      </c>
      <c r="G5040" s="24" t="str">
        <f t="shared" si="94"/>
        <v/>
      </c>
      <c r="H5040" s="25"/>
      <c r="I5040" s="26"/>
      <c r="J5040" s="141">
        <v>0</v>
      </c>
    </row>
    <row r="5041" spans="1:10" ht="15.75" hidden="1" thickBot="1" x14ac:dyDescent="0.3">
      <c r="A5041" s="231"/>
      <c r="B5041" s="244"/>
      <c r="C5041" s="28"/>
      <c r="D5041" s="28"/>
      <c r="E5041" s="29"/>
      <c r="F5041" s="50" t="s">
        <v>523</v>
      </c>
      <c r="G5041" s="50" t="str">
        <f t="shared" si="94"/>
        <v/>
      </c>
      <c r="H5041" s="69"/>
      <c r="I5041" s="70"/>
      <c r="J5041" s="141">
        <v>0</v>
      </c>
    </row>
    <row r="5042" spans="1:10" ht="15.75" hidden="1" thickBot="1" x14ac:dyDescent="0.3">
      <c r="A5042" s="231"/>
      <c r="B5042" s="244"/>
      <c r="C5042" s="32" t="s">
        <v>3691</v>
      </c>
      <c r="D5042" s="32" t="s">
        <v>280</v>
      </c>
      <c r="E5042" s="33">
        <v>1</v>
      </c>
      <c r="F5042" s="50" t="s">
        <v>523</v>
      </c>
      <c r="G5042" s="50" t="str">
        <f t="shared" si="94"/>
        <v/>
      </c>
      <c r="H5042" s="35">
        <f>SUM(G5042:G5045)</f>
        <v>13.538791049999999</v>
      </c>
      <c r="I5042" s="36"/>
      <c r="J5042" s="141">
        <v>0</v>
      </c>
    </row>
    <row r="5043" spans="1:10" ht="15.75" hidden="1" thickBot="1" x14ac:dyDescent="0.3">
      <c r="A5043" s="231"/>
      <c r="B5043" s="244"/>
      <c r="C5043" s="32" t="s">
        <v>1071</v>
      </c>
      <c r="D5043" s="32" t="s">
        <v>280</v>
      </c>
      <c r="E5043" s="33">
        <v>2.1000000000000001E-2</v>
      </c>
      <c r="F5043" s="50">
        <v>4.3699999999999992</v>
      </c>
      <c r="G5043" s="50">
        <f t="shared" si="94"/>
        <v>9.176999999999999E-2</v>
      </c>
      <c r="H5043" s="69"/>
      <c r="I5043" s="70"/>
      <c r="J5043" s="141">
        <v>0</v>
      </c>
    </row>
    <row r="5044" spans="1:10" ht="26.25" hidden="1" thickBot="1" x14ac:dyDescent="0.3">
      <c r="A5044" s="231"/>
      <c r="B5044" s="244"/>
      <c r="C5044" s="32" t="s">
        <v>957</v>
      </c>
      <c r="D5044" s="32" t="s">
        <v>705</v>
      </c>
      <c r="E5044" s="33">
        <v>0.44669999999999999</v>
      </c>
      <c r="F5044" s="50">
        <v>24.300999999999998</v>
      </c>
      <c r="G5044" s="50">
        <f t="shared" si="94"/>
        <v>10.855256699999998</v>
      </c>
      <c r="H5044" s="69"/>
      <c r="I5044" s="70"/>
      <c r="J5044" s="141">
        <v>0</v>
      </c>
    </row>
    <row r="5045" spans="1:10" ht="15.75" hidden="1" thickBot="1" x14ac:dyDescent="0.3">
      <c r="A5045" s="231"/>
      <c r="B5045" s="244"/>
      <c r="C5045" s="32" t="s">
        <v>706</v>
      </c>
      <c r="D5045" s="32" t="s">
        <v>705</v>
      </c>
      <c r="E5045" s="33">
        <v>0.14069999999999999</v>
      </c>
      <c r="F5045" s="50">
        <v>18.420500000000001</v>
      </c>
      <c r="G5045" s="50">
        <f t="shared" si="94"/>
        <v>2.5917643500000001</v>
      </c>
      <c r="H5045" s="69"/>
      <c r="I5045" s="70"/>
      <c r="J5045" s="141">
        <v>0</v>
      </c>
    </row>
    <row r="5046" spans="1:10" ht="15.75" hidden="1" thickBot="1" x14ac:dyDescent="0.3">
      <c r="A5046" s="232"/>
      <c r="B5046" s="230"/>
      <c r="C5046" s="32"/>
      <c r="D5046" s="32"/>
      <c r="E5046" s="33"/>
      <c r="F5046" s="50" t="s">
        <v>523</v>
      </c>
      <c r="G5046" s="50" t="str">
        <f t="shared" si="94"/>
        <v/>
      </c>
      <c r="H5046" s="69"/>
      <c r="I5046" s="70"/>
      <c r="J5046" s="141">
        <v>0</v>
      </c>
    </row>
    <row r="5047" spans="1:10" ht="15.75" hidden="1" thickBot="1" x14ac:dyDescent="0.3">
      <c r="A5047" s="225" t="s">
        <v>3447</v>
      </c>
      <c r="B5047" s="228" t="str">
        <f>INDEX(Orçamentária!A:B,MATCH(Composições!A5047,Orçamentária!A:A,0),2)</f>
        <v>Instalação de boiler reaproveitado</v>
      </c>
      <c r="C5047" s="37"/>
      <c r="D5047" s="22" t="str">
        <f>TRIM(INDEX(Orçamentária!C:C,MATCH(Composições!A5047,Orçamentária!A:A,0),1))</f>
        <v>un</v>
      </c>
      <c r="E5047" s="23"/>
      <c r="F5047" s="45" t="s">
        <v>523</v>
      </c>
      <c r="G5047" s="24" t="str">
        <f t="shared" si="94"/>
        <v/>
      </c>
      <c r="H5047" s="25"/>
      <c r="I5047" s="26"/>
      <c r="J5047" s="141">
        <v>0</v>
      </c>
    </row>
    <row r="5048" spans="1:10" ht="15.75" hidden="1" thickBot="1" x14ac:dyDescent="0.3">
      <c r="A5048" s="231"/>
      <c r="B5048" s="244"/>
      <c r="C5048" s="28"/>
      <c r="D5048" s="28"/>
      <c r="E5048" s="29"/>
      <c r="F5048" s="50" t="s">
        <v>523</v>
      </c>
      <c r="G5048" s="50" t="str">
        <f t="shared" si="94"/>
        <v/>
      </c>
      <c r="H5048" s="69"/>
      <c r="I5048" s="70"/>
      <c r="J5048" s="141">
        <v>0</v>
      </c>
    </row>
    <row r="5049" spans="1:10" ht="26.25" hidden="1" thickBot="1" x14ac:dyDescent="0.3">
      <c r="A5049" s="231"/>
      <c r="B5049" s="244"/>
      <c r="C5049" s="32" t="s">
        <v>956</v>
      </c>
      <c r="D5049" s="43" t="s">
        <v>705</v>
      </c>
      <c r="E5049" s="33">
        <v>4</v>
      </c>
      <c r="F5049" s="27">
        <v>19.094999999999999</v>
      </c>
      <c r="G5049" s="50">
        <f t="shared" si="94"/>
        <v>76.38</v>
      </c>
      <c r="H5049" s="35">
        <f>SUM(G5049:G5053)</f>
        <v>263.21840000000003</v>
      </c>
      <c r="I5049" s="36"/>
      <c r="J5049" s="141">
        <v>0</v>
      </c>
    </row>
    <row r="5050" spans="1:10" ht="26.25" hidden="1" thickBot="1" x14ac:dyDescent="0.3">
      <c r="A5050" s="231"/>
      <c r="B5050" s="244"/>
      <c r="C5050" s="32" t="s">
        <v>957</v>
      </c>
      <c r="D5050" s="32" t="s">
        <v>705</v>
      </c>
      <c r="E5050" s="33">
        <v>4</v>
      </c>
      <c r="F5050" s="27">
        <v>24.300999999999998</v>
      </c>
      <c r="G5050" s="50">
        <f t="shared" si="94"/>
        <v>97.203999999999994</v>
      </c>
      <c r="H5050" s="69"/>
      <c r="I5050" s="70"/>
      <c r="J5050" s="141">
        <v>0</v>
      </c>
    </row>
    <row r="5051" spans="1:10" ht="15.75" hidden="1" thickBot="1" x14ac:dyDescent="0.3">
      <c r="A5051" s="231"/>
      <c r="B5051" s="244"/>
      <c r="C5051" s="32" t="s">
        <v>74</v>
      </c>
      <c r="D5051" s="43" t="s">
        <v>705</v>
      </c>
      <c r="E5051" s="33">
        <v>2</v>
      </c>
      <c r="F5051" s="27">
        <v>19.4085</v>
      </c>
      <c r="G5051" s="50">
        <f t="shared" si="94"/>
        <v>38.817</v>
      </c>
      <c r="H5051" s="69"/>
      <c r="I5051" s="70"/>
      <c r="J5051" s="141">
        <v>0</v>
      </c>
    </row>
    <row r="5052" spans="1:10" ht="15.75" hidden="1" thickBot="1" x14ac:dyDescent="0.3">
      <c r="A5052" s="231"/>
      <c r="B5052" s="244"/>
      <c r="C5052" s="32" t="s">
        <v>30</v>
      </c>
      <c r="D5052" s="32" t="s">
        <v>705</v>
      </c>
      <c r="E5052" s="33">
        <v>2</v>
      </c>
      <c r="F5052" s="27">
        <v>25.146499999999996</v>
      </c>
      <c r="G5052" s="50">
        <f t="shared" si="94"/>
        <v>50.292999999999992</v>
      </c>
      <c r="H5052" s="69"/>
      <c r="I5052" s="70"/>
      <c r="J5052" s="141">
        <v>0</v>
      </c>
    </row>
    <row r="5053" spans="1:10" ht="15.75" hidden="1" thickBot="1" x14ac:dyDescent="0.3">
      <c r="A5053" s="231"/>
      <c r="B5053" s="244"/>
      <c r="C5053" s="32" t="s">
        <v>1071</v>
      </c>
      <c r="D5053" s="32" t="s">
        <v>280</v>
      </c>
      <c r="E5053" s="33">
        <f>1.2/10</f>
        <v>0.12</v>
      </c>
      <c r="F5053" s="50">
        <v>4.3699999999999992</v>
      </c>
      <c r="G5053" s="50">
        <f t="shared" si="94"/>
        <v>0.52439999999999987</v>
      </c>
      <c r="H5053" s="69"/>
      <c r="I5053" s="70"/>
      <c r="J5053" s="141">
        <v>0</v>
      </c>
    </row>
    <row r="5054" spans="1:10" ht="15.75" hidden="1" thickBot="1" x14ac:dyDescent="0.3">
      <c r="A5054" s="231"/>
      <c r="B5054" s="244"/>
      <c r="C5054" s="32"/>
      <c r="D5054" s="43"/>
      <c r="E5054" s="33"/>
      <c r="F5054" s="50" t="s">
        <v>523</v>
      </c>
      <c r="G5054" s="50" t="str">
        <f t="shared" si="94"/>
        <v/>
      </c>
      <c r="H5054" s="69"/>
      <c r="I5054" s="70"/>
      <c r="J5054" s="141">
        <v>0</v>
      </c>
    </row>
    <row r="5055" spans="1:10" ht="15.75" hidden="1" thickBot="1" x14ac:dyDescent="0.3">
      <c r="A5055" s="225" t="s">
        <v>3448</v>
      </c>
      <c r="B5055" s="228" t="str">
        <f>INDEX(Orçamentária!A:B,MATCH(Composições!A5055,Orçamentária!A:A,0),2)</f>
        <v>Prateleira – Linha Residencial</v>
      </c>
      <c r="C5055" s="37"/>
      <c r="D5055" s="22" t="str">
        <f>TRIM(INDEX(Orçamentária!C:C,MATCH(Composições!A5055,Orçamentária!A:A,0),1))</f>
        <v>un</v>
      </c>
      <c r="E5055" s="23"/>
      <c r="F5055" s="38" t="s">
        <v>523</v>
      </c>
      <c r="G5055" s="24" t="str">
        <f t="shared" si="94"/>
        <v/>
      </c>
      <c r="H5055" s="25"/>
      <c r="I5055" s="26"/>
      <c r="J5055" s="141">
        <v>0</v>
      </c>
    </row>
    <row r="5056" spans="1:10" ht="15.75" hidden="1" thickBot="1" x14ac:dyDescent="0.3">
      <c r="A5056" s="226"/>
      <c r="B5056" s="244"/>
      <c r="C5056" s="28"/>
      <c r="D5056" s="28"/>
      <c r="E5056" s="29"/>
      <c r="F5056" s="39" t="s">
        <v>523</v>
      </c>
      <c r="G5056" s="27" t="str">
        <f t="shared" si="94"/>
        <v/>
      </c>
      <c r="H5056" s="31"/>
      <c r="I5056" s="27"/>
      <c r="J5056" s="141">
        <v>0</v>
      </c>
    </row>
    <row r="5057" spans="1:10" ht="26.25" hidden="1" thickBot="1" x14ac:dyDescent="0.3">
      <c r="A5057" s="226"/>
      <c r="B5057" s="244"/>
      <c r="C5057" s="32" t="s">
        <v>3585</v>
      </c>
      <c r="D5057" s="43" t="s">
        <v>144</v>
      </c>
      <c r="E5057" s="33">
        <v>1</v>
      </c>
      <c r="F5057" s="30" t="s">
        <v>523</v>
      </c>
      <c r="G5057" s="30" t="str">
        <f t="shared" si="94"/>
        <v/>
      </c>
      <c r="H5057" s="35">
        <f>SUM(G5057:G5059)</f>
        <v>19.034885899999999</v>
      </c>
      <c r="I5057" s="36"/>
      <c r="J5057" s="141">
        <v>0</v>
      </c>
    </row>
    <row r="5058" spans="1:10" ht="15.75" hidden="1" thickBot="1" x14ac:dyDescent="0.3">
      <c r="A5058" s="226"/>
      <c r="B5058" s="244"/>
      <c r="C5058" s="32" t="s">
        <v>39</v>
      </c>
      <c r="D5058" s="43" t="s">
        <v>12</v>
      </c>
      <c r="E5058" s="33">
        <v>0.63229999999999997</v>
      </c>
      <c r="F5058" s="27">
        <v>24.300999999999998</v>
      </c>
      <c r="G5058" s="30">
        <f t="shared" ref="G5058:G5100" si="95">IF(ISNUMBER(F5058),E5058*F5058,"")</f>
        <v>15.365522299999999</v>
      </c>
      <c r="H5058" s="31"/>
      <c r="I5058" s="27"/>
      <c r="J5058" s="141">
        <v>0</v>
      </c>
    </row>
    <row r="5059" spans="1:10" ht="15.75" hidden="1" thickBot="1" x14ac:dyDescent="0.3">
      <c r="A5059" s="226"/>
      <c r="B5059" s="244"/>
      <c r="C5059" s="32" t="s">
        <v>23</v>
      </c>
      <c r="D5059" s="43" t="s">
        <v>12</v>
      </c>
      <c r="E5059" s="33">
        <v>0.19919999999999999</v>
      </c>
      <c r="F5059" s="27">
        <v>18.420500000000001</v>
      </c>
      <c r="G5059" s="30">
        <f t="shared" si="95"/>
        <v>3.6693636000000001</v>
      </c>
      <c r="H5059" s="31"/>
      <c r="I5059" s="27"/>
      <c r="J5059" s="141">
        <v>0</v>
      </c>
    </row>
    <row r="5060" spans="1:10" ht="15.75" hidden="1" thickBot="1" x14ac:dyDescent="0.3">
      <c r="A5060" s="227"/>
      <c r="B5060" s="230"/>
      <c r="C5060" s="32"/>
      <c r="D5060" s="32"/>
      <c r="E5060" s="33"/>
      <c r="F5060" s="27" t="s">
        <v>523</v>
      </c>
      <c r="G5060" s="27" t="str">
        <f t="shared" si="95"/>
        <v/>
      </c>
      <c r="H5060" s="31"/>
      <c r="I5060" s="27"/>
      <c r="J5060" s="141">
        <v>0</v>
      </c>
    </row>
    <row r="5061" spans="1:10" ht="15.75" hidden="1" thickBot="1" x14ac:dyDescent="0.3">
      <c r="A5061" s="225" t="s">
        <v>3449</v>
      </c>
      <c r="B5061" s="228" t="str">
        <f>INDEX(Orçamentária!A:B,MATCH(Composições!A5061,Orçamentária!A:A,0),2)</f>
        <v>Saboneteira – Linha Residencial</v>
      </c>
      <c r="C5061" s="37"/>
      <c r="D5061" s="22" t="str">
        <f>TRIM(INDEX(Orçamentária!C:C,MATCH(Composições!A5061,Orçamentária!A:A,0),1))</f>
        <v>un</v>
      </c>
      <c r="E5061" s="23"/>
      <c r="F5061" s="38" t="s">
        <v>523</v>
      </c>
      <c r="G5061" s="24" t="str">
        <f t="shared" si="95"/>
        <v/>
      </c>
      <c r="H5061" s="25"/>
      <c r="I5061" s="26"/>
      <c r="J5061" s="141">
        <v>0</v>
      </c>
    </row>
    <row r="5062" spans="1:10" ht="15.75" hidden="1" thickBot="1" x14ac:dyDescent="0.3">
      <c r="A5062" s="226"/>
      <c r="B5062" s="244"/>
      <c r="C5062" s="28"/>
      <c r="D5062" s="28"/>
      <c r="E5062" s="29"/>
      <c r="F5062" s="39" t="s">
        <v>523</v>
      </c>
      <c r="G5062" s="27" t="str">
        <f t="shared" si="95"/>
        <v/>
      </c>
      <c r="H5062" s="31"/>
      <c r="I5062" s="27"/>
      <c r="J5062" s="141">
        <v>0</v>
      </c>
    </row>
    <row r="5063" spans="1:10" ht="26.25" hidden="1" thickBot="1" x14ac:dyDescent="0.3">
      <c r="A5063" s="226"/>
      <c r="B5063" s="244"/>
      <c r="C5063" s="32" t="s">
        <v>3586</v>
      </c>
      <c r="D5063" s="43" t="s">
        <v>144</v>
      </c>
      <c r="E5063" s="33">
        <v>1</v>
      </c>
      <c r="F5063" s="30" t="s">
        <v>523</v>
      </c>
      <c r="G5063" s="30" t="str">
        <f t="shared" si="95"/>
        <v/>
      </c>
      <c r="H5063" s="35">
        <f>SUM(G5063:G5065)</f>
        <v>9.5186579999999985</v>
      </c>
      <c r="I5063" s="36"/>
      <c r="J5063" s="141">
        <v>0</v>
      </c>
    </row>
    <row r="5064" spans="1:10" ht="15.75" hidden="1" thickBot="1" x14ac:dyDescent="0.3">
      <c r="A5064" s="226"/>
      <c r="B5064" s="244"/>
      <c r="C5064" s="32" t="s">
        <v>39</v>
      </c>
      <c r="D5064" s="43" t="s">
        <v>12</v>
      </c>
      <c r="E5064" s="33">
        <v>0.31619999999999998</v>
      </c>
      <c r="F5064" s="27">
        <v>24.300999999999998</v>
      </c>
      <c r="G5064" s="30">
        <f t="shared" si="95"/>
        <v>7.6839761999999991</v>
      </c>
      <c r="H5064" s="31"/>
      <c r="I5064" s="27"/>
      <c r="J5064" s="141">
        <v>0</v>
      </c>
    </row>
    <row r="5065" spans="1:10" ht="15.75" hidden="1" thickBot="1" x14ac:dyDescent="0.3">
      <c r="A5065" s="226"/>
      <c r="B5065" s="244"/>
      <c r="C5065" s="32" t="s">
        <v>23</v>
      </c>
      <c r="D5065" s="43" t="s">
        <v>12</v>
      </c>
      <c r="E5065" s="33">
        <v>9.9599999999999994E-2</v>
      </c>
      <c r="F5065" s="27">
        <v>18.420500000000001</v>
      </c>
      <c r="G5065" s="30">
        <f t="shared" si="95"/>
        <v>1.8346818</v>
      </c>
      <c r="H5065" s="31"/>
      <c r="I5065" s="27"/>
      <c r="J5065" s="141">
        <v>0</v>
      </c>
    </row>
    <row r="5066" spans="1:10" ht="15.75" hidden="1" thickBot="1" x14ac:dyDescent="0.3">
      <c r="A5066" s="227"/>
      <c r="B5066" s="230"/>
      <c r="C5066" s="32"/>
      <c r="D5066" s="32"/>
      <c r="E5066" s="33"/>
      <c r="F5066" s="27" t="s">
        <v>523</v>
      </c>
      <c r="G5066" s="27" t="str">
        <f t="shared" si="95"/>
        <v/>
      </c>
      <c r="H5066" s="31"/>
      <c r="I5066" s="27"/>
      <c r="J5066" s="141">
        <v>0</v>
      </c>
    </row>
    <row r="5067" spans="1:10" ht="15.75" hidden="1" thickBot="1" x14ac:dyDescent="0.3">
      <c r="A5067" s="225" t="s">
        <v>3450</v>
      </c>
      <c r="B5067" s="228" t="str">
        <f>INDEX(Orçamentária!A:B,MATCH(Composições!A5067,Orçamentária!A:A,0),2)</f>
        <v>Módulo campainha eletrônica – Linha Residencial</v>
      </c>
      <c r="C5067" s="37"/>
      <c r="D5067" s="22" t="str">
        <f>TRIM(INDEX(Orçamentária!C:C,MATCH(Composições!A5067,Orçamentária!A:A,0),1))</f>
        <v>un</v>
      </c>
      <c r="E5067" s="23"/>
      <c r="F5067" s="38" t="s">
        <v>523</v>
      </c>
      <c r="G5067" s="24" t="str">
        <f t="shared" si="95"/>
        <v/>
      </c>
      <c r="H5067" s="25"/>
      <c r="I5067" s="26"/>
      <c r="J5067" s="141">
        <v>0</v>
      </c>
    </row>
    <row r="5068" spans="1:10" ht="15.75" hidden="1" thickBot="1" x14ac:dyDescent="0.3">
      <c r="A5068" s="226"/>
      <c r="B5068" s="244"/>
      <c r="C5068" s="28"/>
      <c r="D5068" s="28"/>
      <c r="E5068" s="29"/>
      <c r="F5068" s="39" t="s">
        <v>523</v>
      </c>
      <c r="G5068" s="27" t="str">
        <f t="shared" si="95"/>
        <v/>
      </c>
      <c r="H5068" s="31"/>
      <c r="I5068" s="27"/>
      <c r="J5068" s="141">
        <v>0</v>
      </c>
    </row>
    <row r="5069" spans="1:10" ht="15.75" hidden="1" thickBot="1" x14ac:dyDescent="0.3">
      <c r="A5069" s="226"/>
      <c r="B5069" s="244"/>
      <c r="C5069" s="32" t="s">
        <v>3587</v>
      </c>
      <c r="D5069" s="32" t="s">
        <v>20</v>
      </c>
      <c r="E5069" s="33">
        <v>1</v>
      </c>
      <c r="F5069" s="30" t="s">
        <v>523</v>
      </c>
      <c r="G5069" s="27" t="str">
        <f t="shared" si="95"/>
        <v/>
      </c>
      <c r="H5069" s="35">
        <f>SUM(G5069:G5071)</f>
        <v>15.638804999999998</v>
      </c>
      <c r="I5069" s="36"/>
      <c r="J5069" s="141">
        <v>0</v>
      </c>
    </row>
    <row r="5070" spans="1:10" ht="15.75" hidden="1" thickBot="1" x14ac:dyDescent="0.3">
      <c r="A5070" s="226"/>
      <c r="B5070" s="244"/>
      <c r="C5070" s="32" t="s">
        <v>74</v>
      </c>
      <c r="D5070" s="32" t="s">
        <v>12</v>
      </c>
      <c r="E5070" s="33">
        <v>0.35099999999999998</v>
      </c>
      <c r="F5070" s="27">
        <v>19.4085</v>
      </c>
      <c r="G5070" s="30">
        <f t="shared" si="95"/>
        <v>6.8123834999999993</v>
      </c>
      <c r="H5070" s="31"/>
      <c r="I5070" s="27"/>
      <c r="J5070" s="141">
        <v>0</v>
      </c>
    </row>
    <row r="5071" spans="1:10" ht="15.75" hidden="1" thickBot="1" x14ac:dyDescent="0.3">
      <c r="A5071" s="226"/>
      <c r="B5071" s="244"/>
      <c r="C5071" s="32" t="s">
        <v>30</v>
      </c>
      <c r="D5071" s="32" t="s">
        <v>12</v>
      </c>
      <c r="E5071" s="33">
        <v>0.35099999999999998</v>
      </c>
      <c r="F5071" s="27">
        <v>25.146499999999996</v>
      </c>
      <c r="G5071" s="30">
        <f t="shared" si="95"/>
        <v>8.8264214999999986</v>
      </c>
      <c r="H5071" s="31"/>
      <c r="I5071" s="27"/>
      <c r="J5071" s="141">
        <v>0</v>
      </c>
    </row>
    <row r="5072" spans="1:10" ht="15.75" hidden="1" thickBot="1" x14ac:dyDescent="0.3">
      <c r="A5072" s="227"/>
      <c r="B5072" s="230"/>
      <c r="C5072" s="32"/>
      <c r="D5072" s="32"/>
      <c r="E5072" s="33"/>
      <c r="F5072" s="27" t="s">
        <v>523</v>
      </c>
      <c r="G5072" s="27" t="str">
        <f t="shared" si="95"/>
        <v/>
      </c>
      <c r="H5072" s="31"/>
      <c r="I5072" s="27"/>
      <c r="J5072" s="141">
        <v>0</v>
      </c>
    </row>
    <row r="5073" spans="1:10" ht="15.75" hidden="1" thickBot="1" x14ac:dyDescent="0.3">
      <c r="A5073" s="225" t="s">
        <v>3451</v>
      </c>
      <c r="B5073" s="228" t="str">
        <f>INDEX(Orçamentária!A:B,MATCH(Composições!A5073,Orçamentária!A:A,0),2)</f>
        <v>Módulo pulsador – Linha Residencial</v>
      </c>
      <c r="C5073" s="37"/>
      <c r="D5073" s="22" t="str">
        <f>TRIM(INDEX(Orçamentária!C:C,MATCH(Composições!A5073,Orçamentária!A:A,0),1))</f>
        <v>un</v>
      </c>
      <c r="E5073" s="23"/>
      <c r="F5073" s="38" t="s">
        <v>523</v>
      </c>
      <c r="G5073" s="24" t="str">
        <f t="shared" si="95"/>
        <v/>
      </c>
      <c r="H5073" s="25"/>
      <c r="I5073" s="26"/>
      <c r="J5073" s="141">
        <v>0</v>
      </c>
    </row>
    <row r="5074" spans="1:10" ht="15.75" hidden="1" thickBot="1" x14ac:dyDescent="0.3">
      <c r="A5074" s="226"/>
      <c r="B5074" s="244"/>
      <c r="C5074" s="28"/>
      <c r="D5074" s="28"/>
      <c r="E5074" s="29"/>
      <c r="F5074" s="39" t="s">
        <v>523</v>
      </c>
      <c r="G5074" s="27" t="str">
        <f t="shared" si="95"/>
        <v/>
      </c>
      <c r="H5074" s="31"/>
      <c r="I5074" s="27"/>
      <c r="J5074" s="141">
        <v>0</v>
      </c>
    </row>
    <row r="5075" spans="1:10" ht="15.75" hidden="1" thickBot="1" x14ac:dyDescent="0.3">
      <c r="A5075" s="226"/>
      <c r="B5075" s="244"/>
      <c r="C5075" s="32" t="s">
        <v>3358</v>
      </c>
      <c r="D5075" s="32" t="s">
        <v>280</v>
      </c>
      <c r="E5075" s="33">
        <v>1</v>
      </c>
      <c r="F5075" s="30">
        <v>7.0869999999999997</v>
      </c>
      <c r="G5075" s="27">
        <f t="shared" si="95"/>
        <v>7.0869999999999997</v>
      </c>
      <c r="H5075" s="35">
        <f>SUM(G5075:G5077)</f>
        <v>17.111874999999998</v>
      </c>
      <c r="I5075" s="36"/>
      <c r="J5075" s="141">
        <v>0</v>
      </c>
    </row>
    <row r="5076" spans="1:10" ht="15.75" hidden="1" thickBot="1" x14ac:dyDescent="0.3">
      <c r="A5076" s="226"/>
      <c r="B5076" s="244"/>
      <c r="C5076" s="32" t="s">
        <v>74</v>
      </c>
      <c r="D5076" s="32" t="s">
        <v>12</v>
      </c>
      <c r="E5076" s="33">
        <v>0.22500000000000001</v>
      </c>
      <c r="F5076" s="27">
        <v>19.4085</v>
      </c>
      <c r="G5076" s="30">
        <f t="shared" si="95"/>
        <v>4.3669124999999998</v>
      </c>
      <c r="H5076" s="31"/>
      <c r="I5076" s="27"/>
      <c r="J5076" s="141">
        <v>0</v>
      </c>
    </row>
    <row r="5077" spans="1:10" ht="15.75" hidden="1" thickBot="1" x14ac:dyDescent="0.3">
      <c r="A5077" s="226"/>
      <c r="B5077" s="244"/>
      <c r="C5077" s="32" t="s">
        <v>30</v>
      </c>
      <c r="D5077" s="32" t="s">
        <v>12</v>
      </c>
      <c r="E5077" s="33">
        <v>0.22500000000000001</v>
      </c>
      <c r="F5077" s="27">
        <v>25.146499999999996</v>
      </c>
      <c r="G5077" s="30">
        <f t="shared" si="95"/>
        <v>5.6579624999999991</v>
      </c>
      <c r="H5077" s="31"/>
      <c r="I5077" s="27"/>
      <c r="J5077" s="141">
        <v>0</v>
      </c>
    </row>
    <row r="5078" spans="1:10" ht="15.75" hidden="1" thickBot="1" x14ac:dyDescent="0.3">
      <c r="A5078" s="227"/>
      <c r="B5078" s="230"/>
      <c r="C5078" s="32"/>
      <c r="D5078" s="32"/>
      <c r="E5078" s="33"/>
      <c r="F5078" s="27" t="s">
        <v>523</v>
      </c>
      <c r="G5078" s="27" t="str">
        <f t="shared" si="95"/>
        <v/>
      </c>
      <c r="H5078" s="31"/>
      <c r="I5078" s="27"/>
      <c r="J5078" s="141">
        <v>0</v>
      </c>
    </row>
    <row r="5079" spans="1:10" ht="15.75" hidden="1" thickBot="1" x14ac:dyDescent="0.3">
      <c r="A5079" s="225" t="s">
        <v>3452</v>
      </c>
      <c r="B5079" s="228" t="str">
        <f>INDEX(Orçamentária!A:B,MATCH(Composições!A5079,Orçamentária!A:A,0),2)</f>
        <v>Luminária redonda de sobrepor (plafond) – Linha Residencial</v>
      </c>
      <c r="C5079" s="37"/>
      <c r="D5079" s="22" t="str">
        <f>TRIM(INDEX(Orçamentária!C:C,MATCH(Composições!A5079,Orçamentária!A:A,0),1))</f>
        <v>un</v>
      </c>
      <c r="E5079" s="23"/>
      <c r="F5079" s="38" t="s">
        <v>523</v>
      </c>
      <c r="G5079" s="24" t="str">
        <f t="shared" si="95"/>
        <v/>
      </c>
      <c r="H5079" s="25"/>
      <c r="I5079" s="26"/>
      <c r="J5079" s="141">
        <v>0</v>
      </c>
    </row>
    <row r="5080" spans="1:10" ht="15.75" hidden="1" thickBot="1" x14ac:dyDescent="0.3">
      <c r="A5080" s="226"/>
      <c r="B5080" s="244"/>
      <c r="C5080" s="28"/>
      <c r="D5080" s="28"/>
      <c r="E5080" s="29"/>
      <c r="F5080" s="39" t="s">
        <v>523</v>
      </c>
      <c r="G5080" s="27" t="str">
        <f t="shared" si="95"/>
        <v/>
      </c>
      <c r="H5080" s="31"/>
      <c r="I5080" s="27"/>
      <c r="J5080" s="141">
        <v>0</v>
      </c>
    </row>
    <row r="5081" spans="1:10" ht="39" hidden="1" thickBot="1" x14ac:dyDescent="0.3">
      <c r="A5081" s="226"/>
      <c r="B5081" s="244"/>
      <c r="C5081" s="32" t="s">
        <v>3333</v>
      </c>
      <c r="D5081" s="32" t="s">
        <v>280</v>
      </c>
      <c r="E5081" s="33">
        <v>1</v>
      </c>
      <c r="F5081" s="30">
        <v>43.652500000000003</v>
      </c>
      <c r="G5081" s="30">
        <f t="shared" si="95"/>
        <v>43.652500000000003</v>
      </c>
      <c r="H5081" s="35">
        <f>SUM(G5081:G5084)</f>
        <v>95.396348549999999</v>
      </c>
      <c r="I5081" s="36"/>
      <c r="J5081" s="141">
        <v>0</v>
      </c>
    </row>
    <row r="5082" spans="1:10" ht="26.25" hidden="1" thickBot="1" x14ac:dyDescent="0.3">
      <c r="A5082" s="226"/>
      <c r="B5082" s="244"/>
      <c r="C5082" s="32" t="s">
        <v>3330</v>
      </c>
      <c r="D5082" s="32" t="s">
        <v>280</v>
      </c>
      <c r="E5082" s="33">
        <v>2</v>
      </c>
      <c r="F5082" s="30">
        <v>14.3735</v>
      </c>
      <c r="G5082" s="30">
        <f t="shared" si="95"/>
        <v>28.747</v>
      </c>
      <c r="H5082" s="41"/>
      <c r="I5082" s="42"/>
      <c r="J5082" s="141">
        <v>0</v>
      </c>
    </row>
    <row r="5083" spans="1:10" ht="15.75" hidden="1" thickBot="1" x14ac:dyDescent="0.3">
      <c r="A5083" s="226"/>
      <c r="B5083" s="244"/>
      <c r="C5083" s="32" t="s">
        <v>74</v>
      </c>
      <c r="D5083" s="43" t="s">
        <v>12</v>
      </c>
      <c r="E5083" s="33">
        <v>0.2883</v>
      </c>
      <c r="F5083" s="27">
        <v>19.4085</v>
      </c>
      <c r="G5083" s="27">
        <f t="shared" si="95"/>
        <v>5.5954705499999999</v>
      </c>
      <c r="H5083" s="31"/>
      <c r="I5083" s="27"/>
      <c r="J5083" s="141">
        <v>0</v>
      </c>
    </row>
    <row r="5084" spans="1:10" ht="15.75" hidden="1" thickBot="1" x14ac:dyDescent="0.3">
      <c r="A5084" s="226"/>
      <c r="B5084" s="244"/>
      <c r="C5084" s="32" t="s">
        <v>30</v>
      </c>
      <c r="D5084" s="32" t="s">
        <v>12</v>
      </c>
      <c r="E5084" s="33">
        <v>0.69199999999999995</v>
      </c>
      <c r="F5084" s="27">
        <v>25.146499999999996</v>
      </c>
      <c r="G5084" s="27">
        <f t="shared" si="95"/>
        <v>17.401377999999998</v>
      </c>
      <c r="H5084" s="31"/>
      <c r="I5084" s="27"/>
      <c r="J5084" s="141">
        <v>0</v>
      </c>
    </row>
    <row r="5085" spans="1:10" ht="15.75" hidden="1" thickBot="1" x14ac:dyDescent="0.3">
      <c r="A5085" s="227"/>
      <c r="B5085" s="230"/>
      <c r="C5085" s="32"/>
      <c r="D5085" s="32"/>
      <c r="E5085" s="33"/>
      <c r="F5085" s="27" t="s">
        <v>523</v>
      </c>
      <c r="G5085" s="27" t="str">
        <f t="shared" si="95"/>
        <v/>
      </c>
      <c r="H5085" s="31"/>
      <c r="I5085" s="27"/>
      <c r="J5085" s="141">
        <v>0</v>
      </c>
    </row>
    <row r="5086" spans="1:10" ht="15.75" hidden="1" thickBot="1" x14ac:dyDescent="0.3">
      <c r="A5086" s="239" t="s">
        <v>3588</v>
      </c>
      <c r="B5086" s="236" t="str">
        <f>INDEX(Orçamentária!A:B,MATCH(Composições!A5086,Orçamentária!A:A,0),2)</f>
        <v>Bandeira de porta, em madeira e MDF</v>
      </c>
      <c r="C5086" s="37"/>
      <c r="D5086" s="22" t="str">
        <f>TRIM(INDEX(Orçamentária!C:C,MATCH(Composições!A5086,Orçamentária!A:A,0),1))</f>
        <v>m2</v>
      </c>
      <c r="E5086" s="23"/>
      <c r="F5086" s="38" t="s">
        <v>523</v>
      </c>
      <c r="G5086" s="24" t="str">
        <f t="shared" si="95"/>
        <v/>
      </c>
      <c r="H5086" s="25"/>
      <c r="I5086" s="26"/>
      <c r="J5086" s="141">
        <v>0</v>
      </c>
    </row>
    <row r="5087" spans="1:10" ht="15.75" hidden="1" thickBot="1" x14ac:dyDescent="0.3">
      <c r="A5087" s="240"/>
      <c r="B5087" s="245"/>
      <c r="C5087" s="28"/>
      <c r="D5087" s="28"/>
      <c r="E5087" s="29"/>
      <c r="F5087" s="39" t="s">
        <v>523</v>
      </c>
      <c r="G5087" s="27" t="str">
        <f t="shared" si="95"/>
        <v/>
      </c>
      <c r="H5087" s="31"/>
      <c r="I5087" s="27"/>
      <c r="J5087" s="141">
        <v>0</v>
      </c>
    </row>
    <row r="5088" spans="1:10" ht="51.75" hidden="1" thickBot="1" x14ac:dyDescent="0.3">
      <c r="A5088" s="240"/>
      <c r="B5088" s="245"/>
      <c r="C5088" s="32" t="s">
        <v>3740</v>
      </c>
      <c r="D5088" s="43" t="s">
        <v>280</v>
      </c>
      <c r="E5088" s="33">
        <f>1/(0.8*2.1)</f>
        <v>0.59523809523809523</v>
      </c>
      <c r="F5088" s="30">
        <v>300.09549999999996</v>
      </c>
      <c r="G5088" s="30">
        <f t="shared" si="95"/>
        <v>178.62827380952379</v>
      </c>
      <c r="H5088" s="35">
        <f>SUM(G5088:G5091)</f>
        <v>228.7425702595238</v>
      </c>
      <c r="I5088" s="36"/>
      <c r="J5088" s="141">
        <v>0</v>
      </c>
    </row>
    <row r="5089" spans="1:10" ht="15.75" hidden="1" thickBot="1" x14ac:dyDescent="0.3">
      <c r="A5089" s="240"/>
      <c r="B5089" s="245"/>
      <c r="C5089" s="32" t="s">
        <v>3265</v>
      </c>
      <c r="D5089" s="43" t="s">
        <v>480</v>
      </c>
      <c r="E5089" s="33">
        <f>1/0.8</f>
        <v>1.25</v>
      </c>
      <c r="F5089" s="27">
        <v>20.7575</v>
      </c>
      <c r="G5089" s="30">
        <f t="shared" si="95"/>
        <v>25.946874999999999</v>
      </c>
      <c r="H5089" s="31"/>
      <c r="I5089" s="27"/>
      <c r="J5089" s="141">
        <v>0</v>
      </c>
    </row>
    <row r="5090" spans="1:10" ht="15.75" hidden="1" thickBot="1" x14ac:dyDescent="0.3">
      <c r="A5090" s="240"/>
      <c r="B5090" s="245"/>
      <c r="C5090" s="32" t="s">
        <v>704</v>
      </c>
      <c r="D5090" s="43" t="s">
        <v>705</v>
      </c>
      <c r="E5090" s="33">
        <f>ROUND(1.546*0.8/(2.1*0.8),4)</f>
        <v>0.73619999999999997</v>
      </c>
      <c r="F5090" s="27">
        <v>23.616999999999997</v>
      </c>
      <c r="G5090" s="30">
        <f t="shared" si="95"/>
        <v>17.386835399999999</v>
      </c>
      <c r="H5090" s="31"/>
      <c r="I5090" s="27"/>
      <c r="J5090" s="141">
        <v>0</v>
      </c>
    </row>
    <row r="5091" spans="1:10" ht="15.75" hidden="1" thickBot="1" x14ac:dyDescent="0.3">
      <c r="A5091" s="240"/>
      <c r="B5091" s="245"/>
      <c r="C5091" s="32" t="s">
        <v>706</v>
      </c>
      <c r="D5091" s="43" t="s">
        <v>705</v>
      </c>
      <c r="E5091" s="33">
        <f>ROUND(0.773*0.8/(2.1*0.8),4)</f>
        <v>0.36809999999999998</v>
      </c>
      <c r="F5091" s="27">
        <v>18.420500000000001</v>
      </c>
      <c r="G5091" s="30">
        <f t="shared" si="95"/>
        <v>6.7805860500000001</v>
      </c>
      <c r="H5091" s="31"/>
      <c r="I5091" s="27"/>
      <c r="J5091" s="141">
        <v>0</v>
      </c>
    </row>
    <row r="5092" spans="1:10" ht="15.75" hidden="1" thickBot="1" x14ac:dyDescent="0.3">
      <c r="A5092" s="240"/>
      <c r="B5092" s="245"/>
      <c r="C5092" s="32"/>
      <c r="D5092" s="43"/>
      <c r="E5092" s="33"/>
      <c r="F5092" s="30" t="s">
        <v>523</v>
      </c>
      <c r="G5092" s="30" t="str">
        <f t="shared" si="95"/>
        <v/>
      </c>
      <c r="H5092" s="31"/>
      <c r="I5092" s="27"/>
      <c r="J5092" s="141">
        <v>0</v>
      </c>
    </row>
    <row r="5093" spans="1:10" ht="15.75" hidden="1" thickBot="1" x14ac:dyDescent="0.3">
      <c r="A5093" s="239" t="s">
        <v>3590</v>
      </c>
      <c r="B5093" s="236" t="str">
        <f>INDEX(Orçamentária!A:B,MATCH(Composições!A5093,Orçamentária!A:A,0),2)</f>
        <v>Bandeira de porta, em madeira pintada</v>
      </c>
      <c r="C5093" s="37"/>
      <c r="D5093" s="22" t="str">
        <f>TRIM(INDEX(Orçamentária!C:C,MATCH(Composições!A5093,Orçamentária!A:A,0),1))</f>
        <v>m2</v>
      </c>
      <c r="E5093" s="23"/>
      <c r="F5093" s="38" t="s">
        <v>523</v>
      </c>
      <c r="G5093" s="24" t="str">
        <f t="shared" si="95"/>
        <v/>
      </c>
      <c r="H5093" s="25"/>
      <c r="I5093" s="26"/>
      <c r="J5093" s="141">
        <v>0</v>
      </c>
    </row>
    <row r="5094" spans="1:10" ht="15.75" hidden="1" thickBot="1" x14ac:dyDescent="0.3">
      <c r="A5094" s="240"/>
      <c r="B5094" s="245"/>
      <c r="C5094" s="28"/>
      <c r="D5094" s="28"/>
      <c r="E5094" s="29"/>
      <c r="F5094" s="39" t="s">
        <v>523</v>
      </c>
      <c r="G5094" s="27" t="str">
        <f t="shared" si="95"/>
        <v/>
      </c>
      <c r="H5094" s="31"/>
      <c r="I5094" s="27"/>
      <c r="J5094" s="141">
        <v>0</v>
      </c>
    </row>
    <row r="5095" spans="1:10" ht="51.75" hidden="1" thickBot="1" x14ac:dyDescent="0.3">
      <c r="A5095" s="240"/>
      <c r="B5095" s="245"/>
      <c r="C5095" s="32" t="s">
        <v>3741</v>
      </c>
      <c r="D5095" s="43" t="s">
        <v>280</v>
      </c>
      <c r="E5095" s="33">
        <f>1/(0.8*2.1)</f>
        <v>0.59523809523809523</v>
      </c>
      <c r="F5095" s="30">
        <v>293.13200000000001</v>
      </c>
      <c r="G5095" s="30">
        <f t="shared" si="95"/>
        <v>174.48333333333335</v>
      </c>
      <c r="H5095" s="35">
        <f>SUM(G5095:G5100)</f>
        <v>247.94410478333336</v>
      </c>
      <c r="I5095" s="36"/>
      <c r="J5095" s="141">
        <v>0</v>
      </c>
    </row>
    <row r="5096" spans="1:10" ht="15.75" hidden="1" thickBot="1" x14ac:dyDescent="0.3">
      <c r="A5096" s="240"/>
      <c r="B5096" s="245"/>
      <c r="C5096" s="32" t="s">
        <v>3265</v>
      </c>
      <c r="D5096" s="43" t="s">
        <v>480</v>
      </c>
      <c r="E5096" s="33">
        <f>1/0.8</f>
        <v>1.25</v>
      </c>
      <c r="F5096" s="27">
        <v>20.7575</v>
      </c>
      <c r="G5096" s="30">
        <f t="shared" si="95"/>
        <v>25.946874999999999</v>
      </c>
      <c r="H5096" s="31"/>
      <c r="I5096" s="27"/>
      <c r="J5096" s="141">
        <v>0</v>
      </c>
    </row>
    <row r="5097" spans="1:10" ht="15.75" hidden="1" thickBot="1" x14ac:dyDescent="0.3">
      <c r="A5097" s="240"/>
      <c r="B5097" s="245"/>
      <c r="C5097" s="32" t="s">
        <v>704</v>
      </c>
      <c r="D5097" s="43" t="s">
        <v>705</v>
      </c>
      <c r="E5097" s="33">
        <f>ROUND(1.546*0.8/(0.8*2.1),4)</f>
        <v>0.73619999999999997</v>
      </c>
      <c r="F5097" s="27">
        <v>23.616999999999997</v>
      </c>
      <c r="G5097" s="30">
        <f t="shared" si="95"/>
        <v>17.386835399999999</v>
      </c>
      <c r="H5097" s="31"/>
      <c r="I5097" s="27"/>
      <c r="J5097" s="141">
        <v>0</v>
      </c>
    </row>
    <row r="5098" spans="1:10" ht="15.75" hidden="1" thickBot="1" x14ac:dyDescent="0.3">
      <c r="A5098" s="240"/>
      <c r="B5098" s="245"/>
      <c r="C5098" s="32" t="s">
        <v>706</v>
      </c>
      <c r="D5098" s="43" t="s">
        <v>705</v>
      </c>
      <c r="E5098" s="33">
        <f>ROUND(0.773*0.8/(0.8*2.1),4)</f>
        <v>0.36809999999999998</v>
      </c>
      <c r="F5098" s="27">
        <v>18.420500000000001</v>
      </c>
      <c r="G5098" s="30">
        <f t="shared" si="95"/>
        <v>6.7805860500000001</v>
      </c>
      <c r="H5098" s="31"/>
      <c r="I5098" s="27"/>
      <c r="J5098" s="141">
        <v>0</v>
      </c>
    </row>
    <row r="5099" spans="1:10" ht="15.75" hidden="1" thickBot="1" x14ac:dyDescent="0.3">
      <c r="A5099" s="240"/>
      <c r="B5099" s="245"/>
      <c r="C5099" s="32" t="s">
        <v>203</v>
      </c>
      <c r="D5099" s="46" t="s">
        <v>102</v>
      </c>
      <c r="E5099" s="33">
        <v>0.108</v>
      </c>
      <c r="F5099" s="30">
        <v>46.56</v>
      </c>
      <c r="G5099" s="27">
        <f t="shared" si="95"/>
        <v>5.0284800000000001</v>
      </c>
      <c r="H5099" s="31"/>
      <c r="I5099" s="27"/>
      <c r="J5099" s="141">
        <v>0</v>
      </c>
    </row>
    <row r="5100" spans="1:10" ht="15.75" hidden="1" thickBot="1" x14ac:dyDescent="0.3">
      <c r="A5100" s="240"/>
      <c r="B5100" s="245"/>
      <c r="C5100" s="32" t="s">
        <v>100</v>
      </c>
      <c r="D5100" s="32" t="s">
        <v>12</v>
      </c>
      <c r="E5100" s="33">
        <v>0.70760000000000001</v>
      </c>
      <c r="F5100" s="27">
        <v>25.887499999999999</v>
      </c>
      <c r="G5100" s="27">
        <f t="shared" si="95"/>
        <v>18.317995</v>
      </c>
      <c r="H5100" s="31"/>
      <c r="I5100" s="27"/>
      <c r="J5100" s="141">
        <v>0</v>
      </c>
    </row>
    <row r="5101" spans="1:10" ht="15.75" hidden="1" thickBot="1" x14ac:dyDescent="0.3">
      <c r="A5101" s="240"/>
      <c r="B5101" s="245"/>
      <c r="C5101" s="32"/>
      <c r="D5101" s="32"/>
      <c r="E5101" s="33"/>
      <c r="F5101" s="27" t="s">
        <v>523</v>
      </c>
      <c r="G5101" s="27"/>
      <c r="H5101" s="31"/>
      <c r="I5101" s="27"/>
      <c r="J5101" s="141">
        <v>0</v>
      </c>
    </row>
    <row r="5102" spans="1:10" ht="39" hidden="1" thickBot="1" x14ac:dyDescent="0.3">
      <c r="A5102" s="240"/>
      <c r="B5102" s="245"/>
      <c r="C5102" s="48" t="s">
        <v>3396</v>
      </c>
      <c r="D5102" s="32"/>
      <c r="E5102" s="33"/>
      <c r="F5102" s="27" t="s">
        <v>523</v>
      </c>
      <c r="G5102" s="27"/>
      <c r="H5102" s="31"/>
      <c r="I5102" s="27"/>
      <c r="J5102" s="141">
        <v>0</v>
      </c>
    </row>
    <row r="5103" spans="1:10" ht="15.75" hidden="1" thickBot="1" x14ac:dyDescent="0.3">
      <c r="A5103" s="240"/>
      <c r="B5103" s="245"/>
      <c r="C5103" s="32"/>
      <c r="D5103" s="43"/>
      <c r="E5103" s="33"/>
      <c r="F5103" s="30" t="s">
        <v>523</v>
      </c>
      <c r="G5103" s="30" t="str">
        <f t="shared" ref="G5103:G5134" si="96">IF(ISNUMBER(F5103),E5103*F5103,"")</f>
        <v/>
      </c>
      <c r="H5103" s="31"/>
      <c r="I5103" s="27"/>
      <c r="J5103" s="141">
        <v>0</v>
      </c>
    </row>
    <row r="5104" spans="1:10" ht="15.75" hidden="1" thickBot="1" x14ac:dyDescent="0.3">
      <c r="A5104" s="225" t="s">
        <v>3618</v>
      </c>
      <c r="B5104" s="228" t="str">
        <f>INDEX(Orçamentária!A:B,MATCH(Composições!A5104,Orçamentária!A:A,0),2)</f>
        <v>Cambota elastomérica de 8”</v>
      </c>
      <c r="C5104" s="37"/>
      <c r="D5104" s="22" t="str">
        <f>TRIM(INDEX(Orçamentária!C:C,MATCH(Composições!A5104,Orçamentária!A:A,0),1))</f>
        <v>un</v>
      </c>
      <c r="E5104" s="23"/>
      <c r="F5104" s="45" t="s">
        <v>523</v>
      </c>
      <c r="G5104" s="24" t="str">
        <f t="shared" si="96"/>
        <v/>
      </c>
      <c r="H5104" s="25"/>
      <c r="I5104" s="26"/>
      <c r="J5104" s="141">
        <v>0</v>
      </c>
    </row>
    <row r="5105" spans="1:10" ht="15.75" hidden="1" thickBot="1" x14ac:dyDescent="0.3">
      <c r="A5105" s="231"/>
      <c r="B5105" s="244"/>
      <c r="C5105" s="28"/>
      <c r="D5105" s="28"/>
      <c r="E5105" s="29"/>
      <c r="F5105" s="50" t="s">
        <v>523</v>
      </c>
      <c r="G5105" s="50" t="str">
        <f t="shared" si="96"/>
        <v/>
      </c>
      <c r="H5105" s="69"/>
      <c r="I5105" s="70"/>
      <c r="J5105" s="141">
        <v>0</v>
      </c>
    </row>
    <row r="5106" spans="1:10" ht="26.25" hidden="1" thickBot="1" x14ac:dyDescent="0.3">
      <c r="A5106" s="231"/>
      <c r="B5106" s="244"/>
      <c r="C5106" s="32" t="s">
        <v>956</v>
      </c>
      <c r="D5106" s="43" t="s">
        <v>705</v>
      </c>
      <c r="E5106" s="33">
        <v>0.93</v>
      </c>
      <c r="F5106" s="27">
        <v>19.094999999999999</v>
      </c>
      <c r="G5106" s="50">
        <f t="shared" si="96"/>
        <v>17.75835</v>
      </c>
      <c r="H5106" s="35">
        <f>SUM(G5106:G5108)</f>
        <v>40.358280000000001</v>
      </c>
      <c r="I5106" s="36"/>
      <c r="J5106" s="141">
        <v>0</v>
      </c>
    </row>
    <row r="5107" spans="1:10" ht="26.25" hidden="1" thickBot="1" x14ac:dyDescent="0.3">
      <c r="A5107" s="231"/>
      <c r="B5107" s="244"/>
      <c r="C5107" s="32" t="s">
        <v>957</v>
      </c>
      <c r="D5107" s="32" t="s">
        <v>705</v>
      </c>
      <c r="E5107" s="33">
        <v>0.93</v>
      </c>
      <c r="F5107" s="27">
        <v>24.300999999999998</v>
      </c>
      <c r="G5107" s="50">
        <f t="shared" si="96"/>
        <v>22.599930000000001</v>
      </c>
      <c r="H5107" s="69"/>
      <c r="I5107" s="70"/>
      <c r="J5107" s="141">
        <v>0</v>
      </c>
    </row>
    <row r="5108" spans="1:10" ht="15.75" hidden="1" thickBot="1" x14ac:dyDescent="0.3">
      <c r="A5108" s="231"/>
      <c r="B5108" s="244"/>
      <c r="C5108" s="32" t="s">
        <v>3678</v>
      </c>
      <c r="D5108" s="32" t="s">
        <v>280</v>
      </c>
      <c r="E5108" s="33">
        <v>1</v>
      </c>
      <c r="F5108" s="27" t="s">
        <v>523</v>
      </c>
      <c r="G5108" s="50" t="str">
        <f t="shared" si="96"/>
        <v/>
      </c>
      <c r="H5108" s="69"/>
      <c r="I5108" s="70"/>
      <c r="J5108" s="141">
        <v>0</v>
      </c>
    </row>
    <row r="5109" spans="1:10" ht="15.75" hidden="1" thickBot="1" x14ac:dyDescent="0.3">
      <c r="A5109" s="231"/>
      <c r="B5109" s="244"/>
      <c r="C5109" s="32"/>
      <c r="D5109" s="43"/>
      <c r="E5109" s="33"/>
      <c r="F5109" s="50" t="s">
        <v>523</v>
      </c>
      <c r="G5109" s="50" t="str">
        <f t="shared" si="96"/>
        <v/>
      </c>
      <c r="H5109" s="69"/>
      <c r="I5109" s="70"/>
      <c r="J5109" s="141">
        <v>0</v>
      </c>
    </row>
    <row r="5110" spans="1:10" ht="15.75" hidden="1" thickBot="1" x14ac:dyDescent="0.3">
      <c r="A5110" s="225" t="s">
        <v>3620</v>
      </c>
      <c r="B5110" s="228" t="str">
        <f>INDEX(Orçamentária!A:B,MATCH(Composições!A5110,Orçamentária!A:A,0),2)</f>
        <v>Curva raio curto 45° em aço carbono para solda de topo DN 125 (5" NPS)</v>
      </c>
      <c r="C5110" s="37"/>
      <c r="D5110" s="22" t="str">
        <f>TRIM(INDEX(Orçamentária!C:C,MATCH(Composições!A5110,Orçamentária!A:A,0),1))</f>
        <v>un</v>
      </c>
      <c r="E5110" s="23"/>
      <c r="F5110" s="45" t="s">
        <v>523</v>
      </c>
      <c r="G5110" s="24" t="str">
        <f t="shared" si="96"/>
        <v/>
      </c>
      <c r="H5110" s="25"/>
      <c r="I5110" s="26"/>
      <c r="J5110" s="141">
        <v>0</v>
      </c>
    </row>
    <row r="5111" spans="1:10" ht="15.75" hidden="1" thickBot="1" x14ac:dyDescent="0.3">
      <c r="A5111" s="231"/>
      <c r="B5111" s="244"/>
      <c r="C5111" s="28"/>
      <c r="D5111" s="28"/>
      <c r="E5111" s="29"/>
      <c r="F5111" s="50" t="s">
        <v>523</v>
      </c>
      <c r="G5111" s="50" t="str">
        <f t="shared" si="96"/>
        <v/>
      </c>
      <c r="H5111" s="69"/>
      <c r="I5111" s="70"/>
      <c r="J5111" s="141">
        <v>0</v>
      </c>
    </row>
    <row r="5112" spans="1:10" ht="15.75" hidden="1" thickBot="1" x14ac:dyDescent="0.3">
      <c r="A5112" s="231"/>
      <c r="B5112" s="244"/>
      <c r="C5112" s="32" t="s">
        <v>1184</v>
      </c>
      <c r="D5112" s="43" t="s">
        <v>901</v>
      </c>
      <c r="E5112" s="33">
        <f>ROUND(0.089*1.3,4)</f>
        <v>0.1157</v>
      </c>
      <c r="F5112" s="27">
        <v>32.746499999999997</v>
      </c>
      <c r="G5112" s="50">
        <f t="shared" si="96"/>
        <v>3.7887700499999997</v>
      </c>
      <c r="H5112" s="35">
        <f>SUM(G5112:G5116)</f>
        <v>87.116072550000013</v>
      </c>
      <c r="I5112" s="36"/>
      <c r="J5112" s="141">
        <v>0</v>
      </c>
    </row>
    <row r="5113" spans="1:10" ht="26.25" hidden="1" thickBot="1" x14ac:dyDescent="0.3">
      <c r="A5113" s="231"/>
      <c r="B5113" s="244"/>
      <c r="C5113" s="32" t="s">
        <v>3679</v>
      </c>
      <c r="D5113" s="32" t="s">
        <v>280</v>
      </c>
      <c r="E5113" s="33">
        <v>1</v>
      </c>
      <c r="F5113" s="27" t="s">
        <v>523</v>
      </c>
      <c r="G5113" s="50" t="str">
        <f t="shared" si="96"/>
        <v/>
      </c>
      <c r="H5113" s="69"/>
      <c r="I5113" s="70"/>
      <c r="J5113" s="141">
        <v>0</v>
      </c>
    </row>
    <row r="5114" spans="1:10" ht="26.25" hidden="1" thickBot="1" x14ac:dyDescent="0.3">
      <c r="A5114" s="231"/>
      <c r="B5114" s="244"/>
      <c r="C5114" s="32" t="s">
        <v>956</v>
      </c>
      <c r="D5114" s="43" t="s">
        <v>705</v>
      </c>
      <c r="E5114" s="33">
        <f>ROUND(0.93*1.3,4)</f>
        <v>1.2090000000000001</v>
      </c>
      <c r="F5114" s="27">
        <v>19.094999999999999</v>
      </c>
      <c r="G5114" s="50">
        <f t="shared" si="96"/>
        <v>23.085854999999999</v>
      </c>
      <c r="H5114" s="69"/>
      <c r="I5114" s="70"/>
      <c r="J5114" s="141">
        <v>0</v>
      </c>
    </row>
    <row r="5115" spans="1:10" ht="26.25" hidden="1" thickBot="1" x14ac:dyDescent="0.3">
      <c r="A5115" s="231"/>
      <c r="B5115" s="244"/>
      <c r="C5115" s="32" t="s">
        <v>957</v>
      </c>
      <c r="D5115" s="32" t="s">
        <v>705</v>
      </c>
      <c r="E5115" s="33">
        <f>ROUND(0.93*1.3,4)</f>
        <v>1.2090000000000001</v>
      </c>
      <c r="F5115" s="27">
        <v>24.300999999999998</v>
      </c>
      <c r="G5115" s="50">
        <f t="shared" si="96"/>
        <v>29.379909000000001</v>
      </c>
      <c r="H5115" s="69"/>
      <c r="I5115" s="70"/>
      <c r="J5115" s="141">
        <v>0</v>
      </c>
    </row>
    <row r="5116" spans="1:10" ht="15.75" hidden="1" thickBot="1" x14ac:dyDescent="0.3">
      <c r="A5116" s="231"/>
      <c r="B5116" s="244"/>
      <c r="C5116" s="32" t="s">
        <v>3243</v>
      </c>
      <c r="D5116" s="32" t="s">
        <v>705</v>
      </c>
      <c r="E5116" s="33">
        <f>ROUND(0.93*1.3,4)</f>
        <v>1.2090000000000001</v>
      </c>
      <c r="F5116" s="50">
        <v>25.526499999999999</v>
      </c>
      <c r="G5116" s="50">
        <f t="shared" si="96"/>
        <v>30.861538500000002</v>
      </c>
      <c r="H5116" s="69"/>
      <c r="I5116" s="70"/>
      <c r="J5116" s="141">
        <v>0</v>
      </c>
    </row>
    <row r="5117" spans="1:10" ht="15.75" hidden="1" thickBot="1" x14ac:dyDescent="0.3">
      <c r="A5117" s="231"/>
      <c r="B5117" s="244"/>
      <c r="C5117" s="32"/>
      <c r="D5117" s="43"/>
      <c r="E5117" s="33"/>
      <c r="F5117" s="50" t="s">
        <v>523</v>
      </c>
      <c r="G5117" s="50" t="str">
        <f t="shared" si="96"/>
        <v/>
      </c>
      <c r="H5117" s="69"/>
      <c r="I5117" s="70"/>
      <c r="J5117" s="141">
        <v>0</v>
      </c>
    </row>
    <row r="5118" spans="1:10" ht="15.75" hidden="1" thickBot="1" x14ac:dyDescent="0.3">
      <c r="A5118" s="225" t="s">
        <v>3622</v>
      </c>
      <c r="B5118" s="228" t="str">
        <f>INDEX(Orçamentária!A:B,MATCH(Composições!A5118,Orçamentária!A:A,0),2)</f>
        <v>Curva raio curto 90° em aço carbono para solda de topo DN 125 (5" NPS)</v>
      </c>
      <c r="C5118" s="37"/>
      <c r="D5118" s="22" t="str">
        <f>TRIM(INDEX(Orçamentária!C:C,MATCH(Composições!A5118,Orçamentária!A:A,0),1))</f>
        <v>un</v>
      </c>
      <c r="E5118" s="23"/>
      <c r="F5118" s="45" t="s">
        <v>523</v>
      </c>
      <c r="G5118" s="24" t="str">
        <f t="shared" si="96"/>
        <v/>
      </c>
      <c r="H5118" s="25"/>
      <c r="I5118" s="26"/>
      <c r="J5118" s="141">
        <v>0</v>
      </c>
    </row>
    <row r="5119" spans="1:10" ht="15.75" hidden="1" thickBot="1" x14ac:dyDescent="0.3">
      <c r="A5119" s="231"/>
      <c r="B5119" s="244"/>
      <c r="C5119" s="28"/>
      <c r="D5119" s="28"/>
      <c r="E5119" s="29"/>
      <c r="F5119" s="50" t="s">
        <v>523</v>
      </c>
      <c r="G5119" s="50" t="str">
        <f t="shared" si="96"/>
        <v/>
      </c>
      <c r="H5119" s="69"/>
      <c r="I5119" s="70"/>
      <c r="J5119" s="141">
        <v>0</v>
      </c>
    </row>
    <row r="5120" spans="1:10" ht="15.75" hidden="1" thickBot="1" x14ac:dyDescent="0.3">
      <c r="A5120" s="231"/>
      <c r="B5120" s="244"/>
      <c r="C5120" s="32" t="s">
        <v>1184</v>
      </c>
      <c r="D5120" s="43" t="s">
        <v>901</v>
      </c>
      <c r="E5120" s="33">
        <f>ROUND(0.089*1.3,4)</f>
        <v>0.1157</v>
      </c>
      <c r="F5120" s="27">
        <v>32.746499999999997</v>
      </c>
      <c r="G5120" s="50">
        <f t="shared" si="96"/>
        <v>3.7887700499999997</v>
      </c>
      <c r="H5120" s="35">
        <f>SUM(G5120:G5124)</f>
        <v>87.116072550000013</v>
      </c>
      <c r="I5120" s="36"/>
      <c r="J5120" s="141">
        <v>0</v>
      </c>
    </row>
    <row r="5121" spans="1:10" ht="26.25" hidden="1" thickBot="1" x14ac:dyDescent="0.3">
      <c r="A5121" s="231"/>
      <c r="B5121" s="244"/>
      <c r="C5121" s="32" t="s">
        <v>3680</v>
      </c>
      <c r="D5121" s="32" t="s">
        <v>280</v>
      </c>
      <c r="E5121" s="33">
        <v>1</v>
      </c>
      <c r="F5121" s="27" t="s">
        <v>523</v>
      </c>
      <c r="G5121" s="50" t="str">
        <f t="shared" si="96"/>
        <v/>
      </c>
      <c r="H5121" s="69"/>
      <c r="I5121" s="70"/>
      <c r="J5121" s="141">
        <v>0</v>
      </c>
    </row>
    <row r="5122" spans="1:10" ht="26.25" hidden="1" thickBot="1" x14ac:dyDescent="0.3">
      <c r="A5122" s="231"/>
      <c r="B5122" s="244"/>
      <c r="C5122" s="32" t="s">
        <v>956</v>
      </c>
      <c r="D5122" s="43" t="s">
        <v>705</v>
      </c>
      <c r="E5122" s="33">
        <f>ROUND(0.93*1.3,4)</f>
        <v>1.2090000000000001</v>
      </c>
      <c r="F5122" s="27">
        <v>19.094999999999999</v>
      </c>
      <c r="G5122" s="50">
        <f t="shared" si="96"/>
        <v>23.085854999999999</v>
      </c>
      <c r="H5122" s="69"/>
      <c r="I5122" s="70"/>
      <c r="J5122" s="141">
        <v>0</v>
      </c>
    </row>
    <row r="5123" spans="1:10" ht="26.25" hidden="1" thickBot="1" x14ac:dyDescent="0.3">
      <c r="A5123" s="231"/>
      <c r="B5123" s="244"/>
      <c r="C5123" s="32" t="s">
        <v>957</v>
      </c>
      <c r="D5123" s="32" t="s">
        <v>705</v>
      </c>
      <c r="E5123" s="33">
        <f>ROUND(0.93*1.3,4)</f>
        <v>1.2090000000000001</v>
      </c>
      <c r="F5123" s="27">
        <v>24.300999999999998</v>
      </c>
      <c r="G5123" s="50">
        <f t="shared" si="96"/>
        <v>29.379909000000001</v>
      </c>
      <c r="H5123" s="69"/>
      <c r="I5123" s="70"/>
      <c r="J5123" s="141">
        <v>0</v>
      </c>
    </row>
    <row r="5124" spans="1:10" ht="15.75" hidden="1" thickBot="1" x14ac:dyDescent="0.3">
      <c r="A5124" s="231"/>
      <c r="B5124" s="244"/>
      <c r="C5124" s="32" t="s">
        <v>3243</v>
      </c>
      <c r="D5124" s="32" t="s">
        <v>705</v>
      </c>
      <c r="E5124" s="33">
        <f>ROUND(0.93*1.3,4)</f>
        <v>1.2090000000000001</v>
      </c>
      <c r="F5124" s="50">
        <v>25.526499999999999</v>
      </c>
      <c r="G5124" s="50">
        <f t="shared" si="96"/>
        <v>30.861538500000002</v>
      </c>
      <c r="H5124" s="69"/>
      <c r="I5124" s="70"/>
      <c r="J5124" s="141">
        <v>0</v>
      </c>
    </row>
    <row r="5125" spans="1:10" ht="15.75" hidden="1" thickBot="1" x14ac:dyDescent="0.3">
      <c r="A5125" s="231"/>
      <c r="B5125" s="244"/>
      <c r="C5125" s="32"/>
      <c r="D5125" s="43"/>
      <c r="E5125" s="33"/>
      <c r="F5125" s="50" t="s">
        <v>523</v>
      </c>
      <c r="G5125" s="50" t="str">
        <f t="shared" si="96"/>
        <v/>
      </c>
      <c r="H5125" s="69"/>
      <c r="I5125" s="70"/>
      <c r="J5125" s="141">
        <v>0</v>
      </c>
    </row>
    <row r="5126" spans="1:10" ht="15.75" hidden="1" thickBot="1" x14ac:dyDescent="0.3">
      <c r="A5126" s="225" t="s">
        <v>3624</v>
      </c>
      <c r="B5126" s="228" t="str">
        <f>INDEX(Orçamentária!A:B,MATCH(Composições!A5126,Orçamentária!A:A,0),2)</f>
        <v>Curva raio longo 90° em aço carbono para solda de topo DN 125 (5" NPS)</v>
      </c>
      <c r="C5126" s="37"/>
      <c r="D5126" s="22" t="str">
        <f>TRIM(INDEX(Orçamentária!C:C,MATCH(Composições!A5126,Orçamentária!A:A,0),1))</f>
        <v>un</v>
      </c>
      <c r="E5126" s="23"/>
      <c r="F5126" s="45" t="s">
        <v>523</v>
      </c>
      <c r="G5126" s="24" t="str">
        <f t="shared" si="96"/>
        <v/>
      </c>
      <c r="H5126" s="25"/>
      <c r="I5126" s="26"/>
      <c r="J5126" s="141">
        <v>0</v>
      </c>
    </row>
    <row r="5127" spans="1:10" ht="15.75" hidden="1" thickBot="1" x14ac:dyDescent="0.3">
      <c r="A5127" s="231"/>
      <c r="B5127" s="244"/>
      <c r="C5127" s="28"/>
      <c r="D5127" s="28"/>
      <c r="E5127" s="29"/>
      <c r="F5127" s="50" t="s">
        <v>523</v>
      </c>
      <c r="G5127" s="50" t="str">
        <f t="shared" si="96"/>
        <v/>
      </c>
      <c r="H5127" s="69"/>
      <c r="I5127" s="70"/>
      <c r="J5127" s="141">
        <v>0</v>
      </c>
    </row>
    <row r="5128" spans="1:10" ht="15.75" hidden="1" thickBot="1" x14ac:dyDescent="0.3">
      <c r="A5128" s="231"/>
      <c r="B5128" s="244"/>
      <c r="C5128" s="32" t="s">
        <v>1184</v>
      </c>
      <c r="D5128" s="43" t="s">
        <v>901</v>
      </c>
      <c r="E5128" s="33">
        <f>ROUND(0.089*1.3,4)</f>
        <v>0.1157</v>
      </c>
      <c r="F5128" s="27">
        <v>32.746499999999997</v>
      </c>
      <c r="G5128" s="50">
        <f t="shared" si="96"/>
        <v>3.7887700499999997</v>
      </c>
      <c r="H5128" s="35">
        <f>SUM(G5128:G5132)</f>
        <v>87.116072550000013</v>
      </c>
      <c r="I5128" s="36"/>
      <c r="J5128" s="141">
        <v>0</v>
      </c>
    </row>
    <row r="5129" spans="1:10" ht="26.25" hidden="1" thickBot="1" x14ac:dyDescent="0.3">
      <c r="A5129" s="231"/>
      <c r="B5129" s="244"/>
      <c r="C5129" s="32" t="s">
        <v>3681</v>
      </c>
      <c r="D5129" s="32" t="s">
        <v>280</v>
      </c>
      <c r="E5129" s="33">
        <v>1</v>
      </c>
      <c r="F5129" s="27" t="s">
        <v>523</v>
      </c>
      <c r="G5129" s="50" t="str">
        <f t="shared" si="96"/>
        <v/>
      </c>
      <c r="H5129" s="69"/>
      <c r="I5129" s="70"/>
      <c r="J5129" s="141">
        <v>0</v>
      </c>
    </row>
    <row r="5130" spans="1:10" ht="26.25" hidden="1" thickBot="1" x14ac:dyDescent="0.3">
      <c r="A5130" s="231"/>
      <c r="B5130" s="244"/>
      <c r="C5130" s="32" t="s">
        <v>956</v>
      </c>
      <c r="D5130" s="43" t="s">
        <v>705</v>
      </c>
      <c r="E5130" s="33">
        <f>ROUND(0.93*1.3,4)</f>
        <v>1.2090000000000001</v>
      </c>
      <c r="F5130" s="27">
        <v>19.094999999999999</v>
      </c>
      <c r="G5130" s="50">
        <f t="shared" si="96"/>
        <v>23.085854999999999</v>
      </c>
      <c r="H5130" s="69"/>
      <c r="I5130" s="70"/>
      <c r="J5130" s="141">
        <v>0</v>
      </c>
    </row>
    <row r="5131" spans="1:10" ht="26.25" hidden="1" thickBot="1" x14ac:dyDescent="0.3">
      <c r="A5131" s="231"/>
      <c r="B5131" s="244"/>
      <c r="C5131" s="32" t="s">
        <v>957</v>
      </c>
      <c r="D5131" s="32" t="s">
        <v>705</v>
      </c>
      <c r="E5131" s="33">
        <f>ROUND(0.93*1.3,4)</f>
        <v>1.2090000000000001</v>
      </c>
      <c r="F5131" s="27">
        <v>24.300999999999998</v>
      </c>
      <c r="G5131" s="50">
        <f t="shared" si="96"/>
        <v>29.379909000000001</v>
      </c>
      <c r="H5131" s="69"/>
      <c r="I5131" s="70"/>
      <c r="J5131" s="141">
        <v>0</v>
      </c>
    </row>
    <row r="5132" spans="1:10" ht="15.75" hidden="1" thickBot="1" x14ac:dyDescent="0.3">
      <c r="A5132" s="231"/>
      <c r="B5132" s="244"/>
      <c r="C5132" s="32" t="s">
        <v>3243</v>
      </c>
      <c r="D5132" s="32" t="s">
        <v>705</v>
      </c>
      <c r="E5132" s="33">
        <f>ROUND(0.93*1.3,4)</f>
        <v>1.2090000000000001</v>
      </c>
      <c r="F5132" s="50">
        <v>25.526499999999999</v>
      </c>
      <c r="G5132" s="50">
        <f t="shared" si="96"/>
        <v>30.861538500000002</v>
      </c>
      <c r="H5132" s="69"/>
      <c r="I5132" s="70"/>
      <c r="J5132" s="141">
        <v>0</v>
      </c>
    </row>
    <row r="5133" spans="1:10" ht="15.75" hidden="1" thickBot="1" x14ac:dyDescent="0.3">
      <c r="A5133" s="231"/>
      <c r="B5133" s="244"/>
      <c r="C5133" s="32"/>
      <c r="D5133" s="43"/>
      <c r="E5133" s="33"/>
      <c r="F5133" s="50" t="s">
        <v>523</v>
      </c>
      <c r="G5133" s="50" t="str">
        <f t="shared" si="96"/>
        <v/>
      </c>
      <c r="H5133" s="69"/>
      <c r="I5133" s="70"/>
      <c r="J5133" s="141">
        <v>0</v>
      </c>
    </row>
    <row r="5134" spans="1:10" ht="15.75" hidden="1" thickBot="1" x14ac:dyDescent="0.3">
      <c r="A5134" s="225" t="s">
        <v>3626</v>
      </c>
      <c r="B5134" s="228" t="str">
        <f>INDEX(Orçamentária!A:B,MATCH(Composições!A5134,Orçamentária!A:A,0),2)</f>
        <v>Curva raio longo 90° em aço carbono para solda de topo DN 200 (8" NPS)</v>
      </c>
      <c r="C5134" s="37"/>
      <c r="D5134" s="22" t="str">
        <f>TRIM(INDEX(Orçamentária!C:C,MATCH(Composições!A5134,Orçamentária!A:A,0),1))</f>
        <v>un</v>
      </c>
      <c r="E5134" s="23"/>
      <c r="F5134" s="45" t="s">
        <v>523</v>
      </c>
      <c r="G5134" s="24" t="str">
        <f t="shared" si="96"/>
        <v/>
      </c>
      <c r="H5134" s="25"/>
      <c r="I5134" s="26"/>
      <c r="J5134" s="141">
        <v>0</v>
      </c>
    </row>
    <row r="5135" spans="1:10" ht="15.75" hidden="1" thickBot="1" x14ac:dyDescent="0.3">
      <c r="A5135" s="231"/>
      <c r="B5135" s="244"/>
      <c r="C5135" s="28"/>
      <c r="D5135" s="28"/>
      <c r="E5135" s="29"/>
      <c r="F5135" s="50" t="s">
        <v>523</v>
      </c>
      <c r="G5135" s="50" t="str">
        <f t="shared" ref="G5135:G5166" si="97">IF(ISNUMBER(F5135),E5135*F5135,"")</f>
        <v/>
      </c>
      <c r="H5135" s="69"/>
      <c r="I5135" s="70"/>
      <c r="J5135" s="141">
        <v>0</v>
      </c>
    </row>
    <row r="5136" spans="1:10" ht="15.75" hidden="1" thickBot="1" x14ac:dyDescent="0.3">
      <c r="A5136" s="231"/>
      <c r="B5136" s="244"/>
      <c r="C5136" s="32" t="s">
        <v>1184</v>
      </c>
      <c r="D5136" s="43" t="s">
        <v>901</v>
      </c>
      <c r="E5136" s="33">
        <f>ROUND(0.089*1.5,4)</f>
        <v>0.13350000000000001</v>
      </c>
      <c r="F5136" s="27">
        <v>32.746499999999997</v>
      </c>
      <c r="G5136" s="50">
        <f t="shared" si="97"/>
        <v>4.3716577499999998</v>
      </c>
      <c r="H5136" s="35">
        <f>SUM(G5136:G5140)</f>
        <v>100.51854524999999</v>
      </c>
      <c r="I5136" s="36"/>
      <c r="J5136" s="141">
        <v>0</v>
      </c>
    </row>
    <row r="5137" spans="1:10" ht="26.25" hidden="1" thickBot="1" x14ac:dyDescent="0.3">
      <c r="A5137" s="231"/>
      <c r="B5137" s="244"/>
      <c r="C5137" s="32" t="s">
        <v>3682</v>
      </c>
      <c r="D5137" s="32" t="s">
        <v>280</v>
      </c>
      <c r="E5137" s="33">
        <v>1</v>
      </c>
      <c r="F5137" s="27" t="s">
        <v>523</v>
      </c>
      <c r="G5137" s="50" t="str">
        <f t="shared" si="97"/>
        <v/>
      </c>
      <c r="H5137" s="69"/>
      <c r="I5137" s="70"/>
      <c r="J5137" s="141">
        <v>0</v>
      </c>
    </row>
    <row r="5138" spans="1:10" ht="26.25" hidden="1" thickBot="1" x14ac:dyDescent="0.3">
      <c r="A5138" s="231"/>
      <c r="B5138" s="244"/>
      <c r="C5138" s="32" t="s">
        <v>956</v>
      </c>
      <c r="D5138" s="43" t="s">
        <v>705</v>
      </c>
      <c r="E5138" s="33">
        <f>ROUND(0.93*1.5,4)</f>
        <v>1.395</v>
      </c>
      <c r="F5138" s="27">
        <v>19.094999999999999</v>
      </c>
      <c r="G5138" s="50">
        <f t="shared" si="97"/>
        <v>26.637525</v>
      </c>
      <c r="H5138" s="69"/>
      <c r="I5138" s="70"/>
      <c r="J5138" s="141">
        <v>0</v>
      </c>
    </row>
    <row r="5139" spans="1:10" ht="26.25" hidden="1" thickBot="1" x14ac:dyDescent="0.3">
      <c r="A5139" s="231"/>
      <c r="B5139" s="244"/>
      <c r="C5139" s="32" t="s">
        <v>957</v>
      </c>
      <c r="D5139" s="32" t="s">
        <v>705</v>
      </c>
      <c r="E5139" s="33">
        <f>ROUND(0.93*1.5,4)</f>
        <v>1.395</v>
      </c>
      <c r="F5139" s="27">
        <v>24.300999999999998</v>
      </c>
      <c r="G5139" s="50">
        <f t="shared" si="97"/>
        <v>33.899895000000001</v>
      </c>
      <c r="H5139" s="69"/>
      <c r="I5139" s="70"/>
      <c r="J5139" s="141">
        <v>0</v>
      </c>
    </row>
    <row r="5140" spans="1:10" ht="15.75" hidden="1" thickBot="1" x14ac:dyDescent="0.3">
      <c r="A5140" s="231"/>
      <c r="B5140" s="244"/>
      <c r="C5140" s="32" t="s">
        <v>3243</v>
      </c>
      <c r="D5140" s="32" t="s">
        <v>705</v>
      </c>
      <c r="E5140" s="33">
        <f>ROUND(0.93*1.5,4)</f>
        <v>1.395</v>
      </c>
      <c r="F5140" s="50">
        <v>25.526499999999999</v>
      </c>
      <c r="G5140" s="50">
        <f t="shared" si="97"/>
        <v>35.609467500000001</v>
      </c>
      <c r="H5140" s="69"/>
      <c r="I5140" s="70"/>
      <c r="J5140" s="141">
        <v>0</v>
      </c>
    </row>
    <row r="5141" spans="1:10" ht="15.75" hidden="1" thickBot="1" x14ac:dyDescent="0.3">
      <c r="A5141" s="231"/>
      <c r="B5141" s="244"/>
      <c r="C5141" s="32"/>
      <c r="D5141" s="43"/>
      <c r="E5141" s="33"/>
      <c r="F5141" s="50" t="s">
        <v>523</v>
      </c>
      <c r="G5141" s="50" t="str">
        <f t="shared" si="97"/>
        <v/>
      </c>
      <c r="H5141" s="69"/>
      <c r="I5141" s="70"/>
      <c r="J5141" s="141">
        <v>0</v>
      </c>
    </row>
    <row r="5142" spans="1:10" ht="15.75" hidden="1" thickBot="1" x14ac:dyDescent="0.3">
      <c r="A5142" s="225" t="s">
        <v>3628</v>
      </c>
      <c r="B5142" s="228" t="str">
        <f>INDEX(Orçamentária!A:B,MATCH(Composições!A5142,Orçamentária!A:A,0),2)</f>
        <v>Eliminador de ar para líquidos DN 20 (3/4" NPS)</v>
      </c>
      <c r="C5142" s="37"/>
      <c r="D5142" s="22" t="str">
        <f>TRIM(INDEX(Orçamentária!C:C,MATCH(Composições!A5142,Orçamentária!A:A,0),1))</f>
        <v>un</v>
      </c>
      <c r="E5142" s="23"/>
      <c r="F5142" s="45" t="s">
        <v>523</v>
      </c>
      <c r="G5142" s="24" t="str">
        <f t="shared" si="97"/>
        <v/>
      </c>
      <c r="H5142" s="25"/>
      <c r="I5142" s="26"/>
      <c r="J5142" s="141">
        <v>0</v>
      </c>
    </row>
    <row r="5143" spans="1:10" ht="15.75" hidden="1" thickBot="1" x14ac:dyDescent="0.3">
      <c r="A5143" s="231"/>
      <c r="B5143" s="244"/>
      <c r="C5143" s="28"/>
      <c r="D5143" s="28"/>
      <c r="E5143" s="29"/>
      <c r="F5143" s="50" t="s">
        <v>523</v>
      </c>
      <c r="G5143" s="50" t="str">
        <f t="shared" si="97"/>
        <v/>
      </c>
      <c r="H5143" s="69"/>
      <c r="I5143" s="70"/>
      <c r="J5143" s="141">
        <v>0</v>
      </c>
    </row>
    <row r="5144" spans="1:10" ht="26.25" hidden="1" thickBot="1" x14ac:dyDescent="0.3">
      <c r="A5144" s="231"/>
      <c r="B5144" s="244"/>
      <c r="C5144" s="32" t="s">
        <v>3683</v>
      </c>
      <c r="D5144" s="32" t="s">
        <v>280</v>
      </c>
      <c r="E5144" s="33">
        <v>1</v>
      </c>
      <c r="F5144" s="27" t="s">
        <v>523</v>
      </c>
      <c r="G5144" s="50" t="str">
        <f t="shared" si="97"/>
        <v/>
      </c>
      <c r="H5144" s="35">
        <f>SUM(G5144:G5146)</f>
        <v>17.011232</v>
      </c>
      <c r="I5144" s="36"/>
      <c r="J5144" s="141">
        <v>0</v>
      </c>
    </row>
    <row r="5145" spans="1:10" ht="26.25" hidden="1" thickBot="1" x14ac:dyDescent="0.3">
      <c r="A5145" s="231"/>
      <c r="B5145" s="244"/>
      <c r="C5145" s="32" t="s">
        <v>956</v>
      </c>
      <c r="D5145" s="43" t="s">
        <v>705</v>
      </c>
      <c r="E5145" s="33">
        <v>0.39200000000000002</v>
      </c>
      <c r="F5145" s="27">
        <v>19.094999999999999</v>
      </c>
      <c r="G5145" s="50">
        <f t="shared" si="97"/>
        <v>7.4852400000000001</v>
      </c>
      <c r="H5145" s="69"/>
      <c r="I5145" s="70"/>
      <c r="J5145" s="141">
        <v>0</v>
      </c>
    </row>
    <row r="5146" spans="1:10" ht="26.25" hidden="1" thickBot="1" x14ac:dyDescent="0.3">
      <c r="A5146" s="231"/>
      <c r="B5146" s="244"/>
      <c r="C5146" s="32" t="s">
        <v>957</v>
      </c>
      <c r="D5146" s="32" t="s">
        <v>705</v>
      </c>
      <c r="E5146" s="33">
        <v>0.39200000000000002</v>
      </c>
      <c r="F5146" s="27">
        <v>24.300999999999998</v>
      </c>
      <c r="G5146" s="50">
        <f t="shared" si="97"/>
        <v>9.5259920000000005</v>
      </c>
      <c r="H5146" s="69"/>
      <c r="I5146" s="70"/>
      <c r="J5146" s="141">
        <v>0</v>
      </c>
    </row>
    <row r="5147" spans="1:10" ht="15.75" hidden="1" thickBot="1" x14ac:dyDescent="0.3">
      <c r="A5147" s="231"/>
      <c r="B5147" s="244"/>
      <c r="C5147" s="32"/>
      <c r="D5147" s="43"/>
      <c r="E5147" s="33"/>
      <c r="F5147" s="50" t="s">
        <v>523</v>
      </c>
      <c r="G5147" s="50" t="str">
        <f t="shared" si="97"/>
        <v/>
      </c>
      <c r="H5147" s="69"/>
      <c r="I5147" s="70"/>
      <c r="J5147" s="141">
        <v>0</v>
      </c>
    </row>
    <row r="5148" spans="1:10" ht="15.75" hidden="1" thickBot="1" x14ac:dyDescent="0.3">
      <c r="A5148" s="225" t="s">
        <v>3630</v>
      </c>
      <c r="B5148" s="228" t="str">
        <f>INDEX(Orçamentária!A:B,MATCH(Composições!A5148,Orçamentária!A:A,0),2)</f>
        <v>Flange de pescoço, aço carbono, classe 150, DN 125 (5" NPS)</v>
      </c>
      <c r="C5148" s="37"/>
      <c r="D5148" s="22" t="str">
        <f>TRIM(INDEX(Orçamentária!C:C,MATCH(Composições!A5148,Orçamentária!A:A,0),1))</f>
        <v>un</v>
      </c>
      <c r="E5148" s="23"/>
      <c r="F5148" s="45" t="s">
        <v>523</v>
      </c>
      <c r="G5148" s="24" t="str">
        <f t="shared" si="97"/>
        <v/>
      </c>
      <c r="H5148" s="25"/>
      <c r="I5148" s="26"/>
      <c r="J5148" s="141">
        <v>0</v>
      </c>
    </row>
    <row r="5149" spans="1:10" ht="15.75" hidden="1" thickBot="1" x14ac:dyDescent="0.3">
      <c r="A5149" s="231"/>
      <c r="B5149" s="244"/>
      <c r="C5149" s="28"/>
      <c r="D5149" s="28"/>
      <c r="E5149" s="29"/>
      <c r="F5149" s="50" t="s">
        <v>523</v>
      </c>
      <c r="G5149" s="50" t="str">
        <f t="shared" si="97"/>
        <v/>
      </c>
      <c r="H5149" s="69"/>
      <c r="I5149" s="70"/>
      <c r="J5149" s="141">
        <v>0</v>
      </c>
    </row>
    <row r="5150" spans="1:10" ht="15.75" hidden="1" thickBot="1" x14ac:dyDescent="0.3">
      <c r="A5150" s="231"/>
      <c r="B5150" s="244"/>
      <c r="C5150" s="32" t="s">
        <v>1184</v>
      </c>
      <c r="D5150" s="43" t="s">
        <v>901</v>
      </c>
      <c r="E5150" s="33">
        <f>ROUND(0.089*1.3,4)</f>
        <v>0.1157</v>
      </c>
      <c r="F5150" s="27">
        <v>32.746499999999997</v>
      </c>
      <c r="G5150" s="50">
        <f t="shared" si="97"/>
        <v>3.7887700499999997</v>
      </c>
      <c r="H5150" s="35">
        <f>SUM(G5150:G5154)</f>
        <v>87.116072550000013</v>
      </c>
      <c r="I5150" s="36"/>
      <c r="J5150" s="141">
        <v>0</v>
      </c>
    </row>
    <row r="5151" spans="1:10" ht="15.75" hidden="1" thickBot="1" x14ac:dyDescent="0.3">
      <c r="A5151" s="231"/>
      <c r="B5151" s="244"/>
      <c r="C5151" s="32" t="s">
        <v>3684</v>
      </c>
      <c r="D5151" s="32" t="s">
        <v>280</v>
      </c>
      <c r="E5151" s="33">
        <v>1</v>
      </c>
      <c r="F5151" s="27" t="s">
        <v>523</v>
      </c>
      <c r="G5151" s="50" t="str">
        <f t="shared" si="97"/>
        <v/>
      </c>
      <c r="H5151" s="69"/>
      <c r="I5151" s="70"/>
      <c r="J5151" s="141">
        <v>0</v>
      </c>
    </row>
    <row r="5152" spans="1:10" ht="26.25" hidden="1" thickBot="1" x14ac:dyDescent="0.3">
      <c r="A5152" s="231"/>
      <c r="B5152" s="244"/>
      <c r="C5152" s="32" t="s">
        <v>956</v>
      </c>
      <c r="D5152" s="43" t="s">
        <v>705</v>
      </c>
      <c r="E5152" s="33">
        <f>ROUND(0.93*1.3,4)</f>
        <v>1.2090000000000001</v>
      </c>
      <c r="F5152" s="27">
        <v>19.094999999999999</v>
      </c>
      <c r="G5152" s="50">
        <f t="shared" si="97"/>
        <v>23.085854999999999</v>
      </c>
      <c r="H5152" s="69"/>
      <c r="I5152" s="70"/>
      <c r="J5152" s="141">
        <v>0</v>
      </c>
    </row>
    <row r="5153" spans="1:10" ht="26.25" hidden="1" thickBot="1" x14ac:dyDescent="0.3">
      <c r="A5153" s="231"/>
      <c r="B5153" s="244"/>
      <c r="C5153" s="32" t="s">
        <v>957</v>
      </c>
      <c r="D5153" s="32" t="s">
        <v>705</v>
      </c>
      <c r="E5153" s="33">
        <f>ROUND(0.93*1.3,4)</f>
        <v>1.2090000000000001</v>
      </c>
      <c r="F5153" s="27">
        <v>24.300999999999998</v>
      </c>
      <c r="G5153" s="50">
        <f t="shared" si="97"/>
        <v>29.379909000000001</v>
      </c>
      <c r="H5153" s="69"/>
      <c r="I5153" s="70"/>
      <c r="J5153" s="141">
        <v>0</v>
      </c>
    </row>
    <row r="5154" spans="1:10" ht="15.75" hidden="1" thickBot="1" x14ac:dyDescent="0.3">
      <c r="A5154" s="231"/>
      <c r="B5154" s="244"/>
      <c r="C5154" s="32" t="s">
        <v>3243</v>
      </c>
      <c r="D5154" s="32" t="s">
        <v>705</v>
      </c>
      <c r="E5154" s="33">
        <f>ROUND(0.93*1.3,4)</f>
        <v>1.2090000000000001</v>
      </c>
      <c r="F5154" s="50">
        <v>25.526499999999999</v>
      </c>
      <c r="G5154" s="50">
        <f t="shared" si="97"/>
        <v>30.861538500000002</v>
      </c>
      <c r="H5154" s="69"/>
      <c r="I5154" s="70"/>
      <c r="J5154" s="141">
        <v>0</v>
      </c>
    </row>
    <row r="5155" spans="1:10" ht="15.75" hidden="1" thickBot="1" x14ac:dyDescent="0.3">
      <c r="A5155" s="231"/>
      <c r="B5155" s="244"/>
      <c r="C5155" s="32"/>
      <c r="D5155" s="43"/>
      <c r="E5155" s="33"/>
      <c r="F5155" s="50" t="s">
        <v>523</v>
      </c>
      <c r="G5155" s="50" t="str">
        <f t="shared" si="97"/>
        <v/>
      </c>
      <c r="H5155" s="69"/>
      <c r="I5155" s="70"/>
      <c r="J5155" s="141">
        <v>0</v>
      </c>
    </row>
    <row r="5156" spans="1:10" ht="15.75" hidden="1" thickBot="1" x14ac:dyDescent="0.3">
      <c r="A5156" s="225" t="s">
        <v>3632</v>
      </c>
      <c r="B5156" s="228" t="str">
        <f>INDEX(Orçamentária!A:B,MATCH(Composições!A5156,Orçamentária!A:A,0),2)</f>
        <v>Isolamento elastomérico para tubulações de ferro de 5”</v>
      </c>
      <c r="C5156" s="37"/>
      <c r="D5156" s="22" t="str">
        <f>TRIM(INDEX(Orçamentária!C:C,MATCH(Composições!A5156,Orçamentária!A:A,0),1))</f>
        <v>m</v>
      </c>
      <c r="E5156" s="23"/>
      <c r="F5156" s="45" t="s">
        <v>523</v>
      </c>
      <c r="G5156" s="24" t="str">
        <f t="shared" si="97"/>
        <v/>
      </c>
      <c r="H5156" s="25"/>
      <c r="I5156" s="26"/>
      <c r="J5156" s="141">
        <v>0</v>
      </c>
    </row>
    <row r="5157" spans="1:10" ht="15.75" hidden="1" thickBot="1" x14ac:dyDescent="0.3">
      <c r="A5157" s="231"/>
      <c r="B5157" s="244"/>
      <c r="C5157" s="28"/>
      <c r="D5157" s="28"/>
      <c r="E5157" s="29"/>
      <c r="F5157" s="50" t="s">
        <v>523</v>
      </c>
      <c r="G5157" s="50" t="str">
        <f t="shared" si="97"/>
        <v/>
      </c>
      <c r="H5157" s="69"/>
      <c r="I5157" s="70"/>
      <c r="J5157" s="141">
        <v>0</v>
      </c>
    </row>
    <row r="5158" spans="1:10" ht="39" hidden="1" thickBot="1" x14ac:dyDescent="0.3">
      <c r="A5158" s="231"/>
      <c r="B5158" s="244"/>
      <c r="C5158" s="32" t="s">
        <v>3685</v>
      </c>
      <c r="D5158" s="32" t="s">
        <v>93</v>
      </c>
      <c r="E5158" s="33">
        <v>1.0210999999999999</v>
      </c>
      <c r="F5158" s="27" t="s">
        <v>523</v>
      </c>
      <c r="G5158" s="50" t="str">
        <f t="shared" si="97"/>
        <v/>
      </c>
      <c r="H5158" s="35">
        <f>SUM(G5158:G5160)</f>
        <v>4.1660159999999999</v>
      </c>
      <c r="I5158" s="36"/>
      <c r="J5158" s="141">
        <v>0</v>
      </c>
    </row>
    <row r="5159" spans="1:10" ht="26.25" hidden="1" thickBot="1" x14ac:dyDescent="0.3">
      <c r="A5159" s="231"/>
      <c r="B5159" s="244"/>
      <c r="C5159" s="32" t="s">
        <v>956</v>
      </c>
      <c r="D5159" s="43" t="s">
        <v>705</v>
      </c>
      <c r="E5159" s="33">
        <f>5*0.064*0.3</f>
        <v>9.6000000000000002E-2</v>
      </c>
      <c r="F5159" s="27">
        <v>19.094999999999999</v>
      </c>
      <c r="G5159" s="50">
        <f t="shared" si="97"/>
        <v>1.8331199999999999</v>
      </c>
      <c r="H5159" s="69"/>
      <c r="I5159" s="70"/>
      <c r="J5159" s="141">
        <v>0</v>
      </c>
    </row>
    <row r="5160" spans="1:10" ht="26.25" hidden="1" thickBot="1" x14ac:dyDescent="0.3">
      <c r="A5160" s="231"/>
      <c r="B5160" s="244"/>
      <c r="C5160" s="32" t="s">
        <v>957</v>
      </c>
      <c r="D5160" s="32" t="s">
        <v>705</v>
      </c>
      <c r="E5160" s="33">
        <f>5*0.064*0.3</f>
        <v>9.6000000000000002E-2</v>
      </c>
      <c r="F5160" s="27">
        <v>24.300999999999998</v>
      </c>
      <c r="G5160" s="50">
        <f t="shared" si="97"/>
        <v>2.3328959999999999</v>
      </c>
      <c r="H5160" s="69"/>
      <c r="I5160" s="70"/>
      <c r="J5160" s="141">
        <v>0</v>
      </c>
    </row>
    <row r="5161" spans="1:10" ht="15.75" hidden="1" thickBot="1" x14ac:dyDescent="0.3">
      <c r="A5161" s="231"/>
      <c r="B5161" s="244"/>
      <c r="C5161" s="32"/>
      <c r="D5161" s="43"/>
      <c r="E5161" s="33"/>
      <c r="F5161" s="50" t="s">
        <v>523</v>
      </c>
      <c r="G5161" s="50" t="str">
        <f t="shared" si="97"/>
        <v/>
      </c>
      <c r="H5161" s="69"/>
      <c r="I5161" s="70"/>
      <c r="J5161" s="141">
        <v>0</v>
      </c>
    </row>
    <row r="5162" spans="1:10" ht="15.75" hidden="1" thickBot="1" x14ac:dyDescent="0.3">
      <c r="A5162" s="225" t="s">
        <v>3634</v>
      </c>
      <c r="B5162" s="228" t="str">
        <f>INDEX(Orçamentária!A:B,MATCH(Composições!A5162,Orçamentária!A:A,0),2)</f>
        <v>Meia luva em aço carbono DN 15 (1/2" NPS)</v>
      </c>
      <c r="C5162" s="37"/>
      <c r="D5162" s="22" t="str">
        <f>TRIM(INDEX(Orçamentária!C:C,MATCH(Composições!A5162,Orçamentária!A:A,0),1))</f>
        <v>un</v>
      </c>
      <c r="E5162" s="23"/>
      <c r="F5162" s="45" t="s">
        <v>523</v>
      </c>
      <c r="G5162" s="24" t="str">
        <f t="shared" si="97"/>
        <v/>
      </c>
      <c r="H5162" s="25"/>
      <c r="I5162" s="26"/>
      <c r="J5162" s="141">
        <v>0</v>
      </c>
    </row>
    <row r="5163" spans="1:10" ht="15.75" hidden="1" thickBot="1" x14ac:dyDescent="0.3">
      <c r="A5163" s="231"/>
      <c r="B5163" s="244"/>
      <c r="C5163" s="28"/>
      <c r="D5163" s="28"/>
      <c r="E5163" s="29"/>
      <c r="F5163" s="50" t="s">
        <v>523</v>
      </c>
      <c r="G5163" s="50" t="str">
        <f t="shared" si="97"/>
        <v/>
      </c>
      <c r="H5163" s="69"/>
      <c r="I5163" s="70"/>
      <c r="J5163" s="141">
        <v>0</v>
      </c>
    </row>
    <row r="5164" spans="1:10" ht="15.75" hidden="1" thickBot="1" x14ac:dyDescent="0.3">
      <c r="A5164" s="231"/>
      <c r="B5164" s="244"/>
      <c r="C5164" s="32" t="s">
        <v>1184</v>
      </c>
      <c r="D5164" s="43" t="s">
        <v>901</v>
      </c>
      <c r="E5164" s="33">
        <v>8.9999999999999993E-3</v>
      </c>
      <c r="F5164" s="27">
        <v>32.746499999999997</v>
      </c>
      <c r="G5164" s="50">
        <f t="shared" si="97"/>
        <v>0.29471849999999994</v>
      </c>
      <c r="H5164" s="35">
        <f>SUM(G5164:G5168)</f>
        <v>8.1518835000000003</v>
      </c>
      <c r="I5164" s="36"/>
      <c r="J5164" s="141">
        <v>0</v>
      </c>
    </row>
    <row r="5165" spans="1:10" ht="26.25" hidden="1" thickBot="1" x14ac:dyDescent="0.3">
      <c r="A5165" s="231"/>
      <c r="B5165" s="244"/>
      <c r="C5165" s="32" t="s">
        <v>3686</v>
      </c>
      <c r="D5165" s="32" t="s">
        <v>280</v>
      </c>
      <c r="E5165" s="33">
        <v>1</v>
      </c>
      <c r="F5165" s="27" t="s">
        <v>523</v>
      </c>
      <c r="G5165" s="50" t="str">
        <f t="shared" si="97"/>
        <v/>
      </c>
      <c r="H5165" s="69"/>
      <c r="I5165" s="70"/>
      <c r="J5165" s="141">
        <v>0</v>
      </c>
    </row>
    <row r="5166" spans="1:10" ht="26.25" hidden="1" thickBot="1" x14ac:dyDescent="0.3">
      <c r="A5166" s="231"/>
      <c r="B5166" s="244"/>
      <c r="C5166" s="32" t="s">
        <v>956</v>
      </c>
      <c r="D5166" s="43" t="s">
        <v>705</v>
      </c>
      <c r="E5166" s="33">
        <v>0.114</v>
      </c>
      <c r="F5166" s="27">
        <v>19.094999999999999</v>
      </c>
      <c r="G5166" s="50">
        <f t="shared" si="97"/>
        <v>2.1768299999999998</v>
      </c>
      <c r="H5166" s="69"/>
      <c r="I5166" s="70"/>
      <c r="J5166" s="141">
        <v>0</v>
      </c>
    </row>
    <row r="5167" spans="1:10" ht="26.25" hidden="1" thickBot="1" x14ac:dyDescent="0.3">
      <c r="A5167" s="231"/>
      <c r="B5167" s="244"/>
      <c r="C5167" s="32" t="s">
        <v>957</v>
      </c>
      <c r="D5167" s="32" t="s">
        <v>705</v>
      </c>
      <c r="E5167" s="33">
        <v>0.114</v>
      </c>
      <c r="F5167" s="27">
        <v>24.300999999999998</v>
      </c>
      <c r="G5167" s="50">
        <f t="shared" ref="G5167:G5198" si="98">IF(ISNUMBER(F5167),E5167*F5167,"")</f>
        <v>2.7703139999999999</v>
      </c>
      <c r="H5167" s="69"/>
      <c r="I5167" s="70"/>
      <c r="J5167" s="141">
        <v>0</v>
      </c>
    </row>
    <row r="5168" spans="1:10" ht="15.75" hidden="1" thickBot="1" x14ac:dyDescent="0.3">
      <c r="A5168" s="231"/>
      <c r="B5168" s="244"/>
      <c r="C5168" s="32" t="s">
        <v>3243</v>
      </c>
      <c r="D5168" s="32" t="s">
        <v>705</v>
      </c>
      <c r="E5168" s="33">
        <v>0.114</v>
      </c>
      <c r="F5168" s="50">
        <v>25.526499999999999</v>
      </c>
      <c r="G5168" s="50">
        <f t="shared" si="98"/>
        <v>2.910021</v>
      </c>
      <c r="H5168" s="69"/>
      <c r="I5168" s="70"/>
      <c r="J5168" s="141">
        <v>0</v>
      </c>
    </row>
    <row r="5169" spans="1:10" ht="15.75" hidden="1" thickBot="1" x14ac:dyDescent="0.3">
      <c r="A5169" s="231"/>
      <c r="B5169" s="244"/>
      <c r="C5169" s="32"/>
      <c r="D5169" s="43"/>
      <c r="E5169" s="33"/>
      <c r="F5169" s="50" t="s">
        <v>523</v>
      </c>
      <c r="G5169" s="50" t="str">
        <f t="shared" si="98"/>
        <v/>
      </c>
      <c r="H5169" s="69"/>
      <c r="I5169" s="70"/>
      <c r="J5169" s="141">
        <v>0</v>
      </c>
    </row>
    <row r="5170" spans="1:10" ht="15.75" hidden="1" thickBot="1" x14ac:dyDescent="0.3">
      <c r="A5170" s="225" t="s">
        <v>3636</v>
      </c>
      <c r="B5170" s="228" t="str">
        <f>INDEX(Orçamentária!A:B,MATCH(Composições!A5170,Orçamentária!A:A,0),2)</f>
        <v>Redução concêntrica em aço carbono para solda de topo DN 200 (8" NPS) × DN 125 (5" NPS)</v>
      </c>
      <c r="C5170" s="37"/>
      <c r="D5170" s="22" t="str">
        <f>TRIM(INDEX(Orçamentária!C:C,MATCH(Composições!A5170,Orçamentária!A:A,0),1))</f>
        <v>un</v>
      </c>
      <c r="E5170" s="23"/>
      <c r="F5170" s="45" t="s">
        <v>523</v>
      </c>
      <c r="G5170" s="24" t="str">
        <f t="shared" si="98"/>
        <v/>
      </c>
      <c r="H5170" s="25"/>
      <c r="I5170" s="26"/>
      <c r="J5170" s="141">
        <v>0</v>
      </c>
    </row>
    <row r="5171" spans="1:10" ht="15.75" hidden="1" thickBot="1" x14ac:dyDescent="0.3">
      <c r="A5171" s="231"/>
      <c r="B5171" s="244"/>
      <c r="C5171" s="28"/>
      <c r="D5171" s="28"/>
      <c r="E5171" s="29"/>
      <c r="F5171" s="50" t="s">
        <v>523</v>
      </c>
      <c r="G5171" s="50" t="str">
        <f t="shared" si="98"/>
        <v/>
      </c>
      <c r="H5171" s="69"/>
      <c r="I5171" s="70"/>
      <c r="J5171" s="141">
        <v>0</v>
      </c>
    </row>
    <row r="5172" spans="1:10" ht="15.75" hidden="1" thickBot="1" x14ac:dyDescent="0.3">
      <c r="A5172" s="231"/>
      <c r="B5172" s="244"/>
      <c r="C5172" s="32" t="s">
        <v>1184</v>
      </c>
      <c r="D5172" s="43" t="s">
        <v>901</v>
      </c>
      <c r="E5172" s="33">
        <f>ROUND(0.089*1.3,4)</f>
        <v>0.1157</v>
      </c>
      <c r="F5172" s="27">
        <v>32.746499999999997</v>
      </c>
      <c r="G5172" s="50">
        <f t="shared" si="98"/>
        <v>3.7887700499999997</v>
      </c>
      <c r="H5172" s="35">
        <f>SUM(G5172:G5176)</f>
        <v>59.340305049999998</v>
      </c>
      <c r="I5172" s="36"/>
      <c r="J5172" s="141">
        <v>0</v>
      </c>
    </row>
    <row r="5173" spans="1:10" ht="26.25" hidden="1" thickBot="1" x14ac:dyDescent="0.3">
      <c r="A5173" s="231"/>
      <c r="B5173" s="244"/>
      <c r="C5173" s="32" t="s">
        <v>3687</v>
      </c>
      <c r="D5173" s="32" t="s">
        <v>280</v>
      </c>
      <c r="E5173" s="33">
        <v>1</v>
      </c>
      <c r="F5173" s="27" t="s">
        <v>523</v>
      </c>
      <c r="G5173" s="50" t="str">
        <f t="shared" si="98"/>
        <v/>
      </c>
      <c r="H5173" s="69"/>
      <c r="I5173" s="70"/>
      <c r="J5173" s="141">
        <v>0</v>
      </c>
    </row>
    <row r="5174" spans="1:10" ht="26.25" hidden="1" thickBot="1" x14ac:dyDescent="0.3">
      <c r="A5174" s="231"/>
      <c r="B5174" s="244"/>
      <c r="C5174" s="32" t="s">
        <v>956</v>
      </c>
      <c r="D5174" s="43" t="s">
        <v>705</v>
      </c>
      <c r="E5174" s="33">
        <f>ROUND(0.62*1.3,4)</f>
        <v>0.80600000000000005</v>
      </c>
      <c r="F5174" s="27">
        <v>19.094999999999999</v>
      </c>
      <c r="G5174" s="50">
        <f t="shared" si="98"/>
        <v>15.39057</v>
      </c>
      <c r="H5174" s="69"/>
      <c r="I5174" s="70"/>
      <c r="J5174" s="141">
        <v>0</v>
      </c>
    </row>
    <row r="5175" spans="1:10" ht="26.25" hidden="1" thickBot="1" x14ac:dyDescent="0.3">
      <c r="A5175" s="231"/>
      <c r="B5175" s="244"/>
      <c r="C5175" s="32" t="s">
        <v>957</v>
      </c>
      <c r="D5175" s="32" t="s">
        <v>705</v>
      </c>
      <c r="E5175" s="33">
        <f>ROUND(0.62*1.3,4)</f>
        <v>0.80600000000000005</v>
      </c>
      <c r="F5175" s="27">
        <v>24.300999999999998</v>
      </c>
      <c r="G5175" s="50">
        <f t="shared" si="98"/>
        <v>19.586606</v>
      </c>
      <c r="H5175" s="69"/>
      <c r="I5175" s="70"/>
      <c r="J5175" s="141">
        <v>0</v>
      </c>
    </row>
    <row r="5176" spans="1:10" ht="15.75" hidden="1" thickBot="1" x14ac:dyDescent="0.3">
      <c r="A5176" s="231"/>
      <c r="B5176" s="244"/>
      <c r="C5176" s="32" t="s">
        <v>3243</v>
      </c>
      <c r="D5176" s="32" t="s">
        <v>705</v>
      </c>
      <c r="E5176" s="33">
        <f>ROUND(0.62*1.3,4)</f>
        <v>0.80600000000000005</v>
      </c>
      <c r="F5176" s="50">
        <v>25.526499999999999</v>
      </c>
      <c r="G5176" s="50">
        <f t="shared" si="98"/>
        <v>20.574359000000001</v>
      </c>
      <c r="H5176" s="69"/>
      <c r="I5176" s="70"/>
      <c r="J5176" s="141">
        <v>0</v>
      </c>
    </row>
    <row r="5177" spans="1:10" ht="15.75" hidden="1" thickBot="1" x14ac:dyDescent="0.3">
      <c r="A5177" s="231"/>
      <c r="B5177" s="244"/>
      <c r="C5177" s="32"/>
      <c r="D5177" s="43"/>
      <c r="E5177" s="33"/>
      <c r="F5177" s="50" t="s">
        <v>523</v>
      </c>
      <c r="G5177" s="50" t="str">
        <f t="shared" si="98"/>
        <v/>
      </c>
      <c r="H5177" s="69"/>
      <c r="I5177" s="70"/>
      <c r="J5177" s="141">
        <v>0</v>
      </c>
    </row>
    <row r="5178" spans="1:10" ht="15.75" hidden="1" thickBot="1" x14ac:dyDescent="0.3">
      <c r="A5178" s="225" t="s">
        <v>3648</v>
      </c>
      <c r="B5178" s="228" t="str">
        <f>INDEX(Orçamentária!A:B,MATCH(Composições!A5178,Orçamentária!A:A,0),2)</f>
        <v>Tê em aço carbono para solda de topo DN 200 (8" NPS)</v>
      </c>
      <c r="C5178" s="37"/>
      <c r="D5178" s="22" t="str">
        <f>TRIM(INDEX(Orçamentária!C:C,MATCH(Composições!A5178,Orçamentária!A:A,0),1))</f>
        <v>un</v>
      </c>
      <c r="E5178" s="23"/>
      <c r="F5178" s="45" t="s">
        <v>523</v>
      </c>
      <c r="G5178" s="24" t="str">
        <f t="shared" si="98"/>
        <v/>
      </c>
      <c r="H5178" s="25"/>
      <c r="I5178" s="26"/>
      <c r="J5178" s="141">
        <v>0</v>
      </c>
    </row>
    <row r="5179" spans="1:10" ht="15.75" hidden="1" thickBot="1" x14ac:dyDescent="0.3">
      <c r="A5179" s="231"/>
      <c r="B5179" s="244"/>
      <c r="C5179" s="28"/>
      <c r="D5179" s="28"/>
      <c r="E5179" s="29"/>
      <c r="F5179" s="50" t="s">
        <v>523</v>
      </c>
      <c r="G5179" s="50" t="str">
        <f t="shared" si="98"/>
        <v/>
      </c>
      <c r="H5179" s="69"/>
      <c r="I5179" s="70"/>
      <c r="J5179" s="141">
        <v>0</v>
      </c>
    </row>
    <row r="5180" spans="1:10" ht="15.75" hidden="1" thickBot="1" x14ac:dyDescent="0.3">
      <c r="A5180" s="231"/>
      <c r="B5180" s="244"/>
      <c r="C5180" s="32" t="s">
        <v>1184</v>
      </c>
      <c r="D5180" s="43" t="s">
        <v>901</v>
      </c>
      <c r="E5180" s="33">
        <f>ROUND(0.133*1.3,4)</f>
        <v>0.1729</v>
      </c>
      <c r="F5180" s="27">
        <v>32.746499999999997</v>
      </c>
      <c r="G5180" s="50">
        <f t="shared" si="98"/>
        <v>5.6618698499999995</v>
      </c>
      <c r="H5180" s="35">
        <f>SUM(G5180:G5184)</f>
        <v>91.85634834999999</v>
      </c>
      <c r="I5180" s="36"/>
      <c r="J5180" s="141">
        <v>0</v>
      </c>
    </row>
    <row r="5181" spans="1:10" ht="15.75" hidden="1" thickBot="1" x14ac:dyDescent="0.3">
      <c r="A5181" s="231"/>
      <c r="B5181" s="244"/>
      <c r="C5181" s="32" t="s">
        <v>3688</v>
      </c>
      <c r="D5181" s="32" t="s">
        <v>280</v>
      </c>
      <c r="E5181" s="33">
        <v>1</v>
      </c>
      <c r="F5181" s="27" t="s">
        <v>523</v>
      </c>
      <c r="G5181" s="50" t="str">
        <f t="shared" si="98"/>
        <v/>
      </c>
      <c r="H5181" s="69"/>
      <c r="I5181" s="70"/>
      <c r="J5181" s="141">
        <v>0</v>
      </c>
    </row>
    <row r="5182" spans="1:10" ht="26.25" hidden="1" thickBot="1" x14ac:dyDescent="0.3">
      <c r="A5182" s="231"/>
      <c r="B5182" s="244"/>
      <c r="C5182" s="32" t="s">
        <v>956</v>
      </c>
      <c r="D5182" s="43" t="s">
        <v>705</v>
      </c>
      <c r="E5182" s="33">
        <f>ROUND(0.962*1.3,4)</f>
        <v>1.2505999999999999</v>
      </c>
      <c r="F5182" s="27">
        <v>19.094999999999999</v>
      </c>
      <c r="G5182" s="50">
        <f t="shared" si="98"/>
        <v>23.880206999999999</v>
      </c>
      <c r="H5182" s="69"/>
      <c r="I5182" s="70"/>
      <c r="J5182" s="141">
        <v>0</v>
      </c>
    </row>
    <row r="5183" spans="1:10" ht="26.25" hidden="1" thickBot="1" x14ac:dyDescent="0.3">
      <c r="A5183" s="231"/>
      <c r="B5183" s="244"/>
      <c r="C5183" s="32" t="s">
        <v>957</v>
      </c>
      <c r="D5183" s="32" t="s">
        <v>705</v>
      </c>
      <c r="E5183" s="33">
        <f>ROUND(0.962*1.3,4)</f>
        <v>1.2505999999999999</v>
      </c>
      <c r="F5183" s="27">
        <v>24.300999999999998</v>
      </c>
      <c r="G5183" s="50">
        <f t="shared" si="98"/>
        <v>30.390830599999997</v>
      </c>
      <c r="H5183" s="69"/>
      <c r="I5183" s="70"/>
      <c r="J5183" s="141">
        <v>0</v>
      </c>
    </row>
    <row r="5184" spans="1:10" ht="15.75" hidden="1" thickBot="1" x14ac:dyDescent="0.3">
      <c r="A5184" s="231"/>
      <c r="B5184" s="244"/>
      <c r="C5184" s="32" t="s">
        <v>3243</v>
      </c>
      <c r="D5184" s="32" t="s">
        <v>705</v>
      </c>
      <c r="E5184" s="33">
        <f>ROUND(0.962*1.3,4)</f>
        <v>1.2505999999999999</v>
      </c>
      <c r="F5184" s="50">
        <v>25.526499999999999</v>
      </c>
      <c r="G5184" s="50">
        <f t="shared" si="98"/>
        <v>31.923440899999996</v>
      </c>
      <c r="H5184" s="69"/>
      <c r="I5184" s="70"/>
      <c r="J5184" s="141">
        <v>0</v>
      </c>
    </row>
    <row r="5185" spans="1:10" ht="15.75" hidden="1" thickBot="1" x14ac:dyDescent="0.3">
      <c r="A5185" s="231"/>
      <c r="B5185" s="244"/>
      <c r="C5185" s="32"/>
      <c r="D5185" s="43"/>
      <c r="E5185" s="33"/>
      <c r="F5185" s="50" t="s">
        <v>523</v>
      </c>
      <c r="G5185" s="50" t="str">
        <f t="shared" si="98"/>
        <v/>
      </c>
      <c r="H5185" s="69"/>
      <c r="I5185" s="70"/>
      <c r="J5185" s="141">
        <v>0</v>
      </c>
    </row>
    <row r="5186" spans="1:10" ht="15.75" hidden="1" thickBot="1" x14ac:dyDescent="0.3">
      <c r="A5186" s="225" t="s">
        <v>3650</v>
      </c>
      <c r="B5186" s="228" t="str">
        <f>INDEX(Orçamentária!A:B,MATCH(Composições!A5186,Orçamentária!A:A,0),2)</f>
        <v>Tubo de aço-carbono preto DN 125 (5" NPS)</v>
      </c>
      <c r="C5186" s="37"/>
      <c r="D5186" s="22" t="str">
        <f>TRIM(INDEX(Orçamentária!C:C,MATCH(Composições!A5186,Orçamentária!A:A,0),1))</f>
        <v>m</v>
      </c>
      <c r="E5186" s="23"/>
      <c r="F5186" s="45" t="s">
        <v>523</v>
      </c>
      <c r="G5186" s="24" t="str">
        <f t="shared" si="98"/>
        <v/>
      </c>
      <c r="H5186" s="25"/>
      <c r="I5186" s="26"/>
      <c r="J5186" s="141">
        <v>0</v>
      </c>
    </row>
    <row r="5187" spans="1:10" ht="15.75" hidden="1" thickBot="1" x14ac:dyDescent="0.3">
      <c r="A5187" s="231"/>
      <c r="B5187" s="244"/>
      <c r="C5187" s="28"/>
      <c r="D5187" s="28"/>
      <c r="E5187" s="29"/>
      <c r="F5187" s="50" t="s">
        <v>523</v>
      </c>
      <c r="G5187" s="50" t="str">
        <f t="shared" si="98"/>
        <v/>
      </c>
      <c r="H5187" s="69"/>
      <c r="I5187" s="70"/>
      <c r="J5187" s="141">
        <v>0</v>
      </c>
    </row>
    <row r="5188" spans="1:10" ht="39" hidden="1" thickBot="1" x14ac:dyDescent="0.3">
      <c r="A5188" s="231"/>
      <c r="B5188" s="244"/>
      <c r="C5188" s="32" t="s">
        <v>3197</v>
      </c>
      <c r="D5188" s="43" t="s">
        <v>945</v>
      </c>
      <c r="E5188" s="33">
        <v>2.1100000000000001E-2</v>
      </c>
      <c r="F5188" s="27">
        <v>205.07649999999998</v>
      </c>
      <c r="G5188" s="50">
        <f t="shared" si="98"/>
        <v>4.3271141499999999</v>
      </c>
      <c r="H5188" s="35">
        <f>SUM(G5188:G5197)</f>
        <v>498.22494742235193</v>
      </c>
      <c r="I5188" s="36"/>
      <c r="J5188" s="141">
        <v>0</v>
      </c>
    </row>
    <row r="5189" spans="1:10" ht="39" hidden="1" thickBot="1" x14ac:dyDescent="0.3">
      <c r="A5189" s="231"/>
      <c r="B5189" s="244"/>
      <c r="C5189" s="32" t="s">
        <v>3203</v>
      </c>
      <c r="D5189" s="32" t="s">
        <v>947</v>
      </c>
      <c r="E5189" s="33">
        <v>4.0300000000000002E-2</v>
      </c>
      <c r="F5189" s="27">
        <v>75.097499999999997</v>
      </c>
      <c r="G5189" s="50">
        <f t="shared" si="98"/>
        <v>3.0264292500000001</v>
      </c>
      <c r="H5189" s="69"/>
      <c r="I5189" s="70"/>
      <c r="J5189" s="141">
        <v>0</v>
      </c>
    </row>
    <row r="5190" spans="1:10" ht="15.75" hidden="1" thickBot="1" x14ac:dyDescent="0.3">
      <c r="A5190" s="231"/>
      <c r="B5190" s="244"/>
      <c r="C5190" s="32" t="s">
        <v>132</v>
      </c>
      <c r="D5190" s="43" t="s">
        <v>901</v>
      </c>
      <c r="E5190" s="33">
        <v>0.1125</v>
      </c>
      <c r="F5190" s="27">
        <v>34.104999999999997</v>
      </c>
      <c r="G5190" s="50">
        <f t="shared" si="98"/>
        <v>3.8368124999999997</v>
      </c>
      <c r="H5190" s="69"/>
      <c r="I5190" s="70"/>
      <c r="J5190" s="141">
        <v>0</v>
      </c>
    </row>
    <row r="5191" spans="1:10" ht="15.75" hidden="1" thickBot="1" x14ac:dyDescent="0.3">
      <c r="A5191" s="231"/>
      <c r="B5191" s="244"/>
      <c r="C5191" s="32" t="s">
        <v>3239</v>
      </c>
      <c r="D5191" s="32" t="s">
        <v>705</v>
      </c>
      <c r="E5191" s="33">
        <v>6.5600000000000006E-2</v>
      </c>
      <c r="F5191" s="27">
        <v>19.389499999999998</v>
      </c>
      <c r="G5191" s="50">
        <f t="shared" si="98"/>
        <v>1.2719511999999999</v>
      </c>
      <c r="H5191" s="69"/>
      <c r="I5191" s="70"/>
      <c r="J5191" s="141">
        <v>0</v>
      </c>
    </row>
    <row r="5192" spans="1:10" ht="15.75" hidden="1" thickBot="1" x14ac:dyDescent="0.3">
      <c r="A5192" s="231"/>
      <c r="B5192" s="244"/>
      <c r="C5192" s="32" t="s">
        <v>706</v>
      </c>
      <c r="D5192" s="32" t="s">
        <v>705</v>
      </c>
      <c r="E5192" s="33">
        <v>6.5600000000000006E-2</v>
      </c>
      <c r="F5192" s="50">
        <v>18.420500000000001</v>
      </c>
      <c r="G5192" s="50">
        <f t="shared" si="98"/>
        <v>1.2083848000000001</v>
      </c>
      <c r="H5192" s="69"/>
      <c r="I5192" s="70"/>
      <c r="J5192" s="141">
        <v>0</v>
      </c>
    </row>
    <row r="5193" spans="1:10" ht="15.75" hidden="1" thickBot="1" x14ac:dyDescent="0.3">
      <c r="A5193" s="231"/>
      <c r="B5193" s="244"/>
      <c r="C5193" s="32" t="s">
        <v>3243</v>
      </c>
      <c r="D5193" s="32" t="s">
        <v>705</v>
      </c>
      <c r="E5193" s="33">
        <v>0.28749999999999998</v>
      </c>
      <c r="F5193" s="50">
        <v>25.526499999999999</v>
      </c>
      <c r="G5193" s="50">
        <f t="shared" si="98"/>
        <v>7.3388687499999987</v>
      </c>
      <c r="H5193" s="69"/>
      <c r="I5193" s="70"/>
      <c r="J5193" s="141">
        <v>0</v>
      </c>
    </row>
    <row r="5194" spans="1:10" ht="26.25" hidden="1" thickBot="1" x14ac:dyDescent="0.3">
      <c r="A5194" s="231"/>
      <c r="B5194" s="244"/>
      <c r="C5194" s="32" t="s">
        <v>3526</v>
      </c>
      <c r="D5194" s="32" t="s">
        <v>480</v>
      </c>
      <c r="E5194" s="33">
        <v>1</v>
      </c>
      <c r="F5194" s="50">
        <v>451.48749999999995</v>
      </c>
      <c r="G5194" s="50">
        <f t="shared" si="98"/>
        <v>451.48749999999995</v>
      </c>
      <c r="H5194" s="69"/>
      <c r="I5194" s="70"/>
      <c r="J5194" s="141">
        <v>0</v>
      </c>
    </row>
    <row r="5195" spans="1:10" ht="39" hidden="1" thickBot="1" x14ac:dyDescent="0.3">
      <c r="A5195" s="231"/>
      <c r="B5195" s="244"/>
      <c r="C5195" s="32" t="s">
        <v>3534</v>
      </c>
      <c r="D5195" s="32" t="s">
        <v>1293</v>
      </c>
      <c r="E5195" s="33">
        <v>2.1760000000000002E-2</v>
      </c>
      <c r="F5195" s="50">
        <v>36.458478699999993</v>
      </c>
      <c r="G5195" s="50">
        <f t="shared" si="98"/>
        <v>0.79333649651199989</v>
      </c>
      <c r="H5195" s="69"/>
      <c r="I5195" s="70"/>
      <c r="J5195" s="141">
        <v>0</v>
      </c>
    </row>
    <row r="5196" spans="1:10" ht="39" hidden="1" thickBot="1" x14ac:dyDescent="0.3">
      <c r="A5196" s="231"/>
      <c r="B5196" s="244"/>
      <c r="C5196" s="32" t="s">
        <v>3530</v>
      </c>
      <c r="D5196" s="32" t="s">
        <v>1445</v>
      </c>
      <c r="E5196" s="33">
        <v>0.65280000000000005</v>
      </c>
      <c r="F5196" s="50">
        <v>2.6772652999999997</v>
      </c>
      <c r="G5196" s="50">
        <f t="shared" si="98"/>
        <v>1.74771878784</v>
      </c>
      <c r="H5196" s="69"/>
      <c r="I5196" s="70"/>
      <c r="J5196" s="141">
        <v>0</v>
      </c>
    </row>
    <row r="5197" spans="1:10" ht="51.75" hidden="1" thickBot="1" x14ac:dyDescent="0.3">
      <c r="A5197" s="231"/>
      <c r="B5197" s="244"/>
      <c r="C5197" s="32" t="s">
        <v>3531</v>
      </c>
      <c r="D5197" s="32" t="s">
        <v>1445</v>
      </c>
      <c r="E5197" s="33">
        <v>21.76</v>
      </c>
      <c r="F5197" s="50">
        <v>1.0655712999999998</v>
      </c>
      <c r="G5197" s="50">
        <f t="shared" si="98"/>
        <v>23.186831487999996</v>
      </c>
      <c r="H5197" s="69"/>
      <c r="I5197" s="70"/>
      <c r="J5197" s="141">
        <v>0</v>
      </c>
    </row>
    <row r="5198" spans="1:10" ht="15.75" hidden="1" thickBot="1" x14ac:dyDescent="0.3">
      <c r="A5198" s="231"/>
      <c r="B5198" s="244"/>
      <c r="C5198" s="32"/>
      <c r="D5198" s="32"/>
      <c r="E5198" s="33"/>
      <c r="F5198" s="50" t="s">
        <v>523</v>
      </c>
      <c r="G5198" s="50" t="str">
        <f t="shared" si="98"/>
        <v/>
      </c>
      <c r="H5198" s="69"/>
      <c r="I5198" s="70"/>
      <c r="J5198" s="141">
        <v>0</v>
      </c>
    </row>
    <row r="5199" spans="1:10" ht="15.75" hidden="1" thickBot="1" x14ac:dyDescent="0.3">
      <c r="A5199" s="231"/>
      <c r="B5199" s="244"/>
      <c r="C5199" s="44" t="s">
        <v>6817</v>
      </c>
      <c r="D5199" s="32"/>
      <c r="E5199" s="33"/>
      <c r="F5199" s="50" t="s">
        <v>523</v>
      </c>
      <c r="G5199" s="50" t="str">
        <f t="shared" ref="G5199:G5212" si="99">IF(ISNUMBER(F5199),E5199*F5199,"")</f>
        <v/>
      </c>
      <c r="H5199" s="69"/>
      <c r="I5199" s="70"/>
      <c r="J5199" s="141">
        <v>0</v>
      </c>
    </row>
    <row r="5200" spans="1:10" ht="15.75" hidden="1" thickBot="1" x14ac:dyDescent="0.3">
      <c r="A5200" s="231"/>
      <c r="B5200" s="244"/>
      <c r="C5200" s="32"/>
      <c r="D5200" s="43"/>
      <c r="E5200" s="33"/>
      <c r="F5200" s="50" t="s">
        <v>523</v>
      </c>
      <c r="G5200" s="50" t="str">
        <f t="shared" si="99"/>
        <v/>
      </c>
      <c r="H5200" s="69"/>
      <c r="I5200" s="70"/>
      <c r="J5200" s="141">
        <v>0</v>
      </c>
    </row>
    <row r="5201" spans="1:10" ht="15.75" hidden="1" thickBot="1" x14ac:dyDescent="0.3">
      <c r="A5201" s="225" t="s">
        <v>3652</v>
      </c>
      <c r="B5201" s="228" t="str">
        <f>INDEX(Orçamentária!A:B,MATCH(Composições!A5201,Orçamentária!A:A,0),2)</f>
        <v>Tubo de aço-carbono preto DN 200 (8" NPS)</v>
      </c>
      <c r="C5201" s="37"/>
      <c r="D5201" s="22" t="str">
        <f>TRIM(INDEX(Orçamentária!C:C,MATCH(Composições!A5201,Orçamentária!A:A,0),1))</f>
        <v>m</v>
      </c>
      <c r="E5201" s="23"/>
      <c r="F5201" s="45" t="s">
        <v>523</v>
      </c>
      <c r="G5201" s="24" t="str">
        <f t="shared" si="99"/>
        <v/>
      </c>
      <c r="H5201" s="25"/>
      <c r="I5201" s="26"/>
      <c r="J5201" s="141">
        <v>0</v>
      </c>
    </row>
    <row r="5202" spans="1:10" ht="15.75" hidden="1" thickBot="1" x14ac:dyDescent="0.3">
      <c r="A5202" s="231"/>
      <c r="B5202" s="244"/>
      <c r="C5202" s="28"/>
      <c r="D5202" s="28"/>
      <c r="E5202" s="29"/>
      <c r="F5202" s="50" t="s">
        <v>523</v>
      </c>
      <c r="G5202" s="50" t="str">
        <f t="shared" si="99"/>
        <v/>
      </c>
      <c r="H5202" s="69"/>
      <c r="I5202" s="70"/>
      <c r="J5202" s="141">
        <v>0</v>
      </c>
    </row>
    <row r="5203" spans="1:10" ht="39" hidden="1" thickBot="1" x14ac:dyDescent="0.3">
      <c r="A5203" s="231"/>
      <c r="B5203" s="244"/>
      <c r="C5203" s="32" t="s">
        <v>3197</v>
      </c>
      <c r="D5203" s="43" t="s">
        <v>945</v>
      </c>
      <c r="E5203" s="33">
        <v>2.1100000000000001E-2</v>
      </c>
      <c r="F5203" s="27">
        <v>205.07649999999998</v>
      </c>
      <c r="G5203" s="50">
        <f t="shared" si="99"/>
        <v>4.3271141499999999</v>
      </c>
      <c r="H5203" s="35">
        <f>SUM(G5203:G5214)</f>
        <v>839.89537056312736</v>
      </c>
      <c r="I5203" s="36"/>
      <c r="J5203" s="141">
        <v>0</v>
      </c>
    </row>
    <row r="5204" spans="1:10" ht="39" hidden="1" thickBot="1" x14ac:dyDescent="0.3">
      <c r="A5204" s="231"/>
      <c r="B5204" s="244"/>
      <c r="C5204" s="32" t="s">
        <v>3203</v>
      </c>
      <c r="D5204" s="32" t="s">
        <v>947</v>
      </c>
      <c r="E5204" s="33">
        <v>4.0300000000000002E-2</v>
      </c>
      <c r="F5204" s="27">
        <v>75.097499999999997</v>
      </c>
      <c r="G5204" s="50">
        <f t="shared" si="99"/>
        <v>3.0264292500000001</v>
      </c>
      <c r="H5204" s="69"/>
      <c r="I5204" s="70"/>
      <c r="J5204" s="141">
        <v>0</v>
      </c>
    </row>
    <row r="5205" spans="1:10" ht="15.75" hidden="1" thickBot="1" x14ac:dyDescent="0.3">
      <c r="A5205" s="231"/>
      <c r="B5205" s="244"/>
      <c r="C5205" s="32" t="s">
        <v>132</v>
      </c>
      <c r="D5205" s="43" t="s">
        <v>901</v>
      </c>
      <c r="E5205" s="33">
        <v>0.15</v>
      </c>
      <c r="F5205" s="27">
        <v>34.104999999999997</v>
      </c>
      <c r="G5205" s="50">
        <f t="shared" si="99"/>
        <v>5.1157499999999994</v>
      </c>
      <c r="H5205" s="69"/>
      <c r="I5205" s="70"/>
      <c r="J5205" s="141">
        <v>0</v>
      </c>
    </row>
    <row r="5206" spans="1:10" ht="15.75" hidden="1" thickBot="1" x14ac:dyDescent="0.3">
      <c r="A5206" s="231"/>
      <c r="B5206" s="244"/>
      <c r="C5206" s="32" t="s">
        <v>3239</v>
      </c>
      <c r="D5206" s="32" t="s">
        <v>705</v>
      </c>
      <c r="E5206" s="33">
        <v>6.5600000000000006E-2</v>
      </c>
      <c r="F5206" s="27">
        <v>19.389499999999998</v>
      </c>
      <c r="G5206" s="50">
        <f t="shared" si="99"/>
        <v>1.2719511999999999</v>
      </c>
      <c r="H5206" s="69"/>
      <c r="I5206" s="70"/>
      <c r="J5206" s="141">
        <v>0</v>
      </c>
    </row>
    <row r="5207" spans="1:10" ht="15.75" hidden="1" thickBot="1" x14ac:dyDescent="0.3">
      <c r="A5207" s="231"/>
      <c r="B5207" s="244"/>
      <c r="C5207" s="32" t="s">
        <v>706</v>
      </c>
      <c r="D5207" s="32" t="s">
        <v>705</v>
      </c>
      <c r="E5207" s="33">
        <v>6.5600000000000006E-2</v>
      </c>
      <c r="F5207" s="50">
        <v>18.420500000000001</v>
      </c>
      <c r="G5207" s="50">
        <f t="shared" si="99"/>
        <v>1.2083848000000001</v>
      </c>
      <c r="H5207" s="69"/>
      <c r="I5207" s="70"/>
      <c r="J5207" s="141">
        <v>0</v>
      </c>
    </row>
    <row r="5208" spans="1:10" ht="15.75" hidden="1" thickBot="1" x14ac:dyDescent="0.3">
      <c r="A5208" s="231"/>
      <c r="B5208" s="244"/>
      <c r="C5208" s="32" t="s">
        <v>3243</v>
      </c>
      <c r="D5208" s="32" t="s">
        <v>705</v>
      </c>
      <c r="E5208" s="33">
        <v>0.38340000000000002</v>
      </c>
      <c r="F5208" s="50">
        <v>25.526499999999999</v>
      </c>
      <c r="G5208" s="50">
        <f t="shared" si="99"/>
        <v>9.7868601000000002</v>
      </c>
      <c r="H5208" s="69"/>
      <c r="I5208" s="70"/>
      <c r="J5208" s="141">
        <v>0</v>
      </c>
    </row>
    <row r="5209" spans="1:10" ht="26.25" hidden="1" thickBot="1" x14ac:dyDescent="0.3">
      <c r="A5209" s="231"/>
      <c r="B5209" s="244"/>
      <c r="C5209" s="32" t="s">
        <v>3389</v>
      </c>
      <c r="D5209" s="32" t="s">
        <v>480</v>
      </c>
      <c r="E5209" s="33">
        <v>1</v>
      </c>
      <c r="F5209" s="50">
        <v>765.22499999999991</v>
      </c>
      <c r="G5209" s="50">
        <f t="shared" si="99"/>
        <v>765.22499999999991</v>
      </c>
      <c r="H5209" s="69"/>
      <c r="I5209" s="70"/>
      <c r="J5209" s="141">
        <v>0</v>
      </c>
    </row>
    <row r="5210" spans="1:10" ht="39" hidden="1" thickBot="1" x14ac:dyDescent="0.3">
      <c r="A5210" s="231"/>
      <c r="B5210" s="244"/>
      <c r="C5210" s="32" t="s">
        <v>3535</v>
      </c>
      <c r="D5210" s="32" t="s">
        <v>1293</v>
      </c>
      <c r="E5210" s="33">
        <v>4.2549999999999998E-2</v>
      </c>
      <c r="F5210" s="50">
        <v>27.644961049999996</v>
      </c>
      <c r="G5210" s="50">
        <f t="shared" si="99"/>
        <v>1.1762930926774997</v>
      </c>
      <c r="H5210" s="69"/>
      <c r="I5210" s="70"/>
      <c r="J5210" s="141">
        <v>0</v>
      </c>
    </row>
    <row r="5211" spans="1:10" ht="39" hidden="1" thickBot="1" x14ac:dyDescent="0.3">
      <c r="A5211" s="231"/>
      <c r="B5211" s="244"/>
      <c r="C5211" s="32" t="s">
        <v>3530</v>
      </c>
      <c r="D5211" s="32" t="s">
        <v>1445</v>
      </c>
      <c r="E5211" s="33">
        <v>1.2765</v>
      </c>
      <c r="F5211" s="50">
        <v>2.6772652999999997</v>
      </c>
      <c r="G5211" s="50">
        <f t="shared" si="99"/>
        <v>3.4175291554499996</v>
      </c>
      <c r="H5211" s="69"/>
      <c r="I5211" s="70"/>
      <c r="J5211" s="141">
        <v>0</v>
      </c>
    </row>
    <row r="5212" spans="1:10" ht="51.75" hidden="1" thickBot="1" x14ac:dyDescent="0.3">
      <c r="A5212" s="231"/>
      <c r="B5212" s="244"/>
      <c r="C5212" s="32" t="s">
        <v>3531</v>
      </c>
      <c r="D5212" s="32" t="s">
        <v>1445</v>
      </c>
      <c r="E5212" s="33">
        <v>42.55</v>
      </c>
      <c r="F5212" s="50">
        <v>1.0655712999999998</v>
      </c>
      <c r="G5212" s="50">
        <f t="shared" si="99"/>
        <v>45.340058814999985</v>
      </c>
      <c r="H5212" s="69"/>
      <c r="I5212" s="70"/>
      <c r="J5212" s="141">
        <v>0</v>
      </c>
    </row>
    <row r="5213" spans="1:10" ht="15.75" hidden="1" thickBot="1" x14ac:dyDescent="0.3">
      <c r="A5213" s="231"/>
      <c r="B5213" s="244"/>
      <c r="C5213" s="32"/>
      <c r="D5213" s="32"/>
      <c r="E5213" s="33"/>
      <c r="F5213" s="50"/>
      <c r="G5213" s="50"/>
      <c r="H5213" s="69"/>
      <c r="I5213" s="70"/>
      <c r="J5213" s="141">
        <v>0</v>
      </c>
    </row>
    <row r="5214" spans="1:10" ht="15.75" hidden="1" thickBot="1" x14ac:dyDescent="0.3">
      <c r="A5214" s="231"/>
      <c r="B5214" s="244"/>
      <c r="C5214" s="44" t="s">
        <v>6817</v>
      </c>
      <c r="D5214" s="32"/>
      <c r="E5214" s="33"/>
      <c r="F5214" s="50" t="s">
        <v>523</v>
      </c>
      <c r="G5214" s="50" t="str">
        <f t="shared" ref="G5214:G5277" si="100">IF(ISNUMBER(F5214),E5214*F5214,"")</f>
        <v/>
      </c>
      <c r="H5214" s="69"/>
      <c r="I5214" s="70"/>
      <c r="J5214" s="141">
        <v>0</v>
      </c>
    </row>
    <row r="5215" spans="1:10" ht="15.75" hidden="1" thickBot="1" x14ac:dyDescent="0.3">
      <c r="A5215" s="231"/>
      <c r="B5215" s="244"/>
      <c r="C5215" s="32"/>
      <c r="D5215" s="43"/>
      <c r="E5215" s="33"/>
      <c r="F5215" s="50" t="s">
        <v>523</v>
      </c>
      <c r="G5215" s="50" t="str">
        <f t="shared" si="100"/>
        <v/>
      </c>
      <c r="H5215" s="69"/>
      <c r="I5215" s="70"/>
      <c r="J5215" s="141">
        <v>0</v>
      </c>
    </row>
    <row r="5216" spans="1:10" ht="15.75" hidden="1" thickBot="1" x14ac:dyDescent="0.3">
      <c r="A5216" s="225" t="s">
        <v>3654</v>
      </c>
      <c r="B5216" s="228" t="str">
        <f>INDEX(Orçamentária!A:B,MATCH(Composições!A5216,Orçamentária!A:A,0),2)</f>
        <v>Válvula de esfera em bronze 1/2”</v>
      </c>
      <c r="C5216" s="37"/>
      <c r="D5216" s="22" t="str">
        <f>TRIM(INDEX(Orçamentária!C:C,MATCH(Composições!A5216,Orçamentária!A:A,0),1))</f>
        <v>un</v>
      </c>
      <c r="E5216" s="23"/>
      <c r="F5216" s="45" t="s">
        <v>523</v>
      </c>
      <c r="G5216" s="24" t="str">
        <f t="shared" si="100"/>
        <v/>
      </c>
      <c r="H5216" s="25"/>
      <c r="I5216" s="26"/>
      <c r="J5216" s="141">
        <v>0</v>
      </c>
    </row>
    <row r="5217" spans="1:10" ht="15.75" hidden="1" thickBot="1" x14ac:dyDescent="0.3">
      <c r="A5217" s="231"/>
      <c r="B5217" s="244"/>
      <c r="C5217" s="28"/>
      <c r="D5217" s="28"/>
      <c r="E5217" s="29"/>
      <c r="F5217" s="50" t="s">
        <v>523</v>
      </c>
      <c r="G5217" s="50" t="str">
        <f t="shared" si="100"/>
        <v/>
      </c>
      <c r="H5217" s="69"/>
      <c r="I5217" s="70"/>
      <c r="J5217" s="141">
        <v>0</v>
      </c>
    </row>
    <row r="5218" spans="1:10" ht="15.75" hidden="1" thickBot="1" x14ac:dyDescent="0.3">
      <c r="A5218" s="231"/>
      <c r="B5218" s="244"/>
      <c r="C5218" s="32" t="s">
        <v>319</v>
      </c>
      <c r="D5218" s="32" t="s">
        <v>280</v>
      </c>
      <c r="E5218" s="33">
        <v>8.3999999999999995E-3</v>
      </c>
      <c r="F5218" s="27">
        <v>16.111999999999998</v>
      </c>
      <c r="G5218" s="50">
        <f t="shared" si="100"/>
        <v>0.13534079999999998</v>
      </c>
      <c r="H5218" s="35">
        <f>SUM(G5218:G5221)</f>
        <v>49.986013199999995</v>
      </c>
      <c r="I5218" s="36"/>
      <c r="J5218" s="141">
        <v>0</v>
      </c>
    </row>
    <row r="5219" spans="1:10" ht="15.75" hidden="1" thickBot="1" x14ac:dyDescent="0.3">
      <c r="A5219" s="231"/>
      <c r="B5219" s="244"/>
      <c r="C5219" s="32" t="s">
        <v>1149</v>
      </c>
      <c r="D5219" s="32" t="s">
        <v>280</v>
      </c>
      <c r="E5219" s="33">
        <v>1</v>
      </c>
      <c r="F5219" s="27">
        <v>46.730499999999992</v>
      </c>
      <c r="G5219" s="50">
        <f t="shared" si="100"/>
        <v>46.730499999999992</v>
      </c>
      <c r="H5219" s="69"/>
      <c r="I5219" s="70"/>
      <c r="J5219" s="141">
        <v>0</v>
      </c>
    </row>
    <row r="5220" spans="1:10" ht="26.25" hidden="1" thickBot="1" x14ac:dyDescent="0.3">
      <c r="A5220" s="231"/>
      <c r="B5220" s="244"/>
      <c r="C5220" s="32" t="s">
        <v>956</v>
      </c>
      <c r="D5220" s="43" t="s">
        <v>705</v>
      </c>
      <c r="E5220" s="33">
        <v>7.1900000000000006E-2</v>
      </c>
      <c r="F5220" s="27">
        <v>19.094999999999999</v>
      </c>
      <c r="G5220" s="50">
        <f t="shared" si="100"/>
        <v>1.3729305000000001</v>
      </c>
      <c r="H5220" s="69"/>
      <c r="I5220" s="70"/>
      <c r="J5220" s="141">
        <v>0</v>
      </c>
    </row>
    <row r="5221" spans="1:10" ht="26.25" hidden="1" thickBot="1" x14ac:dyDescent="0.3">
      <c r="A5221" s="231"/>
      <c r="B5221" s="244"/>
      <c r="C5221" s="32" t="s">
        <v>957</v>
      </c>
      <c r="D5221" s="32" t="s">
        <v>705</v>
      </c>
      <c r="E5221" s="33">
        <v>7.1900000000000006E-2</v>
      </c>
      <c r="F5221" s="27">
        <v>24.300999999999998</v>
      </c>
      <c r="G5221" s="50">
        <f t="shared" si="100"/>
        <v>1.7472419000000001</v>
      </c>
      <c r="H5221" s="69"/>
      <c r="I5221" s="70"/>
      <c r="J5221" s="141">
        <v>0</v>
      </c>
    </row>
    <row r="5222" spans="1:10" ht="15.75" hidden="1" thickBot="1" x14ac:dyDescent="0.3">
      <c r="A5222" s="231"/>
      <c r="B5222" s="244"/>
      <c r="C5222" s="32"/>
      <c r="D5222" s="43"/>
      <c r="E5222" s="33"/>
      <c r="F5222" s="50" t="s">
        <v>523</v>
      </c>
      <c r="G5222" s="50" t="str">
        <f t="shared" si="100"/>
        <v/>
      </c>
      <c r="H5222" s="69"/>
      <c r="I5222" s="70"/>
      <c r="J5222" s="141">
        <v>0</v>
      </c>
    </row>
    <row r="5223" spans="1:10" ht="15.75" hidden="1" thickBot="1" x14ac:dyDescent="0.3">
      <c r="A5223" s="225" t="s">
        <v>3656</v>
      </c>
      <c r="B5223" s="228" t="str">
        <f>INDEX(Orçamentária!A:B,MATCH(Composições!A5223,Orçamentária!A:A,0),2)</f>
        <v>Válvula gaveta com flange DN 125 (5" NPS)</v>
      </c>
      <c r="C5223" s="37"/>
      <c r="D5223" s="22" t="str">
        <f>TRIM(INDEX(Orçamentária!C:C,MATCH(Composições!A5223,Orçamentária!A:A,0),1))</f>
        <v>un</v>
      </c>
      <c r="E5223" s="23"/>
      <c r="F5223" s="45" t="s">
        <v>523</v>
      </c>
      <c r="G5223" s="24" t="str">
        <f t="shared" si="100"/>
        <v/>
      </c>
      <c r="H5223" s="25"/>
      <c r="I5223" s="26"/>
      <c r="J5223" s="141">
        <v>0</v>
      </c>
    </row>
    <row r="5224" spans="1:10" ht="15.75" hidden="1" thickBot="1" x14ac:dyDescent="0.3">
      <c r="A5224" s="231"/>
      <c r="B5224" s="244"/>
      <c r="C5224" s="28"/>
      <c r="D5224" s="28"/>
      <c r="E5224" s="29"/>
      <c r="F5224" s="50" t="s">
        <v>523</v>
      </c>
      <c r="G5224" s="50" t="str">
        <f t="shared" si="100"/>
        <v/>
      </c>
      <c r="H5224" s="69"/>
      <c r="I5224" s="70"/>
      <c r="J5224" s="141">
        <v>0</v>
      </c>
    </row>
    <row r="5225" spans="1:10" ht="15.75" hidden="1" thickBot="1" x14ac:dyDescent="0.3">
      <c r="A5225" s="231"/>
      <c r="B5225" s="244"/>
      <c r="C5225" s="32" t="s">
        <v>319</v>
      </c>
      <c r="D5225" s="32" t="s">
        <v>280</v>
      </c>
      <c r="E5225" s="33">
        <v>4.5199999999999997E-2</v>
      </c>
      <c r="F5225" s="27">
        <v>16.111999999999998</v>
      </c>
      <c r="G5225" s="50">
        <f t="shared" si="100"/>
        <v>0.72826239999999987</v>
      </c>
      <c r="H5225" s="35">
        <f>SUM(G5225:G5228)</f>
        <v>32.081872400000002</v>
      </c>
      <c r="I5225" s="36"/>
      <c r="J5225" s="141">
        <v>0</v>
      </c>
    </row>
    <row r="5226" spans="1:10" ht="15.75" hidden="1" thickBot="1" x14ac:dyDescent="0.3">
      <c r="A5226" s="231"/>
      <c r="B5226" s="244"/>
      <c r="C5226" s="32" t="s">
        <v>3657</v>
      </c>
      <c r="D5226" s="32" t="s">
        <v>280</v>
      </c>
      <c r="E5226" s="33">
        <v>1</v>
      </c>
      <c r="F5226" s="27" t="s">
        <v>523</v>
      </c>
      <c r="G5226" s="50" t="str">
        <f t="shared" si="100"/>
        <v/>
      </c>
      <c r="H5226" s="69"/>
      <c r="I5226" s="70"/>
      <c r="J5226" s="141">
        <v>0</v>
      </c>
    </row>
    <row r="5227" spans="1:10" ht="26.25" hidden="1" thickBot="1" x14ac:dyDescent="0.3">
      <c r="A5227" s="231"/>
      <c r="B5227" s="244"/>
      <c r="C5227" s="32" t="s">
        <v>956</v>
      </c>
      <c r="D5227" s="43" t="s">
        <v>705</v>
      </c>
      <c r="E5227" s="33">
        <v>0.72250000000000003</v>
      </c>
      <c r="F5227" s="27">
        <v>19.094999999999999</v>
      </c>
      <c r="G5227" s="50">
        <f t="shared" si="100"/>
        <v>13.7961375</v>
      </c>
      <c r="H5227" s="69"/>
      <c r="I5227" s="70"/>
      <c r="J5227" s="141">
        <v>0</v>
      </c>
    </row>
    <row r="5228" spans="1:10" ht="26.25" hidden="1" thickBot="1" x14ac:dyDescent="0.3">
      <c r="A5228" s="231"/>
      <c r="B5228" s="244"/>
      <c r="C5228" s="32" t="s">
        <v>957</v>
      </c>
      <c r="D5228" s="32" t="s">
        <v>705</v>
      </c>
      <c r="E5228" s="33">
        <v>0.72250000000000003</v>
      </c>
      <c r="F5228" s="27">
        <v>24.300999999999998</v>
      </c>
      <c r="G5228" s="50">
        <f t="shared" si="100"/>
        <v>17.557472499999999</v>
      </c>
      <c r="H5228" s="69"/>
      <c r="I5228" s="70"/>
      <c r="J5228" s="141">
        <v>0</v>
      </c>
    </row>
    <row r="5229" spans="1:10" ht="15.75" hidden="1" thickBot="1" x14ac:dyDescent="0.3">
      <c r="A5229" s="231"/>
      <c r="B5229" s="244"/>
      <c r="C5229" s="32"/>
      <c r="D5229" s="43"/>
      <c r="E5229" s="33"/>
      <c r="F5229" s="50" t="s">
        <v>523</v>
      </c>
      <c r="G5229" s="50" t="str">
        <f t="shared" si="100"/>
        <v/>
      </c>
      <c r="H5229" s="69"/>
      <c r="I5229" s="70"/>
      <c r="J5229" s="141">
        <v>0</v>
      </c>
    </row>
    <row r="5230" spans="1:10" ht="15.75" hidden="1" thickBot="1" x14ac:dyDescent="0.3">
      <c r="A5230" s="225" t="s">
        <v>3660</v>
      </c>
      <c r="B5230" s="228" t="str">
        <f>INDEX(Orçamentária!A:B,MATCH(Composições!A5230,Orçamentária!A:A,0),2)</f>
        <v>Cabo de fibra óptica monomodo 12 fibras</v>
      </c>
      <c r="C5230" s="37"/>
      <c r="D5230" s="22" t="str">
        <f>TRIM(INDEX(Orçamentária!C:C,MATCH(Composições!A5230,Orçamentária!A:A,0),1))</f>
        <v>m</v>
      </c>
      <c r="E5230" s="23"/>
      <c r="F5230" s="45" t="s">
        <v>523</v>
      </c>
      <c r="G5230" s="24" t="str">
        <f t="shared" si="100"/>
        <v/>
      </c>
      <c r="H5230" s="25"/>
      <c r="I5230" s="26"/>
      <c r="J5230" s="141">
        <v>0</v>
      </c>
    </row>
    <row r="5231" spans="1:10" ht="15.75" hidden="1" thickBot="1" x14ac:dyDescent="0.3">
      <c r="A5231" s="231"/>
      <c r="B5231" s="244"/>
      <c r="C5231" s="28"/>
      <c r="D5231" s="28"/>
      <c r="E5231" s="29"/>
      <c r="F5231" s="50" t="s">
        <v>523</v>
      </c>
      <c r="G5231" s="50" t="str">
        <f t="shared" si="100"/>
        <v/>
      </c>
      <c r="H5231" s="69"/>
      <c r="I5231" s="70"/>
      <c r="J5231" s="141">
        <v>0</v>
      </c>
    </row>
    <row r="5232" spans="1:10" ht="15.75" hidden="1" thickBot="1" x14ac:dyDescent="0.3">
      <c r="A5232" s="231"/>
      <c r="B5232" s="244"/>
      <c r="C5232" s="32" t="s">
        <v>3689</v>
      </c>
      <c r="D5232" s="32" t="s">
        <v>93</v>
      </c>
      <c r="E5232" s="33">
        <v>1.05</v>
      </c>
      <c r="F5232" s="27" t="s">
        <v>523</v>
      </c>
      <c r="G5232" s="50" t="str">
        <f t="shared" si="100"/>
        <v/>
      </c>
      <c r="H5232" s="35">
        <f>SUM(G5232:G5234)</f>
        <v>3.1678604999999997</v>
      </c>
      <c r="I5232" s="36"/>
      <c r="J5232" s="141">
        <v>0</v>
      </c>
    </row>
    <row r="5233" spans="1:10" ht="15.75" hidden="1" thickBot="1" x14ac:dyDescent="0.3">
      <c r="A5233" s="231"/>
      <c r="B5233" s="244"/>
      <c r="C5233" s="32" t="s">
        <v>1164</v>
      </c>
      <c r="D5233" s="43" t="s">
        <v>705</v>
      </c>
      <c r="E5233" s="33">
        <v>7.1099999999999997E-2</v>
      </c>
      <c r="F5233" s="27">
        <v>19.4085</v>
      </c>
      <c r="G5233" s="50">
        <f t="shared" si="100"/>
        <v>1.3799443499999999</v>
      </c>
      <c r="H5233" s="69"/>
      <c r="I5233" s="70"/>
      <c r="J5233" s="141">
        <v>0</v>
      </c>
    </row>
    <row r="5234" spans="1:10" ht="15.75" hidden="1" thickBot="1" x14ac:dyDescent="0.3">
      <c r="A5234" s="231"/>
      <c r="B5234" s="244"/>
      <c r="C5234" s="32" t="s">
        <v>1165</v>
      </c>
      <c r="D5234" s="32" t="s">
        <v>705</v>
      </c>
      <c r="E5234" s="33">
        <v>7.1099999999999997E-2</v>
      </c>
      <c r="F5234" s="27">
        <v>25.146499999999996</v>
      </c>
      <c r="G5234" s="50">
        <f t="shared" si="100"/>
        <v>1.7879161499999996</v>
      </c>
      <c r="H5234" s="69"/>
      <c r="I5234" s="70"/>
      <c r="J5234" s="141">
        <v>0</v>
      </c>
    </row>
    <row r="5235" spans="1:10" ht="15.75" hidden="1" thickBot="1" x14ac:dyDescent="0.3">
      <c r="A5235" s="231"/>
      <c r="B5235" s="244"/>
      <c r="C5235" s="32"/>
      <c r="D5235" s="43"/>
      <c r="E5235" s="33"/>
      <c r="F5235" s="50" t="s">
        <v>523</v>
      </c>
      <c r="G5235" s="50" t="str">
        <f t="shared" si="100"/>
        <v/>
      </c>
      <c r="H5235" s="69"/>
      <c r="I5235" s="70"/>
      <c r="J5235" s="141">
        <v>0</v>
      </c>
    </row>
    <row r="5236" spans="1:10" ht="15.75" hidden="1" thickBot="1" x14ac:dyDescent="0.3">
      <c r="A5236" s="225" t="s">
        <v>3662</v>
      </c>
      <c r="B5236" s="228" t="str">
        <f>INDEX(Orçamentária!A:B,MATCH(Composições!A5236,Orçamentária!A:A,0),2)</f>
        <v>Cabo de fibra óptica monomodo 144 fibras</v>
      </c>
      <c r="C5236" s="37"/>
      <c r="D5236" s="22" t="str">
        <f>TRIM(INDEX(Orçamentária!C:C,MATCH(Composições!A5236,Orçamentária!A:A,0),1))</f>
        <v>m</v>
      </c>
      <c r="E5236" s="23"/>
      <c r="F5236" s="45" t="s">
        <v>523</v>
      </c>
      <c r="G5236" s="24" t="str">
        <f t="shared" si="100"/>
        <v/>
      </c>
      <c r="H5236" s="25"/>
      <c r="I5236" s="26"/>
      <c r="J5236" s="141">
        <v>0</v>
      </c>
    </row>
    <row r="5237" spans="1:10" ht="15.75" hidden="1" thickBot="1" x14ac:dyDescent="0.3">
      <c r="A5237" s="231"/>
      <c r="B5237" s="244"/>
      <c r="C5237" s="28"/>
      <c r="D5237" s="28"/>
      <c r="E5237" s="29"/>
      <c r="F5237" s="50" t="s">
        <v>523</v>
      </c>
      <c r="G5237" s="50" t="str">
        <f t="shared" si="100"/>
        <v/>
      </c>
      <c r="H5237" s="69"/>
      <c r="I5237" s="70"/>
      <c r="J5237" s="141">
        <v>0</v>
      </c>
    </row>
    <row r="5238" spans="1:10" ht="15.75" hidden="1" thickBot="1" x14ac:dyDescent="0.3">
      <c r="A5238" s="231"/>
      <c r="B5238" s="244"/>
      <c r="C5238" s="32" t="s">
        <v>3690</v>
      </c>
      <c r="D5238" s="32" t="s">
        <v>93</v>
      </c>
      <c r="E5238" s="33">
        <v>1.05</v>
      </c>
      <c r="F5238" s="27" t="s">
        <v>523</v>
      </c>
      <c r="G5238" s="50" t="str">
        <f t="shared" si="100"/>
        <v/>
      </c>
      <c r="H5238" s="35">
        <f>SUM(G5238:G5240)</f>
        <v>6.184234</v>
      </c>
      <c r="I5238" s="36"/>
      <c r="J5238" s="141">
        <v>0</v>
      </c>
    </row>
    <row r="5239" spans="1:10" ht="15.75" hidden="1" thickBot="1" x14ac:dyDescent="0.3">
      <c r="A5239" s="231"/>
      <c r="B5239" s="244"/>
      <c r="C5239" s="32" t="s">
        <v>1164</v>
      </c>
      <c r="D5239" s="43" t="s">
        <v>705</v>
      </c>
      <c r="E5239" s="33">
        <v>0.13880000000000001</v>
      </c>
      <c r="F5239" s="27">
        <v>19.4085</v>
      </c>
      <c r="G5239" s="50">
        <f t="shared" si="100"/>
        <v>2.6938998000000001</v>
      </c>
      <c r="H5239" s="69"/>
      <c r="I5239" s="70"/>
      <c r="J5239" s="141">
        <v>0</v>
      </c>
    </row>
    <row r="5240" spans="1:10" ht="15.75" hidden="1" thickBot="1" x14ac:dyDescent="0.3">
      <c r="A5240" s="231"/>
      <c r="B5240" s="244"/>
      <c r="C5240" s="32" t="s">
        <v>1165</v>
      </c>
      <c r="D5240" s="32" t="s">
        <v>705</v>
      </c>
      <c r="E5240" s="33">
        <v>0.13880000000000001</v>
      </c>
      <c r="F5240" s="27">
        <v>25.146499999999996</v>
      </c>
      <c r="G5240" s="50">
        <f t="shared" si="100"/>
        <v>3.4903341999999995</v>
      </c>
      <c r="H5240" s="69"/>
      <c r="I5240" s="70"/>
      <c r="J5240" s="141">
        <v>0</v>
      </c>
    </row>
    <row r="5241" spans="1:10" ht="15.75" hidden="1" thickBot="1" x14ac:dyDescent="0.3">
      <c r="A5241" s="231"/>
      <c r="B5241" s="244"/>
      <c r="C5241" s="32"/>
      <c r="D5241" s="43"/>
      <c r="E5241" s="33"/>
      <c r="F5241" s="50" t="s">
        <v>523</v>
      </c>
      <c r="G5241" s="50" t="str">
        <f t="shared" si="100"/>
        <v/>
      </c>
      <c r="H5241" s="69"/>
      <c r="I5241" s="70"/>
      <c r="J5241" s="141">
        <v>0</v>
      </c>
    </row>
    <row r="5242" spans="1:10" ht="15.75" hidden="1" thickBot="1" x14ac:dyDescent="0.3">
      <c r="A5242" s="225" t="s">
        <v>3664</v>
      </c>
      <c r="B5242" s="228" t="str">
        <f>INDEX(Orçamentária!A:B,MATCH(Composições!A5242,Orçamentária!A:A,0),2)</f>
        <v>Eletroduto PEAD 1 1/4" - fornecimento e instalação</v>
      </c>
      <c r="C5242" s="37"/>
      <c r="D5242" s="22" t="str">
        <f>TRIM(INDEX(Orçamentária!C:C,MATCH(Composições!A5242,Orçamentária!A:A,0),1))</f>
        <v>m</v>
      </c>
      <c r="E5242" s="23"/>
      <c r="F5242" s="38" t="s">
        <v>523</v>
      </c>
      <c r="G5242" s="24" t="str">
        <f t="shared" si="100"/>
        <v/>
      </c>
      <c r="H5242" s="25"/>
      <c r="I5242" s="26"/>
      <c r="J5242" s="141">
        <v>0</v>
      </c>
    </row>
    <row r="5243" spans="1:10" ht="15.75" hidden="1" thickBot="1" x14ac:dyDescent="0.3">
      <c r="A5243" s="226"/>
      <c r="B5243" s="244"/>
      <c r="C5243" s="28"/>
      <c r="D5243" s="28"/>
      <c r="E5243" s="29"/>
      <c r="F5243" s="39" t="s">
        <v>523</v>
      </c>
      <c r="G5243" s="27" t="str">
        <f t="shared" si="100"/>
        <v/>
      </c>
      <c r="H5243" s="31"/>
      <c r="I5243" s="27"/>
      <c r="J5243" s="141">
        <v>0</v>
      </c>
    </row>
    <row r="5244" spans="1:10" ht="39" hidden="1" thickBot="1" x14ac:dyDescent="0.3">
      <c r="A5244" s="226"/>
      <c r="B5244" s="244"/>
      <c r="C5244" s="32" t="s">
        <v>6806</v>
      </c>
      <c r="D5244" s="32" t="s">
        <v>480</v>
      </c>
      <c r="E5244" s="33">
        <v>1.1000000000000001</v>
      </c>
      <c r="F5244" s="27">
        <v>3.3819999999999997</v>
      </c>
      <c r="G5244" s="30">
        <f t="shared" si="100"/>
        <v>3.7201999999999997</v>
      </c>
      <c r="H5244" s="35">
        <f>SUM(G5244:G5247)</f>
        <v>11.604458999999999</v>
      </c>
      <c r="I5244" s="36"/>
      <c r="J5244" s="141">
        <v>0</v>
      </c>
    </row>
    <row r="5245" spans="1:10" ht="15.75" hidden="1" thickBot="1" x14ac:dyDescent="0.3">
      <c r="A5245" s="226"/>
      <c r="B5245" s="244"/>
      <c r="C5245" s="32" t="s">
        <v>1164</v>
      </c>
      <c r="D5245" s="32" t="s">
        <v>705</v>
      </c>
      <c r="E5245" s="33">
        <v>0.113</v>
      </c>
      <c r="F5245" s="27">
        <v>19.4085</v>
      </c>
      <c r="G5245" s="30">
        <f t="shared" si="100"/>
        <v>2.1931605000000003</v>
      </c>
      <c r="H5245" s="31"/>
      <c r="I5245" s="27"/>
      <c r="J5245" s="141">
        <v>0</v>
      </c>
    </row>
    <row r="5246" spans="1:10" ht="15.75" hidden="1" thickBot="1" x14ac:dyDescent="0.3">
      <c r="A5246" s="226"/>
      <c r="B5246" s="244"/>
      <c r="C5246" s="32" t="s">
        <v>1165</v>
      </c>
      <c r="D5246" s="32" t="s">
        <v>705</v>
      </c>
      <c r="E5246" s="33">
        <v>0.113</v>
      </c>
      <c r="F5246" s="27">
        <v>25.146499999999996</v>
      </c>
      <c r="G5246" s="30">
        <f t="shared" si="100"/>
        <v>2.8415544999999995</v>
      </c>
      <c r="H5246" s="31"/>
      <c r="I5246" s="27"/>
      <c r="J5246" s="141">
        <v>0</v>
      </c>
    </row>
    <row r="5247" spans="1:10" ht="51.75" hidden="1" thickBot="1" x14ac:dyDescent="0.3">
      <c r="A5247" s="226"/>
      <c r="B5247" s="244"/>
      <c r="C5247" s="32" t="s">
        <v>3226</v>
      </c>
      <c r="D5247" s="32" t="s">
        <v>480</v>
      </c>
      <c r="E5247" s="33">
        <v>1</v>
      </c>
      <c r="F5247" s="30">
        <v>2.8495440000000003</v>
      </c>
      <c r="G5247" s="27">
        <f t="shared" si="100"/>
        <v>2.8495440000000003</v>
      </c>
      <c r="H5247" s="31"/>
      <c r="I5247" s="27"/>
      <c r="J5247" s="141">
        <v>0</v>
      </c>
    </row>
    <row r="5248" spans="1:10" ht="15.75" hidden="1" thickBot="1" x14ac:dyDescent="0.3">
      <c r="A5248" s="227"/>
      <c r="B5248" s="230"/>
      <c r="C5248" s="32"/>
      <c r="D5248" s="32"/>
      <c r="E5248" s="33"/>
      <c r="F5248" s="27" t="s">
        <v>523</v>
      </c>
      <c r="G5248" s="27" t="str">
        <f t="shared" si="100"/>
        <v/>
      </c>
      <c r="H5248" s="31"/>
      <c r="I5248" s="27"/>
      <c r="J5248" s="141">
        <v>0</v>
      </c>
    </row>
    <row r="5249" spans="1:10" ht="15.75" hidden="1" thickBot="1" x14ac:dyDescent="0.3">
      <c r="A5249" s="239" t="s">
        <v>3666</v>
      </c>
      <c r="B5249" s="236" t="str">
        <f>INDEX(Orçamentária!A:B,MATCH(Composições!A5249,Orçamentária!A:A,0),2)</f>
        <v>Caixa de Passagem Subterrânea 1600x2000mm</v>
      </c>
      <c r="C5249" s="37"/>
      <c r="D5249" s="22" t="str">
        <f>TRIM(INDEX(Orçamentária!C:C,MATCH(Composições!A5249,Orçamentária!A:A,0),1))</f>
        <v>un</v>
      </c>
      <c r="E5249" s="23"/>
      <c r="F5249" s="38" t="s">
        <v>523</v>
      </c>
      <c r="G5249" s="24" t="str">
        <f t="shared" si="100"/>
        <v/>
      </c>
      <c r="H5249" s="25"/>
      <c r="I5249" s="26"/>
      <c r="J5249" s="141">
        <v>0</v>
      </c>
    </row>
    <row r="5250" spans="1:10" ht="15.75" hidden="1" thickBot="1" x14ac:dyDescent="0.3">
      <c r="A5250" s="240"/>
      <c r="B5250" s="245"/>
      <c r="C5250" s="28"/>
      <c r="D5250" s="28"/>
      <c r="E5250" s="29"/>
      <c r="F5250" s="39" t="s">
        <v>523</v>
      </c>
      <c r="G5250" s="27" t="str">
        <f t="shared" si="100"/>
        <v/>
      </c>
      <c r="H5250" s="31"/>
      <c r="I5250" s="27"/>
      <c r="J5250" s="141">
        <v>0</v>
      </c>
    </row>
    <row r="5251" spans="1:10" ht="51.75" hidden="1" thickBot="1" x14ac:dyDescent="0.3">
      <c r="A5251" s="240"/>
      <c r="B5251" s="245"/>
      <c r="C5251" s="32" t="s">
        <v>3198</v>
      </c>
      <c r="D5251" s="32" t="s">
        <v>945</v>
      </c>
      <c r="E5251" s="33">
        <f>ROUND(0.0087*3.33,4)</f>
        <v>2.9000000000000001E-2</v>
      </c>
      <c r="F5251" s="27">
        <v>136.82849999999999</v>
      </c>
      <c r="G5251" s="30">
        <f t="shared" si="100"/>
        <v>3.9680265000000001</v>
      </c>
      <c r="H5251" s="35">
        <f>SUM(G5251:G5259)</f>
        <v>1871.4193233782182</v>
      </c>
      <c r="I5251" s="36"/>
      <c r="J5251" s="141">
        <v>0</v>
      </c>
    </row>
    <row r="5252" spans="1:10" ht="51.75" hidden="1" thickBot="1" x14ac:dyDescent="0.3">
      <c r="A5252" s="240"/>
      <c r="B5252" s="245"/>
      <c r="C5252" s="32" t="s">
        <v>3204</v>
      </c>
      <c r="D5252" s="32" t="s">
        <v>947</v>
      </c>
      <c r="E5252" s="33">
        <f>ROUND(0.0294*3.33,4)</f>
        <v>9.7900000000000001E-2</v>
      </c>
      <c r="F5252" s="27">
        <v>49.875</v>
      </c>
      <c r="G5252" s="30">
        <f t="shared" si="100"/>
        <v>4.8827625000000001</v>
      </c>
      <c r="H5252" s="31"/>
      <c r="I5252" s="27"/>
      <c r="J5252" s="141">
        <v>0</v>
      </c>
    </row>
    <row r="5253" spans="1:10" ht="15.75" hidden="1" thickBot="1" x14ac:dyDescent="0.3">
      <c r="A5253" s="240"/>
      <c r="B5253" s="245"/>
      <c r="C5253" s="32" t="s">
        <v>3523</v>
      </c>
      <c r="D5253" s="32" t="s">
        <v>280</v>
      </c>
      <c r="E5253" s="33">
        <f>ROUND(169.8027*3.33,4)</f>
        <v>565.44299999999998</v>
      </c>
      <c r="F5253" s="30">
        <v>0.71249999999999991</v>
      </c>
      <c r="G5253" s="27">
        <f t="shared" si="100"/>
        <v>402.87813749999992</v>
      </c>
      <c r="H5253" s="31"/>
      <c r="I5253" s="27"/>
      <c r="J5253" s="141">
        <v>0</v>
      </c>
    </row>
    <row r="5254" spans="1:10" ht="39" hidden="1" thickBot="1" x14ac:dyDescent="0.3">
      <c r="A5254" s="240"/>
      <c r="B5254" s="245"/>
      <c r="C5254" s="32" t="s">
        <v>1005</v>
      </c>
      <c r="D5254" s="32" t="s">
        <v>120</v>
      </c>
      <c r="E5254" s="33">
        <f>ROUND(0.0014*3.33,4)</f>
        <v>4.7000000000000002E-3</v>
      </c>
      <c r="F5254" s="27">
        <v>538.03577996999991</v>
      </c>
      <c r="G5254" s="30">
        <f t="shared" si="100"/>
        <v>2.5287681658589998</v>
      </c>
      <c r="H5254" s="31"/>
      <c r="I5254" s="36"/>
      <c r="J5254" s="141">
        <v>0</v>
      </c>
    </row>
    <row r="5255" spans="1:10" ht="15.75" hidden="1" thickBot="1" x14ac:dyDescent="0.3">
      <c r="A5255" s="240"/>
      <c r="B5255" s="245"/>
      <c r="C5255" s="32" t="s">
        <v>713</v>
      </c>
      <c r="D5255" s="32" t="s">
        <v>705</v>
      </c>
      <c r="E5255" s="33">
        <f>ROUND(5.4392*3.33,4)</f>
        <v>18.112500000000001</v>
      </c>
      <c r="F5255" s="27">
        <v>24.889999999999997</v>
      </c>
      <c r="G5255" s="30">
        <f t="shared" si="100"/>
        <v>450.82012499999996</v>
      </c>
      <c r="H5255" s="31"/>
      <c r="I5255" s="27"/>
      <c r="J5255" s="141">
        <v>0</v>
      </c>
    </row>
    <row r="5256" spans="1:10" ht="15.75" hidden="1" thickBot="1" x14ac:dyDescent="0.3">
      <c r="A5256" s="240"/>
      <c r="B5256" s="245"/>
      <c r="C5256" s="32" t="s">
        <v>706</v>
      </c>
      <c r="D5256" s="32" t="s">
        <v>705</v>
      </c>
      <c r="E5256" s="33">
        <f>ROUND(5.4392*3.33,4)</f>
        <v>18.112500000000001</v>
      </c>
      <c r="F5256" s="30">
        <v>18.420500000000001</v>
      </c>
      <c r="G5256" s="27">
        <f t="shared" si="100"/>
        <v>333.64130625000001</v>
      </c>
      <c r="H5256" s="31"/>
      <c r="I5256" s="27"/>
      <c r="J5256" s="141">
        <v>0</v>
      </c>
    </row>
    <row r="5257" spans="1:10" ht="26.25" hidden="1" thickBot="1" x14ac:dyDescent="0.3">
      <c r="A5257" s="240"/>
      <c r="B5257" s="245"/>
      <c r="C5257" s="32" t="s">
        <v>3236</v>
      </c>
      <c r="D5257" s="32" t="s">
        <v>120</v>
      </c>
      <c r="E5257" s="33">
        <f>ROUND(0.1012*3.33,4)</f>
        <v>0.33700000000000002</v>
      </c>
      <c r="F5257" s="27">
        <v>614.14627114500001</v>
      </c>
      <c r="G5257" s="30">
        <f t="shared" si="100"/>
        <v>206.96729337586501</v>
      </c>
      <c r="H5257" s="31"/>
      <c r="I5257" s="36"/>
      <c r="J5257" s="141">
        <v>0</v>
      </c>
    </row>
    <row r="5258" spans="1:10" ht="26.25" hidden="1" thickBot="1" x14ac:dyDescent="0.3">
      <c r="A5258" s="240"/>
      <c r="B5258" s="245"/>
      <c r="C5258" s="32" t="s">
        <v>3221</v>
      </c>
      <c r="D5258" s="32" t="s">
        <v>120</v>
      </c>
      <c r="E5258" s="33">
        <f>ROUND(0.0448*3.33,4)</f>
        <v>0.1492</v>
      </c>
      <c r="F5258" s="27">
        <v>2481.31396637322</v>
      </c>
      <c r="G5258" s="30">
        <f t="shared" si="100"/>
        <v>370.21204378288439</v>
      </c>
      <c r="H5258" s="31"/>
      <c r="I5258" s="27"/>
      <c r="J5258" s="141">
        <v>0</v>
      </c>
    </row>
    <row r="5259" spans="1:10" ht="26.25" hidden="1" thickBot="1" x14ac:dyDescent="0.3">
      <c r="A5259" s="240"/>
      <c r="B5259" s="245"/>
      <c r="C5259" s="32" t="s">
        <v>3698</v>
      </c>
      <c r="D5259" s="32" t="s">
        <v>120</v>
      </c>
      <c r="E5259" s="33">
        <f>ROUND(0.081*3.33,4)</f>
        <v>0.2697</v>
      </c>
      <c r="F5259" s="30">
        <v>354.17449129999989</v>
      </c>
      <c r="G5259" s="27">
        <f t="shared" si="100"/>
        <v>95.520860303609965</v>
      </c>
      <c r="H5259" s="31"/>
      <c r="I5259" s="27"/>
      <c r="J5259" s="141">
        <v>0</v>
      </c>
    </row>
    <row r="5260" spans="1:10" ht="15.75" hidden="1" thickBot="1" x14ac:dyDescent="0.3">
      <c r="A5260" s="241"/>
      <c r="B5260" s="238"/>
      <c r="C5260" s="32"/>
      <c r="D5260" s="32"/>
      <c r="E5260" s="33"/>
      <c r="F5260" s="27" t="s">
        <v>523</v>
      </c>
      <c r="G5260" s="27" t="str">
        <f t="shared" si="100"/>
        <v/>
      </c>
      <c r="H5260" s="31"/>
      <c r="I5260" s="27"/>
      <c r="J5260" s="141">
        <v>0</v>
      </c>
    </row>
    <row r="5261" spans="1:10" ht="15.75" hidden="1" thickBot="1" x14ac:dyDescent="0.3">
      <c r="A5261" s="225" t="s">
        <v>3668</v>
      </c>
      <c r="B5261" s="228" t="str">
        <f>INDEX(Orçamentária!A:B,MATCH(Composições!A5261,Orçamentária!A:A,0),2)</f>
        <v>Projeto Executivo de Rede de Telecomunicações Backbone</v>
      </c>
      <c r="C5261" s="37"/>
      <c r="D5261" s="22" t="str">
        <f>TRIM(INDEX(Orçamentária!C:C,MATCH(Composições!A5261,Orçamentária!A:A,0),1))</f>
        <v>un</v>
      </c>
      <c r="E5261" s="23"/>
      <c r="F5261" s="38" t="s">
        <v>523</v>
      </c>
      <c r="G5261" s="24" t="str">
        <f t="shared" si="100"/>
        <v/>
      </c>
      <c r="H5261" s="25"/>
      <c r="I5261" s="26"/>
      <c r="J5261" s="141">
        <v>0</v>
      </c>
    </row>
    <row r="5262" spans="1:10" ht="15.75" hidden="1" thickBot="1" x14ac:dyDescent="0.3">
      <c r="A5262" s="226"/>
      <c r="B5262" s="244"/>
      <c r="C5262" s="28"/>
      <c r="D5262" s="28"/>
      <c r="E5262" s="29"/>
      <c r="F5262" s="39" t="s">
        <v>523</v>
      </c>
      <c r="G5262" s="27" t="str">
        <f t="shared" si="100"/>
        <v/>
      </c>
      <c r="H5262" s="31"/>
      <c r="I5262" s="27"/>
      <c r="J5262" s="141">
        <v>0</v>
      </c>
    </row>
    <row r="5263" spans="1:10" ht="15.75" hidden="1" thickBot="1" x14ac:dyDescent="0.3">
      <c r="A5263" s="226"/>
      <c r="B5263" s="244"/>
      <c r="C5263" s="32" t="s">
        <v>18</v>
      </c>
      <c r="D5263" s="32" t="s">
        <v>705</v>
      </c>
      <c r="E5263" s="33">
        <v>40</v>
      </c>
      <c r="F5263" s="27">
        <v>99.474499999999992</v>
      </c>
      <c r="G5263" s="30">
        <f t="shared" si="100"/>
        <v>3978.9799999999996</v>
      </c>
      <c r="H5263" s="35">
        <f>SUM(G5263:G5267)</f>
        <v>5092.4299999999994</v>
      </c>
      <c r="I5263" s="36"/>
      <c r="J5263" s="141">
        <v>0</v>
      </c>
    </row>
    <row r="5264" spans="1:10" ht="15.75" hidden="1" thickBot="1" x14ac:dyDescent="0.3">
      <c r="A5264" s="226"/>
      <c r="B5264" s="244"/>
      <c r="C5264" s="32" t="s">
        <v>3246</v>
      </c>
      <c r="D5264" s="32" t="s">
        <v>12</v>
      </c>
      <c r="E5264" s="33">
        <v>20</v>
      </c>
      <c r="F5264" s="27">
        <v>14.725</v>
      </c>
      <c r="G5264" s="30">
        <f t="shared" si="100"/>
        <v>294.5</v>
      </c>
      <c r="H5264" s="31"/>
      <c r="I5264" s="27"/>
      <c r="J5264" s="141">
        <v>0</v>
      </c>
    </row>
    <row r="5265" spans="1:10" ht="15.75" hidden="1" thickBot="1" x14ac:dyDescent="0.3">
      <c r="A5265" s="226"/>
      <c r="B5265" s="244"/>
      <c r="C5265" s="32" t="s">
        <v>3248</v>
      </c>
      <c r="D5265" s="32" t="s">
        <v>12</v>
      </c>
      <c r="E5265" s="33">
        <v>20</v>
      </c>
      <c r="F5265" s="27">
        <v>19.617499999999996</v>
      </c>
      <c r="G5265" s="30">
        <f t="shared" si="100"/>
        <v>392.34999999999991</v>
      </c>
      <c r="H5265" s="31"/>
      <c r="I5265" s="27"/>
      <c r="J5265" s="141">
        <v>0</v>
      </c>
    </row>
    <row r="5266" spans="1:10" ht="15.75" hidden="1" thickBot="1" x14ac:dyDescent="0.3">
      <c r="A5266" s="226"/>
      <c r="B5266" s="244"/>
      <c r="C5266" s="32" t="s">
        <v>3240</v>
      </c>
      <c r="D5266" s="32" t="s">
        <v>12</v>
      </c>
      <c r="E5266" s="33">
        <v>20</v>
      </c>
      <c r="F5266" s="27">
        <v>9.6330000000000009</v>
      </c>
      <c r="G5266" s="30">
        <f t="shared" si="100"/>
        <v>192.66000000000003</v>
      </c>
      <c r="H5266" s="31"/>
      <c r="I5266" s="27"/>
      <c r="J5266" s="141">
        <v>0</v>
      </c>
    </row>
    <row r="5267" spans="1:10" ht="15.75" hidden="1" thickBot="1" x14ac:dyDescent="0.3">
      <c r="A5267" s="226"/>
      <c r="B5267" s="244"/>
      <c r="C5267" s="32" t="s">
        <v>19</v>
      </c>
      <c r="D5267" s="32" t="s">
        <v>20</v>
      </c>
      <c r="E5267" s="33">
        <v>1</v>
      </c>
      <c r="F5267" s="30">
        <v>233.94</v>
      </c>
      <c r="G5267" s="27">
        <f t="shared" si="100"/>
        <v>233.94</v>
      </c>
      <c r="H5267" s="31"/>
      <c r="I5267" s="27"/>
      <c r="J5267" s="141">
        <v>0</v>
      </c>
    </row>
    <row r="5268" spans="1:10" ht="15.75" hidden="1" thickBot="1" x14ac:dyDescent="0.3">
      <c r="A5268" s="227"/>
      <c r="B5268" s="230"/>
      <c r="C5268" s="32"/>
      <c r="D5268" s="32"/>
      <c r="E5268" s="33"/>
      <c r="F5268" s="27" t="s">
        <v>523</v>
      </c>
      <c r="G5268" s="27" t="str">
        <f t="shared" si="100"/>
        <v/>
      </c>
      <c r="H5268" s="31"/>
      <c r="I5268" s="27"/>
      <c r="J5268" s="141">
        <v>0</v>
      </c>
    </row>
    <row r="5269" spans="1:10" ht="15.75" hidden="1" thickBot="1" x14ac:dyDescent="0.3">
      <c r="A5269" s="225" t="s">
        <v>3670</v>
      </c>
      <c r="B5269" s="228" t="str">
        <f>INDEX(Orçamentária!A:B,MATCH(Composições!A5269,Orçamentária!A:A,0),2)</f>
        <v>Eletroduto PEAD 2”</v>
      </c>
      <c r="C5269" s="37"/>
      <c r="D5269" s="22" t="str">
        <f>TRIM(INDEX(Orçamentária!C:C,MATCH(Composições!A5269,Orçamentária!A:A,0),1))</f>
        <v>m</v>
      </c>
      <c r="E5269" s="23"/>
      <c r="F5269" s="38" t="s">
        <v>523</v>
      </c>
      <c r="G5269" s="24" t="str">
        <f t="shared" si="100"/>
        <v/>
      </c>
      <c r="H5269" s="25"/>
      <c r="I5269" s="26"/>
      <c r="J5269" s="141">
        <v>0</v>
      </c>
    </row>
    <row r="5270" spans="1:10" ht="15.75" hidden="1" thickBot="1" x14ac:dyDescent="0.3">
      <c r="A5270" s="226"/>
      <c r="B5270" s="244"/>
      <c r="C5270" s="28"/>
      <c r="D5270" s="28"/>
      <c r="E5270" s="29"/>
      <c r="F5270" s="39" t="s">
        <v>523</v>
      </c>
      <c r="G5270" s="27" t="str">
        <f t="shared" si="100"/>
        <v/>
      </c>
      <c r="H5270" s="31"/>
      <c r="I5270" s="27"/>
      <c r="J5270" s="141">
        <v>0</v>
      </c>
    </row>
    <row r="5271" spans="1:10" ht="39" hidden="1" thickBot="1" x14ac:dyDescent="0.3">
      <c r="A5271" s="226"/>
      <c r="B5271" s="244"/>
      <c r="C5271" s="32" t="s">
        <v>6647</v>
      </c>
      <c r="D5271" s="32" t="s">
        <v>480</v>
      </c>
      <c r="E5271" s="33">
        <v>1.1000000000000001</v>
      </c>
      <c r="F5271" s="27">
        <v>5.5765000000000002</v>
      </c>
      <c r="G5271" s="30">
        <f t="shared" si="100"/>
        <v>6.1341500000000009</v>
      </c>
      <c r="H5271" s="35">
        <f>SUM(G5271:G5273)</f>
        <v>10.344597500000001</v>
      </c>
      <c r="I5271" s="36"/>
      <c r="J5271" s="141">
        <v>0</v>
      </c>
    </row>
    <row r="5272" spans="1:10" ht="15.75" hidden="1" thickBot="1" x14ac:dyDescent="0.3">
      <c r="A5272" s="226"/>
      <c r="B5272" s="244"/>
      <c r="C5272" s="32" t="s">
        <v>1164</v>
      </c>
      <c r="D5272" s="32" t="s">
        <v>705</v>
      </c>
      <c r="E5272" s="33">
        <v>9.4500000000000001E-2</v>
      </c>
      <c r="F5272" s="27">
        <v>19.4085</v>
      </c>
      <c r="G5272" s="30">
        <f t="shared" si="100"/>
        <v>1.8341032500000001</v>
      </c>
      <c r="H5272" s="31"/>
      <c r="I5272" s="27"/>
      <c r="J5272" s="141">
        <v>0</v>
      </c>
    </row>
    <row r="5273" spans="1:10" ht="15.75" hidden="1" thickBot="1" x14ac:dyDescent="0.3">
      <c r="A5273" s="226"/>
      <c r="B5273" s="244"/>
      <c r="C5273" s="32" t="s">
        <v>1165</v>
      </c>
      <c r="D5273" s="32" t="s">
        <v>705</v>
      </c>
      <c r="E5273" s="33">
        <v>9.4500000000000001E-2</v>
      </c>
      <c r="F5273" s="30">
        <v>25.146499999999996</v>
      </c>
      <c r="G5273" s="27">
        <f t="shared" si="100"/>
        <v>2.3763442499999998</v>
      </c>
      <c r="H5273" s="31"/>
      <c r="I5273" s="27"/>
      <c r="J5273" s="141">
        <v>0</v>
      </c>
    </row>
    <row r="5274" spans="1:10" ht="15.75" hidden="1" thickBot="1" x14ac:dyDescent="0.3">
      <c r="A5274" s="227"/>
      <c r="B5274" s="230"/>
      <c r="C5274" s="32"/>
      <c r="D5274" s="32"/>
      <c r="E5274" s="33"/>
      <c r="F5274" s="27" t="s">
        <v>523</v>
      </c>
      <c r="G5274" s="27" t="str">
        <f t="shared" si="100"/>
        <v/>
      </c>
      <c r="H5274" s="31"/>
      <c r="I5274" s="27"/>
      <c r="J5274" s="141">
        <v>0</v>
      </c>
    </row>
    <row r="5275" spans="1:10" ht="15.75" hidden="1" thickBot="1" x14ac:dyDescent="0.3">
      <c r="A5275" s="225" t="s">
        <v>3676</v>
      </c>
      <c r="B5275" s="228" t="str">
        <f>INDEX(Orçamentária!A:B,MATCH(Composições!A5275,Orçamentária!A:A,0),2)</f>
        <v>Tampa em Ferro Fundido - Circular DN-600 mm Classe 400</v>
      </c>
      <c r="C5275" s="37"/>
      <c r="D5275" s="22" t="str">
        <f>TRIM(INDEX(Orçamentária!C:C,MATCH(Composições!A5275,Orçamentária!A:A,0),1))</f>
        <v>un</v>
      </c>
      <c r="E5275" s="23"/>
      <c r="F5275" s="45" t="s">
        <v>523</v>
      </c>
      <c r="G5275" s="24" t="str">
        <f t="shared" si="100"/>
        <v/>
      </c>
      <c r="H5275" s="25"/>
      <c r="I5275" s="26"/>
      <c r="J5275" s="141">
        <v>0</v>
      </c>
    </row>
    <row r="5276" spans="1:10" ht="15.75" hidden="1" thickBot="1" x14ac:dyDescent="0.3">
      <c r="A5276" s="231"/>
      <c r="B5276" s="229"/>
      <c r="C5276" s="146"/>
      <c r="D5276" s="146"/>
      <c r="E5276" s="147"/>
      <c r="F5276" s="50" t="s">
        <v>523</v>
      </c>
      <c r="G5276" s="50" t="str">
        <f t="shared" si="100"/>
        <v/>
      </c>
      <c r="H5276" s="69"/>
      <c r="I5276" s="70"/>
      <c r="J5276" s="141">
        <v>0</v>
      </c>
    </row>
    <row r="5277" spans="1:10" ht="39" hidden="1" thickBot="1" x14ac:dyDescent="0.3">
      <c r="A5277" s="231"/>
      <c r="B5277" s="229"/>
      <c r="C5277" s="148" t="s">
        <v>7721</v>
      </c>
      <c r="D5277" s="148" t="s">
        <v>280</v>
      </c>
      <c r="E5277" s="149">
        <v>1</v>
      </c>
      <c r="F5277" s="27">
        <v>640.68949999999995</v>
      </c>
      <c r="G5277" s="50">
        <f t="shared" si="100"/>
        <v>640.68949999999995</v>
      </c>
      <c r="H5277" s="35">
        <f>SUM(G5277:G5280)</f>
        <v>683.10519494303799</v>
      </c>
      <c r="I5277" s="36"/>
      <c r="J5277" s="141">
        <v>0</v>
      </c>
    </row>
    <row r="5278" spans="1:10" ht="15.75" hidden="1" thickBot="1" x14ac:dyDescent="0.3">
      <c r="A5278" s="231"/>
      <c r="B5278" s="229"/>
      <c r="C5278" s="148" t="s">
        <v>713</v>
      </c>
      <c r="D5278" s="148" t="s">
        <v>705</v>
      </c>
      <c r="E5278" s="149">
        <v>1.0088999999999999</v>
      </c>
      <c r="F5278" s="27">
        <v>24.889999999999997</v>
      </c>
      <c r="G5278" s="50">
        <f t="shared" ref="G5278:G5341" si="101">IF(ISNUMBER(F5278),E5278*F5278,"")</f>
        <v>25.111520999999996</v>
      </c>
      <c r="H5278" s="69"/>
      <c r="I5278" s="70"/>
      <c r="J5278" s="141">
        <v>0</v>
      </c>
    </row>
    <row r="5279" spans="1:10" ht="15.75" hidden="1" thickBot="1" x14ac:dyDescent="0.3">
      <c r="A5279" s="231"/>
      <c r="B5279" s="229"/>
      <c r="C5279" s="148" t="s">
        <v>706</v>
      </c>
      <c r="D5279" s="150" t="s">
        <v>705</v>
      </c>
      <c r="E5279" s="149">
        <v>0.79269999999999996</v>
      </c>
      <c r="F5279" s="27">
        <v>18.420500000000001</v>
      </c>
      <c r="G5279" s="50">
        <f t="shared" si="101"/>
        <v>14.60193035</v>
      </c>
      <c r="H5279" s="69"/>
      <c r="I5279" s="70"/>
      <c r="J5279" s="141">
        <v>0</v>
      </c>
    </row>
    <row r="5280" spans="1:10" ht="26.25" hidden="1" thickBot="1" x14ac:dyDescent="0.3">
      <c r="A5280" s="231"/>
      <c r="B5280" s="229"/>
      <c r="C5280" s="148" t="s">
        <v>3236</v>
      </c>
      <c r="D5280" s="148" t="s">
        <v>120</v>
      </c>
      <c r="E5280" s="149">
        <v>4.4000000000000003E-3</v>
      </c>
      <c r="F5280" s="27">
        <v>614.14627114500001</v>
      </c>
      <c r="G5280" s="50">
        <f t="shared" si="101"/>
        <v>2.7022435930380002</v>
      </c>
      <c r="H5280" s="69"/>
      <c r="I5280" s="70"/>
      <c r="J5280" s="141">
        <v>0</v>
      </c>
    </row>
    <row r="5281" spans="1:10" ht="15.75" hidden="1" thickBot="1" x14ac:dyDescent="0.3">
      <c r="A5281" s="232"/>
      <c r="B5281" s="230"/>
      <c r="C5281" s="51"/>
      <c r="D5281" s="151"/>
      <c r="E5281" s="62"/>
      <c r="F5281" s="72" t="s">
        <v>523</v>
      </c>
      <c r="G5281" s="72" t="str">
        <f t="shared" si="101"/>
        <v/>
      </c>
      <c r="H5281" s="73"/>
      <c r="I5281" s="70"/>
      <c r="J5281" s="141">
        <v>0</v>
      </c>
    </row>
    <row r="5282" spans="1:10" ht="15.75" hidden="1" thickBot="1" x14ac:dyDescent="0.3">
      <c r="A5282" s="225" t="s">
        <v>3718</v>
      </c>
      <c r="B5282" s="228" t="str">
        <f>INDEX(Orçamentária!A:B,MATCH(Composições!A5282,Orçamentária!A:A,0),2)</f>
        <v>Tubo multicamadas flexível 20 mm para gás</v>
      </c>
      <c r="C5282" s="37"/>
      <c r="D5282" s="22" t="str">
        <f>TRIM(INDEX(Orçamentária!C:C,MATCH(Composições!A5282,Orçamentária!A:A,0),1))</f>
        <v>m</v>
      </c>
      <c r="E5282" s="23"/>
      <c r="F5282" s="45" t="s">
        <v>523</v>
      </c>
      <c r="G5282" s="24" t="str">
        <f t="shared" si="101"/>
        <v/>
      </c>
      <c r="H5282" s="25"/>
      <c r="I5282" s="26"/>
      <c r="J5282" s="141">
        <v>0</v>
      </c>
    </row>
    <row r="5283" spans="1:10" ht="15.75" hidden="1" thickBot="1" x14ac:dyDescent="0.3">
      <c r="A5283" s="231"/>
      <c r="B5283" s="244"/>
      <c r="C5283" s="153"/>
      <c r="D5283" s="153"/>
      <c r="E5283" s="154"/>
      <c r="F5283" s="50" t="s">
        <v>523</v>
      </c>
      <c r="G5283" s="50" t="str">
        <f t="shared" si="101"/>
        <v/>
      </c>
      <c r="H5283" s="69"/>
      <c r="I5283" s="70"/>
      <c r="J5283" s="141">
        <v>0</v>
      </c>
    </row>
    <row r="5284" spans="1:10" ht="26.25" hidden="1" thickBot="1" x14ac:dyDescent="0.3">
      <c r="A5284" s="231"/>
      <c r="B5284" s="244"/>
      <c r="C5284" s="32" t="s">
        <v>3393</v>
      </c>
      <c r="D5284" s="32" t="s">
        <v>480</v>
      </c>
      <c r="E5284" s="33">
        <v>1.0216000000000001</v>
      </c>
      <c r="F5284" s="27">
        <v>18.344499999999996</v>
      </c>
      <c r="G5284" s="50">
        <f t="shared" si="101"/>
        <v>18.740741199999999</v>
      </c>
      <c r="H5284" s="35">
        <f>SUM(G5284:G5286)</f>
        <v>26.863982199999999</v>
      </c>
      <c r="I5284" s="36"/>
      <c r="J5284" s="141">
        <v>0</v>
      </c>
    </row>
    <row r="5285" spans="1:10" ht="26.25" hidden="1" thickBot="1" x14ac:dyDescent="0.3">
      <c r="A5285" s="231"/>
      <c r="B5285" s="244"/>
      <c r="C5285" s="32" t="s">
        <v>956</v>
      </c>
      <c r="D5285" s="43" t="s">
        <v>705</v>
      </c>
      <c r="E5285" s="33">
        <v>8.1799999999999998E-2</v>
      </c>
      <c r="F5285" s="27">
        <v>19.094999999999999</v>
      </c>
      <c r="G5285" s="50">
        <f t="shared" si="101"/>
        <v>1.5619709999999998</v>
      </c>
      <c r="H5285" s="69"/>
      <c r="I5285" s="70"/>
      <c r="J5285" s="141">
        <v>0</v>
      </c>
    </row>
    <row r="5286" spans="1:10" ht="26.25" hidden="1" thickBot="1" x14ac:dyDescent="0.3">
      <c r="A5286" s="231"/>
      <c r="B5286" s="244"/>
      <c r="C5286" s="32" t="s">
        <v>957</v>
      </c>
      <c r="D5286" s="32" t="s">
        <v>705</v>
      </c>
      <c r="E5286" s="33">
        <v>0.27</v>
      </c>
      <c r="F5286" s="27">
        <v>24.300999999999998</v>
      </c>
      <c r="G5286" s="50">
        <f t="shared" si="101"/>
        <v>6.5612700000000004</v>
      </c>
      <c r="H5286" s="69"/>
      <c r="I5286" s="70"/>
      <c r="J5286" s="141">
        <v>0</v>
      </c>
    </row>
    <row r="5287" spans="1:10" ht="15.75" hidden="1" thickBot="1" x14ac:dyDescent="0.3">
      <c r="A5287" s="231"/>
      <c r="B5287" s="244"/>
      <c r="C5287" s="32"/>
      <c r="D5287" s="43"/>
      <c r="E5287" s="33"/>
      <c r="F5287" s="50" t="s">
        <v>523</v>
      </c>
      <c r="G5287" s="50" t="str">
        <f t="shared" si="101"/>
        <v/>
      </c>
      <c r="H5287" s="69"/>
      <c r="I5287" s="70"/>
      <c r="J5287" s="141">
        <v>0</v>
      </c>
    </row>
    <row r="5288" spans="1:10" ht="15.75" hidden="1" thickBot="1" x14ac:dyDescent="0.3">
      <c r="A5288" s="225" t="s">
        <v>3719</v>
      </c>
      <c r="B5288" s="228" t="str">
        <f>INDEX(Orçamentária!A:B,MATCH(Composições!A5288,Orçamentária!A:A,0),2)</f>
        <v>Tubo multicamadas flexível 26 mm para gás</v>
      </c>
      <c r="C5288" s="37"/>
      <c r="D5288" s="22" t="str">
        <f>TRIM(INDEX(Orçamentária!C:C,MATCH(Composições!A5288,Orçamentária!A:A,0),1))</f>
        <v>m</v>
      </c>
      <c r="E5288" s="23"/>
      <c r="F5288" s="45" t="s">
        <v>523</v>
      </c>
      <c r="G5288" s="24" t="str">
        <f t="shared" si="101"/>
        <v/>
      </c>
      <c r="H5288" s="25"/>
      <c r="I5288" s="26"/>
      <c r="J5288" s="141">
        <v>0</v>
      </c>
    </row>
    <row r="5289" spans="1:10" ht="15.75" hidden="1" thickBot="1" x14ac:dyDescent="0.3">
      <c r="A5289" s="231"/>
      <c r="B5289" s="229"/>
      <c r="C5289" s="155"/>
      <c r="D5289" s="155"/>
      <c r="E5289" s="156"/>
      <c r="F5289" s="50" t="s">
        <v>523</v>
      </c>
      <c r="G5289" s="50" t="str">
        <f t="shared" si="101"/>
        <v/>
      </c>
      <c r="H5289" s="69"/>
      <c r="I5289" s="70"/>
      <c r="J5289" s="141">
        <v>0</v>
      </c>
    </row>
    <row r="5290" spans="1:10" ht="26.25" hidden="1" thickBot="1" x14ac:dyDescent="0.3">
      <c r="A5290" s="231"/>
      <c r="B5290" s="229"/>
      <c r="C5290" s="32" t="s">
        <v>3392</v>
      </c>
      <c r="D5290" s="148" t="s">
        <v>480</v>
      </c>
      <c r="E5290" s="149">
        <v>1.0216000000000001</v>
      </c>
      <c r="F5290" s="27">
        <v>25.3935</v>
      </c>
      <c r="G5290" s="50">
        <f t="shared" si="101"/>
        <v>25.941999600000003</v>
      </c>
      <c r="H5290" s="35">
        <f>SUM(G5290:G5292)</f>
        <v>35.660623100000002</v>
      </c>
      <c r="I5290" s="36"/>
      <c r="J5290" s="141">
        <v>0</v>
      </c>
    </row>
    <row r="5291" spans="1:10" ht="26.25" hidden="1" thickBot="1" x14ac:dyDescent="0.3">
      <c r="A5291" s="231"/>
      <c r="B5291" s="229"/>
      <c r="C5291" s="148" t="s">
        <v>956</v>
      </c>
      <c r="D5291" s="150" t="s">
        <v>705</v>
      </c>
      <c r="E5291" s="149">
        <v>9.7900000000000001E-2</v>
      </c>
      <c r="F5291" s="27">
        <v>19.094999999999999</v>
      </c>
      <c r="G5291" s="50">
        <f t="shared" si="101"/>
        <v>1.8694004999999998</v>
      </c>
      <c r="H5291" s="69"/>
      <c r="I5291" s="70"/>
      <c r="J5291" s="141">
        <v>0</v>
      </c>
    </row>
    <row r="5292" spans="1:10" ht="26.25" hidden="1" thickBot="1" x14ac:dyDescent="0.3">
      <c r="A5292" s="231"/>
      <c r="B5292" s="229"/>
      <c r="C5292" s="148" t="s">
        <v>957</v>
      </c>
      <c r="D5292" s="148" t="s">
        <v>705</v>
      </c>
      <c r="E5292" s="149">
        <v>0.32300000000000001</v>
      </c>
      <c r="F5292" s="27">
        <v>24.300999999999998</v>
      </c>
      <c r="G5292" s="50">
        <f t="shared" si="101"/>
        <v>7.8492229999999994</v>
      </c>
      <c r="H5292" s="69"/>
      <c r="I5292" s="70"/>
      <c r="J5292" s="141">
        <v>0</v>
      </c>
    </row>
    <row r="5293" spans="1:10" ht="15.75" hidden="1" thickBot="1" x14ac:dyDescent="0.3">
      <c r="A5293" s="232"/>
      <c r="B5293" s="230"/>
      <c r="C5293" s="51"/>
      <c r="D5293" s="151"/>
      <c r="E5293" s="62"/>
      <c r="F5293" s="72" t="s">
        <v>523</v>
      </c>
      <c r="G5293" s="72" t="str">
        <f t="shared" si="101"/>
        <v/>
      </c>
      <c r="H5293" s="73"/>
      <c r="I5293" s="70"/>
      <c r="J5293" s="141">
        <v>0</v>
      </c>
    </row>
    <row r="5294" spans="1:10" ht="15.75" thickBot="1" x14ac:dyDescent="0.3">
      <c r="A5294" s="225" t="s">
        <v>3767</v>
      </c>
      <c r="B5294" s="228" t="str">
        <f>INDEX(Orçamentária!A:B,MATCH(Composições!A5294,Orçamentária!A:A,0),2)</f>
        <v>Bloco autônomo de emergência 1000 lumens – fornecimento e instalação</v>
      </c>
      <c r="C5294" s="37"/>
      <c r="D5294" s="22" t="str">
        <f>TRIM(INDEX(Orçamentária!C:C,MATCH(Composições!A5294,Orçamentária!A:A,0),1))</f>
        <v>un</v>
      </c>
      <c r="E5294" s="23"/>
      <c r="F5294" s="45" t="s">
        <v>523</v>
      </c>
      <c r="G5294" s="24" t="str">
        <f t="shared" si="101"/>
        <v/>
      </c>
      <c r="H5294" s="25"/>
      <c r="I5294" s="26"/>
      <c r="J5294" s="141">
        <v>79</v>
      </c>
    </row>
    <row r="5295" spans="1:10" x14ac:dyDescent="0.25">
      <c r="A5295" s="231"/>
      <c r="B5295" s="229"/>
      <c r="C5295" s="155"/>
      <c r="D5295" s="155"/>
      <c r="E5295" s="156"/>
      <c r="F5295" s="50" t="s">
        <v>523</v>
      </c>
      <c r="G5295" s="50" t="str">
        <f t="shared" si="101"/>
        <v/>
      </c>
      <c r="H5295" s="69"/>
      <c r="I5295" s="70"/>
      <c r="J5295" s="141">
        <v>79</v>
      </c>
    </row>
    <row r="5296" spans="1:10" x14ac:dyDescent="0.25">
      <c r="A5296" s="231"/>
      <c r="B5296" s="229"/>
      <c r="C5296" s="32" t="s">
        <v>6414</v>
      </c>
      <c r="D5296" s="148" t="s">
        <v>280</v>
      </c>
      <c r="E5296" s="149">
        <v>1</v>
      </c>
      <c r="F5296" s="27">
        <v>265</v>
      </c>
      <c r="G5296" s="50">
        <f t="shared" si="101"/>
        <v>265</v>
      </c>
      <c r="H5296" s="35">
        <f>SUM(G5296:G5298)</f>
        <v>270.96555254999998</v>
      </c>
      <c r="I5296" s="36"/>
      <c r="J5296" s="141">
        <v>79</v>
      </c>
    </row>
    <row r="5297" spans="1:10" x14ac:dyDescent="0.25">
      <c r="A5297" s="231"/>
      <c r="B5297" s="229"/>
      <c r="C5297" s="148" t="s">
        <v>1164</v>
      </c>
      <c r="D5297" s="150" t="s">
        <v>705</v>
      </c>
      <c r="E5297" s="149">
        <v>7.4800000000000005E-2</v>
      </c>
      <c r="F5297" s="27">
        <v>19.4085</v>
      </c>
      <c r="G5297" s="50">
        <f t="shared" si="101"/>
        <v>1.4517558000000002</v>
      </c>
      <c r="H5297" s="69"/>
      <c r="I5297" s="70"/>
      <c r="J5297" s="141">
        <v>79</v>
      </c>
    </row>
    <row r="5298" spans="1:10" x14ac:dyDescent="0.25">
      <c r="A5298" s="231"/>
      <c r="B5298" s="229"/>
      <c r="C5298" s="148" t="s">
        <v>1165</v>
      </c>
      <c r="D5298" s="148" t="s">
        <v>705</v>
      </c>
      <c r="E5298" s="149">
        <v>0.17949999999999999</v>
      </c>
      <c r="F5298" s="27">
        <v>25.146499999999996</v>
      </c>
      <c r="G5298" s="50">
        <f t="shared" si="101"/>
        <v>4.5137967499999991</v>
      </c>
      <c r="H5298" s="69"/>
      <c r="I5298" s="70"/>
      <c r="J5298" s="141">
        <v>79</v>
      </c>
    </row>
    <row r="5299" spans="1:10" ht="15.75" thickBot="1" x14ac:dyDescent="0.3">
      <c r="A5299" s="232"/>
      <c r="B5299" s="230"/>
      <c r="C5299" s="51"/>
      <c r="D5299" s="151"/>
      <c r="E5299" s="62"/>
      <c r="F5299" s="72" t="s">
        <v>523</v>
      </c>
      <c r="G5299" s="72" t="str">
        <f t="shared" si="101"/>
        <v/>
      </c>
      <c r="H5299" s="73"/>
      <c r="I5299" s="70"/>
      <c r="J5299" s="141">
        <v>79</v>
      </c>
    </row>
    <row r="5300" spans="1:10" ht="15.75" hidden="1" thickBot="1" x14ac:dyDescent="0.3">
      <c r="A5300" s="239" t="s">
        <v>3768</v>
      </c>
      <c r="B5300" s="228" t="str">
        <f>INDEX(Orçamentária!A:B,MATCH(Composições!A5300,Orçamentária!A:A,0),2)</f>
        <v>Cabo Ethernet blindado</v>
      </c>
      <c r="C5300" s="37"/>
      <c r="D5300" s="22" t="str">
        <f>TRIM(INDEX(Orçamentária!C:C,MATCH(Composições!A5300,Orçamentária!A:A,0),1))</f>
        <v>m</v>
      </c>
      <c r="E5300" s="23"/>
      <c r="F5300" s="45" t="s">
        <v>523</v>
      </c>
      <c r="G5300" s="24" t="str">
        <f t="shared" si="101"/>
        <v/>
      </c>
      <c r="H5300" s="25"/>
      <c r="I5300" s="26"/>
      <c r="J5300" s="141">
        <v>0</v>
      </c>
    </row>
    <row r="5301" spans="1:10" ht="15.75" hidden="1" thickBot="1" x14ac:dyDescent="0.3">
      <c r="A5301" s="242"/>
      <c r="B5301" s="229"/>
      <c r="C5301" s="28"/>
      <c r="D5301" s="28"/>
      <c r="E5301" s="29"/>
      <c r="F5301" s="50" t="s">
        <v>523</v>
      </c>
      <c r="G5301" s="50" t="str">
        <f t="shared" si="101"/>
        <v/>
      </c>
      <c r="H5301" s="69"/>
      <c r="I5301" s="70"/>
      <c r="J5301" s="141">
        <v>0</v>
      </c>
    </row>
    <row r="5302" spans="1:10" ht="15.75" hidden="1" thickBot="1" x14ac:dyDescent="0.3">
      <c r="A5302" s="242"/>
      <c r="B5302" s="229"/>
      <c r="C5302" s="32" t="s">
        <v>6415</v>
      </c>
      <c r="D5302" s="32" t="s">
        <v>93</v>
      </c>
      <c r="E5302" s="33">
        <v>1.05</v>
      </c>
      <c r="F5302" s="27" t="s">
        <v>523</v>
      </c>
      <c r="G5302" s="50" t="str">
        <f t="shared" si="101"/>
        <v/>
      </c>
      <c r="H5302" s="35">
        <f>SUM(G5302:G5304)</f>
        <v>0.12475399999999999</v>
      </c>
      <c r="I5302" s="36"/>
      <c r="J5302" s="141">
        <v>0</v>
      </c>
    </row>
    <row r="5303" spans="1:10" ht="15.75" hidden="1" thickBot="1" x14ac:dyDescent="0.3">
      <c r="A5303" s="242"/>
      <c r="B5303" s="229"/>
      <c r="C5303" s="32" t="s">
        <v>1164</v>
      </c>
      <c r="D5303" s="43" t="s">
        <v>705</v>
      </c>
      <c r="E5303" s="33">
        <v>2.8E-3</v>
      </c>
      <c r="F5303" s="27">
        <v>19.4085</v>
      </c>
      <c r="G5303" s="50">
        <f t="shared" si="101"/>
        <v>5.4343799999999998E-2</v>
      </c>
      <c r="H5303" s="69"/>
      <c r="I5303" s="70"/>
      <c r="J5303" s="141">
        <v>0</v>
      </c>
    </row>
    <row r="5304" spans="1:10" ht="15.75" hidden="1" thickBot="1" x14ac:dyDescent="0.3">
      <c r="A5304" s="242"/>
      <c r="B5304" s="229"/>
      <c r="C5304" s="32" t="s">
        <v>1165</v>
      </c>
      <c r="D5304" s="32" t="s">
        <v>705</v>
      </c>
      <c r="E5304" s="33">
        <v>2.8E-3</v>
      </c>
      <c r="F5304" s="27">
        <v>25.146499999999996</v>
      </c>
      <c r="G5304" s="50">
        <f t="shared" si="101"/>
        <v>7.0410199999999992E-2</v>
      </c>
      <c r="H5304" s="69"/>
      <c r="I5304" s="70"/>
      <c r="J5304" s="141">
        <v>0</v>
      </c>
    </row>
    <row r="5305" spans="1:10" ht="15.75" hidden="1" thickBot="1" x14ac:dyDescent="0.3">
      <c r="A5305" s="242"/>
      <c r="B5305" s="229"/>
      <c r="C5305" s="32"/>
      <c r="D5305" s="43"/>
      <c r="E5305" s="33"/>
      <c r="F5305" s="50" t="s">
        <v>523</v>
      </c>
      <c r="G5305" s="50" t="str">
        <f t="shared" si="101"/>
        <v/>
      </c>
      <c r="H5305" s="69"/>
      <c r="I5305" s="70"/>
      <c r="J5305" s="141">
        <v>0</v>
      </c>
    </row>
    <row r="5306" spans="1:10" ht="15.75" hidden="1" thickBot="1" x14ac:dyDescent="0.3">
      <c r="A5306" s="239" t="s">
        <v>3769</v>
      </c>
      <c r="B5306" s="228" t="str">
        <f>INDEX(Orçamentária!A:B,MATCH(Composições!A5306,Orçamentária!A:A,0),2)</f>
        <v>Cabo de fibra óptica multimodo 12 fibras</v>
      </c>
      <c r="C5306" s="37"/>
      <c r="D5306" s="22" t="str">
        <f>TRIM(INDEX(Orçamentária!C:C,MATCH(Composições!A5306,Orçamentária!A:A,0),1))</f>
        <v>m</v>
      </c>
      <c r="E5306" s="23"/>
      <c r="F5306" s="45" t="s">
        <v>523</v>
      </c>
      <c r="G5306" s="24" t="str">
        <f t="shared" si="101"/>
        <v/>
      </c>
      <c r="H5306" s="25"/>
      <c r="I5306" s="26"/>
      <c r="J5306" s="141">
        <v>0</v>
      </c>
    </row>
    <row r="5307" spans="1:10" ht="15.75" hidden="1" thickBot="1" x14ac:dyDescent="0.3">
      <c r="A5307" s="242"/>
      <c r="B5307" s="229"/>
      <c r="C5307" s="28"/>
      <c r="D5307" s="28"/>
      <c r="E5307" s="29"/>
      <c r="F5307" s="50" t="s">
        <v>523</v>
      </c>
      <c r="G5307" s="50" t="str">
        <f t="shared" si="101"/>
        <v/>
      </c>
      <c r="H5307" s="69"/>
      <c r="I5307" s="70"/>
      <c r="J5307" s="141">
        <v>0</v>
      </c>
    </row>
    <row r="5308" spans="1:10" ht="15.75" hidden="1" thickBot="1" x14ac:dyDescent="0.3">
      <c r="A5308" s="242"/>
      <c r="B5308" s="229"/>
      <c r="C5308" s="32" t="s">
        <v>6416</v>
      </c>
      <c r="D5308" s="32" t="s">
        <v>93</v>
      </c>
      <c r="E5308" s="33">
        <v>1.05</v>
      </c>
      <c r="F5308" s="27" t="s">
        <v>523</v>
      </c>
      <c r="G5308" s="50" t="str">
        <f t="shared" si="101"/>
        <v/>
      </c>
      <c r="H5308" s="35">
        <f>SUM(G5308:G5310)</f>
        <v>3.1678604999999997</v>
      </c>
      <c r="I5308" s="36"/>
      <c r="J5308" s="141">
        <v>0</v>
      </c>
    </row>
    <row r="5309" spans="1:10" ht="15.75" hidden="1" thickBot="1" x14ac:dyDescent="0.3">
      <c r="A5309" s="242"/>
      <c r="B5309" s="229"/>
      <c r="C5309" s="32" t="s">
        <v>1164</v>
      </c>
      <c r="D5309" s="43" t="s">
        <v>705</v>
      </c>
      <c r="E5309" s="33">
        <v>7.1099999999999997E-2</v>
      </c>
      <c r="F5309" s="27">
        <v>19.4085</v>
      </c>
      <c r="G5309" s="50">
        <f t="shared" si="101"/>
        <v>1.3799443499999999</v>
      </c>
      <c r="H5309" s="69"/>
      <c r="I5309" s="70"/>
      <c r="J5309" s="141">
        <v>0</v>
      </c>
    </row>
    <row r="5310" spans="1:10" ht="15.75" hidden="1" thickBot="1" x14ac:dyDescent="0.3">
      <c r="A5310" s="242"/>
      <c r="B5310" s="229"/>
      <c r="C5310" s="32" t="s">
        <v>1165</v>
      </c>
      <c r="D5310" s="32" t="s">
        <v>705</v>
      </c>
      <c r="E5310" s="33">
        <v>7.1099999999999997E-2</v>
      </c>
      <c r="F5310" s="27">
        <v>25.146499999999996</v>
      </c>
      <c r="G5310" s="50">
        <f t="shared" si="101"/>
        <v>1.7879161499999996</v>
      </c>
      <c r="H5310" s="69"/>
      <c r="I5310" s="70"/>
      <c r="J5310" s="141">
        <v>0</v>
      </c>
    </row>
    <row r="5311" spans="1:10" ht="15.75" hidden="1" thickBot="1" x14ac:dyDescent="0.3">
      <c r="A5311" s="242"/>
      <c r="B5311" s="229"/>
      <c r="C5311" s="32"/>
      <c r="D5311" s="43"/>
      <c r="E5311" s="33"/>
      <c r="F5311" s="50" t="s">
        <v>523</v>
      </c>
      <c r="G5311" s="50" t="str">
        <f t="shared" si="101"/>
        <v/>
      </c>
      <c r="H5311" s="69"/>
      <c r="I5311" s="70"/>
      <c r="J5311" s="141">
        <v>0</v>
      </c>
    </row>
    <row r="5312" spans="1:10" ht="15.75" hidden="1" thickBot="1" x14ac:dyDescent="0.3">
      <c r="A5312" s="239" t="s">
        <v>3770</v>
      </c>
      <c r="B5312" s="228" t="str">
        <f>INDEX(Orçamentária!A:B,MATCH(Composições!A5312,Orçamentária!A:A,0),2)</f>
        <v>Cabos de cobre para comunicação CANbus</v>
      </c>
      <c r="C5312" s="37"/>
      <c r="D5312" s="22" t="str">
        <f>TRIM(INDEX(Orçamentária!C:C,MATCH(Composições!A5312,Orçamentária!A:A,0),1))</f>
        <v>m</v>
      </c>
      <c r="E5312" s="23"/>
      <c r="F5312" s="45" t="s">
        <v>523</v>
      </c>
      <c r="G5312" s="24" t="str">
        <f t="shared" si="101"/>
        <v/>
      </c>
      <c r="H5312" s="25"/>
      <c r="I5312" s="26"/>
      <c r="J5312" s="141">
        <v>0</v>
      </c>
    </row>
    <row r="5313" spans="1:10" ht="15.75" hidden="1" thickBot="1" x14ac:dyDescent="0.3">
      <c r="A5313" s="242"/>
      <c r="B5313" s="229"/>
      <c r="C5313" s="28"/>
      <c r="D5313" s="28"/>
      <c r="E5313" s="29"/>
      <c r="F5313" s="50" t="s">
        <v>523</v>
      </c>
      <c r="G5313" s="50" t="str">
        <f t="shared" si="101"/>
        <v/>
      </c>
      <c r="H5313" s="69"/>
      <c r="I5313" s="70"/>
      <c r="J5313" s="141">
        <v>0</v>
      </c>
    </row>
    <row r="5314" spans="1:10" ht="15.75" hidden="1" thickBot="1" x14ac:dyDescent="0.3">
      <c r="A5314" s="242"/>
      <c r="B5314" s="229"/>
      <c r="C5314" s="157" t="s">
        <v>6417</v>
      </c>
      <c r="D5314" s="32" t="s">
        <v>93</v>
      </c>
      <c r="E5314" s="33">
        <v>1.05</v>
      </c>
      <c r="F5314" s="27" t="s">
        <v>523</v>
      </c>
      <c r="G5314" s="50" t="str">
        <f t="shared" si="101"/>
        <v/>
      </c>
      <c r="H5314" s="35">
        <f>SUM(G5314:G5316)</f>
        <v>0.12475399999999999</v>
      </c>
      <c r="I5314" s="36"/>
      <c r="J5314" s="141">
        <v>0</v>
      </c>
    </row>
    <row r="5315" spans="1:10" ht="15.75" hidden="1" thickBot="1" x14ac:dyDescent="0.3">
      <c r="A5315" s="242"/>
      <c r="B5315" s="229"/>
      <c r="C5315" s="32" t="s">
        <v>1164</v>
      </c>
      <c r="D5315" s="43" t="s">
        <v>705</v>
      </c>
      <c r="E5315" s="33">
        <v>2.8E-3</v>
      </c>
      <c r="F5315" s="27">
        <v>19.4085</v>
      </c>
      <c r="G5315" s="50">
        <f t="shared" si="101"/>
        <v>5.4343799999999998E-2</v>
      </c>
      <c r="H5315" s="69"/>
      <c r="I5315" s="70"/>
      <c r="J5315" s="141">
        <v>0</v>
      </c>
    </row>
    <row r="5316" spans="1:10" ht="15.75" hidden="1" thickBot="1" x14ac:dyDescent="0.3">
      <c r="A5316" s="242"/>
      <c r="B5316" s="229"/>
      <c r="C5316" s="32" t="s">
        <v>1165</v>
      </c>
      <c r="D5316" s="32" t="s">
        <v>705</v>
      </c>
      <c r="E5316" s="33">
        <v>2.8E-3</v>
      </c>
      <c r="F5316" s="27">
        <v>25.146499999999996</v>
      </c>
      <c r="G5316" s="50">
        <f t="shared" si="101"/>
        <v>7.0410199999999992E-2</v>
      </c>
      <c r="H5316" s="69"/>
      <c r="I5316" s="70"/>
      <c r="J5316" s="141">
        <v>0</v>
      </c>
    </row>
    <row r="5317" spans="1:10" ht="15.75" hidden="1" thickBot="1" x14ac:dyDescent="0.3">
      <c r="A5317" s="242"/>
      <c r="B5317" s="229"/>
      <c r="C5317" s="32"/>
      <c r="D5317" s="43"/>
      <c r="E5317" s="33"/>
      <c r="F5317" s="50" t="s">
        <v>523</v>
      </c>
      <c r="G5317" s="50" t="str">
        <f t="shared" si="101"/>
        <v/>
      </c>
      <c r="H5317" s="69"/>
      <c r="I5317" s="70"/>
      <c r="J5317" s="141">
        <v>0</v>
      </c>
    </row>
    <row r="5318" spans="1:10" ht="15.75" hidden="1" thickBot="1" x14ac:dyDescent="0.3">
      <c r="A5318" s="239" t="s">
        <v>3771</v>
      </c>
      <c r="B5318" s="228" t="str">
        <f>INDEX(Orçamentária!A:B,MATCH(Composições!A5318,Orçamentária!A:A,0),2)</f>
        <v>Cabos de cobre para comunicação padrão RS-485</v>
      </c>
      <c r="C5318" s="37"/>
      <c r="D5318" s="22" t="str">
        <f>TRIM(INDEX(Orçamentária!C:C,MATCH(Composições!A5318,Orçamentária!A:A,0),1))</f>
        <v>m</v>
      </c>
      <c r="E5318" s="23"/>
      <c r="F5318" s="45" t="s">
        <v>523</v>
      </c>
      <c r="G5318" s="24" t="str">
        <f t="shared" si="101"/>
        <v/>
      </c>
      <c r="H5318" s="25"/>
      <c r="I5318" s="26"/>
      <c r="J5318" s="141">
        <v>0</v>
      </c>
    </row>
    <row r="5319" spans="1:10" ht="15.75" hidden="1" thickBot="1" x14ac:dyDescent="0.3">
      <c r="A5319" s="242"/>
      <c r="B5319" s="229"/>
      <c r="C5319" s="28"/>
      <c r="D5319" s="28"/>
      <c r="E5319" s="29"/>
      <c r="F5319" s="50" t="s">
        <v>523</v>
      </c>
      <c r="G5319" s="50" t="str">
        <f t="shared" si="101"/>
        <v/>
      </c>
      <c r="H5319" s="69"/>
      <c r="I5319" s="70"/>
      <c r="J5319" s="141">
        <v>0</v>
      </c>
    </row>
    <row r="5320" spans="1:10" ht="15.75" hidden="1" thickBot="1" x14ac:dyDescent="0.3">
      <c r="A5320" s="242"/>
      <c r="B5320" s="229"/>
      <c r="C5320" s="157" t="s">
        <v>6418</v>
      </c>
      <c r="D5320" s="32" t="s">
        <v>93</v>
      </c>
      <c r="E5320" s="33">
        <v>1.05</v>
      </c>
      <c r="F5320" s="27" t="s">
        <v>523</v>
      </c>
      <c r="G5320" s="50" t="str">
        <f t="shared" si="101"/>
        <v/>
      </c>
      <c r="H5320" s="35">
        <f>SUM(G5320:G5322)</f>
        <v>0.12475399999999999</v>
      </c>
      <c r="I5320" s="36"/>
      <c r="J5320" s="141">
        <v>0</v>
      </c>
    </row>
    <row r="5321" spans="1:10" ht="15.75" hidden="1" thickBot="1" x14ac:dyDescent="0.3">
      <c r="A5321" s="242"/>
      <c r="B5321" s="229"/>
      <c r="C5321" s="32" t="s">
        <v>1164</v>
      </c>
      <c r="D5321" s="43" t="s">
        <v>705</v>
      </c>
      <c r="E5321" s="33">
        <v>2.8E-3</v>
      </c>
      <c r="F5321" s="27">
        <v>19.4085</v>
      </c>
      <c r="G5321" s="50">
        <f t="shared" si="101"/>
        <v>5.4343799999999998E-2</v>
      </c>
      <c r="H5321" s="69"/>
      <c r="I5321" s="70"/>
      <c r="J5321" s="141">
        <v>0</v>
      </c>
    </row>
    <row r="5322" spans="1:10" ht="15.75" hidden="1" thickBot="1" x14ac:dyDescent="0.3">
      <c r="A5322" s="242"/>
      <c r="B5322" s="229"/>
      <c r="C5322" s="32" t="s">
        <v>1165</v>
      </c>
      <c r="D5322" s="32" t="s">
        <v>705</v>
      </c>
      <c r="E5322" s="33">
        <v>2.8E-3</v>
      </c>
      <c r="F5322" s="27">
        <v>25.146499999999996</v>
      </c>
      <c r="G5322" s="50">
        <f t="shared" si="101"/>
        <v>7.0410199999999992E-2</v>
      </c>
      <c r="H5322" s="69"/>
      <c r="I5322" s="70"/>
      <c r="J5322" s="141">
        <v>0</v>
      </c>
    </row>
    <row r="5323" spans="1:10" ht="15.75" hidden="1" thickBot="1" x14ac:dyDescent="0.3">
      <c r="A5323" s="242"/>
      <c r="B5323" s="229"/>
      <c r="C5323" s="32"/>
      <c r="D5323" s="43"/>
      <c r="E5323" s="33"/>
      <c r="F5323" s="50" t="s">
        <v>523</v>
      </c>
      <c r="G5323" s="50" t="str">
        <f t="shared" si="101"/>
        <v/>
      </c>
      <c r="H5323" s="69"/>
      <c r="I5323" s="70"/>
      <c r="J5323" s="141">
        <v>0</v>
      </c>
    </row>
    <row r="5324" spans="1:10" ht="15.75" hidden="1" thickBot="1" x14ac:dyDescent="0.3">
      <c r="A5324" s="239" t="s">
        <v>3772</v>
      </c>
      <c r="B5324" s="228" t="str">
        <f>INDEX(Orçamentária!A:B,MATCH(Composições!A5324,Orçamentária!A:A,0),2)</f>
        <v>Condulete de alumínio de 2”</v>
      </c>
      <c r="C5324" s="37"/>
      <c r="D5324" s="22" t="str">
        <f>TRIM(INDEX(Orçamentária!C:C,MATCH(Composições!A5324,Orçamentária!A:A,0),1))</f>
        <v>un</v>
      </c>
      <c r="E5324" s="23"/>
      <c r="F5324" s="38" t="s">
        <v>523</v>
      </c>
      <c r="G5324" s="24" t="str">
        <f t="shared" si="101"/>
        <v/>
      </c>
      <c r="H5324" s="25"/>
      <c r="I5324" s="26"/>
      <c r="J5324" s="141">
        <v>0</v>
      </c>
    </row>
    <row r="5325" spans="1:10" ht="15.75" hidden="1" thickBot="1" x14ac:dyDescent="0.3">
      <c r="A5325" s="240"/>
      <c r="B5325" s="229"/>
      <c r="C5325" s="28"/>
      <c r="D5325" s="28"/>
      <c r="E5325" s="29"/>
      <c r="F5325" s="39" t="s">
        <v>523</v>
      </c>
      <c r="G5325" s="27" t="str">
        <f t="shared" si="101"/>
        <v/>
      </c>
      <c r="H5325" s="31"/>
      <c r="I5325" s="27"/>
      <c r="J5325" s="141">
        <v>0</v>
      </c>
    </row>
    <row r="5326" spans="1:10" ht="15.75" hidden="1" thickBot="1" x14ac:dyDescent="0.3">
      <c r="A5326" s="240"/>
      <c r="B5326" s="229"/>
      <c r="C5326" s="32" t="s">
        <v>74</v>
      </c>
      <c r="D5326" s="32" t="s">
        <v>12</v>
      </c>
      <c r="E5326" s="33">
        <v>0.5121</v>
      </c>
      <c r="F5326" s="27">
        <v>19.4085</v>
      </c>
      <c r="G5326" s="30">
        <f t="shared" si="101"/>
        <v>9.9390928499999998</v>
      </c>
      <c r="H5326" s="35">
        <f>SUM(G5326:G5329)</f>
        <v>78.562615499999993</v>
      </c>
      <c r="I5326" s="36"/>
      <c r="J5326" s="141">
        <v>0</v>
      </c>
    </row>
    <row r="5327" spans="1:10" ht="15.75" hidden="1" thickBot="1" x14ac:dyDescent="0.3">
      <c r="A5327" s="240"/>
      <c r="B5327" s="229"/>
      <c r="C5327" s="32" t="s">
        <v>30</v>
      </c>
      <c r="D5327" s="32" t="s">
        <v>12</v>
      </c>
      <c r="E5327" s="33">
        <v>0.5121</v>
      </c>
      <c r="F5327" s="27">
        <v>25.146499999999996</v>
      </c>
      <c r="G5327" s="30">
        <f t="shared" si="101"/>
        <v>12.877522649999998</v>
      </c>
      <c r="H5327" s="31"/>
      <c r="I5327" s="27"/>
      <c r="J5327" s="141">
        <v>0</v>
      </c>
    </row>
    <row r="5328" spans="1:10" ht="26.25" hidden="1" thickBot="1" x14ac:dyDescent="0.3">
      <c r="A5328" s="240"/>
      <c r="B5328" s="229"/>
      <c r="C5328" s="32" t="s">
        <v>431</v>
      </c>
      <c r="D5328" s="32" t="s">
        <v>20</v>
      </c>
      <c r="E5328" s="33">
        <v>2</v>
      </c>
      <c r="F5328" s="30">
        <v>0.38949999999999996</v>
      </c>
      <c r="G5328" s="30">
        <f t="shared" si="101"/>
        <v>0.77899999999999991</v>
      </c>
      <c r="H5328" s="31"/>
      <c r="I5328" s="27"/>
      <c r="J5328" s="141">
        <v>0</v>
      </c>
    </row>
    <row r="5329" spans="1:10" ht="26.25" hidden="1" thickBot="1" x14ac:dyDescent="0.3">
      <c r="A5329" s="240"/>
      <c r="B5329" s="229"/>
      <c r="C5329" s="32" t="s">
        <v>3281</v>
      </c>
      <c r="D5329" s="32" t="s">
        <v>20</v>
      </c>
      <c r="E5329" s="33">
        <v>1</v>
      </c>
      <c r="F5329" s="30">
        <v>54.966999999999999</v>
      </c>
      <c r="G5329" s="27">
        <f t="shared" si="101"/>
        <v>54.966999999999999</v>
      </c>
      <c r="H5329" s="31"/>
      <c r="I5329" s="27"/>
      <c r="J5329" s="141">
        <v>0</v>
      </c>
    </row>
    <row r="5330" spans="1:10" ht="15.75" hidden="1" thickBot="1" x14ac:dyDescent="0.3">
      <c r="A5330" s="241"/>
      <c r="B5330" s="230"/>
      <c r="C5330" s="32"/>
      <c r="D5330" s="32"/>
      <c r="E5330" s="33"/>
      <c r="F5330" s="27" t="s">
        <v>523</v>
      </c>
      <c r="G5330" s="27" t="str">
        <f t="shared" si="101"/>
        <v/>
      </c>
      <c r="H5330" s="31"/>
      <c r="I5330" s="27"/>
      <c r="J5330" s="141">
        <v>0</v>
      </c>
    </row>
    <row r="5331" spans="1:10" ht="15.75" hidden="1" thickBot="1" x14ac:dyDescent="0.3">
      <c r="A5331" s="239" t="s">
        <v>3773</v>
      </c>
      <c r="B5331" s="228" t="str">
        <f>INDEX(Orçamentária!A:B,MATCH(Composições!A5331,Orçamentária!A:A,0),2)</f>
        <v>Cabo de potência, 8,7 kV/15 kV, 95 mm²</v>
      </c>
      <c r="C5331" s="37"/>
      <c r="D5331" s="22" t="str">
        <f>TRIM(INDEX(Orçamentária!C:C,MATCH(Composições!A5331,Orçamentária!A:A,0),1))</f>
        <v>m</v>
      </c>
      <c r="E5331" s="23"/>
      <c r="F5331" s="38" t="s">
        <v>523</v>
      </c>
      <c r="G5331" s="24" t="str">
        <f t="shared" si="101"/>
        <v/>
      </c>
      <c r="H5331" s="25"/>
      <c r="I5331" s="26"/>
      <c r="J5331" s="141">
        <v>0</v>
      </c>
    </row>
    <row r="5332" spans="1:10" ht="15.75" hidden="1" thickBot="1" x14ac:dyDescent="0.3">
      <c r="A5332" s="240"/>
      <c r="B5332" s="229"/>
      <c r="C5332" s="28"/>
      <c r="D5332" s="28"/>
      <c r="E5332" s="29"/>
      <c r="F5332" s="39" t="s">
        <v>523</v>
      </c>
      <c r="G5332" s="27" t="str">
        <f t="shared" si="101"/>
        <v/>
      </c>
      <c r="H5332" s="31"/>
      <c r="I5332" s="27"/>
      <c r="J5332" s="141">
        <v>0</v>
      </c>
    </row>
    <row r="5333" spans="1:10" ht="15.75" hidden="1" thickBot="1" x14ac:dyDescent="0.3">
      <c r="A5333" s="240"/>
      <c r="B5333" s="229"/>
      <c r="C5333" s="32" t="s">
        <v>74</v>
      </c>
      <c r="D5333" s="32" t="s">
        <v>12</v>
      </c>
      <c r="E5333" s="33">
        <v>0.128</v>
      </c>
      <c r="F5333" s="27">
        <v>19.4085</v>
      </c>
      <c r="G5333" s="30">
        <f t="shared" si="101"/>
        <v>2.4842880000000003</v>
      </c>
      <c r="H5333" s="35">
        <f>SUM(G5333:G5336)</f>
        <v>5.7382659999999994</v>
      </c>
      <c r="I5333" s="36"/>
      <c r="J5333" s="141">
        <v>0</v>
      </c>
    </row>
    <row r="5334" spans="1:10" ht="15.75" hidden="1" thickBot="1" x14ac:dyDescent="0.3">
      <c r="A5334" s="240"/>
      <c r="B5334" s="229"/>
      <c r="C5334" s="32" t="s">
        <v>30</v>
      </c>
      <c r="D5334" s="32" t="s">
        <v>12</v>
      </c>
      <c r="E5334" s="33">
        <v>0.128</v>
      </c>
      <c r="F5334" s="27">
        <v>25.146499999999996</v>
      </c>
      <c r="G5334" s="30">
        <f t="shared" si="101"/>
        <v>3.2187519999999994</v>
      </c>
      <c r="H5334" s="31"/>
      <c r="I5334" s="27"/>
      <c r="J5334" s="141">
        <v>0</v>
      </c>
    </row>
    <row r="5335" spans="1:10" ht="26.25" hidden="1" thickBot="1" x14ac:dyDescent="0.3">
      <c r="A5335" s="240"/>
      <c r="B5335" s="229"/>
      <c r="C5335" s="32" t="s">
        <v>3327</v>
      </c>
      <c r="D5335" s="32" t="s">
        <v>280</v>
      </c>
      <c r="E5335" s="33">
        <v>8.9999999999999993E-3</v>
      </c>
      <c r="F5335" s="30">
        <v>3.9139999999999997</v>
      </c>
      <c r="G5335" s="30">
        <f t="shared" si="101"/>
        <v>3.5225999999999993E-2</v>
      </c>
      <c r="H5335" s="31"/>
      <c r="I5335" s="27"/>
      <c r="J5335" s="141">
        <v>0</v>
      </c>
    </row>
    <row r="5336" spans="1:10" ht="15.75" hidden="1" thickBot="1" x14ac:dyDescent="0.3">
      <c r="A5336" s="240"/>
      <c r="B5336" s="229"/>
      <c r="C5336" s="32" t="s">
        <v>6419</v>
      </c>
      <c r="D5336" s="32" t="s">
        <v>93</v>
      </c>
      <c r="E5336" s="33">
        <v>1.0149999999999999</v>
      </c>
      <c r="F5336" s="30" t="s">
        <v>523</v>
      </c>
      <c r="G5336" s="27" t="str">
        <f t="shared" si="101"/>
        <v/>
      </c>
      <c r="H5336" s="31"/>
      <c r="I5336" s="27"/>
      <c r="J5336" s="141">
        <v>0</v>
      </c>
    </row>
    <row r="5337" spans="1:10" ht="15.75" hidden="1" thickBot="1" x14ac:dyDescent="0.3">
      <c r="A5337" s="241"/>
      <c r="B5337" s="230"/>
      <c r="C5337" s="32"/>
      <c r="D5337" s="32"/>
      <c r="E5337" s="33"/>
      <c r="F5337" s="27" t="s">
        <v>523</v>
      </c>
      <c r="G5337" s="27" t="str">
        <f t="shared" si="101"/>
        <v/>
      </c>
      <c r="H5337" s="31"/>
      <c r="I5337" s="27"/>
      <c r="J5337" s="141">
        <v>0</v>
      </c>
    </row>
    <row r="5338" spans="1:10" ht="15.75" hidden="1" thickBot="1" x14ac:dyDescent="0.3">
      <c r="A5338" s="239" t="s">
        <v>3774</v>
      </c>
      <c r="B5338" s="228" t="str">
        <f>INDEX(Orçamentária!A:B,MATCH(Composições!A5338,Orçamentária!A:A,0),2)</f>
        <v>Cabo de potência, 8,7 kV/15 kV, 240 mm²</v>
      </c>
      <c r="C5338" s="37"/>
      <c r="D5338" s="22" t="str">
        <f>TRIM(INDEX(Orçamentária!C:C,MATCH(Composições!A5338,Orçamentária!A:A,0),1))</f>
        <v>m</v>
      </c>
      <c r="E5338" s="23"/>
      <c r="F5338" s="38" t="s">
        <v>523</v>
      </c>
      <c r="G5338" s="24" t="str">
        <f t="shared" si="101"/>
        <v/>
      </c>
      <c r="H5338" s="25"/>
      <c r="I5338" s="26"/>
      <c r="J5338" s="141">
        <v>0</v>
      </c>
    </row>
    <row r="5339" spans="1:10" ht="15.75" hidden="1" thickBot="1" x14ac:dyDescent="0.3">
      <c r="A5339" s="240"/>
      <c r="B5339" s="229"/>
      <c r="C5339" s="28"/>
      <c r="D5339" s="28"/>
      <c r="E5339" s="29"/>
      <c r="F5339" s="39" t="s">
        <v>523</v>
      </c>
      <c r="G5339" s="27" t="str">
        <f t="shared" si="101"/>
        <v/>
      </c>
      <c r="H5339" s="31"/>
      <c r="I5339" s="27"/>
      <c r="J5339" s="141">
        <v>0</v>
      </c>
    </row>
    <row r="5340" spans="1:10" ht="15.75" hidden="1" thickBot="1" x14ac:dyDescent="0.3">
      <c r="A5340" s="240"/>
      <c r="B5340" s="229"/>
      <c r="C5340" s="32" t="s">
        <v>74</v>
      </c>
      <c r="D5340" s="32" t="s">
        <v>12</v>
      </c>
      <c r="E5340" s="33">
        <v>0.26300000000000001</v>
      </c>
      <c r="F5340" s="27">
        <v>19.4085</v>
      </c>
      <c r="G5340" s="30">
        <f t="shared" si="101"/>
        <v>5.1044355000000001</v>
      </c>
      <c r="H5340" s="35">
        <f>SUM(G5340:G5343)</f>
        <v>11.753190999999999</v>
      </c>
      <c r="I5340" s="36"/>
      <c r="J5340" s="141">
        <v>0</v>
      </c>
    </row>
    <row r="5341" spans="1:10" ht="15.75" hidden="1" thickBot="1" x14ac:dyDescent="0.3">
      <c r="A5341" s="240"/>
      <c r="B5341" s="229"/>
      <c r="C5341" s="32" t="s">
        <v>30</v>
      </c>
      <c r="D5341" s="32" t="s">
        <v>12</v>
      </c>
      <c r="E5341" s="33">
        <v>0.26300000000000001</v>
      </c>
      <c r="F5341" s="27">
        <v>25.146499999999996</v>
      </c>
      <c r="G5341" s="30">
        <f t="shared" si="101"/>
        <v>6.6135294999999994</v>
      </c>
      <c r="H5341" s="31"/>
      <c r="I5341" s="27"/>
      <c r="J5341" s="141">
        <v>0</v>
      </c>
    </row>
    <row r="5342" spans="1:10" ht="26.25" hidden="1" thickBot="1" x14ac:dyDescent="0.3">
      <c r="A5342" s="240"/>
      <c r="B5342" s="229"/>
      <c r="C5342" s="32" t="s">
        <v>3327</v>
      </c>
      <c r="D5342" s="32" t="s">
        <v>280</v>
      </c>
      <c r="E5342" s="33">
        <v>8.9999999999999993E-3</v>
      </c>
      <c r="F5342" s="30">
        <v>3.9139999999999997</v>
      </c>
      <c r="G5342" s="30">
        <f t="shared" ref="G5342:G5405" si="102">IF(ISNUMBER(F5342),E5342*F5342,"")</f>
        <v>3.5225999999999993E-2</v>
      </c>
      <c r="H5342" s="31"/>
      <c r="I5342" s="27"/>
      <c r="J5342" s="141">
        <v>0</v>
      </c>
    </row>
    <row r="5343" spans="1:10" ht="15.75" hidden="1" thickBot="1" x14ac:dyDescent="0.3">
      <c r="A5343" s="240"/>
      <c r="B5343" s="229"/>
      <c r="C5343" s="32" t="s">
        <v>6420</v>
      </c>
      <c r="D5343" s="32" t="s">
        <v>93</v>
      </c>
      <c r="E5343" s="33">
        <v>1.0149999999999999</v>
      </c>
      <c r="F5343" s="30" t="s">
        <v>523</v>
      </c>
      <c r="G5343" s="27" t="str">
        <f t="shared" si="102"/>
        <v/>
      </c>
      <c r="H5343" s="31"/>
      <c r="I5343" s="27"/>
      <c r="J5343" s="141">
        <v>0</v>
      </c>
    </row>
    <row r="5344" spans="1:10" ht="15.75" hidden="1" thickBot="1" x14ac:dyDescent="0.3">
      <c r="A5344" s="241"/>
      <c r="B5344" s="230"/>
      <c r="C5344" s="32"/>
      <c r="D5344" s="32"/>
      <c r="E5344" s="33"/>
      <c r="F5344" s="27" t="s">
        <v>523</v>
      </c>
      <c r="G5344" s="27" t="str">
        <f t="shared" si="102"/>
        <v/>
      </c>
      <c r="H5344" s="31"/>
      <c r="I5344" s="27"/>
      <c r="J5344" s="141">
        <v>0</v>
      </c>
    </row>
    <row r="5345" spans="1:10" ht="15.75" hidden="1" thickBot="1" x14ac:dyDescent="0.3">
      <c r="A5345" s="239" t="s">
        <v>3775</v>
      </c>
      <c r="B5345" s="228" t="str">
        <f>INDEX(Orçamentária!A:B,MATCH(Composições!A5345,Orçamentária!A:A,0),2)</f>
        <v>Distribuidor Interno Óptico Industrial – fornecimento e instalação</v>
      </c>
      <c r="C5345" s="37"/>
      <c r="D5345" s="22" t="str">
        <f>TRIM(INDEX(Orçamentária!C:C,MATCH(Composições!A5345,Orçamentária!A:A,0),1))</f>
        <v>un</v>
      </c>
      <c r="E5345" s="23"/>
      <c r="F5345" s="45" t="s">
        <v>523</v>
      </c>
      <c r="G5345" s="24" t="str">
        <f t="shared" si="102"/>
        <v/>
      </c>
      <c r="H5345" s="25"/>
      <c r="I5345" s="26"/>
      <c r="J5345" s="141">
        <v>0</v>
      </c>
    </row>
    <row r="5346" spans="1:10" ht="15.75" hidden="1" thickBot="1" x14ac:dyDescent="0.3">
      <c r="A5346" s="242"/>
      <c r="B5346" s="229"/>
      <c r="C5346" s="28"/>
      <c r="D5346" s="28"/>
      <c r="E5346" s="29"/>
      <c r="F5346" s="50" t="s">
        <v>523</v>
      </c>
      <c r="G5346" s="50" t="str">
        <f t="shared" si="102"/>
        <v/>
      </c>
      <c r="H5346" s="69"/>
      <c r="I5346" s="70"/>
      <c r="J5346" s="141">
        <v>0</v>
      </c>
    </row>
    <row r="5347" spans="1:10" ht="15.75" hidden="1" thickBot="1" x14ac:dyDescent="0.3">
      <c r="A5347" s="242"/>
      <c r="B5347" s="229"/>
      <c r="C5347" s="157" t="s">
        <v>6421</v>
      </c>
      <c r="D5347" s="32" t="s">
        <v>20</v>
      </c>
      <c r="E5347" s="33">
        <v>1</v>
      </c>
      <c r="F5347" s="27" t="s">
        <v>523</v>
      </c>
      <c r="G5347" s="50" t="str">
        <f t="shared" si="102"/>
        <v/>
      </c>
      <c r="H5347" s="35">
        <f>SUM(G5347:G5349)</f>
        <v>111.38749999999999</v>
      </c>
      <c r="I5347" s="36"/>
      <c r="J5347" s="141">
        <v>0</v>
      </c>
    </row>
    <row r="5348" spans="1:10" ht="15.75" hidden="1" thickBot="1" x14ac:dyDescent="0.3">
      <c r="A5348" s="242"/>
      <c r="B5348" s="229"/>
      <c r="C5348" s="32" t="s">
        <v>1164</v>
      </c>
      <c r="D5348" s="43" t="s">
        <v>705</v>
      </c>
      <c r="E5348" s="33">
        <v>2.5</v>
      </c>
      <c r="F5348" s="27">
        <v>19.4085</v>
      </c>
      <c r="G5348" s="50">
        <f t="shared" si="102"/>
        <v>48.521250000000002</v>
      </c>
      <c r="H5348" s="69"/>
      <c r="I5348" s="70"/>
      <c r="J5348" s="141">
        <v>0</v>
      </c>
    </row>
    <row r="5349" spans="1:10" ht="15.75" hidden="1" thickBot="1" x14ac:dyDescent="0.3">
      <c r="A5349" s="242"/>
      <c r="B5349" s="229"/>
      <c r="C5349" s="32" t="s">
        <v>1165</v>
      </c>
      <c r="D5349" s="32" t="s">
        <v>705</v>
      </c>
      <c r="E5349" s="33">
        <v>2.5</v>
      </c>
      <c r="F5349" s="27">
        <v>25.146499999999996</v>
      </c>
      <c r="G5349" s="50">
        <f t="shared" si="102"/>
        <v>62.866249999999994</v>
      </c>
      <c r="H5349" s="69"/>
      <c r="I5349" s="70"/>
      <c r="J5349" s="141">
        <v>0</v>
      </c>
    </row>
    <row r="5350" spans="1:10" ht="15.75" hidden="1" thickBot="1" x14ac:dyDescent="0.3">
      <c r="A5350" s="242"/>
      <c r="B5350" s="229"/>
      <c r="C5350" s="32"/>
      <c r="D5350" s="43"/>
      <c r="E5350" s="33"/>
      <c r="F5350" s="50" t="s">
        <v>523</v>
      </c>
      <c r="G5350" s="50" t="str">
        <f t="shared" si="102"/>
        <v/>
      </c>
      <c r="H5350" s="69"/>
      <c r="I5350" s="70"/>
      <c r="J5350" s="141">
        <v>0</v>
      </c>
    </row>
    <row r="5351" spans="1:10" ht="15.75" hidden="1" thickBot="1" x14ac:dyDescent="0.3">
      <c r="A5351" s="225" t="s">
        <v>3776</v>
      </c>
      <c r="B5351" s="228" t="str">
        <f>INDEX(Orçamentária!A:B,MATCH(Composições!A5351,Orçamentária!A:A,0),2)</f>
        <v>Eletroduto PEAD 5”</v>
      </c>
      <c r="C5351" s="37"/>
      <c r="D5351" s="22" t="str">
        <f>TRIM(INDEX(Orçamentária!C:C,MATCH(Composições!A5351,Orçamentária!A:A,0),1))</f>
        <v>m</v>
      </c>
      <c r="E5351" s="23"/>
      <c r="F5351" s="38" t="s">
        <v>523</v>
      </c>
      <c r="G5351" s="24" t="str">
        <f t="shared" si="102"/>
        <v/>
      </c>
      <c r="H5351" s="25"/>
      <c r="I5351" s="26"/>
      <c r="J5351" s="141">
        <v>0</v>
      </c>
    </row>
    <row r="5352" spans="1:10" ht="15.75" hidden="1" thickBot="1" x14ac:dyDescent="0.3">
      <c r="A5352" s="226"/>
      <c r="B5352" s="229"/>
      <c r="C5352" s="28"/>
      <c r="D5352" s="28"/>
      <c r="E5352" s="29"/>
      <c r="F5352" s="39" t="s">
        <v>523</v>
      </c>
      <c r="G5352" s="27" t="str">
        <f t="shared" si="102"/>
        <v/>
      </c>
      <c r="H5352" s="31"/>
      <c r="I5352" s="27"/>
      <c r="J5352" s="141">
        <v>0</v>
      </c>
    </row>
    <row r="5353" spans="1:10" ht="39" hidden="1" thickBot="1" x14ac:dyDescent="0.3">
      <c r="A5353" s="226"/>
      <c r="B5353" s="229"/>
      <c r="C5353" s="32" t="s">
        <v>6422</v>
      </c>
      <c r="D5353" s="32" t="s">
        <v>480</v>
      </c>
      <c r="E5353" s="33">
        <v>1.1000000000000001</v>
      </c>
      <c r="F5353" s="27">
        <v>0</v>
      </c>
      <c r="G5353" s="30">
        <f t="shared" si="102"/>
        <v>0</v>
      </c>
      <c r="H5353" s="35">
        <f>SUM(G5353:G5355)</f>
        <v>10.24765</v>
      </c>
      <c r="I5353" s="36"/>
      <c r="J5353" s="141">
        <v>0</v>
      </c>
    </row>
    <row r="5354" spans="1:10" ht="15.75" hidden="1" thickBot="1" x14ac:dyDescent="0.3">
      <c r="A5354" s="226"/>
      <c r="B5354" s="229"/>
      <c r="C5354" s="32" t="s">
        <v>1164</v>
      </c>
      <c r="D5354" s="32" t="s">
        <v>705</v>
      </c>
      <c r="E5354" s="33">
        <v>0.23</v>
      </c>
      <c r="F5354" s="27">
        <v>19.4085</v>
      </c>
      <c r="G5354" s="30">
        <f t="shared" si="102"/>
        <v>4.4639550000000003</v>
      </c>
      <c r="H5354" s="31"/>
      <c r="I5354" s="27"/>
      <c r="J5354" s="141">
        <v>0</v>
      </c>
    </row>
    <row r="5355" spans="1:10" ht="15.75" hidden="1" thickBot="1" x14ac:dyDescent="0.3">
      <c r="A5355" s="226"/>
      <c r="B5355" s="229"/>
      <c r="C5355" s="32" t="s">
        <v>1165</v>
      </c>
      <c r="D5355" s="32" t="s">
        <v>705</v>
      </c>
      <c r="E5355" s="33">
        <v>0.23</v>
      </c>
      <c r="F5355" s="30">
        <v>25.146499999999996</v>
      </c>
      <c r="G5355" s="27">
        <f t="shared" si="102"/>
        <v>5.7836949999999989</v>
      </c>
      <c r="H5355" s="31"/>
      <c r="I5355" s="27"/>
      <c r="J5355" s="141">
        <v>0</v>
      </c>
    </row>
    <row r="5356" spans="1:10" ht="15.75" hidden="1" thickBot="1" x14ac:dyDescent="0.3">
      <c r="A5356" s="227"/>
      <c r="B5356" s="230"/>
      <c r="C5356" s="32"/>
      <c r="D5356" s="32"/>
      <c r="E5356" s="33"/>
      <c r="F5356" s="27" t="s">
        <v>523</v>
      </c>
      <c r="G5356" s="27" t="str">
        <f t="shared" si="102"/>
        <v/>
      </c>
      <c r="H5356" s="31"/>
      <c r="I5356" s="27"/>
      <c r="J5356" s="141">
        <v>0</v>
      </c>
    </row>
    <row r="5357" spans="1:10" ht="15.75" hidden="1" thickBot="1" x14ac:dyDescent="0.3">
      <c r="A5357" s="225" t="s">
        <v>3778</v>
      </c>
      <c r="B5357" s="228" t="str">
        <f>INDEX(Orçamentária!A:B,MATCH(Composições!A5357,Orçamentária!A:A,0),2)</f>
        <v>Interruptor duplo para condulete</v>
      </c>
      <c r="C5357" s="37"/>
      <c r="D5357" s="22" t="str">
        <f>TRIM(INDEX(Orçamentária!C:C,MATCH(Composições!A5357,Orçamentária!A:A,0),1))</f>
        <v>un</v>
      </c>
      <c r="E5357" s="23"/>
      <c r="F5357" s="38" t="s">
        <v>523</v>
      </c>
      <c r="G5357" s="24" t="str">
        <f t="shared" si="102"/>
        <v/>
      </c>
      <c r="H5357" s="25"/>
      <c r="I5357" s="26"/>
      <c r="J5357" s="141">
        <v>0</v>
      </c>
    </row>
    <row r="5358" spans="1:10" ht="15.75" hidden="1" thickBot="1" x14ac:dyDescent="0.3">
      <c r="A5358" s="226"/>
      <c r="B5358" s="229"/>
      <c r="C5358" s="28"/>
      <c r="D5358" s="28"/>
      <c r="E5358" s="29"/>
      <c r="F5358" s="39" t="s">
        <v>523</v>
      </c>
      <c r="G5358" s="27" t="str">
        <f t="shared" si="102"/>
        <v/>
      </c>
      <c r="H5358" s="31"/>
      <c r="I5358" s="27"/>
      <c r="J5358" s="141">
        <v>0</v>
      </c>
    </row>
    <row r="5359" spans="1:10" ht="15.75" hidden="1" thickBot="1" x14ac:dyDescent="0.3">
      <c r="A5359" s="226"/>
      <c r="B5359" s="229"/>
      <c r="C5359" s="32" t="s">
        <v>30</v>
      </c>
      <c r="D5359" s="32" t="s">
        <v>12</v>
      </c>
      <c r="E5359" s="33">
        <f>0.3/2</f>
        <v>0.15</v>
      </c>
      <c r="F5359" s="27">
        <v>25.146499999999996</v>
      </c>
      <c r="G5359" s="30">
        <f t="shared" si="102"/>
        <v>3.7719749999999994</v>
      </c>
      <c r="H5359" s="35">
        <f>SUM(G5359:G5362)</f>
        <v>12.33325</v>
      </c>
      <c r="I5359" s="36"/>
      <c r="J5359" s="141">
        <v>0</v>
      </c>
    </row>
    <row r="5360" spans="1:10" ht="15.75" hidden="1" thickBot="1" x14ac:dyDescent="0.3">
      <c r="A5360" s="226"/>
      <c r="B5360" s="229"/>
      <c r="C5360" s="32" t="s">
        <v>74</v>
      </c>
      <c r="D5360" s="32" t="s">
        <v>12</v>
      </c>
      <c r="E5360" s="33">
        <f>0.3/2</f>
        <v>0.15</v>
      </c>
      <c r="F5360" s="27">
        <v>19.4085</v>
      </c>
      <c r="G5360" s="30">
        <f t="shared" si="102"/>
        <v>2.9112749999999998</v>
      </c>
      <c r="H5360" s="31"/>
      <c r="I5360" s="27"/>
      <c r="J5360" s="141">
        <v>0</v>
      </c>
    </row>
    <row r="5361" spans="1:10" ht="26.25" hidden="1" thickBot="1" x14ac:dyDescent="0.3">
      <c r="A5361" s="226"/>
      <c r="B5361" s="229"/>
      <c r="C5361" s="32" t="s">
        <v>508</v>
      </c>
      <c r="D5361" s="32" t="s">
        <v>20</v>
      </c>
      <c r="E5361" s="33">
        <v>1</v>
      </c>
      <c r="F5361" s="30">
        <v>5.65</v>
      </c>
      <c r="G5361" s="30">
        <f t="shared" si="102"/>
        <v>5.65</v>
      </c>
      <c r="H5361" s="31"/>
      <c r="I5361" s="27"/>
      <c r="J5361" s="141">
        <v>0</v>
      </c>
    </row>
    <row r="5362" spans="1:10" ht="26.25" hidden="1" thickBot="1" x14ac:dyDescent="0.3">
      <c r="A5362" s="226"/>
      <c r="B5362" s="229"/>
      <c r="C5362" s="32" t="s">
        <v>6423</v>
      </c>
      <c r="D5362" s="32" t="s">
        <v>20</v>
      </c>
      <c r="E5362" s="33">
        <v>1</v>
      </c>
      <c r="F5362" s="30" t="s">
        <v>523</v>
      </c>
      <c r="G5362" s="27" t="str">
        <f t="shared" si="102"/>
        <v/>
      </c>
      <c r="H5362" s="31"/>
      <c r="I5362" s="27"/>
      <c r="J5362" s="141">
        <v>0</v>
      </c>
    </row>
    <row r="5363" spans="1:10" ht="15.75" hidden="1" thickBot="1" x14ac:dyDescent="0.3">
      <c r="A5363" s="227"/>
      <c r="B5363" s="230"/>
      <c r="C5363" s="32"/>
      <c r="D5363" s="32"/>
      <c r="E5363" s="33"/>
      <c r="F5363" s="27" t="s">
        <v>523</v>
      </c>
      <c r="G5363" s="27" t="str">
        <f t="shared" si="102"/>
        <v/>
      </c>
      <c r="H5363" s="31"/>
      <c r="I5363" s="27"/>
      <c r="J5363" s="141">
        <v>0</v>
      </c>
    </row>
    <row r="5364" spans="1:10" ht="15.75" hidden="1" thickBot="1" x14ac:dyDescent="0.3">
      <c r="A5364" s="225" t="s">
        <v>3779</v>
      </c>
      <c r="B5364" s="228" t="str">
        <f>INDEX(Orçamentária!A:B,MATCH(Composições!A5364,Orçamentária!A:A,0),2)</f>
        <v>Leito 400x100 mm</v>
      </c>
      <c r="C5364" s="37"/>
      <c r="D5364" s="22" t="str">
        <f>TRIM(INDEX(Orçamentária!C:C,MATCH(Composições!A5364,Orçamentária!A:A,0),1))</f>
        <v>m</v>
      </c>
      <c r="E5364" s="23"/>
      <c r="F5364" s="38" t="s">
        <v>523</v>
      </c>
      <c r="G5364" s="24" t="str">
        <f t="shared" si="102"/>
        <v/>
      </c>
      <c r="H5364" s="25"/>
      <c r="I5364" s="26"/>
      <c r="J5364" s="141">
        <v>0</v>
      </c>
    </row>
    <row r="5365" spans="1:10" ht="15.75" hidden="1" thickBot="1" x14ac:dyDescent="0.3">
      <c r="A5365" s="226"/>
      <c r="B5365" s="229"/>
      <c r="C5365" s="28"/>
      <c r="D5365" s="28"/>
      <c r="E5365" s="29"/>
      <c r="F5365" s="39" t="s">
        <v>523</v>
      </c>
      <c r="G5365" s="27" t="str">
        <f t="shared" si="102"/>
        <v/>
      </c>
      <c r="H5365" s="31"/>
      <c r="I5365" s="27"/>
      <c r="J5365" s="141">
        <v>0</v>
      </c>
    </row>
    <row r="5366" spans="1:10" ht="15.75" hidden="1" thickBot="1" x14ac:dyDescent="0.3">
      <c r="A5366" s="226"/>
      <c r="B5366" s="229"/>
      <c r="C5366" s="32" t="s">
        <v>30</v>
      </c>
      <c r="D5366" s="32" t="s">
        <v>12</v>
      </c>
      <c r="E5366" s="33">
        <v>0.6</v>
      </c>
      <c r="F5366" s="27">
        <v>25.146499999999996</v>
      </c>
      <c r="G5366" s="30">
        <f t="shared" si="102"/>
        <v>15.087899999999998</v>
      </c>
      <c r="H5366" s="35">
        <f>SUM(G5366:G5368)</f>
        <v>26.732999999999997</v>
      </c>
      <c r="I5366" s="36"/>
      <c r="J5366" s="141">
        <v>0</v>
      </c>
    </row>
    <row r="5367" spans="1:10" ht="15.75" hidden="1" thickBot="1" x14ac:dyDescent="0.3">
      <c r="A5367" s="226"/>
      <c r="B5367" s="229"/>
      <c r="C5367" s="32" t="s">
        <v>74</v>
      </c>
      <c r="D5367" s="32" t="s">
        <v>12</v>
      </c>
      <c r="E5367" s="33">
        <v>0.6</v>
      </c>
      <c r="F5367" s="27">
        <v>19.4085</v>
      </c>
      <c r="G5367" s="30">
        <f t="shared" si="102"/>
        <v>11.645099999999999</v>
      </c>
      <c r="H5367" s="31"/>
      <c r="I5367" s="27"/>
      <c r="J5367" s="141">
        <v>0</v>
      </c>
    </row>
    <row r="5368" spans="1:10" ht="26.25" hidden="1" thickBot="1" x14ac:dyDescent="0.3">
      <c r="A5368" s="226"/>
      <c r="B5368" s="229"/>
      <c r="C5368" s="32" t="s">
        <v>6424</v>
      </c>
      <c r="D5368" s="32" t="s">
        <v>93</v>
      </c>
      <c r="E5368" s="33">
        <v>1.05</v>
      </c>
      <c r="F5368" s="27" t="s">
        <v>523</v>
      </c>
      <c r="G5368" s="30" t="str">
        <f t="shared" si="102"/>
        <v/>
      </c>
      <c r="H5368" s="31"/>
      <c r="I5368" s="27"/>
      <c r="J5368" s="141">
        <v>0</v>
      </c>
    </row>
    <row r="5369" spans="1:10" ht="15.75" hidden="1" thickBot="1" x14ac:dyDescent="0.3">
      <c r="A5369" s="227"/>
      <c r="B5369" s="230"/>
      <c r="C5369" s="32"/>
      <c r="D5369" s="32"/>
      <c r="E5369" s="33"/>
      <c r="F5369" s="27" t="s">
        <v>523</v>
      </c>
      <c r="G5369" s="27" t="str">
        <f t="shared" si="102"/>
        <v/>
      </c>
      <c r="H5369" s="31"/>
      <c r="I5369" s="27"/>
      <c r="J5369" s="141">
        <v>0</v>
      </c>
    </row>
    <row r="5370" spans="1:10" ht="15.75" hidden="1" thickBot="1" x14ac:dyDescent="0.3">
      <c r="A5370" s="225" t="s">
        <v>3780</v>
      </c>
      <c r="B5370" s="228" t="str">
        <f>INDEX(Orçamentária!A:B,MATCH(Composições!A5370,Orçamentária!A:A,0),2)</f>
        <v>Leito 600x100 mm</v>
      </c>
      <c r="C5370" s="37"/>
      <c r="D5370" s="22" t="str">
        <f>TRIM(INDEX(Orçamentária!C:C,MATCH(Composições!A5370,Orçamentária!A:A,0),1))</f>
        <v>m</v>
      </c>
      <c r="E5370" s="23"/>
      <c r="F5370" s="38" t="s">
        <v>523</v>
      </c>
      <c r="G5370" s="24" t="str">
        <f t="shared" si="102"/>
        <v/>
      </c>
      <c r="H5370" s="25"/>
      <c r="I5370" s="26"/>
      <c r="J5370" s="141">
        <v>0</v>
      </c>
    </row>
    <row r="5371" spans="1:10" ht="15.75" hidden="1" thickBot="1" x14ac:dyDescent="0.3">
      <c r="A5371" s="226"/>
      <c r="B5371" s="229"/>
      <c r="C5371" s="28"/>
      <c r="D5371" s="28"/>
      <c r="E5371" s="29"/>
      <c r="F5371" s="39" t="s">
        <v>523</v>
      </c>
      <c r="G5371" s="27" t="str">
        <f t="shared" si="102"/>
        <v/>
      </c>
      <c r="H5371" s="31"/>
      <c r="I5371" s="27"/>
      <c r="J5371" s="141">
        <v>0</v>
      </c>
    </row>
    <row r="5372" spans="1:10" ht="15.75" hidden="1" thickBot="1" x14ac:dyDescent="0.3">
      <c r="A5372" s="226"/>
      <c r="B5372" s="229"/>
      <c r="C5372" s="32" t="s">
        <v>30</v>
      </c>
      <c r="D5372" s="32" t="s">
        <v>12</v>
      </c>
      <c r="E5372" s="33">
        <v>0.7</v>
      </c>
      <c r="F5372" s="27">
        <v>25.146499999999996</v>
      </c>
      <c r="G5372" s="30">
        <f t="shared" si="102"/>
        <v>17.602549999999997</v>
      </c>
      <c r="H5372" s="35">
        <f>SUM(G5372:G5374)</f>
        <v>31.188499999999998</v>
      </c>
      <c r="I5372" s="36"/>
      <c r="J5372" s="141">
        <v>0</v>
      </c>
    </row>
    <row r="5373" spans="1:10" ht="15.75" hidden="1" thickBot="1" x14ac:dyDescent="0.3">
      <c r="A5373" s="226"/>
      <c r="B5373" s="229"/>
      <c r="C5373" s="32" t="s">
        <v>74</v>
      </c>
      <c r="D5373" s="32" t="s">
        <v>12</v>
      </c>
      <c r="E5373" s="33">
        <v>0.7</v>
      </c>
      <c r="F5373" s="27">
        <v>19.4085</v>
      </c>
      <c r="G5373" s="30">
        <f t="shared" si="102"/>
        <v>13.585949999999999</v>
      </c>
      <c r="H5373" s="31"/>
      <c r="I5373" s="27"/>
      <c r="J5373" s="141">
        <v>0</v>
      </c>
    </row>
    <row r="5374" spans="1:10" ht="26.25" hidden="1" thickBot="1" x14ac:dyDescent="0.3">
      <c r="A5374" s="226"/>
      <c r="B5374" s="229"/>
      <c r="C5374" s="32" t="s">
        <v>6425</v>
      </c>
      <c r="D5374" s="32" t="s">
        <v>93</v>
      </c>
      <c r="E5374" s="33">
        <v>1.05</v>
      </c>
      <c r="F5374" s="27" t="s">
        <v>523</v>
      </c>
      <c r="G5374" s="30" t="str">
        <f t="shared" si="102"/>
        <v/>
      </c>
      <c r="H5374" s="31"/>
      <c r="I5374" s="27"/>
      <c r="J5374" s="141">
        <v>0</v>
      </c>
    </row>
    <row r="5375" spans="1:10" ht="15.75" hidden="1" thickBot="1" x14ac:dyDescent="0.3">
      <c r="A5375" s="227"/>
      <c r="B5375" s="230"/>
      <c r="C5375" s="32"/>
      <c r="D5375" s="32"/>
      <c r="E5375" s="33"/>
      <c r="F5375" s="27" t="s">
        <v>523</v>
      </c>
      <c r="G5375" s="27" t="str">
        <f t="shared" si="102"/>
        <v/>
      </c>
      <c r="H5375" s="31"/>
      <c r="I5375" s="27"/>
      <c r="J5375" s="141">
        <v>0</v>
      </c>
    </row>
    <row r="5376" spans="1:10" ht="15.75" thickBot="1" x14ac:dyDescent="0.3">
      <c r="A5376" s="225" t="s">
        <v>3781</v>
      </c>
      <c r="B5376" s="228" t="str">
        <f>INDEX(Orçamentária!A:B,MATCH(Composições!A5376,Orçamentária!A:A,0),2)</f>
        <v>Luminária 2x28 W hermética de sobrepor</v>
      </c>
      <c r="C5376" s="37"/>
      <c r="D5376" s="22" t="str">
        <f>TRIM(INDEX(Orçamentária!C:C,MATCH(Composições!A5376,Orçamentária!A:A,0),1))</f>
        <v>un</v>
      </c>
      <c r="E5376" s="23"/>
      <c r="F5376" s="38" t="s">
        <v>523</v>
      </c>
      <c r="G5376" s="24" t="str">
        <f t="shared" si="102"/>
        <v/>
      </c>
      <c r="H5376" s="25"/>
      <c r="I5376" s="26"/>
      <c r="J5376" s="141">
        <v>83</v>
      </c>
    </row>
    <row r="5377" spans="1:10" x14ac:dyDescent="0.25">
      <c r="A5377" s="226"/>
      <c r="B5377" s="229"/>
      <c r="C5377" s="28"/>
      <c r="D5377" s="28"/>
      <c r="E5377" s="29"/>
      <c r="F5377" s="39" t="s">
        <v>523</v>
      </c>
      <c r="G5377" s="27" t="str">
        <f t="shared" si="102"/>
        <v/>
      </c>
      <c r="H5377" s="31"/>
      <c r="I5377" s="27"/>
      <c r="J5377" s="141">
        <v>83</v>
      </c>
    </row>
    <row r="5378" spans="1:10" ht="51" x14ac:dyDescent="0.25">
      <c r="A5378" s="226"/>
      <c r="B5378" s="229"/>
      <c r="C5378" s="32" t="s">
        <v>6426</v>
      </c>
      <c r="D5378" s="32" t="s">
        <v>144</v>
      </c>
      <c r="E5378" s="33">
        <v>1</v>
      </c>
      <c r="F5378" s="30">
        <v>88.3</v>
      </c>
      <c r="G5378" s="27">
        <f t="shared" si="102"/>
        <v>88.3</v>
      </c>
      <c r="H5378" s="35">
        <f>SUM(G5378:G5382)</f>
        <v>189.48255755000002</v>
      </c>
      <c r="I5378" s="36"/>
      <c r="J5378" s="141">
        <v>83</v>
      </c>
    </row>
    <row r="5379" spans="1:10" ht="25.5" x14ac:dyDescent="0.25">
      <c r="A5379" s="226"/>
      <c r="B5379" s="229"/>
      <c r="C5379" s="32" t="s">
        <v>6411</v>
      </c>
      <c r="D5379" s="32" t="s">
        <v>144</v>
      </c>
      <c r="E5379" s="33">
        <v>1</v>
      </c>
      <c r="F5379" s="30">
        <v>50.75</v>
      </c>
      <c r="G5379" s="27">
        <f t="shared" si="102"/>
        <v>50.75</v>
      </c>
      <c r="H5379" s="41"/>
      <c r="I5379" s="42"/>
      <c r="J5379" s="141">
        <v>83</v>
      </c>
    </row>
    <row r="5380" spans="1:10" ht="25.5" x14ac:dyDescent="0.25">
      <c r="A5380" s="226"/>
      <c r="B5380" s="229"/>
      <c r="C5380" s="32" t="s">
        <v>550</v>
      </c>
      <c r="D5380" s="32" t="s">
        <v>144</v>
      </c>
      <c r="E5380" s="33">
        <v>2</v>
      </c>
      <c r="F5380" s="30">
        <v>18.329999999999998</v>
      </c>
      <c r="G5380" s="27">
        <f t="shared" si="102"/>
        <v>36.659999999999997</v>
      </c>
      <c r="H5380" s="41"/>
      <c r="I5380" s="42"/>
      <c r="J5380" s="141">
        <v>83</v>
      </c>
    </row>
    <row r="5381" spans="1:10" x14ac:dyDescent="0.25">
      <c r="A5381" s="226"/>
      <c r="B5381" s="229"/>
      <c r="C5381" s="32" t="s">
        <v>74</v>
      </c>
      <c r="D5381" s="32" t="s">
        <v>12</v>
      </c>
      <c r="E5381" s="33">
        <v>0.17269999999999999</v>
      </c>
      <c r="F5381" s="27">
        <v>19.4085</v>
      </c>
      <c r="G5381" s="27">
        <f t="shared" si="102"/>
        <v>3.3518479499999998</v>
      </c>
      <c r="H5381" s="31"/>
      <c r="I5381" s="27"/>
      <c r="J5381" s="141">
        <v>83</v>
      </c>
    </row>
    <row r="5382" spans="1:10" x14ac:dyDescent="0.25">
      <c r="A5382" s="226"/>
      <c r="B5382" s="229"/>
      <c r="C5382" s="32" t="s">
        <v>30</v>
      </c>
      <c r="D5382" s="32" t="s">
        <v>12</v>
      </c>
      <c r="E5382" s="33">
        <v>0.41439999999999999</v>
      </c>
      <c r="F5382" s="27">
        <v>25.146499999999996</v>
      </c>
      <c r="G5382" s="27">
        <f t="shared" si="102"/>
        <v>10.420709599999999</v>
      </c>
      <c r="H5382" s="31"/>
      <c r="I5382" s="27"/>
      <c r="J5382" s="141">
        <v>83</v>
      </c>
    </row>
    <row r="5383" spans="1:10" ht="15.75" thickBot="1" x14ac:dyDescent="0.3">
      <c r="A5383" s="227"/>
      <c r="B5383" s="230"/>
      <c r="C5383" s="32"/>
      <c r="D5383" s="32"/>
      <c r="E5383" s="33"/>
      <c r="F5383" s="27" t="s">
        <v>523</v>
      </c>
      <c r="G5383" s="27" t="str">
        <f t="shared" si="102"/>
        <v/>
      </c>
      <c r="H5383" s="31"/>
      <c r="I5383" s="27"/>
      <c r="J5383" s="141">
        <v>83</v>
      </c>
    </row>
    <row r="5384" spans="1:10" ht="15.75" hidden="1" thickBot="1" x14ac:dyDescent="0.3">
      <c r="A5384" s="225" t="s">
        <v>3782</v>
      </c>
      <c r="B5384" s="228" t="str">
        <f>INDEX(Orçamentária!A:B,MATCH(Composições!A5384,Orçamentária!A:A,0),2)</f>
        <v>Luminária LED para poste 60 W</v>
      </c>
      <c r="C5384" s="37"/>
      <c r="D5384" s="22" t="str">
        <f>TRIM(INDEX(Orçamentária!C:C,MATCH(Composições!A5384,Orçamentária!A:A,0),1))</f>
        <v>un</v>
      </c>
      <c r="E5384" s="23"/>
      <c r="F5384" s="38" t="s">
        <v>523</v>
      </c>
      <c r="G5384" s="24" t="str">
        <f t="shared" si="102"/>
        <v/>
      </c>
      <c r="H5384" s="25"/>
      <c r="I5384" s="26"/>
      <c r="J5384" s="141">
        <v>0</v>
      </c>
    </row>
    <row r="5385" spans="1:10" ht="15.75" hidden="1" thickBot="1" x14ac:dyDescent="0.3">
      <c r="A5385" s="226"/>
      <c r="B5385" s="229"/>
      <c r="C5385" s="28"/>
      <c r="D5385" s="28"/>
      <c r="E5385" s="29"/>
      <c r="F5385" s="39" t="s">
        <v>523</v>
      </c>
      <c r="G5385" s="27" t="str">
        <f t="shared" si="102"/>
        <v/>
      </c>
      <c r="H5385" s="31"/>
      <c r="I5385" s="27"/>
      <c r="J5385" s="141">
        <v>0</v>
      </c>
    </row>
    <row r="5386" spans="1:10" ht="51.75" hidden="1" thickBot="1" x14ac:dyDescent="0.3">
      <c r="A5386" s="226"/>
      <c r="B5386" s="229"/>
      <c r="C5386" s="32" t="s">
        <v>3199</v>
      </c>
      <c r="D5386" s="32" t="s">
        <v>945</v>
      </c>
      <c r="E5386" s="33">
        <v>0.23880000000000001</v>
      </c>
      <c r="F5386" s="30">
        <v>266.74099999999999</v>
      </c>
      <c r="G5386" s="27">
        <f t="shared" si="102"/>
        <v>63.697750800000001</v>
      </c>
      <c r="H5386" s="35">
        <f>SUM(G5386:G5390)</f>
        <v>478.22509229999997</v>
      </c>
      <c r="I5386" s="36"/>
      <c r="J5386" s="141">
        <v>0</v>
      </c>
    </row>
    <row r="5387" spans="1:10" ht="26.25" hidden="1" thickBot="1" x14ac:dyDescent="0.3">
      <c r="A5387" s="226"/>
      <c r="B5387" s="229"/>
      <c r="C5387" s="32" t="s">
        <v>3327</v>
      </c>
      <c r="D5387" s="32" t="s">
        <v>280</v>
      </c>
      <c r="E5387" s="33">
        <v>1.4E-2</v>
      </c>
      <c r="F5387" s="30">
        <v>3.9139999999999997</v>
      </c>
      <c r="G5387" s="27">
        <f t="shared" si="102"/>
        <v>5.4795999999999997E-2</v>
      </c>
      <c r="H5387" s="41"/>
      <c r="I5387" s="42"/>
      <c r="J5387" s="141">
        <v>0</v>
      </c>
    </row>
    <row r="5388" spans="1:10" ht="26.25" hidden="1" thickBot="1" x14ac:dyDescent="0.3">
      <c r="A5388" s="226"/>
      <c r="B5388" s="229"/>
      <c r="C5388" s="32" t="s">
        <v>3331</v>
      </c>
      <c r="D5388" s="32" t="s">
        <v>280</v>
      </c>
      <c r="E5388" s="33">
        <v>1</v>
      </c>
      <c r="F5388" s="30">
        <v>403.86399999999998</v>
      </c>
      <c r="G5388" s="27">
        <f t="shared" si="102"/>
        <v>403.86399999999998</v>
      </c>
      <c r="H5388" s="41"/>
      <c r="I5388" s="42"/>
      <c r="J5388" s="141">
        <v>0</v>
      </c>
    </row>
    <row r="5389" spans="1:10" ht="15.75" hidden="1" thickBot="1" x14ac:dyDescent="0.3">
      <c r="A5389" s="226"/>
      <c r="B5389" s="229"/>
      <c r="C5389" s="32" t="s">
        <v>1164</v>
      </c>
      <c r="D5389" s="32" t="s">
        <v>705</v>
      </c>
      <c r="E5389" s="33">
        <v>0.23810000000000001</v>
      </c>
      <c r="F5389" s="27">
        <v>19.4085</v>
      </c>
      <c r="G5389" s="27">
        <f t="shared" si="102"/>
        <v>4.6211638500000003</v>
      </c>
      <c r="H5389" s="31"/>
      <c r="I5389" s="27"/>
      <c r="J5389" s="141">
        <v>0</v>
      </c>
    </row>
    <row r="5390" spans="1:10" ht="15.75" hidden="1" thickBot="1" x14ac:dyDescent="0.3">
      <c r="A5390" s="226"/>
      <c r="B5390" s="229"/>
      <c r="C5390" s="32" t="s">
        <v>1165</v>
      </c>
      <c r="D5390" s="32" t="s">
        <v>705</v>
      </c>
      <c r="E5390" s="33">
        <v>0.23810000000000001</v>
      </c>
      <c r="F5390" s="27">
        <v>25.146499999999996</v>
      </c>
      <c r="G5390" s="27">
        <f t="shared" si="102"/>
        <v>5.9873816499999988</v>
      </c>
      <c r="H5390" s="31"/>
      <c r="I5390" s="27"/>
      <c r="J5390" s="141">
        <v>0</v>
      </c>
    </row>
    <row r="5391" spans="1:10" ht="15.75" hidden="1" thickBot="1" x14ac:dyDescent="0.3">
      <c r="A5391" s="227"/>
      <c r="B5391" s="230"/>
      <c r="C5391" s="32"/>
      <c r="D5391" s="32"/>
      <c r="E5391" s="33"/>
      <c r="F5391" s="27" t="s">
        <v>523</v>
      </c>
      <c r="G5391" s="27" t="str">
        <f t="shared" si="102"/>
        <v/>
      </c>
      <c r="H5391" s="31"/>
      <c r="I5391" s="27"/>
      <c r="J5391" s="141">
        <v>0</v>
      </c>
    </row>
    <row r="5392" spans="1:10" ht="15.75" hidden="1" thickBot="1" x14ac:dyDescent="0.3">
      <c r="A5392" s="225" t="s">
        <v>3783</v>
      </c>
      <c r="B5392" s="228" t="str">
        <f>INDEX(Orçamentária!A:B,MATCH(Composições!A5392,Orçamentária!A:A,0),2)</f>
        <v>Luminária LED para poste 120 W</v>
      </c>
      <c r="C5392" s="37"/>
      <c r="D5392" s="22" t="str">
        <f>TRIM(INDEX(Orçamentária!C:C,MATCH(Composições!A5392,Orçamentária!A:A,0),1))</f>
        <v>un</v>
      </c>
      <c r="E5392" s="23"/>
      <c r="F5392" s="38" t="s">
        <v>523</v>
      </c>
      <c r="G5392" s="24" t="str">
        <f t="shared" si="102"/>
        <v/>
      </c>
      <c r="H5392" s="25"/>
      <c r="I5392" s="26"/>
      <c r="J5392" s="141">
        <v>0</v>
      </c>
    </row>
    <row r="5393" spans="1:10" ht="15.75" hidden="1" thickBot="1" x14ac:dyDescent="0.3">
      <c r="A5393" s="226"/>
      <c r="B5393" s="229"/>
      <c r="C5393" s="28"/>
      <c r="D5393" s="28"/>
      <c r="E5393" s="29"/>
      <c r="F5393" s="39" t="s">
        <v>523</v>
      </c>
      <c r="G5393" s="27" t="str">
        <f t="shared" si="102"/>
        <v/>
      </c>
      <c r="H5393" s="31"/>
      <c r="I5393" s="27"/>
      <c r="J5393" s="141">
        <v>0</v>
      </c>
    </row>
    <row r="5394" spans="1:10" ht="51.75" hidden="1" thickBot="1" x14ac:dyDescent="0.3">
      <c r="A5394" s="226"/>
      <c r="B5394" s="229"/>
      <c r="C5394" s="32" t="s">
        <v>3199</v>
      </c>
      <c r="D5394" s="32" t="s">
        <v>945</v>
      </c>
      <c r="E5394" s="33">
        <v>0.23880000000000001</v>
      </c>
      <c r="F5394" s="30">
        <v>266.74099999999999</v>
      </c>
      <c r="G5394" s="27">
        <f t="shared" si="102"/>
        <v>63.697750800000001</v>
      </c>
      <c r="H5394" s="35">
        <f>SUM(G5394:G5398)</f>
        <v>613.42909229999998</v>
      </c>
      <c r="I5394" s="36"/>
      <c r="J5394" s="141">
        <v>0</v>
      </c>
    </row>
    <row r="5395" spans="1:10" ht="26.25" hidden="1" thickBot="1" x14ac:dyDescent="0.3">
      <c r="A5395" s="226"/>
      <c r="B5395" s="229"/>
      <c r="C5395" s="32" t="s">
        <v>3327</v>
      </c>
      <c r="D5395" s="32" t="s">
        <v>280</v>
      </c>
      <c r="E5395" s="33">
        <v>1.4E-2</v>
      </c>
      <c r="F5395" s="30">
        <v>3.9139999999999997</v>
      </c>
      <c r="G5395" s="27">
        <f t="shared" si="102"/>
        <v>5.4795999999999997E-2</v>
      </c>
      <c r="H5395" s="41"/>
      <c r="I5395" s="42"/>
      <c r="J5395" s="141">
        <v>0</v>
      </c>
    </row>
    <row r="5396" spans="1:10" ht="26.25" hidden="1" thickBot="1" x14ac:dyDescent="0.3">
      <c r="A5396" s="226"/>
      <c r="B5396" s="229"/>
      <c r="C5396" s="32" t="s">
        <v>3332</v>
      </c>
      <c r="D5396" s="32" t="s">
        <v>280</v>
      </c>
      <c r="E5396" s="33">
        <v>1</v>
      </c>
      <c r="F5396" s="30">
        <v>539.06799999999998</v>
      </c>
      <c r="G5396" s="27">
        <f t="shared" si="102"/>
        <v>539.06799999999998</v>
      </c>
      <c r="H5396" s="41"/>
      <c r="I5396" s="42"/>
      <c r="J5396" s="141">
        <v>0</v>
      </c>
    </row>
    <row r="5397" spans="1:10" ht="15.75" hidden="1" thickBot="1" x14ac:dyDescent="0.3">
      <c r="A5397" s="226"/>
      <c r="B5397" s="229"/>
      <c r="C5397" s="32" t="s">
        <v>1164</v>
      </c>
      <c r="D5397" s="32" t="s">
        <v>705</v>
      </c>
      <c r="E5397" s="33">
        <v>0.23810000000000001</v>
      </c>
      <c r="F5397" s="27">
        <v>19.4085</v>
      </c>
      <c r="G5397" s="27">
        <f t="shared" si="102"/>
        <v>4.6211638500000003</v>
      </c>
      <c r="H5397" s="31"/>
      <c r="I5397" s="27"/>
      <c r="J5397" s="141">
        <v>0</v>
      </c>
    </row>
    <row r="5398" spans="1:10" ht="15.75" hidden="1" thickBot="1" x14ac:dyDescent="0.3">
      <c r="A5398" s="226"/>
      <c r="B5398" s="229"/>
      <c r="C5398" s="32" t="s">
        <v>1165</v>
      </c>
      <c r="D5398" s="32" t="s">
        <v>705</v>
      </c>
      <c r="E5398" s="33">
        <v>0.23810000000000001</v>
      </c>
      <c r="F5398" s="27">
        <v>25.146499999999996</v>
      </c>
      <c r="G5398" s="27">
        <f t="shared" si="102"/>
        <v>5.9873816499999988</v>
      </c>
      <c r="H5398" s="31"/>
      <c r="I5398" s="27"/>
      <c r="J5398" s="141">
        <v>0</v>
      </c>
    </row>
    <row r="5399" spans="1:10" ht="15.75" hidden="1" thickBot="1" x14ac:dyDescent="0.3">
      <c r="A5399" s="227"/>
      <c r="B5399" s="230"/>
      <c r="C5399" s="32"/>
      <c r="D5399" s="32"/>
      <c r="E5399" s="33"/>
      <c r="F5399" s="27" t="s">
        <v>523</v>
      </c>
      <c r="G5399" s="27" t="str">
        <f t="shared" si="102"/>
        <v/>
      </c>
      <c r="H5399" s="31"/>
      <c r="I5399" s="27"/>
      <c r="J5399" s="141">
        <v>0</v>
      </c>
    </row>
    <row r="5400" spans="1:10" ht="15.75" hidden="1" thickBot="1" x14ac:dyDescent="0.3">
      <c r="A5400" s="225" t="s">
        <v>3789</v>
      </c>
      <c r="B5400" s="228" t="str">
        <f>INDEX(Orçamentária!A:B,MATCH(Composições!A5400,Orçamentária!A:A,0),2)</f>
        <v>Poste curvo simples 8 metros</v>
      </c>
      <c r="C5400" s="37"/>
      <c r="D5400" s="22" t="str">
        <f>TRIM(INDEX(Orçamentária!C:C,MATCH(Composições!A5400,Orçamentária!A:A,0),1))</f>
        <v>un</v>
      </c>
      <c r="E5400" s="23"/>
      <c r="F5400" s="38" t="s">
        <v>523</v>
      </c>
      <c r="G5400" s="24" t="str">
        <f t="shared" si="102"/>
        <v/>
      </c>
      <c r="H5400" s="25"/>
      <c r="I5400" s="26"/>
      <c r="J5400" s="141">
        <v>0</v>
      </c>
    </row>
    <row r="5401" spans="1:10" ht="15.75" hidden="1" thickBot="1" x14ac:dyDescent="0.3">
      <c r="A5401" s="226"/>
      <c r="B5401" s="229"/>
      <c r="C5401" s="28"/>
      <c r="D5401" s="28"/>
      <c r="E5401" s="29"/>
      <c r="F5401" s="39" t="s">
        <v>523</v>
      </c>
      <c r="G5401" s="27" t="str">
        <f t="shared" si="102"/>
        <v/>
      </c>
      <c r="H5401" s="31"/>
      <c r="I5401" s="27"/>
      <c r="J5401" s="141">
        <v>0</v>
      </c>
    </row>
    <row r="5402" spans="1:10" ht="26.25" hidden="1" thickBot="1" x14ac:dyDescent="0.3">
      <c r="A5402" s="226"/>
      <c r="B5402" s="229"/>
      <c r="C5402" s="32" t="s">
        <v>6648</v>
      </c>
      <c r="D5402" s="32" t="s">
        <v>280</v>
      </c>
      <c r="E5402" s="33">
        <v>1</v>
      </c>
      <c r="F5402" s="30">
        <v>2137.8040000000001</v>
      </c>
      <c r="G5402" s="27">
        <f t="shared" si="102"/>
        <v>2137.8040000000001</v>
      </c>
      <c r="H5402" s="35">
        <f>SUM(G5402:G5405)</f>
        <v>2238.8732935000003</v>
      </c>
      <c r="I5402" s="36"/>
      <c r="J5402" s="141">
        <v>0</v>
      </c>
    </row>
    <row r="5403" spans="1:10" ht="51.75" hidden="1" thickBot="1" x14ac:dyDescent="0.3">
      <c r="A5403" s="226"/>
      <c r="B5403" s="229"/>
      <c r="C5403" s="32" t="s">
        <v>3199</v>
      </c>
      <c r="D5403" s="32" t="s">
        <v>945</v>
      </c>
      <c r="E5403" s="33">
        <v>0.111</v>
      </c>
      <c r="F5403" s="30">
        <v>266.74099999999999</v>
      </c>
      <c r="G5403" s="27">
        <f t="shared" si="102"/>
        <v>29.608250999999999</v>
      </c>
      <c r="H5403" s="41"/>
      <c r="I5403" s="42"/>
      <c r="J5403" s="141">
        <v>0</v>
      </c>
    </row>
    <row r="5404" spans="1:10" ht="15.75" hidden="1" thickBot="1" x14ac:dyDescent="0.3">
      <c r="A5404" s="226"/>
      <c r="B5404" s="229"/>
      <c r="C5404" s="32" t="s">
        <v>1164</v>
      </c>
      <c r="D5404" s="32" t="s">
        <v>705</v>
      </c>
      <c r="E5404" s="33">
        <f>1.413/2</f>
        <v>0.70650000000000002</v>
      </c>
      <c r="F5404" s="30">
        <v>19.4085</v>
      </c>
      <c r="G5404" s="27">
        <f t="shared" si="102"/>
        <v>13.71210525</v>
      </c>
      <c r="H5404" s="41"/>
      <c r="I5404" s="42"/>
      <c r="J5404" s="141">
        <v>0</v>
      </c>
    </row>
    <row r="5405" spans="1:10" ht="15.75" hidden="1" thickBot="1" x14ac:dyDescent="0.3">
      <c r="A5405" s="226"/>
      <c r="B5405" s="229"/>
      <c r="C5405" s="32" t="s">
        <v>1165</v>
      </c>
      <c r="D5405" s="32" t="s">
        <v>705</v>
      </c>
      <c r="E5405" s="33">
        <f>4.593/2</f>
        <v>2.2965</v>
      </c>
      <c r="F5405" s="27">
        <v>25.146499999999996</v>
      </c>
      <c r="G5405" s="27">
        <f t="shared" si="102"/>
        <v>57.74893724999999</v>
      </c>
      <c r="H5405" s="31"/>
      <c r="I5405" s="27"/>
      <c r="J5405" s="141">
        <v>0</v>
      </c>
    </row>
    <row r="5406" spans="1:10" ht="15.75" hidden="1" thickBot="1" x14ac:dyDescent="0.3">
      <c r="A5406" s="227"/>
      <c r="B5406" s="230"/>
      <c r="C5406" s="32"/>
      <c r="D5406" s="32"/>
      <c r="E5406" s="33"/>
      <c r="F5406" s="27" t="s">
        <v>523</v>
      </c>
      <c r="G5406" s="27" t="str">
        <f t="shared" ref="G5406:G5469" si="103">IF(ISNUMBER(F5406),E5406*F5406,"")</f>
        <v/>
      </c>
      <c r="H5406" s="31"/>
      <c r="I5406" s="27"/>
      <c r="J5406" s="141">
        <v>0</v>
      </c>
    </row>
    <row r="5407" spans="1:10" ht="15.75" hidden="1" thickBot="1" x14ac:dyDescent="0.3">
      <c r="A5407" s="239" t="s">
        <v>3790</v>
      </c>
      <c r="B5407" s="236" t="str">
        <f>INDEX(Orçamentária!A:B,MATCH(Composições!A5407,Orçamentária!A:A,0),2)</f>
        <v>Caixa de Passagem Subterrânea 300x300x500mm</v>
      </c>
      <c r="C5407" s="37"/>
      <c r="D5407" s="22" t="str">
        <f>TRIM(INDEX(Orçamentária!C:C,MATCH(Composições!A5407,Orçamentária!A:A,0),1))</f>
        <v>un</v>
      </c>
      <c r="E5407" s="23"/>
      <c r="F5407" s="38" t="s">
        <v>523</v>
      </c>
      <c r="G5407" s="24" t="str">
        <f t="shared" si="103"/>
        <v/>
      </c>
      <c r="H5407" s="25"/>
      <c r="I5407" s="26"/>
      <c r="J5407" s="141">
        <v>0</v>
      </c>
    </row>
    <row r="5408" spans="1:10" ht="15.75" hidden="1" thickBot="1" x14ac:dyDescent="0.3">
      <c r="A5408" s="240"/>
      <c r="B5408" s="237"/>
      <c r="C5408" s="28"/>
      <c r="D5408" s="28"/>
      <c r="E5408" s="29"/>
      <c r="F5408" s="39" t="s">
        <v>523</v>
      </c>
      <c r="G5408" s="27" t="str">
        <f t="shared" si="103"/>
        <v/>
      </c>
      <c r="H5408" s="31"/>
      <c r="I5408" s="27"/>
      <c r="J5408" s="141">
        <v>0</v>
      </c>
    </row>
    <row r="5409" spans="1:10" ht="15.75" hidden="1" thickBot="1" x14ac:dyDescent="0.3">
      <c r="A5409" s="240"/>
      <c r="B5409" s="237"/>
      <c r="C5409" s="32" t="s">
        <v>3523</v>
      </c>
      <c r="D5409" s="32" t="s">
        <v>280</v>
      </c>
      <c r="E5409" s="33">
        <f>48.7507*5/3</f>
        <v>81.251166666666663</v>
      </c>
      <c r="F5409" s="27">
        <v>0.71249999999999991</v>
      </c>
      <c r="G5409" s="30">
        <f t="shared" si="103"/>
        <v>57.89145624999999</v>
      </c>
      <c r="H5409" s="35">
        <f>SUM(G5409:G5415)</f>
        <v>262.98601425184779</v>
      </c>
      <c r="I5409" s="36"/>
      <c r="J5409" s="141">
        <v>0</v>
      </c>
    </row>
    <row r="5410" spans="1:10" ht="39" hidden="1" thickBot="1" x14ac:dyDescent="0.3">
      <c r="A5410" s="240"/>
      <c r="B5410" s="237"/>
      <c r="C5410" s="32" t="s">
        <v>1005</v>
      </c>
      <c r="D5410" s="32" t="s">
        <v>120</v>
      </c>
      <c r="E5410" s="33">
        <f>0.0004*5/3</f>
        <v>6.6666666666666664E-4</v>
      </c>
      <c r="F5410" s="27">
        <v>538.03577996999991</v>
      </c>
      <c r="G5410" s="30">
        <f t="shared" si="103"/>
        <v>0.3586905199799999</v>
      </c>
      <c r="H5410" s="31"/>
      <c r="I5410" s="27"/>
      <c r="J5410" s="141">
        <v>0</v>
      </c>
    </row>
    <row r="5411" spans="1:10" ht="15.75" hidden="1" thickBot="1" x14ac:dyDescent="0.3">
      <c r="A5411" s="240"/>
      <c r="B5411" s="237"/>
      <c r="C5411" s="32" t="s">
        <v>713</v>
      </c>
      <c r="D5411" s="32" t="s">
        <v>705</v>
      </c>
      <c r="E5411" s="33">
        <f>1.5362*5/3</f>
        <v>2.5603333333333333</v>
      </c>
      <c r="F5411" s="30">
        <v>24.889999999999997</v>
      </c>
      <c r="G5411" s="27">
        <f t="shared" si="103"/>
        <v>63.726696666666662</v>
      </c>
      <c r="H5411" s="31"/>
      <c r="I5411" s="27"/>
      <c r="J5411" s="141">
        <v>0</v>
      </c>
    </row>
    <row r="5412" spans="1:10" ht="15.75" hidden="1" thickBot="1" x14ac:dyDescent="0.3">
      <c r="A5412" s="240"/>
      <c r="B5412" s="237"/>
      <c r="C5412" s="32" t="s">
        <v>706</v>
      </c>
      <c r="D5412" s="32" t="s">
        <v>705</v>
      </c>
      <c r="E5412" s="33">
        <f>1.5362*5/3</f>
        <v>2.5603333333333333</v>
      </c>
      <c r="F5412" s="27">
        <v>18.420500000000001</v>
      </c>
      <c r="G5412" s="30">
        <f t="shared" si="103"/>
        <v>47.16262016666667</v>
      </c>
      <c r="H5412" s="31"/>
      <c r="I5412" s="36"/>
      <c r="J5412" s="141">
        <v>0</v>
      </c>
    </row>
    <row r="5413" spans="1:10" ht="26.25" hidden="1" thickBot="1" x14ac:dyDescent="0.3">
      <c r="A5413" s="240"/>
      <c r="B5413" s="237"/>
      <c r="C5413" s="32" t="s">
        <v>3236</v>
      </c>
      <c r="D5413" s="32" t="s">
        <v>120</v>
      </c>
      <c r="E5413" s="33">
        <f>0.0278*5/3</f>
        <v>4.6333333333333331E-2</v>
      </c>
      <c r="F5413" s="27">
        <v>614.14627114500001</v>
      </c>
      <c r="G5413" s="30">
        <f t="shared" si="103"/>
        <v>28.455443896384999</v>
      </c>
      <c r="H5413" s="31"/>
      <c r="I5413" s="27"/>
      <c r="J5413" s="141">
        <v>0</v>
      </c>
    </row>
    <row r="5414" spans="1:10" ht="26.25" hidden="1" thickBot="1" x14ac:dyDescent="0.3">
      <c r="A5414" s="240"/>
      <c r="B5414" s="237"/>
      <c r="C5414" s="32" t="s">
        <v>3220</v>
      </c>
      <c r="D5414" s="32" t="s">
        <v>120</v>
      </c>
      <c r="E5414" s="33">
        <f>0.0175</f>
        <v>1.7500000000000002E-2</v>
      </c>
      <c r="F5414" s="30">
        <v>2939.8205073685399</v>
      </c>
      <c r="G5414" s="27">
        <f t="shared" si="103"/>
        <v>51.446858878949456</v>
      </c>
      <c r="H5414" s="31"/>
      <c r="I5414" s="27"/>
      <c r="J5414" s="141">
        <v>0</v>
      </c>
    </row>
    <row r="5415" spans="1:10" ht="26.25" hidden="1" thickBot="1" x14ac:dyDescent="0.3">
      <c r="A5415" s="240"/>
      <c r="B5415" s="237"/>
      <c r="C5415" s="32" t="s">
        <v>3697</v>
      </c>
      <c r="D5415" s="32" t="s">
        <v>120</v>
      </c>
      <c r="E5415" s="33">
        <f>0.036</f>
        <v>3.5999999999999997E-2</v>
      </c>
      <c r="F5415" s="27">
        <v>387.34021869999998</v>
      </c>
      <c r="G5415" s="30">
        <f t="shared" si="103"/>
        <v>13.944247873199998</v>
      </c>
      <c r="H5415" s="31"/>
      <c r="I5415" s="36"/>
      <c r="J5415" s="141">
        <v>0</v>
      </c>
    </row>
    <row r="5416" spans="1:10" ht="15.75" hidden="1" thickBot="1" x14ac:dyDescent="0.3">
      <c r="A5416" s="241"/>
      <c r="B5416" s="238"/>
      <c r="C5416" s="32"/>
      <c r="D5416" s="32"/>
      <c r="E5416" s="33"/>
      <c r="F5416" s="27" t="s">
        <v>523</v>
      </c>
      <c r="G5416" s="27" t="str">
        <f t="shared" si="103"/>
        <v/>
      </c>
      <c r="H5416" s="31"/>
      <c r="I5416" s="27"/>
      <c r="J5416" s="141">
        <v>0</v>
      </c>
    </row>
    <row r="5417" spans="1:10" ht="15.75" hidden="1" thickBot="1" x14ac:dyDescent="0.3">
      <c r="A5417" s="239" t="s">
        <v>3793</v>
      </c>
      <c r="B5417" s="236" t="str">
        <f>INDEX(Orçamentária!A:B,MATCH(Composições!A5417,Orçamentária!A:A,0),2)</f>
        <v>Caixa de Passagem Subterrânea 600x600x800mm</v>
      </c>
      <c r="C5417" s="37"/>
      <c r="D5417" s="22" t="str">
        <f>TRIM(INDEX(Orçamentária!C:C,MATCH(Composições!A5417,Orçamentária!A:A,0),1))</f>
        <v>un</v>
      </c>
      <c r="E5417" s="23"/>
      <c r="F5417" s="38" t="s">
        <v>523</v>
      </c>
      <c r="G5417" s="24" t="str">
        <f t="shared" si="103"/>
        <v/>
      </c>
      <c r="H5417" s="25"/>
      <c r="I5417" s="26"/>
      <c r="J5417" s="141">
        <v>0</v>
      </c>
    </row>
    <row r="5418" spans="1:10" ht="15.75" hidden="1" thickBot="1" x14ac:dyDescent="0.3">
      <c r="A5418" s="240"/>
      <c r="B5418" s="237"/>
      <c r="C5418" s="28"/>
      <c r="D5418" s="28"/>
      <c r="E5418" s="29"/>
      <c r="F5418" s="39" t="s">
        <v>523</v>
      </c>
      <c r="G5418" s="27" t="str">
        <f t="shared" si="103"/>
        <v/>
      </c>
      <c r="H5418" s="31"/>
      <c r="I5418" s="27"/>
      <c r="J5418" s="141">
        <v>0</v>
      </c>
    </row>
    <row r="5419" spans="1:10" ht="51.75" hidden="1" thickBot="1" x14ac:dyDescent="0.3">
      <c r="A5419" s="240"/>
      <c r="B5419" s="237"/>
      <c r="C5419" s="32" t="s">
        <v>3198</v>
      </c>
      <c r="D5419" s="32" t="s">
        <v>945</v>
      </c>
      <c r="E5419" s="33">
        <f>ROUND(0.0087*8/6,4)</f>
        <v>1.1599999999999999E-2</v>
      </c>
      <c r="F5419" s="27">
        <v>136.82849999999999</v>
      </c>
      <c r="G5419" s="30">
        <f t="shared" si="103"/>
        <v>1.5872105999999997</v>
      </c>
      <c r="H5419" s="35">
        <f>SUM(G5419:G5427)</f>
        <v>702.67721419822374</v>
      </c>
      <c r="I5419" s="36"/>
      <c r="J5419" s="141">
        <v>0</v>
      </c>
    </row>
    <row r="5420" spans="1:10" ht="51.75" hidden="1" thickBot="1" x14ac:dyDescent="0.3">
      <c r="A5420" s="240"/>
      <c r="B5420" s="237"/>
      <c r="C5420" s="32" t="s">
        <v>3204</v>
      </c>
      <c r="D5420" s="32" t="s">
        <v>947</v>
      </c>
      <c r="E5420" s="33">
        <f>ROUND(0.0294*8/6,4)</f>
        <v>3.9199999999999999E-2</v>
      </c>
      <c r="F5420" s="27">
        <v>49.875</v>
      </c>
      <c r="G5420" s="30">
        <f t="shared" si="103"/>
        <v>1.9550999999999998</v>
      </c>
      <c r="H5420" s="31"/>
      <c r="I5420" s="27"/>
      <c r="J5420" s="141">
        <v>0</v>
      </c>
    </row>
    <row r="5421" spans="1:10" ht="15.75" hidden="1" thickBot="1" x14ac:dyDescent="0.3">
      <c r="A5421" s="240"/>
      <c r="B5421" s="237"/>
      <c r="C5421" s="32" t="s">
        <v>3523</v>
      </c>
      <c r="D5421" s="32" t="s">
        <v>280</v>
      </c>
      <c r="E5421" s="33">
        <f>ROUND(169.8027*8/6,4)</f>
        <v>226.40360000000001</v>
      </c>
      <c r="F5421" s="30">
        <v>0.71249999999999991</v>
      </c>
      <c r="G5421" s="27">
        <f t="shared" si="103"/>
        <v>161.31256499999998</v>
      </c>
      <c r="H5421" s="31"/>
      <c r="I5421" s="27"/>
      <c r="J5421" s="141">
        <v>0</v>
      </c>
    </row>
    <row r="5422" spans="1:10" ht="39" hidden="1" thickBot="1" x14ac:dyDescent="0.3">
      <c r="A5422" s="240"/>
      <c r="B5422" s="237"/>
      <c r="C5422" s="32" t="s">
        <v>1005</v>
      </c>
      <c r="D5422" s="32" t="s">
        <v>120</v>
      </c>
      <c r="E5422" s="33">
        <f>ROUND(0.0014*8/6,4)</f>
        <v>1.9E-3</v>
      </c>
      <c r="F5422" s="27">
        <v>538.03577996999991</v>
      </c>
      <c r="G5422" s="30">
        <f t="shared" si="103"/>
        <v>1.0222679819429998</v>
      </c>
      <c r="H5422" s="31"/>
      <c r="I5422" s="36"/>
      <c r="J5422" s="141">
        <v>0</v>
      </c>
    </row>
    <row r="5423" spans="1:10" ht="15.75" hidden="1" thickBot="1" x14ac:dyDescent="0.3">
      <c r="A5423" s="240"/>
      <c r="B5423" s="237"/>
      <c r="C5423" s="32" t="s">
        <v>713</v>
      </c>
      <c r="D5423" s="32" t="s">
        <v>705</v>
      </c>
      <c r="E5423" s="33">
        <f>ROUND(5.4392*8/6,4)</f>
        <v>7.2523</v>
      </c>
      <c r="F5423" s="27">
        <v>24.889999999999997</v>
      </c>
      <c r="G5423" s="30">
        <f t="shared" si="103"/>
        <v>180.50974699999998</v>
      </c>
      <c r="H5423" s="31"/>
      <c r="I5423" s="27"/>
      <c r="J5423" s="141">
        <v>0</v>
      </c>
    </row>
    <row r="5424" spans="1:10" ht="15.75" hidden="1" thickBot="1" x14ac:dyDescent="0.3">
      <c r="A5424" s="240"/>
      <c r="B5424" s="237"/>
      <c r="C5424" s="32" t="s">
        <v>706</v>
      </c>
      <c r="D5424" s="32" t="s">
        <v>705</v>
      </c>
      <c r="E5424" s="33">
        <f>ROUND(5.4392*8/6,4)</f>
        <v>7.2523</v>
      </c>
      <c r="F5424" s="30">
        <v>18.420500000000001</v>
      </c>
      <c r="G5424" s="27">
        <f t="shared" si="103"/>
        <v>133.59099215000001</v>
      </c>
      <c r="H5424" s="31"/>
      <c r="I5424" s="27"/>
      <c r="J5424" s="141">
        <v>0</v>
      </c>
    </row>
    <row r="5425" spans="1:10" ht="26.25" hidden="1" thickBot="1" x14ac:dyDescent="0.3">
      <c r="A5425" s="240"/>
      <c r="B5425" s="237"/>
      <c r="C5425" s="32" t="s">
        <v>3236</v>
      </c>
      <c r="D5425" s="32" t="s">
        <v>120</v>
      </c>
      <c r="E5425" s="33">
        <f>ROUND(0.1012*8/6,4)</f>
        <v>0.13489999999999999</v>
      </c>
      <c r="F5425" s="27">
        <v>614.14627114500001</v>
      </c>
      <c r="G5425" s="30">
        <f t="shared" si="103"/>
        <v>82.848331977460504</v>
      </c>
      <c r="H5425" s="31"/>
      <c r="I5425" s="36"/>
      <c r="J5425" s="141">
        <v>0</v>
      </c>
    </row>
    <row r="5426" spans="1:10" ht="26.25" hidden="1" thickBot="1" x14ac:dyDescent="0.3">
      <c r="A5426" s="240"/>
      <c r="B5426" s="237"/>
      <c r="C5426" s="32" t="s">
        <v>3221</v>
      </c>
      <c r="D5426" s="32" t="s">
        <v>120</v>
      </c>
      <c r="E5426" s="33">
        <v>4.48E-2</v>
      </c>
      <c r="F5426" s="27">
        <v>2481.31396637322</v>
      </c>
      <c r="G5426" s="30">
        <f t="shared" si="103"/>
        <v>111.16286569352026</v>
      </c>
      <c r="H5426" s="31"/>
      <c r="I5426" s="27"/>
      <c r="J5426" s="141">
        <v>0</v>
      </c>
    </row>
    <row r="5427" spans="1:10" ht="26.25" hidden="1" thickBot="1" x14ac:dyDescent="0.3">
      <c r="A5427" s="240"/>
      <c r="B5427" s="237"/>
      <c r="C5427" s="32" t="s">
        <v>3698</v>
      </c>
      <c r="D5427" s="32" t="s">
        <v>120</v>
      </c>
      <c r="E5427" s="33">
        <v>8.1000000000000003E-2</v>
      </c>
      <c r="F5427" s="30">
        <v>354.17449129999989</v>
      </c>
      <c r="G5427" s="27">
        <f t="shared" si="103"/>
        <v>28.68813379529999</v>
      </c>
      <c r="H5427" s="31"/>
      <c r="I5427" s="27"/>
      <c r="J5427" s="141">
        <v>0</v>
      </c>
    </row>
    <row r="5428" spans="1:10" ht="15.75" hidden="1" thickBot="1" x14ac:dyDescent="0.3">
      <c r="A5428" s="241"/>
      <c r="B5428" s="238"/>
      <c r="C5428" s="32"/>
      <c r="D5428" s="32"/>
      <c r="E5428" s="33"/>
      <c r="F5428" s="27" t="s">
        <v>523</v>
      </c>
      <c r="G5428" s="27" t="str">
        <f t="shared" si="103"/>
        <v/>
      </c>
      <c r="H5428" s="31"/>
      <c r="I5428" s="27"/>
      <c r="J5428" s="141">
        <v>0</v>
      </c>
    </row>
    <row r="5429" spans="1:10" ht="15.75" hidden="1" thickBot="1" x14ac:dyDescent="0.3">
      <c r="A5429" s="225" t="s">
        <v>3795</v>
      </c>
      <c r="B5429" s="228" t="str">
        <f>INDEX(Orçamentária!A:B,MATCH(Composições!A5429,Orçamentária!A:A,0),2)</f>
        <v>Kit terminal para cabo de potência, 8,7 kV/15 kV, 95 mm²</v>
      </c>
      <c r="C5429" s="37"/>
      <c r="D5429" s="22" t="str">
        <f>TRIM(INDEX(Orçamentária!C:C,MATCH(Composições!A5429,Orçamentária!A:A,0),1))</f>
        <v>un</v>
      </c>
      <c r="E5429" s="23"/>
      <c r="F5429" s="38" t="s">
        <v>523</v>
      </c>
      <c r="G5429" s="24" t="str">
        <f t="shared" si="103"/>
        <v/>
      </c>
      <c r="H5429" s="25"/>
      <c r="I5429" s="26"/>
      <c r="J5429" s="141">
        <v>0</v>
      </c>
    </row>
    <row r="5430" spans="1:10" ht="15.75" hidden="1" thickBot="1" x14ac:dyDescent="0.3">
      <c r="A5430" s="226"/>
      <c r="B5430" s="229"/>
      <c r="C5430" s="28"/>
      <c r="D5430" s="28"/>
      <c r="E5430" s="29"/>
      <c r="F5430" s="39" t="s">
        <v>523</v>
      </c>
      <c r="G5430" s="27" t="str">
        <f t="shared" si="103"/>
        <v/>
      </c>
      <c r="H5430" s="31"/>
      <c r="I5430" s="27"/>
      <c r="J5430" s="141">
        <v>0</v>
      </c>
    </row>
    <row r="5431" spans="1:10" ht="15.75" hidden="1" thickBot="1" x14ac:dyDescent="0.3">
      <c r="A5431" s="226"/>
      <c r="B5431" s="229"/>
      <c r="C5431" s="32" t="s">
        <v>6427</v>
      </c>
      <c r="D5431" s="32" t="s">
        <v>280</v>
      </c>
      <c r="E5431" s="33">
        <v>1</v>
      </c>
      <c r="F5431" s="30" t="s">
        <v>523</v>
      </c>
      <c r="G5431" s="27" t="str">
        <f t="shared" si="103"/>
        <v/>
      </c>
      <c r="H5431" s="35">
        <f>SUM(G5431:G5433)</f>
        <v>22.277499999999996</v>
      </c>
      <c r="I5431" s="36"/>
      <c r="J5431" s="141">
        <v>0</v>
      </c>
    </row>
    <row r="5432" spans="1:10" ht="15.75" hidden="1" thickBot="1" x14ac:dyDescent="0.3">
      <c r="A5432" s="226"/>
      <c r="B5432" s="229"/>
      <c r="C5432" s="32" t="s">
        <v>1164</v>
      </c>
      <c r="D5432" s="32" t="s">
        <v>705</v>
      </c>
      <c r="E5432" s="33">
        <v>0.5</v>
      </c>
      <c r="F5432" s="30">
        <v>19.4085</v>
      </c>
      <c r="G5432" s="27">
        <f t="shared" si="103"/>
        <v>9.70425</v>
      </c>
      <c r="H5432" s="41"/>
      <c r="I5432" s="42"/>
      <c r="J5432" s="141">
        <v>0</v>
      </c>
    </row>
    <row r="5433" spans="1:10" ht="15.75" hidden="1" thickBot="1" x14ac:dyDescent="0.3">
      <c r="A5433" s="226"/>
      <c r="B5433" s="229"/>
      <c r="C5433" s="32" t="s">
        <v>1165</v>
      </c>
      <c r="D5433" s="32" t="s">
        <v>705</v>
      </c>
      <c r="E5433" s="33">
        <v>0.5</v>
      </c>
      <c r="F5433" s="27">
        <v>25.146499999999996</v>
      </c>
      <c r="G5433" s="27">
        <f t="shared" si="103"/>
        <v>12.573249999999998</v>
      </c>
      <c r="H5433" s="31"/>
      <c r="I5433" s="27"/>
      <c r="J5433" s="141">
        <v>0</v>
      </c>
    </row>
    <row r="5434" spans="1:10" ht="15.75" hidden="1" thickBot="1" x14ac:dyDescent="0.3">
      <c r="A5434" s="227"/>
      <c r="B5434" s="230"/>
      <c r="C5434" s="32"/>
      <c r="D5434" s="32"/>
      <c r="E5434" s="33"/>
      <c r="F5434" s="27" t="s">
        <v>523</v>
      </c>
      <c r="G5434" s="27" t="str">
        <f t="shared" si="103"/>
        <v/>
      </c>
      <c r="H5434" s="31"/>
      <c r="I5434" s="27"/>
      <c r="J5434" s="141">
        <v>0</v>
      </c>
    </row>
    <row r="5435" spans="1:10" ht="15.75" hidden="1" thickBot="1" x14ac:dyDescent="0.3">
      <c r="A5435" s="225" t="s">
        <v>3796</v>
      </c>
      <c r="B5435" s="228" t="str">
        <f>INDEX(Orçamentária!A:B,MATCH(Composições!A5435,Orçamentária!A:A,0),2)</f>
        <v>Kit terminal para cabo de potência, 8,7 kV/15 kV, 240 mm²</v>
      </c>
      <c r="C5435" s="37"/>
      <c r="D5435" s="22" t="str">
        <f>TRIM(INDEX(Orçamentária!C:C,MATCH(Composições!A5435,Orçamentária!A:A,0),1))</f>
        <v>un</v>
      </c>
      <c r="E5435" s="23"/>
      <c r="F5435" s="38" t="s">
        <v>523</v>
      </c>
      <c r="G5435" s="24" t="str">
        <f t="shared" si="103"/>
        <v/>
      </c>
      <c r="H5435" s="25"/>
      <c r="I5435" s="26"/>
      <c r="J5435" s="141">
        <v>0</v>
      </c>
    </row>
    <row r="5436" spans="1:10" ht="15.75" hidden="1" thickBot="1" x14ac:dyDescent="0.3">
      <c r="A5436" s="226"/>
      <c r="B5436" s="229"/>
      <c r="C5436" s="28"/>
      <c r="D5436" s="28"/>
      <c r="E5436" s="29"/>
      <c r="F5436" s="39" t="s">
        <v>523</v>
      </c>
      <c r="G5436" s="27" t="str">
        <f t="shared" si="103"/>
        <v/>
      </c>
      <c r="H5436" s="31"/>
      <c r="I5436" s="27"/>
      <c r="J5436" s="141">
        <v>0</v>
      </c>
    </row>
    <row r="5437" spans="1:10" ht="15.75" hidden="1" thickBot="1" x14ac:dyDescent="0.3">
      <c r="A5437" s="226"/>
      <c r="B5437" s="229"/>
      <c r="C5437" s="32" t="s">
        <v>6428</v>
      </c>
      <c r="D5437" s="32" t="s">
        <v>280</v>
      </c>
      <c r="E5437" s="33">
        <v>1</v>
      </c>
      <c r="F5437" s="30" t="s">
        <v>523</v>
      </c>
      <c r="G5437" s="27" t="str">
        <f t="shared" si="103"/>
        <v/>
      </c>
      <c r="H5437" s="35">
        <f>SUM(G5437:G5439)</f>
        <v>22.277499999999996</v>
      </c>
      <c r="I5437" s="36"/>
      <c r="J5437" s="141">
        <v>0</v>
      </c>
    </row>
    <row r="5438" spans="1:10" ht="15.75" hidden="1" thickBot="1" x14ac:dyDescent="0.3">
      <c r="A5438" s="226"/>
      <c r="B5438" s="229"/>
      <c r="C5438" s="32" t="s">
        <v>1164</v>
      </c>
      <c r="D5438" s="32" t="s">
        <v>705</v>
      </c>
      <c r="E5438" s="33">
        <v>0.5</v>
      </c>
      <c r="F5438" s="30">
        <v>19.4085</v>
      </c>
      <c r="G5438" s="27">
        <f t="shared" si="103"/>
        <v>9.70425</v>
      </c>
      <c r="H5438" s="41"/>
      <c r="I5438" s="42"/>
      <c r="J5438" s="141">
        <v>0</v>
      </c>
    </row>
    <row r="5439" spans="1:10" ht="15.75" hidden="1" thickBot="1" x14ac:dyDescent="0.3">
      <c r="A5439" s="226"/>
      <c r="B5439" s="229"/>
      <c r="C5439" s="32" t="s">
        <v>1165</v>
      </c>
      <c r="D5439" s="32" t="s">
        <v>705</v>
      </c>
      <c r="E5439" s="33">
        <v>0.5</v>
      </c>
      <c r="F5439" s="27">
        <v>25.146499999999996</v>
      </c>
      <c r="G5439" s="27">
        <f t="shared" si="103"/>
        <v>12.573249999999998</v>
      </c>
      <c r="H5439" s="31"/>
      <c r="I5439" s="27"/>
      <c r="J5439" s="141">
        <v>0</v>
      </c>
    </row>
    <row r="5440" spans="1:10" ht="15.75" hidden="1" thickBot="1" x14ac:dyDescent="0.3">
      <c r="A5440" s="227"/>
      <c r="B5440" s="230"/>
      <c r="C5440" s="32"/>
      <c r="D5440" s="32"/>
      <c r="E5440" s="33"/>
      <c r="F5440" s="27" t="s">
        <v>523</v>
      </c>
      <c r="G5440" s="27" t="str">
        <f t="shared" si="103"/>
        <v/>
      </c>
      <c r="H5440" s="31"/>
      <c r="I5440" s="27"/>
      <c r="J5440" s="141">
        <v>0</v>
      </c>
    </row>
    <row r="5441" spans="1:10" ht="15.75" thickBot="1" x14ac:dyDescent="0.3">
      <c r="A5441" s="225" t="s">
        <v>3797</v>
      </c>
      <c r="B5441" s="228" t="str">
        <f>INDEX(Orçamentária!A:B,MATCH(Composições!A5441,Orçamentária!A:A,0),2)</f>
        <v>Tomada para condulete (20 A)</v>
      </c>
      <c r="C5441" s="37"/>
      <c r="D5441" s="22" t="str">
        <f>TRIM(INDEX(Orçamentária!C:C,MATCH(Composições!A5441,Orçamentária!A:A,0),1))</f>
        <v>un</v>
      </c>
      <c r="E5441" s="23"/>
      <c r="F5441" s="38" t="s">
        <v>523</v>
      </c>
      <c r="G5441" s="24" t="str">
        <f t="shared" si="103"/>
        <v/>
      </c>
      <c r="H5441" s="25"/>
      <c r="I5441" s="26"/>
      <c r="J5441" s="141">
        <v>110</v>
      </c>
    </row>
    <row r="5442" spans="1:10" x14ac:dyDescent="0.25">
      <c r="A5442" s="226"/>
      <c r="B5442" s="229"/>
      <c r="C5442" s="28"/>
      <c r="D5442" s="28"/>
      <c r="E5442" s="29"/>
      <c r="F5442" s="39" t="s">
        <v>523</v>
      </c>
      <c r="G5442" s="27" t="str">
        <f t="shared" si="103"/>
        <v/>
      </c>
      <c r="H5442" s="31"/>
      <c r="I5442" s="27"/>
      <c r="J5442" s="141">
        <v>110</v>
      </c>
    </row>
    <row r="5443" spans="1:10" x14ac:dyDescent="0.25">
      <c r="A5443" s="226"/>
      <c r="B5443" s="229"/>
      <c r="C5443" s="32" t="s">
        <v>30</v>
      </c>
      <c r="D5443" s="32" t="s">
        <v>12</v>
      </c>
      <c r="E5443" s="33">
        <v>0.308</v>
      </c>
      <c r="F5443" s="27">
        <v>25.146499999999996</v>
      </c>
      <c r="G5443" s="30">
        <f t="shared" si="103"/>
        <v>7.7451219999999985</v>
      </c>
      <c r="H5443" s="35">
        <f>SUM(G5443:G5446)</f>
        <v>38.702939999999998</v>
      </c>
      <c r="I5443" s="36"/>
      <c r="J5443" s="141">
        <v>110</v>
      </c>
    </row>
    <row r="5444" spans="1:10" x14ac:dyDescent="0.25">
      <c r="A5444" s="226"/>
      <c r="B5444" s="229"/>
      <c r="C5444" s="32" t="s">
        <v>74</v>
      </c>
      <c r="D5444" s="32" t="s">
        <v>12</v>
      </c>
      <c r="E5444" s="33">
        <v>0.308</v>
      </c>
      <c r="F5444" s="27">
        <v>19.4085</v>
      </c>
      <c r="G5444" s="30">
        <f t="shared" si="103"/>
        <v>5.9778180000000001</v>
      </c>
      <c r="H5444" s="31"/>
      <c r="I5444" s="27"/>
      <c r="J5444" s="141">
        <v>110</v>
      </c>
    </row>
    <row r="5445" spans="1:10" ht="25.5" x14ac:dyDescent="0.25">
      <c r="A5445" s="226"/>
      <c r="B5445" s="229"/>
      <c r="C5445" s="32" t="s">
        <v>508</v>
      </c>
      <c r="D5445" s="32" t="s">
        <v>20</v>
      </c>
      <c r="E5445" s="33">
        <v>1</v>
      </c>
      <c r="F5445" s="30">
        <v>5.65</v>
      </c>
      <c r="G5445" s="30">
        <f t="shared" si="103"/>
        <v>5.65</v>
      </c>
      <c r="H5445" s="31"/>
      <c r="I5445" s="27"/>
      <c r="J5445" s="141">
        <v>110</v>
      </c>
    </row>
    <row r="5446" spans="1:10" ht="25.5" x14ac:dyDescent="0.25">
      <c r="A5446" s="226"/>
      <c r="B5446" s="229"/>
      <c r="C5446" s="32" t="s">
        <v>6429</v>
      </c>
      <c r="D5446" s="32" t="s">
        <v>20</v>
      </c>
      <c r="E5446" s="33">
        <v>1</v>
      </c>
      <c r="F5446" s="30">
        <v>19.329999999999998</v>
      </c>
      <c r="G5446" s="27">
        <f t="shared" si="103"/>
        <v>19.329999999999998</v>
      </c>
      <c r="H5446" s="31"/>
      <c r="I5446" s="27"/>
      <c r="J5446" s="141">
        <v>110</v>
      </c>
    </row>
    <row r="5447" spans="1:10" ht="15.75" thickBot="1" x14ac:dyDescent="0.3">
      <c r="A5447" s="227"/>
      <c r="B5447" s="230"/>
      <c r="C5447" s="32"/>
      <c r="D5447" s="32"/>
      <c r="E5447" s="33"/>
      <c r="F5447" s="27" t="s">
        <v>523</v>
      </c>
      <c r="G5447" s="27" t="str">
        <f t="shared" si="103"/>
        <v/>
      </c>
      <c r="H5447" s="31"/>
      <c r="I5447" s="27"/>
      <c r="J5447" s="141">
        <v>110</v>
      </c>
    </row>
    <row r="5448" spans="1:10" ht="15.75" hidden="1" thickBot="1" x14ac:dyDescent="0.3">
      <c r="A5448" s="225" t="s">
        <v>5024</v>
      </c>
      <c r="B5448" s="228" t="str">
        <f>INDEX(Orçamentária!A:B,MATCH(Composições!A5448,Orçamentária!A:A,0),2)</f>
        <v>Cabo de cobre nu 50 mm²</v>
      </c>
      <c r="C5448" s="37"/>
      <c r="D5448" s="22" t="str">
        <f>TRIM(INDEX(Orçamentária!C:C,MATCH(Composições!A5448,Orçamentária!A:A,0),1))</f>
        <v>m</v>
      </c>
      <c r="E5448" s="23"/>
      <c r="F5448" s="38" t="s">
        <v>523</v>
      </c>
      <c r="G5448" s="24" t="str">
        <f t="shared" si="103"/>
        <v/>
      </c>
      <c r="H5448" s="25"/>
      <c r="I5448" s="26"/>
      <c r="J5448" s="141">
        <v>0</v>
      </c>
    </row>
    <row r="5449" spans="1:10" ht="15.75" hidden="1" thickBot="1" x14ac:dyDescent="0.3">
      <c r="A5449" s="226"/>
      <c r="B5449" s="229"/>
      <c r="C5449" s="28"/>
      <c r="D5449" s="28"/>
      <c r="E5449" s="29"/>
      <c r="F5449" s="39" t="s">
        <v>523</v>
      </c>
      <c r="G5449" s="27" t="str">
        <f t="shared" si="103"/>
        <v/>
      </c>
      <c r="H5449" s="31"/>
      <c r="I5449" s="27"/>
      <c r="J5449" s="141">
        <v>0</v>
      </c>
    </row>
    <row r="5450" spans="1:10" ht="15.75" hidden="1" thickBot="1" x14ac:dyDescent="0.3">
      <c r="A5450" s="226"/>
      <c r="B5450" s="229"/>
      <c r="C5450" s="32" t="s">
        <v>3261</v>
      </c>
      <c r="D5450" s="32" t="s">
        <v>480</v>
      </c>
      <c r="E5450" s="33">
        <v>1.1000000000000001</v>
      </c>
      <c r="F5450" s="30">
        <v>42.626499999999993</v>
      </c>
      <c r="G5450" s="27">
        <f t="shared" si="103"/>
        <v>46.889149999999994</v>
      </c>
      <c r="H5450" s="35">
        <f>SUM(G5450:G5452)</f>
        <v>48.390653499999999</v>
      </c>
      <c r="I5450" s="36"/>
      <c r="J5450" s="141">
        <v>0</v>
      </c>
    </row>
    <row r="5451" spans="1:10" ht="15.75" hidden="1" thickBot="1" x14ac:dyDescent="0.3">
      <c r="A5451" s="226"/>
      <c r="B5451" s="229"/>
      <c r="C5451" s="32" t="s">
        <v>1164</v>
      </c>
      <c r="D5451" s="32" t="s">
        <v>705</v>
      </c>
      <c r="E5451" s="33">
        <v>3.3700000000000001E-2</v>
      </c>
      <c r="F5451" s="30">
        <v>19.4085</v>
      </c>
      <c r="G5451" s="27">
        <f t="shared" si="103"/>
        <v>0.65406644999999997</v>
      </c>
      <c r="H5451" s="41"/>
      <c r="I5451" s="42"/>
      <c r="J5451" s="141">
        <v>0</v>
      </c>
    </row>
    <row r="5452" spans="1:10" ht="15.75" hidden="1" thickBot="1" x14ac:dyDescent="0.3">
      <c r="A5452" s="226"/>
      <c r="B5452" s="229"/>
      <c r="C5452" s="32" t="s">
        <v>1165</v>
      </c>
      <c r="D5452" s="32" t="s">
        <v>705</v>
      </c>
      <c r="E5452" s="33">
        <v>3.3700000000000001E-2</v>
      </c>
      <c r="F5452" s="27">
        <v>25.146499999999996</v>
      </c>
      <c r="G5452" s="27">
        <f t="shared" si="103"/>
        <v>0.84743704999999991</v>
      </c>
      <c r="H5452" s="31"/>
      <c r="I5452" s="27"/>
      <c r="J5452" s="141">
        <v>0</v>
      </c>
    </row>
    <row r="5453" spans="1:10" ht="15.75" hidden="1" thickBot="1" x14ac:dyDescent="0.3">
      <c r="A5453" s="227"/>
      <c r="B5453" s="230"/>
      <c r="C5453" s="32"/>
      <c r="D5453" s="32"/>
      <c r="E5453" s="33"/>
      <c r="F5453" s="27" t="s">
        <v>523</v>
      </c>
      <c r="G5453" s="27" t="str">
        <f t="shared" si="103"/>
        <v/>
      </c>
      <c r="H5453" s="31"/>
      <c r="I5453" s="27"/>
      <c r="J5453" s="141">
        <v>0</v>
      </c>
    </row>
    <row r="5454" spans="1:10" ht="15.75" hidden="1" thickBot="1" x14ac:dyDescent="0.3">
      <c r="A5454" s="225" t="s">
        <v>5026</v>
      </c>
      <c r="B5454" s="228" t="str">
        <f>INDEX(Orçamentária!A:B,MATCH(Composições!A5454,Orçamentária!A:A,0),2)</f>
        <v>Haste de aterramento 3/4” x 3 m</v>
      </c>
      <c r="C5454" s="37"/>
      <c r="D5454" s="22" t="str">
        <f>TRIM(INDEX(Orçamentária!C:C,MATCH(Composições!A5454,Orçamentária!A:A,0),1))</f>
        <v>un</v>
      </c>
      <c r="E5454" s="23"/>
      <c r="F5454" s="38" t="s">
        <v>523</v>
      </c>
      <c r="G5454" s="24" t="str">
        <f t="shared" si="103"/>
        <v/>
      </c>
      <c r="H5454" s="25"/>
      <c r="I5454" s="26"/>
      <c r="J5454" s="141">
        <v>0</v>
      </c>
    </row>
    <row r="5455" spans="1:10" ht="15.75" hidden="1" thickBot="1" x14ac:dyDescent="0.3">
      <c r="A5455" s="226"/>
      <c r="B5455" s="229"/>
      <c r="C5455" s="28"/>
      <c r="D5455" s="28"/>
      <c r="E5455" s="29"/>
      <c r="F5455" s="39" t="s">
        <v>523</v>
      </c>
      <c r="G5455" s="27" t="str">
        <f t="shared" si="103"/>
        <v/>
      </c>
      <c r="H5455" s="31"/>
      <c r="I5455" s="27"/>
      <c r="J5455" s="141">
        <v>0</v>
      </c>
    </row>
    <row r="5456" spans="1:10" ht="15.75" hidden="1" thickBot="1" x14ac:dyDescent="0.3">
      <c r="A5456" s="226"/>
      <c r="B5456" s="229"/>
      <c r="C5456" s="32" t="s">
        <v>6430</v>
      </c>
      <c r="D5456" s="32" t="s">
        <v>20</v>
      </c>
      <c r="E5456" s="33">
        <v>1</v>
      </c>
      <c r="F5456" s="30" t="s">
        <v>523</v>
      </c>
      <c r="G5456" s="27" t="str">
        <f t="shared" si="103"/>
        <v/>
      </c>
      <c r="H5456" s="35">
        <f>SUM(G5456:G5458)</f>
        <v>17.621502499999998</v>
      </c>
      <c r="I5456" s="36"/>
      <c r="J5456" s="141">
        <v>0</v>
      </c>
    </row>
    <row r="5457" spans="1:10" ht="15.75" hidden="1" thickBot="1" x14ac:dyDescent="0.3">
      <c r="A5457" s="226"/>
      <c r="B5457" s="229"/>
      <c r="C5457" s="32" t="s">
        <v>1164</v>
      </c>
      <c r="D5457" s="32" t="s">
        <v>705</v>
      </c>
      <c r="E5457" s="33">
        <v>0.39550000000000002</v>
      </c>
      <c r="F5457" s="30">
        <v>19.4085</v>
      </c>
      <c r="G5457" s="27">
        <f t="shared" si="103"/>
        <v>7.6760617500000006</v>
      </c>
      <c r="H5457" s="41"/>
      <c r="I5457" s="42"/>
      <c r="J5457" s="141">
        <v>0</v>
      </c>
    </row>
    <row r="5458" spans="1:10" ht="15.75" hidden="1" thickBot="1" x14ac:dyDescent="0.3">
      <c r="A5458" s="226"/>
      <c r="B5458" s="229"/>
      <c r="C5458" s="32" t="s">
        <v>1165</v>
      </c>
      <c r="D5458" s="32" t="s">
        <v>705</v>
      </c>
      <c r="E5458" s="33">
        <v>0.39550000000000002</v>
      </c>
      <c r="F5458" s="27">
        <v>25.146499999999996</v>
      </c>
      <c r="G5458" s="27">
        <f t="shared" si="103"/>
        <v>9.9454407499999995</v>
      </c>
      <c r="H5458" s="31"/>
      <c r="I5458" s="27"/>
      <c r="J5458" s="141">
        <v>0</v>
      </c>
    </row>
    <row r="5459" spans="1:10" ht="15.75" hidden="1" thickBot="1" x14ac:dyDescent="0.3">
      <c r="A5459" s="227"/>
      <c r="B5459" s="230"/>
      <c r="C5459" s="32"/>
      <c r="D5459" s="32"/>
      <c r="E5459" s="33"/>
      <c r="F5459" s="27" t="s">
        <v>523</v>
      </c>
      <c r="G5459" s="27" t="str">
        <f t="shared" si="103"/>
        <v/>
      </c>
      <c r="H5459" s="31"/>
      <c r="I5459" s="27"/>
      <c r="J5459" s="141">
        <v>0</v>
      </c>
    </row>
    <row r="5460" spans="1:10" ht="15.75" hidden="1" thickBot="1" x14ac:dyDescent="0.3">
      <c r="A5460" s="225" t="s">
        <v>5027</v>
      </c>
      <c r="B5460" s="228" t="str">
        <f>INDEX(Orçamentária!A:B,MATCH(Composições!A5460,Orçamentária!A:A,0),2)</f>
        <v>Leito 800x100 mm</v>
      </c>
      <c r="C5460" s="37"/>
      <c r="D5460" s="22" t="str">
        <f>TRIM(INDEX(Orçamentária!C:C,MATCH(Composições!A5460,Orçamentária!A:A,0),1))</f>
        <v>m</v>
      </c>
      <c r="E5460" s="23"/>
      <c r="F5460" s="38" t="s">
        <v>523</v>
      </c>
      <c r="G5460" s="24" t="str">
        <f t="shared" si="103"/>
        <v/>
      </c>
      <c r="H5460" s="25"/>
      <c r="I5460" s="26"/>
      <c r="J5460" s="141">
        <v>0</v>
      </c>
    </row>
    <row r="5461" spans="1:10" ht="15.75" hidden="1" thickBot="1" x14ac:dyDescent="0.3">
      <c r="A5461" s="226"/>
      <c r="B5461" s="229"/>
      <c r="C5461" s="28"/>
      <c r="D5461" s="28"/>
      <c r="E5461" s="29"/>
      <c r="F5461" s="39" t="s">
        <v>523</v>
      </c>
      <c r="G5461" s="27" t="str">
        <f t="shared" si="103"/>
        <v/>
      </c>
      <c r="H5461" s="31"/>
      <c r="I5461" s="27"/>
      <c r="J5461" s="141">
        <v>0</v>
      </c>
    </row>
    <row r="5462" spans="1:10" ht="15.75" hidden="1" thickBot="1" x14ac:dyDescent="0.3">
      <c r="A5462" s="226"/>
      <c r="B5462" s="229"/>
      <c r="C5462" s="32" t="s">
        <v>30</v>
      </c>
      <c r="D5462" s="32" t="s">
        <v>12</v>
      </c>
      <c r="E5462" s="33">
        <v>0.75</v>
      </c>
      <c r="F5462" s="27">
        <v>25.146499999999996</v>
      </c>
      <c r="G5462" s="30">
        <f t="shared" si="103"/>
        <v>18.859874999999995</v>
      </c>
      <c r="H5462" s="35">
        <f>SUM(G5462:G5464)</f>
        <v>33.416249999999991</v>
      </c>
      <c r="I5462" s="36"/>
      <c r="J5462" s="141">
        <v>0</v>
      </c>
    </row>
    <row r="5463" spans="1:10" ht="15.75" hidden="1" thickBot="1" x14ac:dyDescent="0.3">
      <c r="A5463" s="226"/>
      <c r="B5463" s="229"/>
      <c r="C5463" s="32" t="s">
        <v>74</v>
      </c>
      <c r="D5463" s="32" t="s">
        <v>12</v>
      </c>
      <c r="E5463" s="33">
        <v>0.75</v>
      </c>
      <c r="F5463" s="27">
        <v>19.4085</v>
      </c>
      <c r="G5463" s="30">
        <f t="shared" si="103"/>
        <v>14.556374999999999</v>
      </c>
      <c r="H5463" s="31"/>
      <c r="I5463" s="27"/>
      <c r="J5463" s="141">
        <v>0</v>
      </c>
    </row>
    <row r="5464" spans="1:10" ht="26.25" hidden="1" thickBot="1" x14ac:dyDescent="0.3">
      <c r="A5464" s="226"/>
      <c r="B5464" s="229"/>
      <c r="C5464" s="32" t="s">
        <v>6431</v>
      </c>
      <c r="D5464" s="32" t="s">
        <v>93</v>
      </c>
      <c r="E5464" s="33">
        <v>1.05</v>
      </c>
      <c r="F5464" s="27" t="s">
        <v>523</v>
      </c>
      <c r="G5464" s="30" t="str">
        <f t="shared" si="103"/>
        <v/>
      </c>
      <c r="H5464" s="31"/>
      <c r="I5464" s="27"/>
      <c r="J5464" s="141">
        <v>0</v>
      </c>
    </row>
    <row r="5465" spans="1:10" ht="15.75" hidden="1" thickBot="1" x14ac:dyDescent="0.3">
      <c r="A5465" s="227"/>
      <c r="B5465" s="230"/>
      <c r="C5465" s="32"/>
      <c r="D5465" s="32"/>
      <c r="E5465" s="33"/>
      <c r="F5465" s="27" t="s">
        <v>523</v>
      </c>
      <c r="G5465" s="27" t="str">
        <f t="shared" si="103"/>
        <v/>
      </c>
      <c r="H5465" s="31"/>
      <c r="I5465" s="27"/>
      <c r="J5465" s="141">
        <v>0</v>
      </c>
    </row>
    <row r="5466" spans="1:10" ht="15.75" hidden="1" thickBot="1" x14ac:dyDescent="0.3">
      <c r="A5466" s="225" t="s">
        <v>5028</v>
      </c>
      <c r="B5466" s="228" t="str">
        <f>INDEX(Orçamentária!A:B,MATCH(Composições!A5466,Orçamentária!A:A,0),2)</f>
        <v>Engenheiro(a) eletricista pleno</v>
      </c>
      <c r="C5466" s="37"/>
      <c r="D5466" s="22" t="str">
        <f>TRIM(INDEX(Orçamentária!C:C,MATCH(Composições!A5466,Orçamentária!A:A,0),1))</f>
        <v>hh</v>
      </c>
      <c r="E5466" s="23"/>
      <c r="F5466" s="38" t="s">
        <v>523</v>
      </c>
      <c r="G5466" s="24" t="str">
        <f t="shared" si="103"/>
        <v/>
      </c>
      <c r="H5466" s="25"/>
      <c r="I5466" s="26"/>
      <c r="J5466" s="141">
        <v>0</v>
      </c>
    </row>
    <row r="5467" spans="1:10" ht="15.75" hidden="1" thickBot="1" x14ac:dyDescent="0.3">
      <c r="A5467" s="226"/>
      <c r="B5467" s="229"/>
      <c r="C5467" s="28"/>
      <c r="D5467" s="28"/>
      <c r="E5467" s="29"/>
      <c r="F5467" s="39" t="s">
        <v>523</v>
      </c>
      <c r="G5467" s="27" t="str">
        <f t="shared" si="103"/>
        <v/>
      </c>
      <c r="H5467" s="31"/>
      <c r="I5467" s="27"/>
      <c r="J5467" s="141">
        <v>0</v>
      </c>
    </row>
    <row r="5468" spans="1:10" ht="15.75" hidden="1" thickBot="1" x14ac:dyDescent="0.3">
      <c r="A5468" s="226"/>
      <c r="B5468" s="229"/>
      <c r="C5468" s="32" t="s">
        <v>6432</v>
      </c>
      <c r="D5468" s="32" t="s">
        <v>12</v>
      </c>
      <c r="E5468" s="33">
        <v>1</v>
      </c>
      <c r="F5468" s="27">
        <v>103.759</v>
      </c>
      <c r="G5468" s="30">
        <f t="shared" si="103"/>
        <v>103.759</v>
      </c>
      <c r="H5468" s="35">
        <f>SUM(G5468:G5468)</f>
        <v>103.759</v>
      </c>
      <c r="I5468" s="36"/>
      <c r="J5468" s="141">
        <v>0</v>
      </c>
    </row>
    <row r="5469" spans="1:10" ht="15.75" hidden="1" thickBot="1" x14ac:dyDescent="0.3">
      <c r="A5469" s="227"/>
      <c r="B5469" s="230"/>
      <c r="C5469" s="32"/>
      <c r="D5469" s="32"/>
      <c r="E5469" s="33"/>
      <c r="F5469" s="27" t="s">
        <v>523</v>
      </c>
      <c r="G5469" s="27" t="str">
        <f t="shared" si="103"/>
        <v/>
      </c>
      <c r="H5469" s="31"/>
      <c r="I5469" s="27"/>
      <c r="J5469" s="141">
        <v>0</v>
      </c>
    </row>
    <row r="5470" spans="1:10" ht="15.75" hidden="1" thickBot="1" x14ac:dyDescent="0.3">
      <c r="A5470" s="225" t="s">
        <v>5030</v>
      </c>
      <c r="B5470" s="228" t="str">
        <f>INDEX(Orçamentária!A:B,MATCH(Composições!A5470,Orçamentária!A:A,0),2)</f>
        <v>Mão francesa metálica dupla</v>
      </c>
      <c r="C5470" s="37"/>
      <c r="D5470" s="22" t="str">
        <f>TRIM(INDEX(Orçamentária!C:C,MATCH(Composições!A5470,Orçamentária!A:A,0),1))</f>
        <v>un</v>
      </c>
      <c r="E5470" s="23"/>
      <c r="F5470" s="38" t="s">
        <v>523</v>
      </c>
      <c r="G5470" s="24" t="str">
        <f t="shared" ref="G5470:G5533" si="104">IF(ISNUMBER(F5470),E5470*F5470,"")</f>
        <v/>
      </c>
      <c r="H5470" s="25"/>
      <c r="I5470" s="26"/>
      <c r="J5470" s="141">
        <v>0</v>
      </c>
    </row>
    <row r="5471" spans="1:10" ht="15.75" hidden="1" thickBot="1" x14ac:dyDescent="0.3">
      <c r="A5471" s="226"/>
      <c r="B5471" s="229"/>
      <c r="C5471" s="28"/>
      <c r="D5471" s="28"/>
      <c r="E5471" s="29"/>
      <c r="F5471" s="39" t="s">
        <v>523</v>
      </c>
      <c r="G5471" s="27" t="str">
        <f t="shared" si="104"/>
        <v/>
      </c>
      <c r="H5471" s="31"/>
      <c r="I5471" s="27"/>
      <c r="J5471" s="141">
        <v>0</v>
      </c>
    </row>
    <row r="5472" spans="1:10" ht="39" hidden="1" thickBot="1" x14ac:dyDescent="0.3">
      <c r="A5472" s="226"/>
      <c r="B5472" s="229"/>
      <c r="C5472" s="32" t="s">
        <v>1135</v>
      </c>
      <c r="D5472" s="32" t="s">
        <v>280</v>
      </c>
      <c r="E5472" s="33">
        <v>3</v>
      </c>
      <c r="F5472" s="27">
        <v>1.159</v>
      </c>
      <c r="G5472" s="30">
        <f t="shared" si="104"/>
        <v>3.4770000000000003</v>
      </c>
      <c r="H5472" s="35">
        <f>SUM(G5472:G5475)</f>
        <v>18.303614849999999</v>
      </c>
      <c r="I5472" s="36"/>
      <c r="J5472" s="141">
        <v>0</v>
      </c>
    </row>
    <row r="5473" spans="1:10" ht="15.75" hidden="1" thickBot="1" x14ac:dyDescent="0.3">
      <c r="A5473" s="226"/>
      <c r="B5473" s="229"/>
      <c r="C5473" s="32" t="s">
        <v>6433</v>
      </c>
      <c r="D5473" s="32" t="s">
        <v>280</v>
      </c>
      <c r="E5473" s="33">
        <v>1</v>
      </c>
      <c r="F5473" s="27" t="s">
        <v>523</v>
      </c>
      <c r="G5473" s="30" t="str">
        <f t="shared" si="104"/>
        <v/>
      </c>
      <c r="H5473" s="31"/>
      <c r="I5473" s="27"/>
      <c r="J5473" s="141">
        <v>0</v>
      </c>
    </row>
    <row r="5474" spans="1:10" ht="15.75" hidden="1" thickBot="1" x14ac:dyDescent="0.3">
      <c r="A5474" s="226"/>
      <c r="B5474" s="229"/>
      <c r="C5474" s="32" t="s">
        <v>30</v>
      </c>
      <c r="D5474" s="32" t="s">
        <v>705</v>
      </c>
      <c r="E5474" s="33">
        <v>0.4743</v>
      </c>
      <c r="F5474" s="27">
        <v>25.146499999999996</v>
      </c>
      <c r="G5474" s="30">
        <f t="shared" si="104"/>
        <v>11.926984949999998</v>
      </c>
      <c r="H5474" s="31"/>
      <c r="I5474" s="27"/>
      <c r="J5474" s="141">
        <v>0</v>
      </c>
    </row>
    <row r="5475" spans="1:10" ht="15.75" hidden="1" thickBot="1" x14ac:dyDescent="0.3">
      <c r="A5475" s="226"/>
      <c r="B5475" s="229"/>
      <c r="C5475" s="32" t="s">
        <v>74</v>
      </c>
      <c r="D5475" s="32" t="s">
        <v>705</v>
      </c>
      <c r="E5475" s="33">
        <v>0.14940000000000001</v>
      </c>
      <c r="F5475" s="27">
        <v>19.4085</v>
      </c>
      <c r="G5475" s="30">
        <f t="shared" si="104"/>
        <v>2.8996299000000003</v>
      </c>
      <c r="H5475" s="31"/>
      <c r="I5475" s="27"/>
      <c r="J5475" s="141">
        <v>0</v>
      </c>
    </row>
    <row r="5476" spans="1:10" ht="15.75" hidden="1" thickBot="1" x14ac:dyDescent="0.3">
      <c r="A5476" s="227"/>
      <c r="B5476" s="230"/>
      <c r="C5476" s="32"/>
      <c r="D5476" s="32"/>
      <c r="E5476" s="33"/>
      <c r="F5476" s="27" t="s">
        <v>523</v>
      </c>
      <c r="G5476" s="27" t="str">
        <f t="shared" si="104"/>
        <v/>
      </c>
      <c r="H5476" s="31"/>
      <c r="I5476" s="27"/>
      <c r="J5476" s="141">
        <v>0</v>
      </c>
    </row>
    <row r="5477" spans="1:10" ht="15.75" hidden="1" thickBot="1" x14ac:dyDescent="0.3">
      <c r="A5477" s="225" t="s">
        <v>5031</v>
      </c>
      <c r="B5477" s="228" t="str">
        <f>INDEX(Orçamentária!A:B,MATCH(Composições!A5477,Orçamentária!A:A,0),2)</f>
        <v>Óleo diesel</v>
      </c>
      <c r="C5477" s="37"/>
      <c r="D5477" s="22" t="str">
        <f>TRIM(INDEX(Orçamentária!C:C,MATCH(Composições!A5477,Orçamentária!A:A,0),1))</f>
        <v>L</v>
      </c>
      <c r="E5477" s="23"/>
      <c r="F5477" s="38" t="s">
        <v>523</v>
      </c>
      <c r="G5477" s="24" t="str">
        <f t="shared" si="104"/>
        <v/>
      </c>
      <c r="H5477" s="25"/>
      <c r="I5477" s="26"/>
      <c r="J5477" s="141">
        <v>0</v>
      </c>
    </row>
    <row r="5478" spans="1:10" ht="15.75" hidden="1" thickBot="1" x14ac:dyDescent="0.3">
      <c r="A5478" s="226"/>
      <c r="B5478" s="229"/>
      <c r="C5478" s="28"/>
      <c r="D5478" s="28"/>
      <c r="E5478" s="29"/>
      <c r="F5478" s="39" t="s">
        <v>523</v>
      </c>
      <c r="G5478" s="27" t="str">
        <f t="shared" si="104"/>
        <v/>
      </c>
      <c r="H5478" s="31"/>
      <c r="I5478" s="27"/>
      <c r="J5478" s="141">
        <v>0</v>
      </c>
    </row>
    <row r="5479" spans="1:10" ht="15.75" hidden="1" thickBot="1" x14ac:dyDescent="0.3">
      <c r="A5479" s="226"/>
      <c r="B5479" s="229"/>
      <c r="C5479" s="32" t="s">
        <v>7628</v>
      </c>
      <c r="D5479" s="32" t="s">
        <v>102</v>
      </c>
      <c r="E5479" s="33">
        <v>1</v>
      </c>
      <c r="F5479" s="27">
        <v>6.8209999999999997</v>
      </c>
      <c r="G5479" s="30">
        <f t="shared" si="104"/>
        <v>6.8209999999999997</v>
      </c>
      <c r="H5479" s="35">
        <f>SUM(G5479:G5479)</f>
        <v>6.8209999999999997</v>
      </c>
      <c r="I5479" s="36"/>
      <c r="J5479" s="141">
        <v>0</v>
      </c>
    </row>
    <row r="5480" spans="1:10" ht="15.75" hidden="1" thickBot="1" x14ac:dyDescent="0.3">
      <c r="A5480" s="227"/>
      <c r="B5480" s="230"/>
      <c r="C5480" s="32"/>
      <c r="D5480" s="32"/>
      <c r="E5480" s="33"/>
      <c r="F5480" s="27" t="s">
        <v>523</v>
      </c>
      <c r="G5480" s="27" t="str">
        <f t="shared" si="104"/>
        <v/>
      </c>
      <c r="H5480" s="31"/>
      <c r="I5480" s="27"/>
      <c r="J5480" s="141">
        <v>0</v>
      </c>
    </row>
    <row r="5481" spans="1:10" ht="15.75" hidden="1" thickBot="1" x14ac:dyDescent="0.3">
      <c r="A5481" s="239" t="s">
        <v>5043</v>
      </c>
      <c r="B5481" s="228" t="str">
        <f>INDEX(Orçamentária!A:B,MATCH(Composições!A5481,Orçamentária!A:A,0),2)</f>
        <v>Supervisor Técnico – Sistema Elétrico</v>
      </c>
      <c r="C5481" s="37"/>
      <c r="D5481" s="22" t="str">
        <f>TRIM(INDEX(Orçamentária!C:C,MATCH(Composições!A5481,Orçamentária!A:A,0),1))</f>
        <v>Profissional</v>
      </c>
      <c r="E5481" s="23"/>
      <c r="F5481" s="45" t="s">
        <v>523</v>
      </c>
      <c r="G5481" s="24" t="str">
        <f t="shared" si="104"/>
        <v/>
      </c>
      <c r="H5481" s="25"/>
      <c r="I5481" s="26"/>
      <c r="J5481" s="141">
        <v>0</v>
      </c>
    </row>
    <row r="5482" spans="1:10" ht="15.75" hidden="1" thickBot="1" x14ac:dyDescent="0.3">
      <c r="A5482" s="242"/>
      <c r="B5482" s="229"/>
      <c r="C5482" s="155"/>
      <c r="D5482" s="155"/>
      <c r="E5482" s="156"/>
      <c r="F5482" s="50" t="s">
        <v>523</v>
      </c>
      <c r="G5482" s="50" t="str">
        <f t="shared" si="104"/>
        <v/>
      </c>
      <c r="H5482" s="69"/>
      <c r="I5482" s="70"/>
      <c r="J5482" s="141">
        <v>0</v>
      </c>
    </row>
    <row r="5483" spans="1:10" ht="15.75" hidden="1" thickBot="1" x14ac:dyDescent="0.3">
      <c r="A5483" s="242"/>
      <c r="B5483" s="229"/>
      <c r="C5483" s="32" t="s">
        <v>3249</v>
      </c>
      <c r="D5483" s="148" t="s">
        <v>12</v>
      </c>
      <c r="E5483" s="149">
        <f>ROUND(220/(1+110.14%),4)</f>
        <v>104.6921</v>
      </c>
      <c r="F5483" s="27">
        <v>103.759</v>
      </c>
      <c r="G5483" s="50">
        <f t="shared" si="104"/>
        <v>10862.747603899999</v>
      </c>
      <c r="H5483" s="35">
        <f>SUM(G5483:G5483)</f>
        <v>10862.747603899999</v>
      </c>
      <c r="I5483" s="36"/>
      <c r="J5483" s="141">
        <v>0</v>
      </c>
    </row>
    <row r="5484" spans="1:10" ht="15.75" hidden="1" thickBot="1" x14ac:dyDescent="0.3">
      <c r="A5484" s="242"/>
      <c r="B5484" s="229"/>
      <c r="C5484" s="155"/>
      <c r="D5484" s="155"/>
      <c r="E5484" s="156"/>
      <c r="F5484" s="50" t="s">
        <v>523</v>
      </c>
      <c r="G5484" s="50" t="str">
        <f t="shared" si="104"/>
        <v/>
      </c>
      <c r="H5484" s="69"/>
      <c r="I5484" s="70"/>
      <c r="J5484" s="141">
        <v>0</v>
      </c>
    </row>
    <row r="5485" spans="1:10" ht="26.25" hidden="1" thickBot="1" x14ac:dyDescent="0.3">
      <c r="A5485" s="242"/>
      <c r="B5485" s="229"/>
      <c r="C5485" s="44" t="s">
        <v>783</v>
      </c>
      <c r="D5485" s="155"/>
      <c r="E5485" s="156"/>
      <c r="F5485" s="50" t="s">
        <v>523</v>
      </c>
      <c r="G5485" s="50" t="str">
        <f t="shared" si="104"/>
        <v/>
      </c>
      <c r="H5485" s="69"/>
      <c r="I5485" s="70"/>
      <c r="J5485" s="141">
        <v>0</v>
      </c>
    </row>
    <row r="5486" spans="1:10" ht="15.75" hidden="1" thickBot="1" x14ac:dyDescent="0.3">
      <c r="A5486" s="243"/>
      <c r="B5486" s="230"/>
      <c r="C5486" s="51"/>
      <c r="D5486" s="151"/>
      <c r="E5486" s="62"/>
      <c r="F5486" s="72" t="s">
        <v>523</v>
      </c>
      <c r="G5486" s="72" t="str">
        <f t="shared" si="104"/>
        <v/>
      </c>
      <c r="H5486" s="73"/>
      <c r="I5486" s="70"/>
      <c r="J5486" s="141">
        <v>0</v>
      </c>
    </row>
    <row r="5487" spans="1:10" ht="15.75" hidden="1" thickBot="1" x14ac:dyDescent="0.3">
      <c r="A5487" s="239" t="s">
        <v>5044</v>
      </c>
      <c r="B5487" s="228" t="str">
        <f>INDEX(Orçamentária!A:B,MATCH(Composições!A5487,Orçamentária!A:A,0),2)</f>
        <v>Supervisor Técnico – Sistema Elétrico e Segurança do Trabalho</v>
      </c>
      <c r="C5487" s="37"/>
      <c r="D5487" s="22" t="str">
        <f>TRIM(INDEX(Orçamentária!C:C,MATCH(Composições!A5487,Orçamentária!A:A,0),1))</f>
        <v>Profissional</v>
      </c>
      <c r="E5487" s="23"/>
      <c r="F5487" s="45" t="s">
        <v>523</v>
      </c>
      <c r="G5487" s="24" t="str">
        <f t="shared" si="104"/>
        <v/>
      </c>
      <c r="H5487" s="25"/>
      <c r="I5487" s="26"/>
      <c r="J5487" s="141">
        <v>0</v>
      </c>
    </row>
    <row r="5488" spans="1:10" ht="15.75" hidden="1" thickBot="1" x14ac:dyDescent="0.3">
      <c r="A5488" s="242"/>
      <c r="B5488" s="229"/>
      <c r="C5488" s="155"/>
      <c r="D5488" s="155"/>
      <c r="E5488" s="156"/>
      <c r="F5488" s="50" t="s">
        <v>523</v>
      </c>
      <c r="G5488" s="50" t="str">
        <f t="shared" si="104"/>
        <v/>
      </c>
      <c r="H5488" s="69"/>
      <c r="I5488" s="70"/>
      <c r="J5488" s="141">
        <v>0</v>
      </c>
    </row>
    <row r="5489" spans="1:10" ht="15.75" hidden="1" thickBot="1" x14ac:dyDescent="0.3">
      <c r="A5489" s="242"/>
      <c r="B5489" s="229"/>
      <c r="C5489" s="32" t="s">
        <v>3249</v>
      </c>
      <c r="D5489" s="148" t="s">
        <v>12</v>
      </c>
      <c r="E5489" s="149">
        <f>ROUND(220/(1+110.14%),4)</f>
        <v>104.6921</v>
      </c>
      <c r="F5489" s="27">
        <v>103.759</v>
      </c>
      <c r="G5489" s="50">
        <f t="shared" si="104"/>
        <v>10862.747603899999</v>
      </c>
      <c r="H5489" s="35">
        <f>SUM(G5489:G5489)</f>
        <v>10862.747603899999</v>
      </c>
      <c r="I5489" s="36"/>
      <c r="J5489" s="141">
        <v>0</v>
      </c>
    </row>
    <row r="5490" spans="1:10" ht="15.75" hidden="1" thickBot="1" x14ac:dyDescent="0.3">
      <c r="A5490" s="242"/>
      <c r="B5490" s="229"/>
      <c r="C5490" s="155"/>
      <c r="D5490" s="155"/>
      <c r="E5490" s="156"/>
      <c r="F5490" s="50" t="s">
        <v>523</v>
      </c>
      <c r="G5490" s="50" t="str">
        <f t="shared" si="104"/>
        <v/>
      </c>
      <c r="H5490" s="69"/>
      <c r="I5490" s="70"/>
      <c r="J5490" s="141">
        <v>0</v>
      </c>
    </row>
    <row r="5491" spans="1:10" ht="26.25" hidden="1" thickBot="1" x14ac:dyDescent="0.3">
      <c r="A5491" s="242"/>
      <c r="B5491" s="229"/>
      <c r="C5491" s="44" t="s">
        <v>783</v>
      </c>
      <c r="D5491" s="155"/>
      <c r="E5491" s="156"/>
      <c r="F5491" s="50" t="s">
        <v>523</v>
      </c>
      <c r="G5491" s="50" t="str">
        <f t="shared" si="104"/>
        <v/>
      </c>
      <c r="H5491" s="69"/>
      <c r="I5491" s="70"/>
      <c r="J5491" s="141">
        <v>0</v>
      </c>
    </row>
    <row r="5492" spans="1:10" ht="15.75" hidden="1" thickBot="1" x14ac:dyDescent="0.3">
      <c r="A5492" s="243"/>
      <c r="B5492" s="230"/>
      <c r="C5492" s="51"/>
      <c r="D5492" s="151"/>
      <c r="E5492" s="62"/>
      <c r="F5492" s="72" t="s">
        <v>523</v>
      </c>
      <c r="G5492" s="72" t="str">
        <f t="shared" si="104"/>
        <v/>
      </c>
      <c r="H5492" s="73"/>
      <c r="I5492" s="70"/>
      <c r="J5492" s="141">
        <v>0</v>
      </c>
    </row>
    <row r="5493" spans="1:10" ht="15.75" hidden="1" thickBot="1" x14ac:dyDescent="0.3">
      <c r="A5493" s="239" t="s">
        <v>5045</v>
      </c>
      <c r="B5493" s="228" t="str">
        <f>INDEX(Orçamentária!A:B,MATCH(Composições!A5493,Orçamentária!A:A,0),2)</f>
        <v>Técnico de Segurança do Trabalho</v>
      </c>
      <c r="C5493" s="37"/>
      <c r="D5493" s="22" t="str">
        <f>TRIM(INDEX(Orçamentária!C:C,MATCH(Composições!A5493,Orçamentária!A:A,0),1))</f>
        <v>Profissional</v>
      </c>
      <c r="E5493" s="23"/>
      <c r="F5493" s="45" t="s">
        <v>523</v>
      </c>
      <c r="G5493" s="24" t="str">
        <f t="shared" si="104"/>
        <v/>
      </c>
      <c r="H5493" s="25"/>
      <c r="I5493" s="26"/>
      <c r="J5493" s="141">
        <v>0</v>
      </c>
    </row>
    <row r="5494" spans="1:10" ht="15.75" hidden="1" thickBot="1" x14ac:dyDescent="0.3">
      <c r="A5494" s="242"/>
      <c r="B5494" s="229"/>
      <c r="C5494" s="155"/>
      <c r="D5494" s="155"/>
      <c r="E5494" s="156"/>
      <c r="F5494" s="50" t="s">
        <v>523</v>
      </c>
      <c r="G5494" s="50" t="str">
        <f t="shared" si="104"/>
        <v/>
      </c>
      <c r="H5494" s="69"/>
      <c r="I5494" s="70"/>
      <c r="J5494" s="141">
        <v>0</v>
      </c>
    </row>
    <row r="5495" spans="1:10" ht="26.25" hidden="1" thickBot="1" x14ac:dyDescent="0.3">
      <c r="A5495" s="242"/>
      <c r="B5495" s="229"/>
      <c r="C5495" s="32" t="s">
        <v>1125</v>
      </c>
      <c r="D5495" s="148" t="s">
        <v>12</v>
      </c>
      <c r="E5495" s="149">
        <f>ROUND(220/(1+110.14%),4)</f>
        <v>104.6921</v>
      </c>
      <c r="F5495" s="27">
        <v>37.857500000000002</v>
      </c>
      <c r="G5495" s="50">
        <f t="shared" si="104"/>
        <v>3963.3811757500002</v>
      </c>
      <c r="H5495" s="35">
        <f>SUM(G5495:G5495)</f>
        <v>3963.3811757500002</v>
      </c>
      <c r="I5495" s="36"/>
      <c r="J5495" s="141">
        <v>0</v>
      </c>
    </row>
    <row r="5496" spans="1:10" ht="15.75" hidden="1" thickBot="1" x14ac:dyDescent="0.3">
      <c r="A5496" s="242"/>
      <c r="B5496" s="229"/>
      <c r="C5496" s="155"/>
      <c r="D5496" s="155"/>
      <c r="E5496" s="156"/>
      <c r="F5496" s="50" t="s">
        <v>523</v>
      </c>
      <c r="G5496" s="50" t="str">
        <f t="shared" si="104"/>
        <v/>
      </c>
      <c r="H5496" s="69"/>
      <c r="I5496" s="70"/>
      <c r="J5496" s="141">
        <v>0</v>
      </c>
    </row>
    <row r="5497" spans="1:10" ht="26.25" hidden="1" thickBot="1" x14ac:dyDescent="0.3">
      <c r="A5497" s="242"/>
      <c r="B5497" s="229"/>
      <c r="C5497" s="44" t="s">
        <v>783</v>
      </c>
      <c r="D5497" s="155"/>
      <c r="E5497" s="156"/>
      <c r="F5497" s="50" t="s">
        <v>523</v>
      </c>
      <c r="G5497" s="50" t="str">
        <f t="shared" si="104"/>
        <v/>
      </c>
      <c r="H5497" s="69"/>
      <c r="I5497" s="70"/>
      <c r="J5497" s="141">
        <v>0</v>
      </c>
    </row>
    <row r="5498" spans="1:10" ht="15.75" hidden="1" thickBot="1" x14ac:dyDescent="0.3">
      <c r="A5498" s="243"/>
      <c r="B5498" s="230"/>
      <c r="C5498" s="51"/>
      <c r="D5498" s="151"/>
      <c r="E5498" s="62"/>
      <c r="F5498" s="72" t="s">
        <v>523</v>
      </c>
      <c r="G5498" s="72" t="str">
        <f t="shared" si="104"/>
        <v/>
      </c>
      <c r="H5498" s="73"/>
      <c r="I5498" s="70"/>
      <c r="J5498" s="141">
        <v>0</v>
      </c>
    </row>
    <row r="5499" spans="1:10" ht="15.75" hidden="1" thickBot="1" x14ac:dyDescent="0.3">
      <c r="A5499" s="239" t="s">
        <v>5046</v>
      </c>
      <c r="B5499" s="228" t="str">
        <f>INDEX(Orçamentária!A:B,MATCH(Composições!A5499,Orçamentária!A:A,0),2)</f>
        <v>Auxiliar de Almoxarifado</v>
      </c>
      <c r="C5499" s="37"/>
      <c r="D5499" s="22" t="str">
        <f>TRIM(INDEX(Orçamentária!C:C,MATCH(Composições!A5499,Orçamentária!A:A,0),1))</f>
        <v>Profissional</v>
      </c>
      <c r="E5499" s="23"/>
      <c r="F5499" s="45" t="s">
        <v>523</v>
      </c>
      <c r="G5499" s="24" t="str">
        <f t="shared" si="104"/>
        <v/>
      </c>
      <c r="H5499" s="25"/>
      <c r="I5499" s="26"/>
      <c r="J5499" s="141">
        <v>0</v>
      </c>
    </row>
    <row r="5500" spans="1:10" ht="15.75" hidden="1" thickBot="1" x14ac:dyDescent="0.3">
      <c r="A5500" s="242"/>
      <c r="B5500" s="229"/>
      <c r="C5500" s="155"/>
      <c r="D5500" s="155"/>
      <c r="E5500" s="156"/>
      <c r="F5500" s="50" t="s">
        <v>523</v>
      </c>
      <c r="G5500" s="50" t="str">
        <f t="shared" si="104"/>
        <v/>
      </c>
      <c r="H5500" s="69"/>
      <c r="I5500" s="70"/>
      <c r="J5500" s="141">
        <v>0</v>
      </c>
    </row>
    <row r="5501" spans="1:10" ht="15.75" hidden="1" thickBot="1" x14ac:dyDescent="0.3">
      <c r="A5501" s="242"/>
      <c r="B5501" s="229"/>
      <c r="C5501" s="32" t="s">
        <v>3250</v>
      </c>
      <c r="D5501" s="148" t="s">
        <v>12</v>
      </c>
      <c r="E5501" s="149">
        <f>ROUND(220/(1+110.14%),4)</f>
        <v>104.6921</v>
      </c>
      <c r="F5501" s="27">
        <v>18.0975</v>
      </c>
      <c r="G5501" s="50">
        <f t="shared" si="104"/>
        <v>1894.6652797499999</v>
      </c>
      <c r="H5501" s="35">
        <f>SUM(G5501:G5501)</f>
        <v>1894.6652797499999</v>
      </c>
      <c r="I5501" s="36"/>
      <c r="J5501" s="141">
        <v>0</v>
      </c>
    </row>
    <row r="5502" spans="1:10" ht="15.75" hidden="1" thickBot="1" x14ac:dyDescent="0.3">
      <c r="A5502" s="242"/>
      <c r="B5502" s="229"/>
      <c r="C5502" s="155"/>
      <c r="D5502" s="155"/>
      <c r="E5502" s="156"/>
      <c r="F5502" s="50" t="s">
        <v>523</v>
      </c>
      <c r="G5502" s="50" t="str">
        <f t="shared" si="104"/>
        <v/>
      </c>
      <c r="H5502" s="69"/>
      <c r="I5502" s="70"/>
      <c r="J5502" s="141">
        <v>0</v>
      </c>
    </row>
    <row r="5503" spans="1:10" ht="26.25" hidden="1" thickBot="1" x14ac:dyDescent="0.3">
      <c r="A5503" s="242"/>
      <c r="B5503" s="229"/>
      <c r="C5503" s="44" t="s">
        <v>783</v>
      </c>
      <c r="D5503" s="155"/>
      <c r="E5503" s="156"/>
      <c r="F5503" s="50" t="s">
        <v>523</v>
      </c>
      <c r="G5503" s="50" t="str">
        <f t="shared" si="104"/>
        <v/>
      </c>
      <c r="H5503" s="69"/>
      <c r="I5503" s="70"/>
      <c r="J5503" s="141">
        <v>0</v>
      </c>
    </row>
    <row r="5504" spans="1:10" ht="15.75" hidden="1" thickBot="1" x14ac:dyDescent="0.3">
      <c r="A5504" s="243"/>
      <c r="B5504" s="230"/>
      <c r="C5504" s="51"/>
      <c r="D5504" s="151"/>
      <c r="E5504" s="62"/>
      <c r="F5504" s="72" t="s">
        <v>523</v>
      </c>
      <c r="G5504" s="72" t="str">
        <f t="shared" si="104"/>
        <v/>
      </c>
      <c r="H5504" s="73"/>
      <c r="I5504" s="70"/>
      <c r="J5504" s="141">
        <v>0</v>
      </c>
    </row>
    <row r="5505" spans="1:10" ht="15.75" hidden="1" thickBot="1" x14ac:dyDescent="0.3">
      <c r="A5505" s="239" t="s">
        <v>5047</v>
      </c>
      <c r="B5505" s="228" t="str">
        <f>INDEX(Orçamentária!A:B,MATCH(Composições!A5505,Orçamentária!A:A,0),2)</f>
        <v>Auxiliar Administrativo</v>
      </c>
      <c r="C5505" s="37"/>
      <c r="D5505" s="22" t="str">
        <f>TRIM(INDEX(Orçamentária!C:C,MATCH(Composições!A5505,Orçamentária!A:A,0),1))</f>
        <v>Profissional</v>
      </c>
      <c r="E5505" s="23"/>
      <c r="F5505" s="45" t="s">
        <v>523</v>
      </c>
      <c r="G5505" s="24" t="str">
        <f t="shared" si="104"/>
        <v/>
      </c>
      <c r="H5505" s="25"/>
      <c r="I5505" s="26"/>
      <c r="J5505" s="141">
        <v>0</v>
      </c>
    </row>
    <row r="5506" spans="1:10" ht="15.75" hidden="1" thickBot="1" x14ac:dyDescent="0.3">
      <c r="A5506" s="242"/>
      <c r="B5506" s="229"/>
      <c r="C5506" s="155"/>
      <c r="D5506" s="155"/>
      <c r="E5506" s="156"/>
      <c r="F5506" s="50" t="s">
        <v>523</v>
      </c>
      <c r="G5506" s="50" t="str">
        <f t="shared" si="104"/>
        <v/>
      </c>
      <c r="H5506" s="69"/>
      <c r="I5506" s="70"/>
      <c r="J5506" s="141">
        <v>0</v>
      </c>
    </row>
    <row r="5507" spans="1:10" ht="15.75" hidden="1" thickBot="1" x14ac:dyDescent="0.3">
      <c r="A5507" s="242"/>
      <c r="B5507" s="229"/>
      <c r="C5507" s="32" t="s">
        <v>3245</v>
      </c>
      <c r="D5507" s="148" t="s">
        <v>12</v>
      </c>
      <c r="E5507" s="149">
        <f>ROUND(220/(1+110.14%),4)</f>
        <v>104.6921</v>
      </c>
      <c r="F5507" s="27">
        <v>20.405999999999999</v>
      </c>
      <c r="G5507" s="50">
        <f t="shared" si="104"/>
        <v>2136.3469925999998</v>
      </c>
      <c r="H5507" s="35">
        <f>SUM(G5507:G5507)</f>
        <v>2136.3469925999998</v>
      </c>
      <c r="I5507" s="36"/>
      <c r="J5507" s="141">
        <v>0</v>
      </c>
    </row>
    <row r="5508" spans="1:10" ht="15.75" hidden="1" thickBot="1" x14ac:dyDescent="0.3">
      <c r="A5508" s="242"/>
      <c r="B5508" s="229"/>
      <c r="C5508" s="155"/>
      <c r="D5508" s="155"/>
      <c r="E5508" s="156"/>
      <c r="F5508" s="50" t="s">
        <v>523</v>
      </c>
      <c r="G5508" s="50" t="str">
        <f t="shared" si="104"/>
        <v/>
      </c>
      <c r="H5508" s="69"/>
      <c r="I5508" s="70"/>
      <c r="J5508" s="141">
        <v>0</v>
      </c>
    </row>
    <row r="5509" spans="1:10" ht="26.25" hidden="1" thickBot="1" x14ac:dyDescent="0.3">
      <c r="A5509" s="242"/>
      <c r="B5509" s="229"/>
      <c r="C5509" s="44" t="s">
        <v>783</v>
      </c>
      <c r="D5509" s="155"/>
      <c r="E5509" s="156"/>
      <c r="F5509" s="50" t="s">
        <v>523</v>
      </c>
      <c r="G5509" s="50" t="str">
        <f t="shared" si="104"/>
        <v/>
      </c>
      <c r="H5509" s="69"/>
      <c r="I5509" s="70"/>
      <c r="J5509" s="141">
        <v>0</v>
      </c>
    </row>
    <row r="5510" spans="1:10" ht="15.75" hidden="1" thickBot="1" x14ac:dyDescent="0.3">
      <c r="A5510" s="243"/>
      <c r="B5510" s="230"/>
      <c r="C5510" s="51"/>
      <c r="D5510" s="151"/>
      <c r="E5510" s="62"/>
      <c r="F5510" s="72" t="s">
        <v>523</v>
      </c>
      <c r="G5510" s="72" t="str">
        <f t="shared" si="104"/>
        <v/>
      </c>
      <c r="H5510" s="73"/>
      <c r="I5510" s="70"/>
      <c r="J5510" s="141">
        <v>0</v>
      </c>
    </row>
    <row r="5511" spans="1:10" ht="15.75" hidden="1" thickBot="1" x14ac:dyDescent="0.3">
      <c r="A5511" s="239" t="s">
        <v>5048</v>
      </c>
      <c r="B5511" s="228" t="str">
        <f>INDEX(Orçamentária!A:B,MATCH(Composições!A5511,Orçamentária!A:A,0),2)</f>
        <v>Desenhista Técnico</v>
      </c>
      <c r="C5511" s="37"/>
      <c r="D5511" s="22" t="str">
        <f>TRIM(INDEX(Orçamentária!C:C,MATCH(Composições!A5511,Orçamentária!A:A,0),1))</f>
        <v>Profissional</v>
      </c>
      <c r="E5511" s="23"/>
      <c r="F5511" s="45" t="s">
        <v>523</v>
      </c>
      <c r="G5511" s="24" t="str">
        <f t="shared" si="104"/>
        <v/>
      </c>
      <c r="H5511" s="25"/>
      <c r="I5511" s="26"/>
      <c r="J5511" s="141">
        <v>0</v>
      </c>
    </row>
    <row r="5512" spans="1:10" ht="15.75" hidden="1" thickBot="1" x14ac:dyDescent="0.3">
      <c r="A5512" s="242"/>
      <c r="B5512" s="229"/>
      <c r="C5512" s="155"/>
      <c r="D5512" s="155"/>
      <c r="E5512" s="156"/>
      <c r="F5512" s="50" t="s">
        <v>523</v>
      </c>
      <c r="G5512" s="50" t="str">
        <f t="shared" si="104"/>
        <v/>
      </c>
      <c r="H5512" s="69"/>
      <c r="I5512" s="70"/>
      <c r="J5512" s="141">
        <v>0</v>
      </c>
    </row>
    <row r="5513" spans="1:10" ht="15.75" hidden="1" thickBot="1" x14ac:dyDescent="0.3">
      <c r="A5513" s="242"/>
      <c r="B5513" s="229"/>
      <c r="C5513" s="32" t="s">
        <v>3246</v>
      </c>
      <c r="D5513" s="148" t="s">
        <v>12</v>
      </c>
      <c r="E5513" s="149">
        <f>ROUND(220/(1+110.14%),4)</f>
        <v>104.6921</v>
      </c>
      <c r="F5513" s="27">
        <v>14.725</v>
      </c>
      <c r="G5513" s="50">
        <f t="shared" si="104"/>
        <v>1541.5911724999999</v>
      </c>
      <c r="H5513" s="35">
        <f>SUM(G5513:G5513)</f>
        <v>1541.5911724999999</v>
      </c>
      <c r="I5513" s="36"/>
      <c r="J5513" s="141">
        <v>0</v>
      </c>
    </row>
    <row r="5514" spans="1:10" ht="15.75" hidden="1" thickBot="1" x14ac:dyDescent="0.3">
      <c r="A5514" s="242"/>
      <c r="B5514" s="229"/>
      <c r="C5514" s="155"/>
      <c r="D5514" s="155"/>
      <c r="E5514" s="156"/>
      <c r="F5514" s="50" t="s">
        <v>523</v>
      </c>
      <c r="G5514" s="50" t="str">
        <f t="shared" si="104"/>
        <v/>
      </c>
      <c r="H5514" s="69"/>
      <c r="I5514" s="70"/>
      <c r="J5514" s="141">
        <v>0</v>
      </c>
    </row>
    <row r="5515" spans="1:10" ht="26.25" hidden="1" thickBot="1" x14ac:dyDescent="0.3">
      <c r="A5515" s="242"/>
      <c r="B5515" s="229"/>
      <c r="C5515" s="44" t="s">
        <v>783</v>
      </c>
      <c r="D5515" s="155"/>
      <c r="E5515" s="156"/>
      <c r="F5515" s="50" t="s">
        <v>523</v>
      </c>
      <c r="G5515" s="50" t="str">
        <f t="shared" si="104"/>
        <v/>
      </c>
      <c r="H5515" s="69"/>
      <c r="I5515" s="70"/>
      <c r="J5515" s="141">
        <v>0</v>
      </c>
    </row>
    <row r="5516" spans="1:10" ht="15.75" hidden="1" thickBot="1" x14ac:dyDescent="0.3">
      <c r="A5516" s="243"/>
      <c r="B5516" s="230"/>
      <c r="C5516" s="51"/>
      <c r="D5516" s="151"/>
      <c r="E5516" s="62"/>
      <c r="F5516" s="72" t="s">
        <v>523</v>
      </c>
      <c r="G5516" s="72" t="str">
        <f t="shared" si="104"/>
        <v/>
      </c>
      <c r="H5516" s="73"/>
      <c r="I5516" s="70"/>
      <c r="J5516" s="141">
        <v>0</v>
      </c>
    </row>
    <row r="5517" spans="1:10" ht="15.75" hidden="1" thickBot="1" x14ac:dyDescent="0.3">
      <c r="A5517" s="239" t="s">
        <v>5049</v>
      </c>
      <c r="B5517" s="228" t="str">
        <f>INDEX(Orçamentária!A:B,MATCH(Composições!A5517,Orçamentária!A:A,0),2)</f>
        <v>Técnico em Eletrotécnica Encarregado</v>
      </c>
      <c r="C5517" s="37"/>
      <c r="D5517" s="22" t="str">
        <f>TRIM(INDEX(Orçamentária!C:C,MATCH(Composições!A5517,Orçamentária!A:A,0),1))</f>
        <v>Profissional</v>
      </c>
      <c r="E5517" s="23"/>
      <c r="F5517" s="45" t="s">
        <v>523</v>
      </c>
      <c r="G5517" s="24" t="str">
        <f t="shared" si="104"/>
        <v/>
      </c>
      <c r="H5517" s="25"/>
      <c r="I5517" s="26"/>
      <c r="J5517" s="141">
        <v>0</v>
      </c>
    </row>
    <row r="5518" spans="1:10" ht="15.75" hidden="1" thickBot="1" x14ac:dyDescent="0.3">
      <c r="A5518" s="242"/>
      <c r="B5518" s="229"/>
      <c r="C5518" s="155"/>
      <c r="D5518" s="155"/>
      <c r="E5518" s="156"/>
      <c r="F5518" s="50" t="s">
        <v>523</v>
      </c>
      <c r="G5518" s="50" t="str">
        <f t="shared" si="104"/>
        <v/>
      </c>
      <c r="H5518" s="69"/>
      <c r="I5518" s="70"/>
      <c r="J5518" s="141">
        <v>0</v>
      </c>
    </row>
    <row r="5519" spans="1:10" ht="15.75" hidden="1" thickBot="1" x14ac:dyDescent="0.3">
      <c r="A5519" s="242"/>
      <c r="B5519" s="229"/>
      <c r="C5519" s="32" t="s">
        <v>3241</v>
      </c>
      <c r="D5519" s="148" t="s">
        <v>12</v>
      </c>
      <c r="E5519" s="149">
        <f>ROUND(220/(1+110.14%),4)</f>
        <v>104.6921</v>
      </c>
      <c r="F5519" s="27">
        <v>30.551999999999996</v>
      </c>
      <c r="G5519" s="50">
        <f t="shared" si="104"/>
        <v>3198.5530391999996</v>
      </c>
      <c r="H5519" s="35">
        <f>SUM(G5519:G5519)</f>
        <v>3198.5530391999996</v>
      </c>
      <c r="I5519" s="36"/>
      <c r="J5519" s="141">
        <v>0</v>
      </c>
    </row>
    <row r="5520" spans="1:10" ht="15.75" hidden="1" thickBot="1" x14ac:dyDescent="0.3">
      <c r="A5520" s="242"/>
      <c r="B5520" s="229"/>
      <c r="C5520" s="155"/>
      <c r="D5520" s="155"/>
      <c r="E5520" s="156"/>
      <c r="F5520" s="50" t="s">
        <v>523</v>
      </c>
      <c r="G5520" s="50" t="str">
        <f t="shared" si="104"/>
        <v/>
      </c>
      <c r="H5520" s="69"/>
      <c r="I5520" s="70"/>
      <c r="J5520" s="141">
        <v>0</v>
      </c>
    </row>
    <row r="5521" spans="1:10" ht="26.25" hidden="1" thickBot="1" x14ac:dyDescent="0.3">
      <c r="A5521" s="242"/>
      <c r="B5521" s="229"/>
      <c r="C5521" s="44" t="s">
        <v>783</v>
      </c>
      <c r="D5521" s="155"/>
      <c r="E5521" s="156"/>
      <c r="F5521" s="50" t="s">
        <v>523</v>
      </c>
      <c r="G5521" s="50" t="str">
        <f t="shared" si="104"/>
        <v/>
      </c>
      <c r="H5521" s="69"/>
      <c r="I5521" s="70"/>
      <c r="J5521" s="141">
        <v>0</v>
      </c>
    </row>
    <row r="5522" spans="1:10" ht="15.75" hidden="1" thickBot="1" x14ac:dyDescent="0.3">
      <c r="A5522" s="243"/>
      <c r="B5522" s="230"/>
      <c r="C5522" s="51"/>
      <c r="D5522" s="151"/>
      <c r="E5522" s="62"/>
      <c r="F5522" s="72" t="s">
        <v>523</v>
      </c>
      <c r="G5522" s="72" t="str">
        <f t="shared" si="104"/>
        <v/>
      </c>
      <c r="H5522" s="73"/>
      <c r="I5522" s="70"/>
      <c r="J5522" s="141">
        <v>0</v>
      </c>
    </row>
    <row r="5523" spans="1:10" ht="15.75" hidden="1" thickBot="1" x14ac:dyDescent="0.3">
      <c r="A5523" s="239" t="s">
        <v>5050</v>
      </c>
      <c r="B5523" s="228" t="str">
        <f>INDEX(Orçamentária!A:B,MATCH(Composições!A5523,Orçamentária!A:A,0),2)</f>
        <v>Técnico em Eletrotécnica Planejador de Manutenção</v>
      </c>
      <c r="C5523" s="37"/>
      <c r="D5523" s="22" t="str">
        <f>TRIM(INDEX(Orçamentária!C:C,MATCH(Composições!A5523,Orçamentária!A:A,0),1))</f>
        <v>Profissional</v>
      </c>
      <c r="E5523" s="23"/>
      <c r="F5523" s="45" t="s">
        <v>523</v>
      </c>
      <c r="G5523" s="24" t="str">
        <f t="shared" si="104"/>
        <v/>
      </c>
      <c r="H5523" s="25"/>
      <c r="I5523" s="26"/>
      <c r="J5523" s="141">
        <v>0</v>
      </c>
    </row>
    <row r="5524" spans="1:10" ht="15.75" hidden="1" thickBot="1" x14ac:dyDescent="0.3">
      <c r="A5524" s="242"/>
      <c r="B5524" s="229"/>
      <c r="C5524" s="155"/>
      <c r="D5524" s="155"/>
      <c r="E5524" s="156"/>
      <c r="F5524" s="50" t="s">
        <v>523</v>
      </c>
      <c r="G5524" s="50" t="str">
        <f t="shared" si="104"/>
        <v/>
      </c>
      <c r="H5524" s="69"/>
      <c r="I5524" s="70"/>
      <c r="J5524" s="141">
        <v>0</v>
      </c>
    </row>
    <row r="5525" spans="1:10" ht="15.75" hidden="1" thickBot="1" x14ac:dyDescent="0.3">
      <c r="A5525" s="242"/>
      <c r="B5525" s="229"/>
      <c r="C5525" s="32" t="s">
        <v>3241</v>
      </c>
      <c r="D5525" s="148" t="s">
        <v>12</v>
      </c>
      <c r="E5525" s="149">
        <f>ROUND(220/(1+110.14%),4)</f>
        <v>104.6921</v>
      </c>
      <c r="F5525" s="27">
        <v>30.551999999999996</v>
      </c>
      <c r="G5525" s="50">
        <f t="shared" si="104"/>
        <v>3198.5530391999996</v>
      </c>
      <c r="H5525" s="35">
        <f>SUM(G5525:G5525)</f>
        <v>3198.5530391999996</v>
      </c>
      <c r="I5525" s="36"/>
      <c r="J5525" s="141">
        <v>0</v>
      </c>
    </row>
    <row r="5526" spans="1:10" ht="15.75" hidden="1" thickBot="1" x14ac:dyDescent="0.3">
      <c r="A5526" s="242"/>
      <c r="B5526" s="229"/>
      <c r="C5526" s="155"/>
      <c r="D5526" s="155"/>
      <c r="E5526" s="156"/>
      <c r="F5526" s="50" t="s">
        <v>523</v>
      </c>
      <c r="G5526" s="50" t="str">
        <f t="shared" si="104"/>
        <v/>
      </c>
      <c r="H5526" s="69"/>
      <c r="I5526" s="70"/>
      <c r="J5526" s="141">
        <v>0</v>
      </c>
    </row>
    <row r="5527" spans="1:10" ht="26.25" hidden="1" thickBot="1" x14ac:dyDescent="0.3">
      <c r="A5527" s="242"/>
      <c r="B5527" s="229"/>
      <c r="C5527" s="44" t="s">
        <v>783</v>
      </c>
      <c r="D5527" s="155"/>
      <c r="E5527" s="156"/>
      <c r="F5527" s="50" t="s">
        <v>523</v>
      </c>
      <c r="G5527" s="50" t="str">
        <f t="shared" si="104"/>
        <v/>
      </c>
      <c r="H5527" s="69"/>
      <c r="I5527" s="70"/>
      <c r="J5527" s="141">
        <v>0</v>
      </c>
    </row>
    <row r="5528" spans="1:10" ht="15.75" hidden="1" thickBot="1" x14ac:dyDescent="0.3">
      <c r="A5528" s="243"/>
      <c r="B5528" s="230"/>
      <c r="C5528" s="51"/>
      <c r="D5528" s="151"/>
      <c r="E5528" s="62"/>
      <c r="F5528" s="72" t="s">
        <v>523</v>
      </c>
      <c r="G5528" s="72" t="str">
        <f t="shared" si="104"/>
        <v/>
      </c>
      <c r="H5528" s="73"/>
      <c r="I5528" s="70"/>
      <c r="J5528" s="141">
        <v>0</v>
      </c>
    </row>
    <row r="5529" spans="1:10" ht="15.75" hidden="1" thickBot="1" x14ac:dyDescent="0.3">
      <c r="A5529" s="239" t="s">
        <v>5051</v>
      </c>
      <c r="B5529" s="228" t="str">
        <f>INDEX(Orçamentária!A:B,MATCH(Composições!A5529,Orçamentária!A:A,0),2)</f>
        <v>Técnico em Eletrotécnica Termografista</v>
      </c>
      <c r="C5529" s="37"/>
      <c r="D5529" s="22" t="str">
        <f>TRIM(INDEX(Orçamentária!C:C,MATCH(Composições!A5529,Orçamentária!A:A,0),1))</f>
        <v>Profissional</v>
      </c>
      <c r="E5529" s="23"/>
      <c r="F5529" s="45" t="s">
        <v>523</v>
      </c>
      <c r="G5529" s="24" t="str">
        <f t="shared" si="104"/>
        <v/>
      </c>
      <c r="H5529" s="25"/>
      <c r="I5529" s="26"/>
      <c r="J5529" s="141">
        <v>0</v>
      </c>
    </row>
    <row r="5530" spans="1:10" ht="15.75" hidden="1" thickBot="1" x14ac:dyDescent="0.3">
      <c r="A5530" s="242"/>
      <c r="B5530" s="229"/>
      <c r="C5530" s="155"/>
      <c r="D5530" s="155"/>
      <c r="E5530" s="156"/>
      <c r="F5530" s="50" t="s">
        <v>523</v>
      </c>
      <c r="G5530" s="50" t="str">
        <f t="shared" si="104"/>
        <v/>
      </c>
      <c r="H5530" s="69"/>
      <c r="I5530" s="70"/>
      <c r="J5530" s="141">
        <v>0</v>
      </c>
    </row>
    <row r="5531" spans="1:10" ht="15.75" hidden="1" thickBot="1" x14ac:dyDescent="0.3">
      <c r="A5531" s="242"/>
      <c r="B5531" s="229"/>
      <c r="C5531" s="32" t="s">
        <v>3241</v>
      </c>
      <c r="D5531" s="148" t="s">
        <v>12</v>
      </c>
      <c r="E5531" s="149">
        <f>ROUND(220/(1+110.14%),4)</f>
        <v>104.6921</v>
      </c>
      <c r="F5531" s="27">
        <v>30.551999999999996</v>
      </c>
      <c r="G5531" s="50">
        <f t="shared" si="104"/>
        <v>3198.5530391999996</v>
      </c>
      <c r="H5531" s="35">
        <f>SUM(G5531:G5531)</f>
        <v>3198.5530391999996</v>
      </c>
      <c r="I5531" s="36"/>
      <c r="J5531" s="141">
        <v>0</v>
      </c>
    </row>
    <row r="5532" spans="1:10" ht="15.75" hidden="1" thickBot="1" x14ac:dyDescent="0.3">
      <c r="A5532" s="242"/>
      <c r="B5532" s="229"/>
      <c r="C5532" s="155"/>
      <c r="D5532" s="155"/>
      <c r="E5532" s="156"/>
      <c r="F5532" s="50" t="s">
        <v>523</v>
      </c>
      <c r="G5532" s="50" t="str">
        <f t="shared" si="104"/>
        <v/>
      </c>
      <c r="H5532" s="69"/>
      <c r="I5532" s="70"/>
      <c r="J5532" s="141">
        <v>0</v>
      </c>
    </row>
    <row r="5533" spans="1:10" ht="26.25" hidden="1" thickBot="1" x14ac:dyDescent="0.3">
      <c r="A5533" s="242"/>
      <c r="B5533" s="229"/>
      <c r="C5533" s="44" t="s">
        <v>783</v>
      </c>
      <c r="D5533" s="155"/>
      <c r="E5533" s="156"/>
      <c r="F5533" s="50" t="s">
        <v>523</v>
      </c>
      <c r="G5533" s="50" t="str">
        <f t="shared" si="104"/>
        <v/>
      </c>
      <c r="H5533" s="69"/>
      <c r="I5533" s="70"/>
      <c r="J5533" s="141">
        <v>0</v>
      </c>
    </row>
    <row r="5534" spans="1:10" ht="15.75" hidden="1" thickBot="1" x14ac:dyDescent="0.3">
      <c r="A5534" s="243"/>
      <c r="B5534" s="230"/>
      <c r="C5534" s="51"/>
      <c r="D5534" s="151"/>
      <c r="E5534" s="62"/>
      <c r="F5534" s="72" t="s">
        <v>523</v>
      </c>
      <c r="G5534" s="72" t="str">
        <f t="shared" ref="G5534:G5597" si="105">IF(ISNUMBER(F5534),E5534*F5534,"")</f>
        <v/>
      </c>
      <c r="H5534" s="73"/>
      <c r="I5534" s="70"/>
      <c r="J5534" s="141">
        <v>0</v>
      </c>
    </row>
    <row r="5535" spans="1:10" ht="15.75" hidden="1" thickBot="1" x14ac:dyDescent="0.3">
      <c r="A5535" s="239" t="s">
        <v>5052</v>
      </c>
      <c r="B5535" s="228" t="str">
        <f>INDEX(Orçamentária!A:B,MATCH(Composições!A5535,Orçamentária!A:A,0),2)</f>
        <v>Técnico em Eletrotécnica</v>
      </c>
      <c r="C5535" s="37"/>
      <c r="D5535" s="22" t="str">
        <f>TRIM(INDEX(Orçamentária!C:C,MATCH(Composições!A5535,Orçamentária!A:A,0),1))</f>
        <v>Profissional</v>
      </c>
      <c r="E5535" s="23"/>
      <c r="F5535" s="45" t="s">
        <v>523</v>
      </c>
      <c r="G5535" s="24" t="str">
        <f t="shared" si="105"/>
        <v/>
      </c>
      <c r="H5535" s="25"/>
      <c r="I5535" s="26"/>
      <c r="J5535" s="141">
        <v>0</v>
      </c>
    </row>
    <row r="5536" spans="1:10" ht="15.75" hidden="1" thickBot="1" x14ac:dyDescent="0.3">
      <c r="A5536" s="242"/>
      <c r="B5536" s="229"/>
      <c r="C5536" s="155"/>
      <c r="D5536" s="155"/>
      <c r="E5536" s="156"/>
      <c r="F5536" s="50" t="s">
        <v>523</v>
      </c>
      <c r="G5536" s="50" t="str">
        <f t="shared" si="105"/>
        <v/>
      </c>
      <c r="H5536" s="69"/>
      <c r="I5536" s="70"/>
      <c r="J5536" s="141">
        <v>0</v>
      </c>
    </row>
    <row r="5537" spans="1:10" ht="15.75" hidden="1" thickBot="1" x14ac:dyDescent="0.3">
      <c r="A5537" s="242"/>
      <c r="B5537" s="229"/>
      <c r="C5537" s="32" t="s">
        <v>3241</v>
      </c>
      <c r="D5537" s="148" t="s">
        <v>12</v>
      </c>
      <c r="E5537" s="149">
        <f>ROUND(220/(1+110.14%),4)</f>
        <v>104.6921</v>
      </c>
      <c r="F5537" s="27">
        <v>30.551999999999996</v>
      </c>
      <c r="G5537" s="50">
        <f t="shared" si="105"/>
        <v>3198.5530391999996</v>
      </c>
      <c r="H5537" s="35">
        <f>SUM(G5537:G5537)</f>
        <v>3198.5530391999996</v>
      </c>
      <c r="I5537" s="36"/>
      <c r="J5537" s="141">
        <v>0</v>
      </c>
    </row>
    <row r="5538" spans="1:10" ht="15.75" hidden="1" thickBot="1" x14ac:dyDescent="0.3">
      <c r="A5538" s="242"/>
      <c r="B5538" s="229"/>
      <c r="C5538" s="155"/>
      <c r="D5538" s="155"/>
      <c r="E5538" s="156"/>
      <c r="F5538" s="50" t="s">
        <v>523</v>
      </c>
      <c r="G5538" s="50" t="str">
        <f t="shared" si="105"/>
        <v/>
      </c>
      <c r="H5538" s="69"/>
      <c r="I5538" s="70"/>
      <c r="J5538" s="141">
        <v>0</v>
      </c>
    </row>
    <row r="5539" spans="1:10" ht="26.25" hidden="1" thickBot="1" x14ac:dyDescent="0.3">
      <c r="A5539" s="242"/>
      <c r="B5539" s="229"/>
      <c r="C5539" s="44" t="s">
        <v>783</v>
      </c>
      <c r="D5539" s="155"/>
      <c r="E5539" s="156"/>
      <c r="F5539" s="50" t="s">
        <v>523</v>
      </c>
      <c r="G5539" s="50" t="str">
        <f t="shared" si="105"/>
        <v/>
      </c>
      <c r="H5539" s="69"/>
      <c r="I5539" s="70"/>
      <c r="J5539" s="141">
        <v>0</v>
      </c>
    </row>
    <row r="5540" spans="1:10" ht="15.75" hidden="1" thickBot="1" x14ac:dyDescent="0.3">
      <c r="A5540" s="243"/>
      <c r="B5540" s="230"/>
      <c r="C5540" s="51"/>
      <c r="D5540" s="151"/>
      <c r="E5540" s="62"/>
      <c r="F5540" s="72" t="s">
        <v>523</v>
      </c>
      <c r="G5540" s="72" t="str">
        <f t="shared" si="105"/>
        <v/>
      </c>
      <c r="H5540" s="73"/>
      <c r="I5540" s="70"/>
      <c r="J5540" s="141">
        <v>0</v>
      </c>
    </row>
    <row r="5541" spans="1:10" ht="15.75" hidden="1" thickBot="1" x14ac:dyDescent="0.3">
      <c r="A5541" s="239" t="s">
        <v>5053</v>
      </c>
      <c r="B5541" s="228" t="str">
        <f>INDEX(Orçamentária!A:B,MATCH(Composições!A5541,Orçamentária!A:A,0),2)</f>
        <v>Eletricista</v>
      </c>
      <c r="C5541" s="37"/>
      <c r="D5541" s="22" t="str">
        <f>TRIM(INDEX(Orçamentária!C:C,MATCH(Composições!A5541,Orçamentária!A:A,0),1))</f>
        <v>Profissional</v>
      </c>
      <c r="E5541" s="23"/>
      <c r="F5541" s="45" t="s">
        <v>523</v>
      </c>
      <c r="G5541" s="24" t="str">
        <f t="shared" si="105"/>
        <v/>
      </c>
      <c r="H5541" s="25"/>
      <c r="I5541" s="26"/>
      <c r="J5541" s="141">
        <v>0</v>
      </c>
    </row>
    <row r="5542" spans="1:10" ht="15.75" hidden="1" thickBot="1" x14ac:dyDescent="0.3">
      <c r="A5542" s="242"/>
      <c r="B5542" s="229"/>
      <c r="C5542" s="155"/>
      <c r="D5542" s="155"/>
      <c r="E5542" s="156"/>
      <c r="F5542" s="50" t="s">
        <v>523</v>
      </c>
      <c r="G5542" s="50" t="str">
        <f t="shared" si="105"/>
        <v/>
      </c>
      <c r="H5542" s="69"/>
      <c r="I5542" s="70"/>
      <c r="J5542" s="141">
        <v>0</v>
      </c>
    </row>
    <row r="5543" spans="1:10" ht="15.75" hidden="1" thickBot="1" x14ac:dyDescent="0.3">
      <c r="A5543" s="242"/>
      <c r="B5543" s="229"/>
      <c r="C5543" s="32" t="s">
        <v>1165</v>
      </c>
      <c r="D5543" s="148" t="s">
        <v>12</v>
      </c>
      <c r="E5543" s="149">
        <f>ROUND(220/(1+110.14%),4)</f>
        <v>104.6921</v>
      </c>
      <c r="F5543" s="27">
        <v>25.146499999999996</v>
      </c>
      <c r="G5543" s="50">
        <f t="shared" si="105"/>
        <v>2632.6398926499996</v>
      </c>
      <c r="H5543" s="35">
        <f>SUM(G5543:G5543)</f>
        <v>2632.6398926499996</v>
      </c>
      <c r="I5543" s="36"/>
      <c r="J5543" s="141">
        <v>0</v>
      </c>
    </row>
    <row r="5544" spans="1:10" ht="15.75" hidden="1" thickBot="1" x14ac:dyDescent="0.3">
      <c r="A5544" s="242"/>
      <c r="B5544" s="229"/>
      <c r="C5544" s="155"/>
      <c r="D5544" s="155"/>
      <c r="E5544" s="156"/>
      <c r="F5544" s="50" t="s">
        <v>523</v>
      </c>
      <c r="G5544" s="50" t="str">
        <f t="shared" si="105"/>
        <v/>
      </c>
      <c r="H5544" s="69"/>
      <c r="I5544" s="70"/>
      <c r="J5544" s="141">
        <v>0</v>
      </c>
    </row>
    <row r="5545" spans="1:10" ht="26.25" hidden="1" thickBot="1" x14ac:dyDescent="0.3">
      <c r="A5545" s="242"/>
      <c r="B5545" s="229"/>
      <c r="C5545" s="44" t="s">
        <v>783</v>
      </c>
      <c r="D5545" s="155"/>
      <c r="E5545" s="156"/>
      <c r="F5545" s="50" t="s">
        <v>523</v>
      </c>
      <c r="G5545" s="50" t="str">
        <f t="shared" si="105"/>
        <v/>
      </c>
      <c r="H5545" s="69"/>
      <c r="I5545" s="70"/>
      <c r="J5545" s="141">
        <v>0</v>
      </c>
    </row>
    <row r="5546" spans="1:10" ht="15.75" hidden="1" thickBot="1" x14ac:dyDescent="0.3">
      <c r="A5546" s="243"/>
      <c r="B5546" s="230"/>
      <c r="C5546" s="51"/>
      <c r="D5546" s="151"/>
      <c r="E5546" s="62"/>
      <c r="F5546" s="72" t="s">
        <v>523</v>
      </c>
      <c r="G5546" s="72" t="str">
        <f t="shared" si="105"/>
        <v/>
      </c>
      <c r="H5546" s="73"/>
      <c r="I5546" s="70"/>
      <c r="J5546" s="141">
        <v>0</v>
      </c>
    </row>
    <row r="5547" spans="1:10" ht="15.75" hidden="1" thickBot="1" x14ac:dyDescent="0.3">
      <c r="A5547" s="239" t="s">
        <v>5054</v>
      </c>
      <c r="B5547" s="228" t="str">
        <f>INDEX(Orçamentária!A:B,MATCH(Composições!A5547,Orçamentária!A:A,0),2)</f>
        <v>Auxiliar de Eletricista</v>
      </c>
      <c r="C5547" s="37"/>
      <c r="D5547" s="22" t="str">
        <f>TRIM(INDEX(Orçamentária!C:C,MATCH(Composições!A5547,Orçamentária!A:A,0),1))</f>
        <v>Profissional</v>
      </c>
      <c r="E5547" s="23"/>
      <c r="F5547" s="45" t="s">
        <v>523</v>
      </c>
      <c r="G5547" s="24" t="str">
        <f t="shared" si="105"/>
        <v/>
      </c>
      <c r="H5547" s="25"/>
      <c r="I5547" s="26"/>
      <c r="J5547" s="141">
        <v>0</v>
      </c>
    </row>
    <row r="5548" spans="1:10" ht="15.75" hidden="1" thickBot="1" x14ac:dyDescent="0.3">
      <c r="A5548" s="242"/>
      <c r="B5548" s="229"/>
      <c r="C5548" s="155"/>
      <c r="D5548" s="155"/>
      <c r="E5548" s="156"/>
      <c r="F5548" s="50" t="s">
        <v>523</v>
      </c>
      <c r="G5548" s="50" t="str">
        <f t="shared" si="105"/>
        <v/>
      </c>
      <c r="H5548" s="69"/>
      <c r="I5548" s="70"/>
      <c r="J5548" s="141">
        <v>0</v>
      </c>
    </row>
    <row r="5549" spans="1:10" ht="15.75" hidden="1" thickBot="1" x14ac:dyDescent="0.3">
      <c r="A5549" s="242"/>
      <c r="B5549" s="229"/>
      <c r="C5549" s="32" t="s">
        <v>1164</v>
      </c>
      <c r="D5549" s="148" t="s">
        <v>12</v>
      </c>
      <c r="E5549" s="149">
        <f>ROUND(220/(1+110.14%),4)</f>
        <v>104.6921</v>
      </c>
      <c r="F5549" s="27">
        <v>19.4085</v>
      </c>
      <c r="G5549" s="50">
        <f t="shared" si="105"/>
        <v>2031.9166228499998</v>
      </c>
      <c r="H5549" s="35">
        <f>SUM(G5549:G5549)</f>
        <v>2031.9166228499998</v>
      </c>
      <c r="I5549" s="36"/>
      <c r="J5549" s="141">
        <v>0</v>
      </c>
    </row>
    <row r="5550" spans="1:10" ht="15.75" hidden="1" thickBot="1" x14ac:dyDescent="0.3">
      <c r="A5550" s="242"/>
      <c r="B5550" s="229"/>
      <c r="C5550" s="155"/>
      <c r="D5550" s="155"/>
      <c r="E5550" s="156"/>
      <c r="F5550" s="50" t="s">
        <v>523</v>
      </c>
      <c r="G5550" s="50" t="str">
        <f t="shared" si="105"/>
        <v/>
      </c>
      <c r="H5550" s="69"/>
      <c r="I5550" s="70"/>
      <c r="J5550" s="141">
        <v>0</v>
      </c>
    </row>
    <row r="5551" spans="1:10" ht="26.25" hidden="1" thickBot="1" x14ac:dyDescent="0.3">
      <c r="A5551" s="242"/>
      <c r="B5551" s="229"/>
      <c r="C5551" s="44" t="s">
        <v>783</v>
      </c>
      <c r="D5551" s="155"/>
      <c r="E5551" s="156"/>
      <c r="F5551" s="50" t="s">
        <v>523</v>
      </c>
      <c r="G5551" s="50" t="str">
        <f t="shared" si="105"/>
        <v/>
      </c>
      <c r="H5551" s="69"/>
      <c r="I5551" s="70"/>
      <c r="J5551" s="141">
        <v>0</v>
      </c>
    </row>
    <row r="5552" spans="1:10" ht="15.75" hidden="1" thickBot="1" x14ac:dyDescent="0.3">
      <c r="A5552" s="243"/>
      <c r="B5552" s="230"/>
      <c r="C5552" s="51"/>
      <c r="D5552" s="151"/>
      <c r="E5552" s="62"/>
      <c r="F5552" s="72" t="s">
        <v>523</v>
      </c>
      <c r="G5552" s="72" t="str">
        <f t="shared" si="105"/>
        <v/>
      </c>
      <c r="H5552" s="73"/>
      <c r="I5552" s="70"/>
      <c r="J5552" s="141">
        <v>0</v>
      </c>
    </row>
    <row r="5553" spans="1:10" ht="15.75" hidden="1" thickBot="1" x14ac:dyDescent="0.3">
      <c r="A5553" s="239" t="s">
        <v>5055</v>
      </c>
      <c r="B5553" s="228" t="str">
        <f>INDEX(Orçamentária!A:B,MATCH(Composições!A5553,Orçamentária!A:A,0),2)</f>
        <v>Técnico em Eletromecânica</v>
      </c>
      <c r="C5553" s="37"/>
      <c r="D5553" s="22" t="str">
        <f>TRIM(INDEX(Orçamentária!C:C,MATCH(Composições!A5553,Orçamentária!A:A,0),1))</f>
        <v>Profissional</v>
      </c>
      <c r="E5553" s="23"/>
      <c r="F5553" s="45" t="s">
        <v>523</v>
      </c>
      <c r="G5553" s="24" t="str">
        <f t="shared" si="105"/>
        <v/>
      </c>
      <c r="H5553" s="25"/>
      <c r="I5553" s="26"/>
      <c r="J5553" s="141">
        <v>0</v>
      </c>
    </row>
    <row r="5554" spans="1:10" ht="15.75" hidden="1" thickBot="1" x14ac:dyDescent="0.3">
      <c r="A5554" s="242"/>
      <c r="B5554" s="229"/>
      <c r="C5554" s="155"/>
      <c r="D5554" s="155"/>
      <c r="E5554" s="156"/>
      <c r="F5554" s="50" t="s">
        <v>523</v>
      </c>
      <c r="G5554" s="50" t="str">
        <f t="shared" si="105"/>
        <v/>
      </c>
      <c r="H5554" s="69"/>
      <c r="I5554" s="70"/>
      <c r="J5554" s="141">
        <v>0</v>
      </c>
    </row>
    <row r="5555" spans="1:10" ht="15.75" hidden="1" thickBot="1" x14ac:dyDescent="0.3">
      <c r="A5555" s="242"/>
      <c r="B5555" s="229"/>
      <c r="C5555" s="32" t="s">
        <v>3241</v>
      </c>
      <c r="D5555" s="148" t="s">
        <v>12</v>
      </c>
      <c r="E5555" s="149">
        <f>ROUND(220/(1+110.14%),4)</f>
        <v>104.6921</v>
      </c>
      <c r="F5555" s="27">
        <v>30.551999999999996</v>
      </c>
      <c r="G5555" s="50">
        <f t="shared" si="105"/>
        <v>3198.5530391999996</v>
      </c>
      <c r="H5555" s="35">
        <f>SUM(G5555:G5555)</f>
        <v>3198.5530391999996</v>
      </c>
      <c r="I5555" s="36"/>
      <c r="J5555" s="141">
        <v>0</v>
      </c>
    </row>
    <row r="5556" spans="1:10" ht="15.75" hidden="1" thickBot="1" x14ac:dyDescent="0.3">
      <c r="A5556" s="242"/>
      <c r="B5556" s="229"/>
      <c r="C5556" s="155"/>
      <c r="D5556" s="155"/>
      <c r="E5556" s="156"/>
      <c r="F5556" s="50" t="s">
        <v>523</v>
      </c>
      <c r="G5556" s="50" t="str">
        <f t="shared" si="105"/>
        <v/>
      </c>
      <c r="H5556" s="69"/>
      <c r="I5556" s="70"/>
      <c r="J5556" s="141">
        <v>0</v>
      </c>
    </row>
    <row r="5557" spans="1:10" ht="26.25" hidden="1" thickBot="1" x14ac:dyDescent="0.3">
      <c r="A5557" s="242"/>
      <c r="B5557" s="229"/>
      <c r="C5557" s="44" t="s">
        <v>783</v>
      </c>
      <c r="D5557" s="155"/>
      <c r="E5557" s="156"/>
      <c r="F5557" s="50" t="s">
        <v>523</v>
      </c>
      <c r="G5557" s="50" t="str">
        <f t="shared" si="105"/>
        <v/>
      </c>
      <c r="H5557" s="69"/>
      <c r="I5557" s="70"/>
      <c r="J5557" s="141">
        <v>0</v>
      </c>
    </row>
    <row r="5558" spans="1:10" ht="15.75" hidden="1" thickBot="1" x14ac:dyDescent="0.3">
      <c r="A5558" s="243"/>
      <c r="B5558" s="230"/>
      <c r="C5558" s="51"/>
      <c r="D5558" s="151"/>
      <c r="E5558" s="62"/>
      <c r="F5558" s="72" t="s">
        <v>523</v>
      </c>
      <c r="G5558" s="72" t="str">
        <f t="shared" si="105"/>
        <v/>
      </c>
      <c r="H5558" s="73"/>
      <c r="I5558" s="70"/>
      <c r="J5558" s="141">
        <v>0</v>
      </c>
    </row>
    <row r="5559" spans="1:10" ht="15.75" hidden="1" thickBot="1" x14ac:dyDescent="0.3">
      <c r="A5559" s="239" t="s">
        <v>5056</v>
      </c>
      <c r="B5559" s="228" t="str">
        <f>INDEX(Orçamentária!A:B,MATCH(Composições!A5559,Orçamentária!A:A,0),2)</f>
        <v>Técnico em Automação</v>
      </c>
      <c r="C5559" s="37"/>
      <c r="D5559" s="22" t="str">
        <f>TRIM(INDEX(Orçamentária!C:C,MATCH(Composições!A5559,Orçamentária!A:A,0),1))</f>
        <v>Profissional</v>
      </c>
      <c r="E5559" s="23"/>
      <c r="F5559" s="45" t="s">
        <v>523</v>
      </c>
      <c r="G5559" s="24" t="str">
        <f t="shared" si="105"/>
        <v/>
      </c>
      <c r="H5559" s="25"/>
      <c r="I5559" s="26"/>
      <c r="J5559" s="141">
        <v>0</v>
      </c>
    </row>
    <row r="5560" spans="1:10" ht="15.75" hidden="1" thickBot="1" x14ac:dyDescent="0.3">
      <c r="A5560" s="242"/>
      <c r="B5560" s="229"/>
      <c r="C5560" s="155"/>
      <c r="D5560" s="155"/>
      <c r="E5560" s="156"/>
      <c r="F5560" s="50" t="s">
        <v>523</v>
      </c>
      <c r="G5560" s="50" t="str">
        <f t="shared" si="105"/>
        <v/>
      </c>
      <c r="H5560" s="69"/>
      <c r="I5560" s="70"/>
      <c r="J5560" s="141">
        <v>0</v>
      </c>
    </row>
    <row r="5561" spans="1:10" ht="15.75" hidden="1" thickBot="1" x14ac:dyDescent="0.3">
      <c r="A5561" s="242"/>
      <c r="B5561" s="229"/>
      <c r="C5561" s="32" t="s">
        <v>3241</v>
      </c>
      <c r="D5561" s="148" t="s">
        <v>12</v>
      </c>
      <c r="E5561" s="149">
        <f>ROUND(220/(1+110.14%),4)</f>
        <v>104.6921</v>
      </c>
      <c r="F5561" s="27">
        <v>30.551999999999996</v>
      </c>
      <c r="G5561" s="50">
        <f t="shared" si="105"/>
        <v>3198.5530391999996</v>
      </c>
      <c r="H5561" s="35">
        <f>SUM(G5561:G5561)</f>
        <v>3198.5530391999996</v>
      </c>
      <c r="I5561" s="36"/>
      <c r="J5561" s="141">
        <v>0</v>
      </c>
    </row>
    <row r="5562" spans="1:10" ht="15.75" hidden="1" thickBot="1" x14ac:dyDescent="0.3">
      <c r="A5562" s="242"/>
      <c r="B5562" s="229"/>
      <c r="C5562" s="155"/>
      <c r="D5562" s="155"/>
      <c r="E5562" s="156"/>
      <c r="F5562" s="50" t="s">
        <v>523</v>
      </c>
      <c r="G5562" s="50" t="str">
        <f t="shared" si="105"/>
        <v/>
      </c>
      <c r="H5562" s="69"/>
      <c r="I5562" s="70"/>
      <c r="J5562" s="141">
        <v>0</v>
      </c>
    </row>
    <row r="5563" spans="1:10" ht="26.25" hidden="1" thickBot="1" x14ac:dyDescent="0.3">
      <c r="A5563" s="242"/>
      <c r="B5563" s="229"/>
      <c r="C5563" s="44" t="s">
        <v>783</v>
      </c>
      <c r="D5563" s="155"/>
      <c r="E5563" s="156"/>
      <c r="F5563" s="50" t="s">
        <v>523</v>
      </c>
      <c r="G5563" s="50" t="str">
        <f t="shared" si="105"/>
        <v/>
      </c>
      <c r="H5563" s="69"/>
      <c r="I5563" s="70"/>
      <c r="J5563" s="141">
        <v>0</v>
      </c>
    </row>
    <row r="5564" spans="1:10" ht="15.75" hidden="1" thickBot="1" x14ac:dyDescent="0.3">
      <c r="A5564" s="243"/>
      <c r="B5564" s="230"/>
      <c r="C5564" s="51"/>
      <c r="D5564" s="151"/>
      <c r="E5564" s="62"/>
      <c r="F5564" s="72" t="s">
        <v>523</v>
      </c>
      <c r="G5564" s="72" t="str">
        <f t="shared" si="105"/>
        <v/>
      </c>
      <c r="H5564" s="73"/>
      <c r="I5564" s="70"/>
      <c r="J5564" s="141">
        <v>0</v>
      </c>
    </row>
    <row r="5565" spans="1:10" ht="15.75" hidden="1" thickBot="1" x14ac:dyDescent="0.3">
      <c r="A5565" s="239" t="s">
        <v>5057</v>
      </c>
      <c r="B5565" s="228" t="str">
        <f>INDEX(Orçamentária!A:B,MATCH(Composições!A5565,Orçamentária!A:A,0),2)</f>
        <v>Técnico em Eletrotécnica Plantonista (diurno)</v>
      </c>
      <c r="C5565" s="37"/>
      <c r="D5565" s="22" t="str">
        <f>TRIM(INDEX(Orçamentária!C:C,MATCH(Composições!A5565,Orçamentária!A:A,0),1))</f>
        <v>Profissional</v>
      </c>
      <c r="E5565" s="23"/>
      <c r="F5565" s="45" t="s">
        <v>523</v>
      </c>
      <c r="G5565" s="24" t="str">
        <f t="shared" si="105"/>
        <v/>
      </c>
      <c r="H5565" s="25"/>
      <c r="I5565" s="26"/>
      <c r="J5565" s="141">
        <v>0</v>
      </c>
    </row>
    <row r="5566" spans="1:10" ht="15.75" hidden="1" thickBot="1" x14ac:dyDescent="0.3">
      <c r="A5566" s="242"/>
      <c r="B5566" s="229"/>
      <c r="C5566" s="155"/>
      <c r="D5566" s="155"/>
      <c r="E5566" s="156"/>
      <c r="F5566" s="50" t="s">
        <v>523</v>
      </c>
      <c r="G5566" s="50" t="str">
        <f t="shared" si="105"/>
        <v/>
      </c>
      <c r="H5566" s="69"/>
      <c r="I5566" s="70"/>
      <c r="J5566" s="141">
        <v>0</v>
      </c>
    </row>
    <row r="5567" spans="1:10" ht="15.75" hidden="1" thickBot="1" x14ac:dyDescent="0.3">
      <c r="A5567" s="242"/>
      <c r="B5567" s="229"/>
      <c r="C5567" s="32" t="s">
        <v>3241</v>
      </c>
      <c r="D5567" s="148" t="s">
        <v>12</v>
      </c>
      <c r="E5567" s="149">
        <f>ROUND(220/(1+110.14%),4)</f>
        <v>104.6921</v>
      </c>
      <c r="F5567" s="27">
        <v>30.551999999999996</v>
      </c>
      <c r="G5567" s="50">
        <f t="shared" si="105"/>
        <v>3198.5530391999996</v>
      </c>
      <c r="H5567" s="35">
        <f>SUM(G5567:G5567)</f>
        <v>3198.5530391999996</v>
      </c>
      <c r="I5567" s="36"/>
      <c r="J5567" s="141">
        <v>0</v>
      </c>
    </row>
    <row r="5568" spans="1:10" ht="15.75" hidden="1" thickBot="1" x14ac:dyDescent="0.3">
      <c r="A5568" s="242"/>
      <c r="B5568" s="229"/>
      <c r="C5568" s="155"/>
      <c r="D5568" s="155"/>
      <c r="E5568" s="156"/>
      <c r="F5568" s="50" t="s">
        <v>523</v>
      </c>
      <c r="G5568" s="50" t="str">
        <f t="shared" si="105"/>
        <v/>
      </c>
      <c r="H5568" s="69"/>
      <c r="I5568" s="70"/>
      <c r="J5568" s="141">
        <v>0</v>
      </c>
    </row>
    <row r="5569" spans="1:10" ht="26.25" hidden="1" thickBot="1" x14ac:dyDescent="0.3">
      <c r="A5569" s="242"/>
      <c r="B5569" s="229"/>
      <c r="C5569" s="44" t="s">
        <v>783</v>
      </c>
      <c r="D5569" s="155"/>
      <c r="E5569" s="156"/>
      <c r="F5569" s="50" t="s">
        <v>523</v>
      </c>
      <c r="G5569" s="50" t="str">
        <f t="shared" si="105"/>
        <v/>
      </c>
      <c r="H5569" s="69"/>
      <c r="I5569" s="70"/>
      <c r="J5569" s="141">
        <v>0</v>
      </c>
    </row>
    <row r="5570" spans="1:10" ht="15.75" hidden="1" thickBot="1" x14ac:dyDescent="0.3">
      <c r="A5570" s="243"/>
      <c r="B5570" s="230"/>
      <c r="C5570" s="51"/>
      <c r="D5570" s="151"/>
      <c r="E5570" s="62"/>
      <c r="F5570" s="72" t="s">
        <v>523</v>
      </c>
      <c r="G5570" s="72" t="str">
        <f t="shared" si="105"/>
        <v/>
      </c>
      <c r="H5570" s="73"/>
      <c r="I5570" s="70"/>
      <c r="J5570" s="141">
        <v>0</v>
      </c>
    </row>
    <row r="5571" spans="1:10" ht="15.75" hidden="1" thickBot="1" x14ac:dyDescent="0.3">
      <c r="A5571" s="239" t="s">
        <v>5058</v>
      </c>
      <c r="B5571" s="228" t="str">
        <f>INDEX(Orçamentária!A:B,MATCH(Composições!A5571,Orçamentária!A:A,0),2)</f>
        <v>Técnico em Eletrotécnica Plantonista (noturno)</v>
      </c>
      <c r="C5571" s="37"/>
      <c r="D5571" s="22" t="str">
        <f>TRIM(INDEX(Orçamentária!C:C,MATCH(Composições!A5571,Orçamentária!A:A,0),1))</f>
        <v>Profissional</v>
      </c>
      <c r="E5571" s="23"/>
      <c r="F5571" s="45" t="s">
        <v>523</v>
      </c>
      <c r="G5571" s="24" t="str">
        <f t="shared" si="105"/>
        <v/>
      </c>
      <c r="H5571" s="25"/>
      <c r="I5571" s="26"/>
      <c r="J5571" s="141">
        <v>0</v>
      </c>
    </row>
    <row r="5572" spans="1:10" ht="15.75" hidden="1" thickBot="1" x14ac:dyDescent="0.3">
      <c r="A5572" s="242"/>
      <c r="B5572" s="229"/>
      <c r="C5572" s="155"/>
      <c r="D5572" s="155"/>
      <c r="E5572" s="156"/>
      <c r="F5572" s="50" t="s">
        <v>523</v>
      </c>
      <c r="G5572" s="50" t="str">
        <f t="shared" si="105"/>
        <v/>
      </c>
      <c r="H5572" s="69"/>
      <c r="I5572" s="70"/>
      <c r="J5572" s="141">
        <v>0</v>
      </c>
    </row>
    <row r="5573" spans="1:10" ht="15.75" hidden="1" thickBot="1" x14ac:dyDescent="0.3">
      <c r="A5573" s="242"/>
      <c r="B5573" s="229"/>
      <c r="C5573" s="32" t="s">
        <v>3241</v>
      </c>
      <c r="D5573" s="148" t="s">
        <v>12</v>
      </c>
      <c r="E5573" s="149">
        <f>ROUND(220/(1+110.14%),4)</f>
        <v>104.6921</v>
      </c>
      <c r="F5573" s="27">
        <v>30.551999999999996</v>
      </c>
      <c r="G5573" s="50">
        <f t="shared" si="105"/>
        <v>3198.5530391999996</v>
      </c>
      <c r="H5573" s="35">
        <f>SUM(G5573:G5573)</f>
        <v>3198.5530391999996</v>
      </c>
      <c r="I5573" s="36"/>
      <c r="J5573" s="141">
        <v>0</v>
      </c>
    </row>
    <row r="5574" spans="1:10" ht="15.75" hidden="1" thickBot="1" x14ac:dyDescent="0.3">
      <c r="A5574" s="242"/>
      <c r="B5574" s="229"/>
      <c r="C5574" s="155"/>
      <c r="D5574" s="155"/>
      <c r="E5574" s="156"/>
      <c r="F5574" s="50" t="s">
        <v>523</v>
      </c>
      <c r="G5574" s="50" t="str">
        <f t="shared" si="105"/>
        <v/>
      </c>
      <c r="H5574" s="69"/>
      <c r="I5574" s="70"/>
      <c r="J5574" s="141">
        <v>0</v>
      </c>
    </row>
    <row r="5575" spans="1:10" ht="26.25" hidden="1" thickBot="1" x14ac:dyDescent="0.3">
      <c r="A5575" s="242"/>
      <c r="B5575" s="229"/>
      <c r="C5575" s="44" t="s">
        <v>783</v>
      </c>
      <c r="D5575" s="155"/>
      <c r="E5575" s="156"/>
      <c r="F5575" s="50" t="s">
        <v>523</v>
      </c>
      <c r="G5575" s="50" t="str">
        <f t="shared" si="105"/>
        <v/>
      </c>
      <c r="H5575" s="69"/>
      <c r="I5575" s="70"/>
      <c r="J5575" s="141">
        <v>0</v>
      </c>
    </row>
    <row r="5576" spans="1:10" ht="15.75" hidden="1" thickBot="1" x14ac:dyDescent="0.3">
      <c r="A5576" s="243"/>
      <c r="B5576" s="230"/>
      <c r="C5576" s="51"/>
      <c r="D5576" s="151"/>
      <c r="E5576" s="62"/>
      <c r="F5576" s="72" t="s">
        <v>523</v>
      </c>
      <c r="G5576" s="72" t="str">
        <f t="shared" si="105"/>
        <v/>
      </c>
      <c r="H5576" s="73"/>
      <c r="I5576" s="70"/>
      <c r="J5576" s="141">
        <v>0</v>
      </c>
    </row>
    <row r="5577" spans="1:10" ht="15.75" hidden="1" thickBot="1" x14ac:dyDescent="0.3">
      <c r="A5577" s="239" t="s">
        <v>5059</v>
      </c>
      <c r="B5577" s="228" t="str">
        <f>INDEX(Orçamentária!A:B,MATCH(Composições!A5577,Orçamentária!A:A,0),2)</f>
        <v>Eletricista Plantonista (diurno)</v>
      </c>
      <c r="C5577" s="37"/>
      <c r="D5577" s="22" t="str">
        <f>TRIM(INDEX(Orçamentária!C:C,MATCH(Composições!A5577,Orçamentária!A:A,0),1))</f>
        <v>Profissional</v>
      </c>
      <c r="E5577" s="23"/>
      <c r="F5577" s="45" t="s">
        <v>523</v>
      </c>
      <c r="G5577" s="24" t="str">
        <f t="shared" si="105"/>
        <v/>
      </c>
      <c r="H5577" s="25"/>
      <c r="I5577" s="26"/>
      <c r="J5577" s="141">
        <v>0</v>
      </c>
    </row>
    <row r="5578" spans="1:10" ht="15.75" hidden="1" thickBot="1" x14ac:dyDescent="0.3">
      <c r="A5578" s="242"/>
      <c r="B5578" s="229"/>
      <c r="C5578" s="155"/>
      <c r="D5578" s="155"/>
      <c r="E5578" s="156"/>
      <c r="F5578" s="50" t="s">
        <v>523</v>
      </c>
      <c r="G5578" s="50" t="str">
        <f t="shared" si="105"/>
        <v/>
      </c>
      <c r="H5578" s="69"/>
      <c r="I5578" s="70"/>
      <c r="J5578" s="141">
        <v>0</v>
      </c>
    </row>
    <row r="5579" spans="1:10" ht="15.75" hidden="1" thickBot="1" x14ac:dyDescent="0.3">
      <c r="A5579" s="242"/>
      <c r="B5579" s="229"/>
      <c r="C5579" s="32" t="s">
        <v>1165</v>
      </c>
      <c r="D5579" s="148" t="s">
        <v>12</v>
      </c>
      <c r="E5579" s="149">
        <f>ROUND(220/(1+110.14%),4)</f>
        <v>104.6921</v>
      </c>
      <c r="F5579" s="27">
        <v>25.146499999999996</v>
      </c>
      <c r="G5579" s="50">
        <f t="shared" si="105"/>
        <v>2632.6398926499996</v>
      </c>
      <c r="H5579" s="35">
        <f>SUM(G5579:G5579)</f>
        <v>2632.6398926499996</v>
      </c>
      <c r="I5579" s="36"/>
      <c r="J5579" s="141">
        <v>0</v>
      </c>
    </row>
    <row r="5580" spans="1:10" ht="15.75" hidden="1" thickBot="1" x14ac:dyDescent="0.3">
      <c r="A5580" s="242"/>
      <c r="B5580" s="229"/>
      <c r="C5580" s="155"/>
      <c r="D5580" s="155"/>
      <c r="E5580" s="156"/>
      <c r="F5580" s="50" t="s">
        <v>523</v>
      </c>
      <c r="G5580" s="50" t="str">
        <f t="shared" si="105"/>
        <v/>
      </c>
      <c r="H5580" s="69"/>
      <c r="I5580" s="70"/>
      <c r="J5580" s="141">
        <v>0</v>
      </c>
    </row>
    <row r="5581" spans="1:10" ht="26.25" hidden="1" thickBot="1" x14ac:dyDescent="0.3">
      <c r="A5581" s="242"/>
      <c r="B5581" s="229"/>
      <c r="C5581" s="44" t="s">
        <v>783</v>
      </c>
      <c r="D5581" s="155"/>
      <c r="E5581" s="156"/>
      <c r="F5581" s="50" t="s">
        <v>523</v>
      </c>
      <c r="G5581" s="50" t="str">
        <f t="shared" si="105"/>
        <v/>
      </c>
      <c r="H5581" s="69"/>
      <c r="I5581" s="70"/>
      <c r="J5581" s="141">
        <v>0</v>
      </c>
    </row>
    <row r="5582" spans="1:10" ht="15.75" hidden="1" thickBot="1" x14ac:dyDescent="0.3">
      <c r="A5582" s="243"/>
      <c r="B5582" s="230"/>
      <c r="C5582" s="51"/>
      <c r="D5582" s="151"/>
      <c r="E5582" s="62"/>
      <c r="F5582" s="72" t="s">
        <v>523</v>
      </c>
      <c r="G5582" s="72" t="str">
        <f t="shared" si="105"/>
        <v/>
      </c>
      <c r="H5582" s="73"/>
      <c r="I5582" s="70"/>
      <c r="J5582" s="141">
        <v>0</v>
      </c>
    </row>
    <row r="5583" spans="1:10" ht="15.75" hidden="1" thickBot="1" x14ac:dyDescent="0.3">
      <c r="A5583" s="239" t="s">
        <v>5060</v>
      </c>
      <c r="B5583" s="228" t="str">
        <f>INDEX(Orçamentária!A:B,MATCH(Composições!A5583,Orçamentária!A:A,0),2)</f>
        <v>Eletricista Plantonista (noturno)</v>
      </c>
      <c r="C5583" s="37"/>
      <c r="D5583" s="22" t="str">
        <f>TRIM(INDEX(Orçamentária!C:C,MATCH(Composições!A5583,Orçamentária!A:A,0),1))</f>
        <v>Profissional</v>
      </c>
      <c r="E5583" s="23"/>
      <c r="F5583" s="45" t="s">
        <v>523</v>
      </c>
      <c r="G5583" s="24" t="str">
        <f t="shared" si="105"/>
        <v/>
      </c>
      <c r="H5583" s="25"/>
      <c r="I5583" s="26"/>
      <c r="J5583" s="141">
        <v>0</v>
      </c>
    </row>
    <row r="5584" spans="1:10" ht="15.75" hidden="1" thickBot="1" x14ac:dyDescent="0.3">
      <c r="A5584" s="242"/>
      <c r="B5584" s="229"/>
      <c r="C5584" s="155"/>
      <c r="D5584" s="155"/>
      <c r="E5584" s="156"/>
      <c r="F5584" s="50" t="s">
        <v>523</v>
      </c>
      <c r="G5584" s="50" t="str">
        <f t="shared" si="105"/>
        <v/>
      </c>
      <c r="H5584" s="69"/>
      <c r="I5584" s="70"/>
      <c r="J5584" s="141">
        <v>0</v>
      </c>
    </row>
    <row r="5585" spans="1:10" ht="15.75" hidden="1" thickBot="1" x14ac:dyDescent="0.3">
      <c r="A5585" s="242"/>
      <c r="B5585" s="229"/>
      <c r="C5585" s="32" t="s">
        <v>1165</v>
      </c>
      <c r="D5585" s="148" t="s">
        <v>12</v>
      </c>
      <c r="E5585" s="149">
        <f>ROUND(220/(1+110.14%),4)</f>
        <v>104.6921</v>
      </c>
      <c r="F5585" s="27">
        <v>25.146499999999996</v>
      </c>
      <c r="G5585" s="50">
        <f t="shared" si="105"/>
        <v>2632.6398926499996</v>
      </c>
      <c r="H5585" s="35">
        <f>SUM(G5585:G5585)</f>
        <v>2632.6398926499996</v>
      </c>
      <c r="I5585" s="36"/>
      <c r="J5585" s="141">
        <v>0</v>
      </c>
    </row>
    <row r="5586" spans="1:10" ht="15.75" hidden="1" thickBot="1" x14ac:dyDescent="0.3">
      <c r="A5586" s="242"/>
      <c r="B5586" s="229"/>
      <c r="C5586" s="155"/>
      <c r="D5586" s="155"/>
      <c r="E5586" s="156"/>
      <c r="F5586" s="50" t="s">
        <v>523</v>
      </c>
      <c r="G5586" s="50" t="str">
        <f t="shared" si="105"/>
        <v/>
      </c>
      <c r="H5586" s="69"/>
      <c r="I5586" s="70"/>
      <c r="J5586" s="141">
        <v>0</v>
      </c>
    </row>
    <row r="5587" spans="1:10" ht="26.25" hidden="1" thickBot="1" x14ac:dyDescent="0.3">
      <c r="A5587" s="242"/>
      <c r="B5587" s="229"/>
      <c r="C5587" s="44" t="s">
        <v>783</v>
      </c>
      <c r="D5587" s="155"/>
      <c r="E5587" s="156"/>
      <c r="F5587" s="50" t="s">
        <v>523</v>
      </c>
      <c r="G5587" s="50" t="str">
        <f t="shared" si="105"/>
        <v/>
      </c>
      <c r="H5587" s="69"/>
      <c r="I5587" s="70"/>
      <c r="J5587" s="141">
        <v>0</v>
      </c>
    </row>
    <row r="5588" spans="1:10" ht="15.75" hidden="1" thickBot="1" x14ac:dyDescent="0.3">
      <c r="A5588" s="243"/>
      <c r="B5588" s="230"/>
      <c r="C5588" s="51"/>
      <c r="D5588" s="151"/>
      <c r="E5588" s="62"/>
      <c r="F5588" s="72" t="s">
        <v>523</v>
      </c>
      <c r="G5588" s="72" t="str">
        <f t="shared" si="105"/>
        <v/>
      </c>
      <c r="H5588" s="73"/>
      <c r="I5588" s="70"/>
      <c r="J5588" s="141">
        <v>0</v>
      </c>
    </row>
    <row r="5589" spans="1:10" ht="15.75" hidden="1" thickBot="1" x14ac:dyDescent="0.3">
      <c r="A5589" s="239" t="s">
        <v>5061</v>
      </c>
      <c r="B5589" s="228" t="str">
        <f>INDEX(Orçamentária!A:B,MATCH(Composições!A5589,Orçamentária!A:A,0),2)</f>
        <v>Eletricista Plantonista – Áreas Restritas (diurno)</v>
      </c>
      <c r="C5589" s="37"/>
      <c r="D5589" s="22" t="str">
        <f>TRIM(INDEX(Orçamentária!C:C,MATCH(Composições!A5589,Orçamentária!A:A,0),1))</f>
        <v>Profissional</v>
      </c>
      <c r="E5589" s="23"/>
      <c r="F5589" s="45" t="s">
        <v>523</v>
      </c>
      <c r="G5589" s="24" t="str">
        <f t="shared" si="105"/>
        <v/>
      </c>
      <c r="H5589" s="25"/>
      <c r="I5589" s="26"/>
      <c r="J5589" s="141">
        <v>0</v>
      </c>
    </row>
    <row r="5590" spans="1:10" ht="15.75" hidden="1" thickBot="1" x14ac:dyDescent="0.3">
      <c r="A5590" s="242"/>
      <c r="B5590" s="229"/>
      <c r="C5590" s="155"/>
      <c r="D5590" s="155"/>
      <c r="E5590" s="156"/>
      <c r="F5590" s="50" t="s">
        <v>523</v>
      </c>
      <c r="G5590" s="50" t="str">
        <f t="shared" si="105"/>
        <v/>
      </c>
      <c r="H5590" s="69"/>
      <c r="I5590" s="70"/>
      <c r="J5590" s="141">
        <v>0</v>
      </c>
    </row>
    <row r="5591" spans="1:10" ht="15.75" hidden="1" thickBot="1" x14ac:dyDescent="0.3">
      <c r="A5591" s="242"/>
      <c r="B5591" s="229"/>
      <c r="C5591" s="32" t="s">
        <v>1165</v>
      </c>
      <c r="D5591" s="148" t="s">
        <v>12</v>
      </c>
      <c r="E5591" s="149">
        <f>ROUND(220/(1+110.14%),4)</f>
        <v>104.6921</v>
      </c>
      <c r="F5591" s="27">
        <v>25.146499999999996</v>
      </c>
      <c r="G5591" s="50">
        <f t="shared" si="105"/>
        <v>2632.6398926499996</v>
      </c>
      <c r="H5591" s="35">
        <f>SUM(G5591:G5591)</f>
        <v>2632.6398926499996</v>
      </c>
      <c r="I5591" s="36"/>
      <c r="J5591" s="141">
        <v>0</v>
      </c>
    </row>
    <row r="5592" spans="1:10" ht="15.75" hidden="1" thickBot="1" x14ac:dyDescent="0.3">
      <c r="A5592" s="242"/>
      <c r="B5592" s="229"/>
      <c r="C5592" s="155"/>
      <c r="D5592" s="155"/>
      <c r="E5592" s="156"/>
      <c r="F5592" s="50" t="s">
        <v>523</v>
      </c>
      <c r="G5592" s="50" t="str">
        <f t="shared" si="105"/>
        <v/>
      </c>
      <c r="H5592" s="69"/>
      <c r="I5592" s="70"/>
      <c r="J5592" s="141">
        <v>0</v>
      </c>
    </row>
    <row r="5593" spans="1:10" ht="26.25" hidden="1" thickBot="1" x14ac:dyDescent="0.3">
      <c r="A5593" s="242"/>
      <c r="B5593" s="229"/>
      <c r="C5593" s="44" t="s">
        <v>783</v>
      </c>
      <c r="D5593" s="155"/>
      <c r="E5593" s="156"/>
      <c r="F5593" s="50" t="s">
        <v>523</v>
      </c>
      <c r="G5593" s="50" t="str">
        <f t="shared" si="105"/>
        <v/>
      </c>
      <c r="H5593" s="69"/>
      <c r="I5593" s="70"/>
      <c r="J5593" s="141">
        <v>0</v>
      </c>
    </row>
    <row r="5594" spans="1:10" ht="15.75" hidden="1" thickBot="1" x14ac:dyDescent="0.3">
      <c r="A5594" s="243"/>
      <c r="B5594" s="230"/>
      <c r="C5594" s="51"/>
      <c r="D5594" s="151"/>
      <c r="E5594" s="62"/>
      <c r="F5594" s="72" t="s">
        <v>523</v>
      </c>
      <c r="G5594" s="72" t="str">
        <f t="shared" si="105"/>
        <v/>
      </c>
      <c r="H5594" s="73"/>
      <c r="I5594" s="70"/>
      <c r="J5594" s="141">
        <v>0</v>
      </c>
    </row>
    <row r="5595" spans="1:10" ht="15.75" hidden="1" thickBot="1" x14ac:dyDescent="0.3">
      <c r="A5595" s="239" t="s">
        <v>5062</v>
      </c>
      <c r="B5595" s="228" t="str">
        <f>INDEX(Orçamentária!A:B,MATCH(Composições!A5595,Orçamentária!A:A,0),2)</f>
        <v>Eletricista Plantonista – Áreas Restritas (noturno)</v>
      </c>
      <c r="C5595" s="37"/>
      <c r="D5595" s="22" t="str">
        <f>TRIM(INDEX(Orçamentária!C:C,MATCH(Composições!A5595,Orçamentária!A:A,0),1))</f>
        <v>Profissional</v>
      </c>
      <c r="E5595" s="23"/>
      <c r="F5595" s="45" t="s">
        <v>523</v>
      </c>
      <c r="G5595" s="24" t="str">
        <f t="shared" si="105"/>
        <v/>
      </c>
      <c r="H5595" s="25"/>
      <c r="I5595" s="26"/>
      <c r="J5595" s="141">
        <v>0</v>
      </c>
    </row>
    <row r="5596" spans="1:10" ht="15.75" hidden="1" thickBot="1" x14ac:dyDescent="0.3">
      <c r="A5596" s="242"/>
      <c r="B5596" s="229"/>
      <c r="C5596" s="155"/>
      <c r="D5596" s="155"/>
      <c r="E5596" s="156"/>
      <c r="F5596" s="50" t="s">
        <v>523</v>
      </c>
      <c r="G5596" s="50" t="str">
        <f t="shared" si="105"/>
        <v/>
      </c>
      <c r="H5596" s="69"/>
      <c r="I5596" s="70"/>
      <c r="J5596" s="141">
        <v>0</v>
      </c>
    </row>
    <row r="5597" spans="1:10" ht="15.75" hidden="1" thickBot="1" x14ac:dyDescent="0.3">
      <c r="A5597" s="242"/>
      <c r="B5597" s="229"/>
      <c r="C5597" s="32" t="s">
        <v>1165</v>
      </c>
      <c r="D5597" s="148" t="s">
        <v>12</v>
      </c>
      <c r="E5597" s="149">
        <f>ROUND(220/(1+110.14%),4)</f>
        <v>104.6921</v>
      </c>
      <c r="F5597" s="27">
        <v>25.146499999999996</v>
      </c>
      <c r="G5597" s="50">
        <f t="shared" si="105"/>
        <v>2632.6398926499996</v>
      </c>
      <c r="H5597" s="35">
        <f>SUM(G5597:G5597)</f>
        <v>2632.6398926499996</v>
      </c>
      <c r="I5597" s="36"/>
      <c r="J5597" s="141">
        <v>0</v>
      </c>
    </row>
    <row r="5598" spans="1:10" ht="15.75" hidden="1" thickBot="1" x14ac:dyDescent="0.3">
      <c r="A5598" s="242"/>
      <c r="B5598" s="229"/>
      <c r="C5598" s="155"/>
      <c r="D5598" s="155"/>
      <c r="E5598" s="156"/>
      <c r="F5598" s="50" t="s">
        <v>523</v>
      </c>
      <c r="G5598" s="50" t="str">
        <f t="shared" ref="G5598:G5661" si="106">IF(ISNUMBER(F5598),E5598*F5598,"")</f>
        <v/>
      </c>
      <c r="H5598" s="69"/>
      <c r="I5598" s="70"/>
      <c r="J5598" s="141">
        <v>0</v>
      </c>
    </row>
    <row r="5599" spans="1:10" ht="26.25" hidden="1" thickBot="1" x14ac:dyDescent="0.3">
      <c r="A5599" s="242"/>
      <c r="B5599" s="229"/>
      <c r="C5599" s="44" t="s">
        <v>783</v>
      </c>
      <c r="D5599" s="155"/>
      <c r="E5599" s="156"/>
      <c r="F5599" s="50" t="s">
        <v>523</v>
      </c>
      <c r="G5599" s="50" t="str">
        <f t="shared" si="106"/>
        <v/>
      </c>
      <c r="H5599" s="69"/>
      <c r="I5599" s="70"/>
      <c r="J5599" s="141">
        <v>0</v>
      </c>
    </row>
    <row r="5600" spans="1:10" ht="15.75" hidden="1" thickBot="1" x14ac:dyDescent="0.3">
      <c r="A5600" s="243"/>
      <c r="B5600" s="230"/>
      <c r="C5600" s="51"/>
      <c r="D5600" s="151"/>
      <c r="E5600" s="62"/>
      <c r="F5600" s="72" t="s">
        <v>523</v>
      </c>
      <c r="G5600" s="72" t="str">
        <f t="shared" si="106"/>
        <v/>
      </c>
      <c r="H5600" s="73"/>
      <c r="I5600" s="70"/>
      <c r="J5600" s="141">
        <v>0</v>
      </c>
    </row>
    <row r="5601" spans="1:10" ht="15.75" hidden="1" thickBot="1" x14ac:dyDescent="0.3">
      <c r="A5601" s="225" t="s">
        <v>5128</v>
      </c>
      <c r="B5601" s="228" t="str">
        <f>INDEX(Orçamentária!A:B,MATCH(Composições!A5601,Orçamentária!A:A,0),2)</f>
        <v>Chapa de aço galvanizado</v>
      </c>
      <c r="C5601" s="37"/>
      <c r="D5601" s="22" t="str">
        <f>TRIM(INDEX(Orçamentária!C:C,MATCH(Composições!A5601,Orçamentária!A:A,0),1))</f>
        <v>kg</v>
      </c>
      <c r="E5601" s="23"/>
      <c r="F5601" s="45" t="s">
        <v>523</v>
      </c>
      <c r="G5601" s="24" t="str">
        <f t="shared" si="106"/>
        <v/>
      </c>
      <c r="H5601" s="25"/>
      <c r="I5601" s="26"/>
      <c r="J5601" s="141">
        <v>0</v>
      </c>
    </row>
    <row r="5602" spans="1:10" ht="15.75" hidden="1" thickBot="1" x14ac:dyDescent="0.3">
      <c r="A5602" s="231"/>
      <c r="B5602" s="229"/>
      <c r="C5602" s="155"/>
      <c r="D5602" s="155"/>
      <c r="E5602" s="156"/>
      <c r="F5602" s="50" t="s">
        <v>523</v>
      </c>
      <c r="G5602" s="50" t="str">
        <f t="shared" si="106"/>
        <v/>
      </c>
      <c r="H5602" s="69"/>
      <c r="I5602" s="70"/>
      <c r="J5602" s="141">
        <v>0</v>
      </c>
    </row>
    <row r="5603" spans="1:10" ht="26.25" hidden="1" thickBot="1" x14ac:dyDescent="0.3">
      <c r="A5603" s="231"/>
      <c r="B5603" s="229"/>
      <c r="C5603" s="32" t="s">
        <v>3267</v>
      </c>
      <c r="D5603" s="148" t="s">
        <v>42</v>
      </c>
      <c r="E5603" s="149">
        <v>1</v>
      </c>
      <c r="F5603" s="27">
        <v>15.1715</v>
      </c>
      <c r="G5603" s="50">
        <f t="shared" si="106"/>
        <v>15.1715</v>
      </c>
      <c r="H5603" s="35">
        <f>SUM(G5603:G5603)</f>
        <v>15.1715</v>
      </c>
      <c r="I5603" s="36"/>
      <c r="J5603" s="141">
        <v>0</v>
      </c>
    </row>
    <row r="5604" spans="1:10" ht="15.75" hidden="1" thickBot="1" x14ac:dyDescent="0.3">
      <c r="A5604" s="232"/>
      <c r="B5604" s="230"/>
      <c r="C5604" s="51"/>
      <c r="D5604" s="151"/>
      <c r="E5604" s="62"/>
      <c r="F5604" s="72" t="s">
        <v>523</v>
      </c>
      <c r="G5604" s="72" t="str">
        <f t="shared" si="106"/>
        <v/>
      </c>
      <c r="H5604" s="73"/>
      <c r="I5604" s="70"/>
      <c r="J5604" s="141">
        <v>0</v>
      </c>
    </row>
    <row r="5605" spans="1:10" ht="15.75" hidden="1" thickBot="1" x14ac:dyDescent="0.3">
      <c r="A5605" s="225" t="s">
        <v>5134</v>
      </c>
      <c r="B5605" s="228" t="str">
        <f>INDEX(Orçamentária!A:B,MATCH(Composições!A5605,Orçamentária!A:A,0),2)</f>
        <v>Perfil de aço</v>
      </c>
      <c r="C5605" s="37"/>
      <c r="D5605" s="22" t="str">
        <f>TRIM(INDEX(Orçamentária!C:C,MATCH(Composições!A5605,Orçamentária!A:A,0),1))</f>
        <v>kg</v>
      </c>
      <c r="E5605" s="23"/>
      <c r="F5605" s="45" t="s">
        <v>523</v>
      </c>
      <c r="G5605" s="24" t="str">
        <f t="shared" si="106"/>
        <v/>
      </c>
      <c r="H5605" s="25"/>
      <c r="I5605" s="26"/>
      <c r="J5605" s="141">
        <v>0</v>
      </c>
    </row>
    <row r="5606" spans="1:10" ht="15.75" hidden="1" thickBot="1" x14ac:dyDescent="0.3">
      <c r="A5606" s="231"/>
      <c r="B5606" s="229"/>
      <c r="C5606" s="155"/>
      <c r="D5606" s="155"/>
      <c r="E5606" s="156"/>
      <c r="F5606" s="50" t="s">
        <v>523</v>
      </c>
      <c r="G5606" s="50" t="str">
        <f t="shared" si="106"/>
        <v/>
      </c>
      <c r="H5606" s="69"/>
      <c r="I5606" s="70"/>
      <c r="J5606" s="141">
        <v>0</v>
      </c>
    </row>
    <row r="5607" spans="1:10" ht="26.25" hidden="1" thickBot="1" x14ac:dyDescent="0.3">
      <c r="A5607" s="231"/>
      <c r="B5607" s="229"/>
      <c r="C5607" s="32" t="s">
        <v>130</v>
      </c>
      <c r="D5607" s="148" t="s">
        <v>42</v>
      </c>
      <c r="E5607" s="149">
        <v>1</v>
      </c>
      <c r="F5607" s="27">
        <v>11.856</v>
      </c>
      <c r="G5607" s="50">
        <f t="shared" si="106"/>
        <v>11.856</v>
      </c>
      <c r="H5607" s="35">
        <f>SUM(G5607:G5607)</f>
        <v>11.856</v>
      </c>
      <c r="I5607" s="36"/>
      <c r="J5607" s="141">
        <v>0</v>
      </c>
    </row>
    <row r="5608" spans="1:10" ht="15.75" hidden="1" thickBot="1" x14ac:dyDescent="0.3">
      <c r="A5608" s="232"/>
      <c r="B5608" s="230"/>
      <c r="C5608" s="51"/>
      <c r="D5608" s="151"/>
      <c r="E5608" s="62"/>
      <c r="F5608" s="72" t="s">
        <v>523</v>
      </c>
      <c r="G5608" s="72" t="str">
        <f t="shared" si="106"/>
        <v/>
      </c>
      <c r="H5608" s="73"/>
      <c r="I5608" s="70"/>
      <c r="J5608" s="141">
        <v>0</v>
      </c>
    </row>
    <row r="5609" spans="1:10" ht="15.75" hidden="1" thickBot="1" x14ac:dyDescent="0.3">
      <c r="A5609" s="225" t="s">
        <v>5180</v>
      </c>
      <c r="B5609" s="228" t="str">
        <f>INDEX(Orçamentária!A:B,MATCH(Composições!A5609,Orçamentária!A:A,0),2)</f>
        <v>Condulete de alumínio de 3/4”</v>
      </c>
      <c r="C5609" s="37"/>
      <c r="D5609" s="22" t="str">
        <f>TRIM(INDEX(Orçamentária!C:C,MATCH(Composições!A5609,Orçamentária!A:A,0),1))</f>
        <v>un</v>
      </c>
      <c r="E5609" s="23"/>
      <c r="F5609" s="45" t="s">
        <v>523</v>
      </c>
      <c r="G5609" s="24" t="str">
        <f t="shared" si="106"/>
        <v/>
      </c>
      <c r="H5609" s="25"/>
      <c r="I5609" s="26"/>
      <c r="J5609" s="141">
        <v>0</v>
      </c>
    </row>
    <row r="5610" spans="1:10" ht="15.75" hidden="1" thickBot="1" x14ac:dyDescent="0.3">
      <c r="A5610" s="231"/>
      <c r="B5610" s="229"/>
      <c r="C5610" s="155"/>
      <c r="D5610" s="155"/>
      <c r="E5610" s="156"/>
      <c r="F5610" s="50" t="s">
        <v>523</v>
      </c>
      <c r="G5610" s="50" t="str">
        <f t="shared" si="106"/>
        <v/>
      </c>
      <c r="H5610" s="69"/>
      <c r="I5610" s="70"/>
      <c r="J5610" s="141">
        <v>0</v>
      </c>
    </row>
    <row r="5611" spans="1:10" ht="26.25" hidden="1" thickBot="1" x14ac:dyDescent="0.3">
      <c r="A5611" s="231"/>
      <c r="B5611" s="229"/>
      <c r="C5611" s="32" t="s">
        <v>3279</v>
      </c>
      <c r="D5611" s="148" t="s">
        <v>20</v>
      </c>
      <c r="E5611" s="149">
        <v>1</v>
      </c>
      <c r="F5611" s="27">
        <v>10.696999999999999</v>
      </c>
      <c r="G5611" s="50">
        <f t="shared" si="106"/>
        <v>10.696999999999999</v>
      </c>
      <c r="H5611" s="35">
        <f>SUM(G5611:G5611)</f>
        <v>10.696999999999999</v>
      </c>
      <c r="I5611" s="36"/>
      <c r="J5611" s="141">
        <v>0</v>
      </c>
    </row>
    <row r="5612" spans="1:10" ht="15.75" hidden="1" thickBot="1" x14ac:dyDescent="0.3">
      <c r="A5612" s="232"/>
      <c r="B5612" s="230"/>
      <c r="C5612" s="51"/>
      <c r="D5612" s="151"/>
      <c r="E5612" s="62"/>
      <c r="F5612" s="72" t="s">
        <v>523</v>
      </c>
      <c r="G5612" s="72" t="str">
        <f t="shared" si="106"/>
        <v/>
      </c>
      <c r="H5612" s="73"/>
      <c r="I5612" s="70"/>
      <c r="J5612" s="141">
        <v>0</v>
      </c>
    </row>
    <row r="5613" spans="1:10" ht="15.75" hidden="1" thickBot="1" x14ac:dyDescent="0.3">
      <c r="A5613" s="225" t="s">
        <v>5181</v>
      </c>
      <c r="B5613" s="228" t="str">
        <f>INDEX(Orçamentária!A:B,MATCH(Composições!A5613,Orçamentária!A:A,0),2)</f>
        <v>Condulete de alumínio de 1”</v>
      </c>
      <c r="C5613" s="37"/>
      <c r="D5613" s="22" t="str">
        <f>TRIM(INDEX(Orçamentária!C:C,MATCH(Composições!A5613,Orçamentária!A:A,0),1))</f>
        <v>un</v>
      </c>
      <c r="E5613" s="23"/>
      <c r="F5613" s="45" t="s">
        <v>523</v>
      </c>
      <c r="G5613" s="24" t="str">
        <f t="shared" si="106"/>
        <v/>
      </c>
      <c r="H5613" s="25"/>
      <c r="I5613" s="26"/>
      <c r="J5613" s="141">
        <v>0</v>
      </c>
    </row>
    <row r="5614" spans="1:10" ht="15.75" hidden="1" thickBot="1" x14ac:dyDescent="0.3">
      <c r="A5614" s="231"/>
      <c r="B5614" s="229"/>
      <c r="C5614" s="155"/>
      <c r="D5614" s="155"/>
      <c r="E5614" s="156"/>
      <c r="F5614" s="50" t="s">
        <v>523</v>
      </c>
      <c r="G5614" s="50" t="str">
        <f t="shared" si="106"/>
        <v/>
      </c>
      <c r="H5614" s="69"/>
      <c r="I5614" s="70"/>
      <c r="J5614" s="141">
        <v>0</v>
      </c>
    </row>
    <row r="5615" spans="1:10" ht="26.25" hidden="1" thickBot="1" x14ac:dyDescent="0.3">
      <c r="A5615" s="231"/>
      <c r="B5615" s="229"/>
      <c r="C5615" s="32" t="s">
        <v>3277</v>
      </c>
      <c r="D5615" s="148" t="s">
        <v>20</v>
      </c>
      <c r="E5615" s="149">
        <v>1</v>
      </c>
      <c r="F5615" s="27">
        <v>17.964500000000001</v>
      </c>
      <c r="G5615" s="50">
        <f t="shared" si="106"/>
        <v>17.964500000000001</v>
      </c>
      <c r="H5615" s="35">
        <f>SUM(G5615:G5615)</f>
        <v>17.964500000000001</v>
      </c>
      <c r="I5615" s="36"/>
      <c r="J5615" s="141">
        <v>0</v>
      </c>
    </row>
    <row r="5616" spans="1:10" ht="15.75" hidden="1" thickBot="1" x14ac:dyDescent="0.3">
      <c r="A5616" s="232"/>
      <c r="B5616" s="230"/>
      <c r="C5616" s="51"/>
      <c r="D5616" s="151"/>
      <c r="E5616" s="62"/>
      <c r="F5616" s="72" t="s">
        <v>523</v>
      </c>
      <c r="G5616" s="72" t="str">
        <f t="shared" si="106"/>
        <v/>
      </c>
      <c r="H5616" s="73"/>
      <c r="I5616" s="70"/>
      <c r="J5616" s="141">
        <v>0</v>
      </c>
    </row>
    <row r="5617" spans="1:10" ht="15.75" hidden="1" thickBot="1" x14ac:dyDescent="0.3">
      <c r="A5617" s="225" t="s">
        <v>5182</v>
      </c>
      <c r="B5617" s="228" t="str">
        <f>INDEX(Orçamentária!A:B,MATCH(Composições!A5617,Orçamentária!A:A,0),2)</f>
        <v>Condulete de alumínio de 1 1/4”</v>
      </c>
      <c r="C5617" s="37"/>
      <c r="D5617" s="22" t="str">
        <f>TRIM(INDEX(Orçamentária!C:C,MATCH(Composições!A5617,Orçamentária!A:A,0),1))</f>
        <v>un</v>
      </c>
      <c r="E5617" s="23"/>
      <c r="F5617" s="45" t="s">
        <v>523</v>
      </c>
      <c r="G5617" s="24" t="str">
        <f t="shared" si="106"/>
        <v/>
      </c>
      <c r="H5617" s="25"/>
      <c r="I5617" s="26"/>
      <c r="J5617" s="141">
        <v>0</v>
      </c>
    </row>
    <row r="5618" spans="1:10" ht="15.75" hidden="1" thickBot="1" x14ac:dyDescent="0.3">
      <c r="A5618" s="231"/>
      <c r="B5618" s="229"/>
      <c r="C5618" s="155"/>
      <c r="D5618" s="155"/>
      <c r="E5618" s="156"/>
      <c r="F5618" s="50" t="s">
        <v>523</v>
      </c>
      <c r="G5618" s="50" t="str">
        <f t="shared" si="106"/>
        <v/>
      </c>
      <c r="H5618" s="69"/>
      <c r="I5618" s="70"/>
      <c r="J5618" s="141">
        <v>0</v>
      </c>
    </row>
    <row r="5619" spans="1:10" ht="26.25" hidden="1" thickBot="1" x14ac:dyDescent="0.3">
      <c r="A5619" s="231"/>
      <c r="B5619" s="229"/>
      <c r="C5619" s="32" t="s">
        <v>6649</v>
      </c>
      <c r="D5619" s="148" t="s">
        <v>20</v>
      </c>
      <c r="E5619" s="149">
        <v>1</v>
      </c>
      <c r="F5619" s="27">
        <v>22.0305</v>
      </c>
      <c r="G5619" s="50">
        <f t="shared" si="106"/>
        <v>22.0305</v>
      </c>
      <c r="H5619" s="35">
        <f>SUM(G5619:G5619)</f>
        <v>22.0305</v>
      </c>
      <c r="I5619" s="36"/>
      <c r="J5619" s="141">
        <v>0</v>
      </c>
    </row>
    <row r="5620" spans="1:10" ht="15.75" hidden="1" thickBot="1" x14ac:dyDescent="0.3">
      <c r="A5620" s="232"/>
      <c r="B5620" s="230"/>
      <c r="C5620" s="51"/>
      <c r="D5620" s="151"/>
      <c r="E5620" s="62"/>
      <c r="F5620" s="72" t="s">
        <v>523</v>
      </c>
      <c r="G5620" s="72" t="str">
        <f t="shared" si="106"/>
        <v/>
      </c>
      <c r="H5620" s="73"/>
      <c r="I5620" s="70"/>
      <c r="J5620" s="141">
        <v>0</v>
      </c>
    </row>
    <row r="5621" spans="1:10" ht="15.75" hidden="1" thickBot="1" x14ac:dyDescent="0.3">
      <c r="A5621" s="225" t="s">
        <v>5183</v>
      </c>
      <c r="B5621" s="228" t="str">
        <f>INDEX(Orçamentária!A:B,MATCH(Composições!A5621,Orçamentária!A:A,0),2)</f>
        <v>Condulete de alumínio de 1 1/2”</v>
      </c>
      <c r="C5621" s="37"/>
      <c r="D5621" s="22" t="str">
        <f>TRIM(INDEX(Orçamentária!C:C,MATCH(Composições!A5621,Orçamentária!A:A,0),1))</f>
        <v>un</v>
      </c>
      <c r="E5621" s="23"/>
      <c r="F5621" s="45" t="s">
        <v>523</v>
      </c>
      <c r="G5621" s="24" t="str">
        <f t="shared" si="106"/>
        <v/>
      </c>
      <c r="H5621" s="25"/>
      <c r="I5621" s="26"/>
      <c r="J5621" s="141">
        <v>0</v>
      </c>
    </row>
    <row r="5622" spans="1:10" ht="15.75" hidden="1" thickBot="1" x14ac:dyDescent="0.3">
      <c r="A5622" s="231"/>
      <c r="B5622" s="229"/>
      <c r="C5622" s="155"/>
      <c r="D5622" s="155"/>
      <c r="E5622" s="156"/>
      <c r="F5622" s="50" t="s">
        <v>523</v>
      </c>
      <c r="G5622" s="50" t="str">
        <f t="shared" si="106"/>
        <v/>
      </c>
      <c r="H5622" s="69"/>
      <c r="I5622" s="70"/>
      <c r="J5622" s="141">
        <v>0</v>
      </c>
    </row>
    <row r="5623" spans="1:10" ht="26.25" hidden="1" thickBot="1" x14ac:dyDescent="0.3">
      <c r="A5623" s="231"/>
      <c r="B5623" s="229"/>
      <c r="C5623" s="32" t="s">
        <v>3276</v>
      </c>
      <c r="D5623" s="148" t="s">
        <v>20</v>
      </c>
      <c r="E5623" s="149">
        <v>1</v>
      </c>
      <c r="F5623" s="27">
        <v>29.279</v>
      </c>
      <c r="G5623" s="50">
        <f t="shared" si="106"/>
        <v>29.279</v>
      </c>
      <c r="H5623" s="35">
        <f>SUM(G5623:G5623)</f>
        <v>29.279</v>
      </c>
      <c r="I5623" s="36"/>
      <c r="J5623" s="141">
        <v>0</v>
      </c>
    </row>
    <row r="5624" spans="1:10" ht="15.75" hidden="1" thickBot="1" x14ac:dyDescent="0.3">
      <c r="A5624" s="232"/>
      <c r="B5624" s="230"/>
      <c r="C5624" s="51"/>
      <c r="D5624" s="151"/>
      <c r="E5624" s="62"/>
      <c r="F5624" s="72" t="s">
        <v>523</v>
      </c>
      <c r="G5624" s="72" t="str">
        <f t="shared" si="106"/>
        <v/>
      </c>
      <c r="H5624" s="73"/>
      <c r="I5624" s="70"/>
      <c r="J5624" s="141">
        <v>0</v>
      </c>
    </row>
    <row r="5625" spans="1:10" ht="15.75" hidden="1" thickBot="1" x14ac:dyDescent="0.3">
      <c r="A5625" s="225" t="s">
        <v>5184</v>
      </c>
      <c r="B5625" s="228" t="str">
        <f>INDEX(Orçamentária!A:B,MATCH(Composições!A5625,Orçamentária!A:A,0),2)</f>
        <v xml:space="preserve">Condulete de alumínio de 2” </v>
      </c>
      <c r="C5625" s="37"/>
      <c r="D5625" s="22" t="str">
        <f>TRIM(INDEX(Orçamentária!C:C,MATCH(Composições!A5625,Orçamentária!A:A,0),1))</f>
        <v>un</v>
      </c>
      <c r="E5625" s="23"/>
      <c r="F5625" s="45" t="s">
        <v>523</v>
      </c>
      <c r="G5625" s="24" t="str">
        <f t="shared" si="106"/>
        <v/>
      </c>
      <c r="H5625" s="25"/>
      <c r="I5625" s="26"/>
      <c r="J5625" s="141">
        <v>0</v>
      </c>
    </row>
    <row r="5626" spans="1:10" ht="15.75" hidden="1" thickBot="1" x14ac:dyDescent="0.3">
      <c r="A5626" s="231"/>
      <c r="B5626" s="229"/>
      <c r="C5626" s="155"/>
      <c r="D5626" s="155"/>
      <c r="E5626" s="156"/>
      <c r="F5626" s="50" t="s">
        <v>523</v>
      </c>
      <c r="G5626" s="50" t="str">
        <f t="shared" si="106"/>
        <v/>
      </c>
      <c r="H5626" s="69"/>
      <c r="I5626" s="70"/>
      <c r="J5626" s="141">
        <v>0</v>
      </c>
    </row>
    <row r="5627" spans="1:10" ht="26.25" hidden="1" thickBot="1" x14ac:dyDescent="0.3">
      <c r="A5627" s="231"/>
      <c r="B5627" s="229"/>
      <c r="C5627" s="32" t="s">
        <v>3278</v>
      </c>
      <c r="D5627" s="148" t="s">
        <v>20</v>
      </c>
      <c r="E5627" s="149">
        <v>1</v>
      </c>
      <c r="F5627" s="27">
        <v>42.9495</v>
      </c>
      <c r="G5627" s="50">
        <f t="shared" si="106"/>
        <v>42.9495</v>
      </c>
      <c r="H5627" s="35">
        <f>SUM(G5627:G5627)</f>
        <v>42.9495</v>
      </c>
      <c r="I5627" s="36"/>
      <c r="J5627" s="141">
        <v>0</v>
      </c>
    </row>
    <row r="5628" spans="1:10" ht="15.75" hidden="1" thickBot="1" x14ac:dyDescent="0.3">
      <c r="A5628" s="232"/>
      <c r="B5628" s="230"/>
      <c r="C5628" s="51"/>
      <c r="D5628" s="151"/>
      <c r="E5628" s="62"/>
      <c r="F5628" s="72" t="s">
        <v>523</v>
      </c>
      <c r="G5628" s="72" t="str">
        <f t="shared" si="106"/>
        <v/>
      </c>
      <c r="H5628" s="73"/>
      <c r="I5628" s="70"/>
      <c r="J5628" s="141">
        <v>0</v>
      </c>
    </row>
    <row r="5629" spans="1:10" ht="15.75" hidden="1" thickBot="1" x14ac:dyDescent="0.3">
      <c r="A5629" s="225" t="s">
        <v>5186</v>
      </c>
      <c r="B5629" s="228" t="str">
        <f>INDEX(Orçamentária!A:B,MATCH(Composições!A5629,Orçamentária!A:A,0),2)</f>
        <v>Condulete de alumínio de 3”</v>
      </c>
      <c r="C5629" s="37"/>
      <c r="D5629" s="22" t="str">
        <f>TRIM(INDEX(Orçamentária!C:C,MATCH(Composições!A5629,Orçamentária!A:A,0),1))</f>
        <v>un</v>
      </c>
      <c r="E5629" s="23"/>
      <c r="F5629" s="45" t="s">
        <v>523</v>
      </c>
      <c r="G5629" s="24" t="str">
        <f t="shared" si="106"/>
        <v/>
      </c>
      <c r="H5629" s="25"/>
      <c r="I5629" s="26"/>
      <c r="J5629" s="141">
        <v>0</v>
      </c>
    </row>
    <row r="5630" spans="1:10" ht="15.75" hidden="1" thickBot="1" x14ac:dyDescent="0.3">
      <c r="A5630" s="231"/>
      <c r="B5630" s="229"/>
      <c r="C5630" s="155"/>
      <c r="D5630" s="155"/>
      <c r="E5630" s="156"/>
      <c r="F5630" s="50" t="s">
        <v>523</v>
      </c>
      <c r="G5630" s="50" t="str">
        <f t="shared" si="106"/>
        <v/>
      </c>
      <c r="H5630" s="69"/>
      <c r="I5630" s="70"/>
      <c r="J5630" s="141">
        <v>0</v>
      </c>
    </row>
    <row r="5631" spans="1:10" ht="26.25" hidden="1" thickBot="1" x14ac:dyDescent="0.3">
      <c r="A5631" s="231"/>
      <c r="B5631" s="229"/>
      <c r="C5631" s="32" t="s">
        <v>3280</v>
      </c>
      <c r="D5631" s="148" t="s">
        <v>20</v>
      </c>
      <c r="E5631" s="149">
        <v>1</v>
      </c>
      <c r="F5631" s="27">
        <v>119.26300000000001</v>
      </c>
      <c r="G5631" s="50">
        <f t="shared" si="106"/>
        <v>119.26300000000001</v>
      </c>
      <c r="H5631" s="35">
        <f>SUM(G5631:G5631)</f>
        <v>119.26300000000001</v>
      </c>
      <c r="I5631" s="36"/>
      <c r="J5631" s="141">
        <v>0</v>
      </c>
    </row>
    <row r="5632" spans="1:10" ht="15.75" hidden="1" thickBot="1" x14ac:dyDescent="0.3">
      <c r="A5632" s="232"/>
      <c r="B5632" s="230"/>
      <c r="C5632" s="51"/>
      <c r="D5632" s="151"/>
      <c r="E5632" s="62"/>
      <c r="F5632" s="72" t="s">
        <v>523</v>
      </c>
      <c r="G5632" s="72" t="str">
        <f t="shared" si="106"/>
        <v/>
      </c>
      <c r="H5632" s="73"/>
      <c r="I5632" s="70"/>
      <c r="J5632" s="141">
        <v>0</v>
      </c>
    </row>
    <row r="5633" spans="1:10" ht="15.75" hidden="1" thickBot="1" x14ac:dyDescent="0.3">
      <c r="A5633" s="225" t="s">
        <v>5187</v>
      </c>
      <c r="B5633" s="228" t="str">
        <f>INDEX(Orçamentária!A:B,MATCH(Composições!A5633,Orçamentária!A:A,0),2)</f>
        <v>Condulete de alumínio de 4”</v>
      </c>
      <c r="C5633" s="37"/>
      <c r="D5633" s="22" t="str">
        <f>TRIM(INDEX(Orçamentária!C:C,MATCH(Composições!A5633,Orçamentária!A:A,0),1))</f>
        <v>un</v>
      </c>
      <c r="E5633" s="23"/>
      <c r="F5633" s="45" t="s">
        <v>523</v>
      </c>
      <c r="G5633" s="24" t="str">
        <f t="shared" si="106"/>
        <v/>
      </c>
      <c r="H5633" s="25"/>
      <c r="I5633" s="26"/>
      <c r="J5633" s="141">
        <v>0</v>
      </c>
    </row>
    <row r="5634" spans="1:10" ht="15.75" hidden="1" thickBot="1" x14ac:dyDescent="0.3">
      <c r="A5634" s="231"/>
      <c r="B5634" s="229"/>
      <c r="C5634" s="155"/>
      <c r="D5634" s="155"/>
      <c r="E5634" s="156"/>
      <c r="F5634" s="50" t="s">
        <v>523</v>
      </c>
      <c r="G5634" s="50" t="str">
        <f t="shared" si="106"/>
        <v/>
      </c>
      <c r="H5634" s="69"/>
      <c r="I5634" s="70"/>
      <c r="J5634" s="141">
        <v>0</v>
      </c>
    </row>
    <row r="5635" spans="1:10" ht="26.25" hidden="1" thickBot="1" x14ac:dyDescent="0.3">
      <c r="A5635" s="231"/>
      <c r="B5635" s="229"/>
      <c r="C5635" s="32" t="s">
        <v>3275</v>
      </c>
      <c r="D5635" s="148" t="s">
        <v>20</v>
      </c>
      <c r="E5635" s="149">
        <v>1</v>
      </c>
      <c r="F5635" s="27">
        <v>218.9085</v>
      </c>
      <c r="G5635" s="50">
        <f t="shared" si="106"/>
        <v>218.9085</v>
      </c>
      <c r="H5635" s="35">
        <f>SUM(G5635:G5635)</f>
        <v>218.9085</v>
      </c>
      <c r="I5635" s="36"/>
      <c r="J5635" s="141">
        <v>0</v>
      </c>
    </row>
    <row r="5636" spans="1:10" ht="15.75" hidden="1" thickBot="1" x14ac:dyDescent="0.3">
      <c r="A5636" s="232"/>
      <c r="B5636" s="230"/>
      <c r="C5636" s="51"/>
      <c r="D5636" s="151"/>
      <c r="E5636" s="62"/>
      <c r="F5636" s="72" t="s">
        <v>523</v>
      </c>
      <c r="G5636" s="72" t="str">
        <f t="shared" si="106"/>
        <v/>
      </c>
      <c r="H5636" s="73"/>
      <c r="I5636" s="70"/>
      <c r="J5636" s="141">
        <v>0</v>
      </c>
    </row>
    <row r="5637" spans="1:10" ht="15.75" hidden="1" thickBot="1" x14ac:dyDescent="0.3">
      <c r="A5637" s="225" t="s">
        <v>5201</v>
      </c>
      <c r="B5637" s="228" t="str">
        <f>INDEX(Orçamentária!A:B,MATCH(Composições!A5637,Orçamentária!A:A,0),2)</f>
        <v>Tampa para condulete de PVC</v>
      </c>
      <c r="C5637" s="37"/>
      <c r="D5637" s="22" t="str">
        <f>TRIM(INDEX(Orçamentária!C:C,MATCH(Composições!A5637,Orçamentária!A:A,0),1))</f>
        <v>un</v>
      </c>
      <c r="E5637" s="23"/>
      <c r="F5637" s="45" t="s">
        <v>523</v>
      </c>
      <c r="G5637" s="24" t="str">
        <f t="shared" si="106"/>
        <v/>
      </c>
      <c r="H5637" s="25"/>
      <c r="I5637" s="26"/>
      <c r="J5637" s="141">
        <v>0</v>
      </c>
    </row>
    <row r="5638" spans="1:10" ht="15.75" hidden="1" thickBot="1" x14ac:dyDescent="0.3">
      <c r="A5638" s="231"/>
      <c r="B5638" s="229"/>
      <c r="C5638" s="155"/>
      <c r="D5638" s="155"/>
      <c r="E5638" s="156"/>
      <c r="F5638" s="50" t="s">
        <v>523</v>
      </c>
      <c r="G5638" s="50" t="str">
        <f t="shared" si="106"/>
        <v/>
      </c>
      <c r="H5638" s="69"/>
      <c r="I5638" s="70"/>
      <c r="J5638" s="141">
        <v>0</v>
      </c>
    </row>
    <row r="5639" spans="1:10" ht="15.75" hidden="1" thickBot="1" x14ac:dyDescent="0.3">
      <c r="A5639" s="231"/>
      <c r="B5639" s="229"/>
      <c r="C5639" s="32" t="s">
        <v>3367</v>
      </c>
      <c r="D5639" s="148" t="s">
        <v>20</v>
      </c>
      <c r="E5639" s="149">
        <v>1</v>
      </c>
      <c r="F5639" s="27">
        <v>5.0824999999999996</v>
      </c>
      <c r="G5639" s="50">
        <f t="shared" si="106"/>
        <v>5.0824999999999996</v>
      </c>
      <c r="H5639" s="35">
        <f>SUM(G5639:G5639)</f>
        <v>5.0824999999999996</v>
      </c>
      <c r="I5639" s="36"/>
      <c r="J5639" s="141">
        <v>0</v>
      </c>
    </row>
    <row r="5640" spans="1:10" ht="15.75" hidden="1" thickBot="1" x14ac:dyDescent="0.3">
      <c r="A5640" s="232"/>
      <c r="B5640" s="230"/>
      <c r="C5640" s="51"/>
      <c r="D5640" s="151"/>
      <c r="E5640" s="62"/>
      <c r="F5640" s="72" t="s">
        <v>523</v>
      </c>
      <c r="G5640" s="72" t="str">
        <f t="shared" si="106"/>
        <v/>
      </c>
      <c r="H5640" s="73"/>
      <c r="I5640" s="70"/>
      <c r="J5640" s="141">
        <v>0</v>
      </c>
    </row>
    <row r="5641" spans="1:10" ht="15.75" hidden="1" thickBot="1" x14ac:dyDescent="0.3">
      <c r="A5641" s="225" t="s">
        <v>5203</v>
      </c>
      <c r="B5641" s="228" t="str">
        <f>INDEX(Orçamentária!A:B,MATCH(Composições!A5641,Orçamentária!A:A,0),2)</f>
        <v>Terminal de compressão 25 mm²</v>
      </c>
      <c r="C5641" s="37"/>
      <c r="D5641" s="22" t="str">
        <f>TRIM(INDEX(Orçamentária!C:C,MATCH(Composições!A5641,Orçamentária!A:A,0),1))</f>
        <v>un</v>
      </c>
      <c r="E5641" s="23"/>
      <c r="F5641" s="45" t="s">
        <v>523</v>
      </c>
      <c r="G5641" s="24" t="str">
        <f t="shared" si="106"/>
        <v/>
      </c>
      <c r="H5641" s="25"/>
      <c r="I5641" s="26"/>
      <c r="J5641" s="141">
        <v>0</v>
      </c>
    </row>
    <row r="5642" spans="1:10" ht="15.75" hidden="1" thickBot="1" x14ac:dyDescent="0.3">
      <c r="A5642" s="231"/>
      <c r="B5642" s="229"/>
      <c r="C5642" s="155"/>
      <c r="D5642" s="155"/>
      <c r="E5642" s="156"/>
      <c r="F5642" s="50" t="s">
        <v>523</v>
      </c>
      <c r="G5642" s="50" t="str">
        <f t="shared" si="106"/>
        <v/>
      </c>
      <c r="H5642" s="69"/>
      <c r="I5642" s="70"/>
      <c r="J5642" s="141">
        <v>0</v>
      </c>
    </row>
    <row r="5643" spans="1:10" ht="26.25" hidden="1" thickBot="1" x14ac:dyDescent="0.3">
      <c r="A5643" s="231"/>
      <c r="B5643" s="229"/>
      <c r="C5643" s="32" t="s">
        <v>3378</v>
      </c>
      <c r="D5643" s="148" t="s">
        <v>20</v>
      </c>
      <c r="E5643" s="149">
        <v>1</v>
      </c>
      <c r="F5643" s="27">
        <v>2.1849999999999996</v>
      </c>
      <c r="G5643" s="50">
        <f t="shared" si="106"/>
        <v>2.1849999999999996</v>
      </c>
      <c r="H5643" s="35">
        <f>SUM(G5643:G5643)</f>
        <v>2.1849999999999996</v>
      </c>
      <c r="I5643" s="36"/>
      <c r="J5643" s="141">
        <v>0</v>
      </c>
    </row>
    <row r="5644" spans="1:10" ht="15.75" hidden="1" thickBot="1" x14ac:dyDescent="0.3">
      <c r="A5644" s="232"/>
      <c r="B5644" s="230"/>
      <c r="C5644" s="51"/>
      <c r="D5644" s="151"/>
      <c r="E5644" s="62"/>
      <c r="F5644" s="72" t="s">
        <v>523</v>
      </c>
      <c r="G5644" s="72" t="str">
        <f t="shared" si="106"/>
        <v/>
      </c>
      <c r="H5644" s="73"/>
      <c r="I5644" s="70"/>
      <c r="J5644" s="141">
        <v>0</v>
      </c>
    </row>
    <row r="5645" spans="1:10" ht="15.75" hidden="1" thickBot="1" x14ac:dyDescent="0.3">
      <c r="A5645" s="225" t="s">
        <v>5204</v>
      </c>
      <c r="B5645" s="228" t="str">
        <f>INDEX(Orçamentária!A:B,MATCH(Composições!A5645,Orçamentária!A:A,0),2)</f>
        <v>Terminal de compressão 35 mm²</v>
      </c>
      <c r="C5645" s="37"/>
      <c r="D5645" s="22" t="str">
        <f>TRIM(INDEX(Orçamentária!C:C,MATCH(Composições!A5645,Orçamentária!A:A,0),1))</f>
        <v>un</v>
      </c>
      <c r="E5645" s="23"/>
      <c r="F5645" s="45" t="s">
        <v>523</v>
      </c>
      <c r="G5645" s="24" t="str">
        <f t="shared" si="106"/>
        <v/>
      </c>
      <c r="H5645" s="25"/>
      <c r="I5645" s="26"/>
      <c r="J5645" s="141">
        <v>0</v>
      </c>
    </row>
    <row r="5646" spans="1:10" ht="15.75" hidden="1" thickBot="1" x14ac:dyDescent="0.3">
      <c r="A5646" s="231"/>
      <c r="B5646" s="229"/>
      <c r="C5646" s="155"/>
      <c r="D5646" s="155"/>
      <c r="E5646" s="156"/>
      <c r="F5646" s="50" t="s">
        <v>523</v>
      </c>
      <c r="G5646" s="50" t="str">
        <f t="shared" si="106"/>
        <v/>
      </c>
      <c r="H5646" s="69"/>
      <c r="I5646" s="70"/>
      <c r="J5646" s="141">
        <v>0</v>
      </c>
    </row>
    <row r="5647" spans="1:10" ht="26.25" hidden="1" thickBot="1" x14ac:dyDescent="0.3">
      <c r="A5647" s="231"/>
      <c r="B5647" s="229"/>
      <c r="C5647" s="32" t="s">
        <v>3379</v>
      </c>
      <c r="D5647" s="148" t="s">
        <v>20</v>
      </c>
      <c r="E5647" s="149">
        <v>1</v>
      </c>
      <c r="F5647" s="27">
        <v>2.4699999999999998</v>
      </c>
      <c r="G5647" s="50">
        <f t="shared" si="106"/>
        <v>2.4699999999999998</v>
      </c>
      <c r="H5647" s="35">
        <f>SUM(G5647:G5647)</f>
        <v>2.4699999999999998</v>
      </c>
      <c r="I5647" s="36"/>
      <c r="J5647" s="141">
        <v>0</v>
      </c>
    </row>
    <row r="5648" spans="1:10" ht="15.75" hidden="1" thickBot="1" x14ac:dyDescent="0.3">
      <c r="A5648" s="232"/>
      <c r="B5648" s="230"/>
      <c r="C5648" s="51"/>
      <c r="D5648" s="151"/>
      <c r="E5648" s="62"/>
      <c r="F5648" s="72" t="s">
        <v>523</v>
      </c>
      <c r="G5648" s="72" t="str">
        <f t="shared" si="106"/>
        <v/>
      </c>
      <c r="H5648" s="73"/>
      <c r="I5648" s="70"/>
      <c r="J5648" s="141">
        <v>0</v>
      </c>
    </row>
    <row r="5649" spans="1:10" ht="15.75" hidden="1" thickBot="1" x14ac:dyDescent="0.3">
      <c r="A5649" s="225" t="s">
        <v>5205</v>
      </c>
      <c r="B5649" s="228" t="str">
        <f>INDEX(Orçamentária!A:B,MATCH(Composições!A5649,Orçamentária!A:A,0),2)</f>
        <v>Terminal de compressão 50 mm²</v>
      </c>
      <c r="C5649" s="37"/>
      <c r="D5649" s="22" t="str">
        <f>TRIM(INDEX(Orçamentária!C:C,MATCH(Composições!A5649,Orçamentária!A:A,0),1))</f>
        <v>un</v>
      </c>
      <c r="E5649" s="23"/>
      <c r="F5649" s="45" t="s">
        <v>523</v>
      </c>
      <c r="G5649" s="24" t="str">
        <f t="shared" si="106"/>
        <v/>
      </c>
      <c r="H5649" s="25"/>
      <c r="I5649" s="26"/>
      <c r="J5649" s="141">
        <v>0</v>
      </c>
    </row>
    <row r="5650" spans="1:10" ht="15.75" hidden="1" thickBot="1" x14ac:dyDescent="0.3">
      <c r="A5650" s="231"/>
      <c r="B5650" s="229"/>
      <c r="C5650" s="155"/>
      <c r="D5650" s="155"/>
      <c r="E5650" s="156"/>
      <c r="F5650" s="50" t="s">
        <v>523</v>
      </c>
      <c r="G5650" s="50" t="str">
        <f t="shared" si="106"/>
        <v/>
      </c>
      <c r="H5650" s="69"/>
      <c r="I5650" s="70"/>
      <c r="J5650" s="141">
        <v>0</v>
      </c>
    </row>
    <row r="5651" spans="1:10" ht="26.25" hidden="1" thickBot="1" x14ac:dyDescent="0.3">
      <c r="A5651" s="231"/>
      <c r="B5651" s="229"/>
      <c r="C5651" s="32" t="s">
        <v>3380</v>
      </c>
      <c r="D5651" s="148" t="s">
        <v>20</v>
      </c>
      <c r="E5651" s="149">
        <v>1</v>
      </c>
      <c r="F5651" s="27">
        <v>4.2844999999999995</v>
      </c>
      <c r="G5651" s="50">
        <f t="shared" si="106"/>
        <v>4.2844999999999995</v>
      </c>
      <c r="H5651" s="35">
        <f>SUM(G5651:G5651)</f>
        <v>4.2844999999999995</v>
      </c>
      <c r="I5651" s="36"/>
      <c r="J5651" s="141">
        <v>0</v>
      </c>
    </row>
    <row r="5652" spans="1:10" ht="15.75" hidden="1" thickBot="1" x14ac:dyDescent="0.3">
      <c r="A5652" s="232"/>
      <c r="B5652" s="230"/>
      <c r="C5652" s="51"/>
      <c r="D5652" s="151"/>
      <c r="E5652" s="62"/>
      <c r="F5652" s="72" t="s">
        <v>523</v>
      </c>
      <c r="G5652" s="72" t="str">
        <f t="shared" si="106"/>
        <v/>
      </c>
      <c r="H5652" s="73"/>
      <c r="I5652" s="70"/>
      <c r="J5652" s="141">
        <v>0</v>
      </c>
    </row>
    <row r="5653" spans="1:10" ht="15.75" hidden="1" thickBot="1" x14ac:dyDescent="0.3">
      <c r="A5653" s="225" t="s">
        <v>5206</v>
      </c>
      <c r="B5653" s="228" t="str">
        <f>INDEX(Orçamentária!A:B,MATCH(Composições!A5653,Orçamentária!A:A,0),2)</f>
        <v>Terminal de compressão 70 mm²</v>
      </c>
      <c r="C5653" s="37"/>
      <c r="D5653" s="22" t="str">
        <f>TRIM(INDEX(Orçamentária!C:C,MATCH(Composições!A5653,Orçamentária!A:A,0),1))</f>
        <v>un</v>
      </c>
      <c r="E5653" s="23"/>
      <c r="F5653" s="45" t="s">
        <v>523</v>
      </c>
      <c r="G5653" s="24" t="str">
        <f t="shared" si="106"/>
        <v/>
      </c>
      <c r="H5653" s="25"/>
      <c r="I5653" s="26"/>
      <c r="J5653" s="141">
        <v>0</v>
      </c>
    </row>
    <row r="5654" spans="1:10" ht="15.75" hidden="1" thickBot="1" x14ac:dyDescent="0.3">
      <c r="A5654" s="231"/>
      <c r="B5654" s="229"/>
      <c r="C5654" s="155"/>
      <c r="D5654" s="155"/>
      <c r="E5654" s="156"/>
      <c r="F5654" s="50" t="s">
        <v>523</v>
      </c>
      <c r="G5654" s="50" t="str">
        <f t="shared" si="106"/>
        <v/>
      </c>
      <c r="H5654" s="69"/>
      <c r="I5654" s="70"/>
      <c r="J5654" s="141">
        <v>0</v>
      </c>
    </row>
    <row r="5655" spans="1:10" ht="26.25" hidden="1" thickBot="1" x14ac:dyDescent="0.3">
      <c r="A5655" s="231"/>
      <c r="B5655" s="229"/>
      <c r="C5655" s="32" t="s">
        <v>3381</v>
      </c>
      <c r="D5655" s="148" t="s">
        <v>20</v>
      </c>
      <c r="E5655" s="149">
        <v>1</v>
      </c>
      <c r="F5655" s="27">
        <v>5.3389999999999995</v>
      </c>
      <c r="G5655" s="50">
        <f t="shared" si="106"/>
        <v>5.3389999999999995</v>
      </c>
      <c r="H5655" s="35">
        <f>SUM(G5655:G5655)</f>
        <v>5.3389999999999995</v>
      </c>
      <c r="I5655" s="36"/>
      <c r="J5655" s="141">
        <v>0</v>
      </c>
    </row>
    <row r="5656" spans="1:10" ht="15.75" hidden="1" thickBot="1" x14ac:dyDescent="0.3">
      <c r="A5656" s="232"/>
      <c r="B5656" s="230"/>
      <c r="C5656" s="51"/>
      <c r="D5656" s="151"/>
      <c r="E5656" s="62"/>
      <c r="F5656" s="72" t="s">
        <v>523</v>
      </c>
      <c r="G5656" s="72" t="str">
        <f t="shared" si="106"/>
        <v/>
      </c>
      <c r="H5656" s="73"/>
      <c r="I5656" s="70"/>
      <c r="J5656" s="141">
        <v>0</v>
      </c>
    </row>
    <row r="5657" spans="1:10" ht="15.75" hidden="1" thickBot="1" x14ac:dyDescent="0.3">
      <c r="A5657" s="225" t="s">
        <v>5207</v>
      </c>
      <c r="B5657" s="228" t="str">
        <f>INDEX(Orçamentária!A:B,MATCH(Composições!A5657,Orçamentária!A:A,0),2)</f>
        <v>Terminal de compressão 95 mm²</v>
      </c>
      <c r="C5657" s="37"/>
      <c r="D5657" s="22" t="str">
        <f>TRIM(INDEX(Orçamentária!C:C,MATCH(Composições!A5657,Orçamentária!A:A,0),1))</f>
        <v>un</v>
      </c>
      <c r="E5657" s="23"/>
      <c r="F5657" s="45" t="s">
        <v>523</v>
      </c>
      <c r="G5657" s="24" t="str">
        <f t="shared" si="106"/>
        <v/>
      </c>
      <c r="H5657" s="25"/>
      <c r="I5657" s="26"/>
      <c r="J5657" s="141">
        <v>0</v>
      </c>
    </row>
    <row r="5658" spans="1:10" ht="15.75" hidden="1" thickBot="1" x14ac:dyDescent="0.3">
      <c r="A5658" s="231"/>
      <c r="B5658" s="229"/>
      <c r="C5658" s="155"/>
      <c r="D5658" s="155"/>
      <c r="E5658" s="156"/>
      <c r="F5658" s="50" t="s">
        <v>523</v>
      </c>
      <c r="G5658" s="50" t="str">
        <f t="shared" si="106"/>
        <v/>
      </c>
      <c r="H5658" s="69"/>
      <c r="I5658" s="70"/>
      <c r="J5658" s="141">
        <v>0</v>
      </c>
    </row>
    <row r="5659" spans="1:10" ht="26.25" hidden="1" thickBot="1" x14ac:dyDescent="0.3">
      <c r="A5659" s="231"/>
      <c r="B5659" s="229"/>
      <c r="C5659" s="32" t="s">
        <v>3382</v>
      </c>
      <c r="D5659" s="148" t="s">
        <v>20</v>
      </c>
      <c r="E5659" s="149">
        <v>1</v>
      </c>
      <c r="F5659" s="27">
        <v>6.5739999999999998</v>
      </c>
      <c r="G5659" s="50">
        <f t="shared" si="106"/>
        <v>6.5739999999999998</v>
      </c>
      <c r="H5659" s="35">
        <f>SUM(G5659:G5659)</f>
        <v>6.5739999999999998</v>
      </c>
      <c r="I5659" s="36"/>
      <c r="J5659" s="141">
        <v>0</v>
      </c>
    </row>
    <row r="5660" spans="1:10" ht="15.75" hidden="1" thickBot="1" x14ac:dyDescent="0.3">
      <c r="A5660" s="232"/>
      <c r="B5660" s="230"/>
      <c r="C5660" s="51"/>
      <c r="D5660" s="151"/>
      <c r="E5660" s="62"/>
      <c r="F5660" s="72" t="s">
        <v>523</v>
      </c>
      <c r="G5660" s="72" t="str">
        <f t="shared" si="106"/>
        <v/>
      </c>
      <c r="H5660" s="73"/>
      <c r="I5660" s="70"/>
      <c r="J5660" s="141">
        <v>0</v>
      </c>
    </row>
    <row r="5661" spans="1:10" ht="15.75" hidden="1" thickBot="1" x14ac:dyDescent="0.3">
      <c r="A5661" s="225" t="s">
        <v>5208</v>
      </c>
      <c r="B5661" s="228" t="str">
        <f>INDEX(Orçamentária!A:B,MATCH(Composições!A5661,Orçamentária!A:A,0),2)</f>
        <v>Terminal de compressão 120 mm²</v>
      </c>
      <c r="C5661" s="37"/>
      <c r="D5661" s="22" t="str">
        <f>TRIM(INDEX(Orçamentária!C:C,MATCH(Composições!A5661,Orçamentária!A:A,0),1))</f>
        <v>un</v>
      </c>
      <c r="E5661" s="23"/>
      <c r="F5661" s="45" t="s">
        <v>523</v>
      </c>
      <c r="G5661" s="24" t="str">
        <f t="shared" si="106"/>
        <v/>
      </c>
      <c r="H5661" s="25"/>
      <c r="I5661" s="26"/>
      <c r="J5661" s="141">
        <v>0</v>
      </c>
    </row>
    <row r="5662" spans="1:10" ht="15.75" hidden="1" thickBot="1" x14ac:dyDescent="0.3">
      <c r="A5662" s="231"/>
      <c r="B5662" s="229"/>
      <c r="C5662" s="155"/>
      <c r="D5662" s="155"/>
      <c r="E5662" s="156"/>
      <c r="F5662" s="50" t="s">
        <v>523</v>
      </c>
      <c r="G5662" s="50" t="str">
        <f t="shared" ref="G5662:G5725" si="107">IF(ISNUMBER(F5662),E5662*F5662,"")</f>
        <v/>
      </c>
      <c r="H5662" s="69"/>
      <c r="I5662" s="70"/>
      <c r="J5662" s="141">
        <v>0</v>
      </c>
    </row>
    <row r="5663" spans="1:10" ht="26.25" hidden="1" thickBot="1" x14ac:dyDescent="0.3">
      <c r="A5663" s="231"/>
      <c r="B5663" s="229"/>
      <c r="C5663" s="32" t="s">
        <v>3377</v>
      </c>
      <c r="D5663" s="148" t="s">
        <v>20</v>
      </c>
      <c r="E5663" s="149">
        <v>1</v>
      </c>
      <c r="F5663" s="27">
        <v>9.2530000000000001</v>
      </c>
      <c r="G5663" s="50">
        <f t="shared" si="107"/>
        <v>9.2530000000000001</v>
      </c>
      <c r="H5663" s="35">
        <f>SUM(G5663:G5663)</f>
        <v>9.2530000000000001</v>
      </c>
      <c r="I5663" s="36"/>
      <c r="J5663" s="141">
        <v>0</v>
      </c>
    </row>
    <row r="5664" spans="1:10" ht="15.75" hidden="1" thickBot="1" x14ac:dyDescent="0.3">
      <c r="A5664" s="232"/>
      <c r="B5664" s="230"/>
      <c r="C5664" s="51"/>
      <c r="D5664" s="151"/>
      <c r="E5664" s="62"/>
      <c r="F5664" s="72" t="s">
        <v>523</v>
      </c>
      <c r="G5664" s="72" t="str">
        <f t="shared" si="107"/>
        <v/>
      </c>
      <c r="H5664" s="73"/>
      <c r="I5664" s="70"/>
      <c r="J5664" s="141">
        <v>0</v>
      </c>
    </row>
    <row r="5665" spans="1:10" ht="15.75" hidden="1" thickBot="1" x14ac:dyDescent="0.3">
      <c r="A5665" s="225" t="s">
        <v>5209</v>
      </c>
      <c r="B5665" s="228" t="str">
        <f>INDEX(Orçamentária!A:B,MATCH(Composições!A5665,Orçamentária!A:A,0),2)</f>
        <v>Terminal de compressão 150 mm²</v>
      </c>
      <c r="C5665" s="37"/>
      <c r="D5665" s="22" t="str">
        <f>TRIM(INDEX(Orçamentária!C:C,MATCH(Composições!A5665,Orçamentária!A:A,0),1))</f>
        <v>un</v>
      </c>
      <c r="E5665" s="23"/>
      <c r="F5665" s="45" t="s">
        <v>523</v>
      </c>
      <c r="G5665" s="24" t="str">
        <f t="shared" si="107"/>
        <v/>
      </c>
      <c r="H5665" s="25"/>
      <c r="I5665" s="26"/>
      <c r="J5665" s="141">
        <v>0</v>
      </c>
    </row>
    <row r="5666" spans="1:10" ht="15.75" hidden="1" thickBot="1" x14ac:dyDescent="0.3">
      <c r="A5666" s="231"/>
      <c r="B5666" s="229"/>
      <c r="C5666" s="155"/>
      <c r="D5666" s="155"/>
      <c r="E5666" s="156"/>
      <c r="F5666" s="50" t="s">
        <v>523</v>
      </c>
      <c r="G5666" s="50" t="str">
        <f t="shared" si="107"/>
        <v/>
      </c>
      <c r="H5666" s="69"/>
      <c r="I5666" s="70"/>
      <c r="J5666" s="141">
        <v>0</v>
      </c>
    </row>
    <row r="5667" spans="1:10" ht="26.25" hidden="1" thickBot="1" x14ac:dyDescent="0.3">
      <c r="A5667" s="231"/>
      <c r="B5667" s="229"/>
      <c r="C5667" s="32" t="s">
        <v>3383</v>
      </c>
      <c r="D5667" s="148" t="s">
        <v>20</v>
      </c>
      <c r="E5667" s="149">
        <v>1</v>
      </c>
      <c r="F5667" s="27">
        <v>20.814499999999999</v>
      </c>
      <c r="G5667" s="50">
        <f t="shared" si="107"/>
        <v>20.814499999999999</v>
      </c>
      <c r="H5667" s="35">
        <f>SUM(G5667:G5667)</f>
        <v>20.814499999999999</v>
      </c>
      <c r="I5667" s="36"/>
      <c r="J5667" s="141">
        <v>0</v>
      </c>
    </row>
    <row r="5668" spans="1:10" ht="15.75" hidden="1" thickBot="1" x14ac:dyDescent="0.3">
      <c r="A5668" s="232"/>
      <c r="B5668" s="230"/>
      <c r="C5668" s="51"/>
      <c r="D5668" s="151"/>
      <c r="E5668" s="62"/>
      <c r="F5668" s="72" t="s">
        <v>523</v>
      </c>
      <c r="G5668" s="72" t="str">
        <f t="shared" si="107"/>
        <v/>
      </c>
      <c r="H5668" s="73"/>
      <c r="I5668" s="70"/>
      <c r="J5668" s="141">
        <v>0</v>
      </c>
    </row>
    <row r="5669" spans="1:10" ht="15.75" hidden="1" thickBot="1" x14ac:dyDescent="0.3">
      <c r="A5669" s="225" t="s">
        <v>5210</v>
      </c>
      <c r="B5669" s="228" t="str">
        <f>INDEX(Orçamentária!A:B,MATCH(Composições!A5669,Orçamentária!A:A,0),2)</f>
        <v>Terminal de compressão 185 mm²</v>
      </c>
      <c r="C5669" s="37"/>
      <c r="D5669" s="22" t="str">
        <f>TRIM(INDEX(Orçamentária!C:C,MATCH(Composições!A5669,Orçamentária!A:A,0),1))</f>
        <v>un</v>
      </c>
      <c r="E5669" s="23"/>
      <c r="F5669" s="45" t="s">
        <v>523</v>
      </c>
      <c r="G5669" s="24" t="str">
        <f t="shared" si="107"/>
        <v/>
      </c>
      <c r="H5669" s="25"/>
      <c r="I5669" s="26"/>
      <c r="J5669" s="141">
        <v>0</v>
      </c>
    </row>
    <row r="5670" spans="1:10" ht="15.75" hidden="1" thickBot="1" x14ac:dyDescent="0.3">
      <c r="A5670" s="231"/>
      <c r="B5670" s="229"/>
      <c r="C5670" s="155"/>
      <c r="D5670" s="155"/>
      <c r="E5670" s="156"/>
      <c r="F5670" s="50" t="s">
        <v>523</v>
      </c>
      <c r="G5670" s="50" t="str">
        <f t="shared" si="107"/>
        <v/>
      </c>
      <c r="H5670" s="69"/>
      <c r="I5670" s="70"/>
      <c r="J5670" s="141">
        <v>0</v>
      </c>
    </row>
    <row r="5671" spans="1:10" ht="26.25" hidden="1" thickBot="1" x14ac:dyDescent="0.3">
      <c r="A5671" s="231"/>
      <c r="B5671" s="229"/>
      <c r="C5671" s="32" t="s">
        <v>3384</v>
      </c>
      <c r="D5671" s="148" t="s">
        <v>20</v>
      </c>
      <c r="E5671" s="149">
        <v>1</v>
      </c>
      <c r="F5671" s="27">
        <v>22.752499999999998</v>
      </c>
      <c r="G5671" s="50">
        <f t="shared" si="107"/>
        <v>22.752499999999998</v>
      </c>
      <c r="H5671" s="35">
        <f>SUM(G5671:G5671)</f>
        <v>22.752499999999998</v>
      </c>
      <c r="I5671" s="36"/>
      <c r="J5671" s="141">
        <v>0</v>
      </c>
    </row>
    <row r="5672" spans="1:10" ht="15.75" hidden="1" thickBot="1" x14ac:dyDescent="0.3">
      <c r="A5672" s="232"/>
      <c r="B5672" s="230"/>
      <c r="C5672" s="51"/>
      <c r="D5672" s="151"/>
      <c r="E5672" s="62"/>
      <c r="F5672" s="72" t="s">
        <v>523</v>
      </c>
      <c r="G5672" s="72" t="str">
        <f t="shared" si="107"/>
        <v/>
      </c>
      <c r="H5672" s="73"/>
      <c r="I5672" s="70"/>
      <c r="J5672" s="141">
        <v>0</v>
      </c>
    </row>
    <row r="5673" spans="1:10" ht="15.75" hidden="1" thickBot="1" x14ac:dyDescent="0.3">
      <c r="A5673" s="225" t="s">
        <v>5211</v>
      </c>
      <c r="B5673" s="228" t="str">
        <f>INDEX(Orçamentária!A:B,MATCH(Composições!A5673,Orçamentária!A:A,0),2)</f>
        <v>Terminal de compressão 240 mm²</v>
      </c>
      <c r="C5673" s="37"/>
      <c r="D5673" s="22" t="str">
        <f>TRIM(INDEX(Orçamentária!C:C,MATCH(Composições!A5673,Orçamentária!A:A,0),1))</f>
        <v>un</v>
      </c>
      <c r="E5673" s="23"/>
      <c r="F5673" s="45" t="s">
        <v>523</v>
      </c>
      <c r="G5673" s="24" t="str">
        <f t="shared" si="107"/>
        <v/>
      </c>
      <c r="H5673" s="25"/>
      <c r="I5673" s="26"/>
      <c r="J5673" s="141">
        <v>0</v>
      </c>
    </row>
    <row r="5674" spans="1:10" ht="15.75" hidden="1" thickBot="1" x14ac:dyDescent="0.3">
      <c r="A5674" s="231"/>
      <c r="B5674" s="229"/>
      <c r="C5674" s="155"/>
      <c r="D5674" s="155"/>
      <c r="E5674" s="156"/>
      <c r="F5674" s="50" t="s">
        <v>523</v>
      </c>
      <c r="G5674" s="50" t="str">
        <f t="shared" si="107"/>
        <v/>
      </c>
      <c r="H5674" s="69"/>
      <c r="I5674" s="70"/>
      <c r="J5674" s="141">
        <v>0</v>
      </c>
    </row>
    <row r="5675" spans="1:10" ht="26.25" hidden="1" thickBot="1" x14ac:dyDescent="0.3">
      <c r="A5675" s="231"/>
      <c r="B5675" s="229"/>
      <c r="C5675" s="32" t="s">
        <v>3385</v>
      </c>
      <c r="D5675" s="148" t="s">
        <v>20</v>
      </c>
      <c r="E5675" s="149">
        <v>1</v>
      </c>
      <c r="F5675" s="27">
        <v>30.02</v>
      </c>
      <c r="G5675" s="50">
        <f t="shared" si="107"/>
        <v>30.02</v>
      </c>
      <c r="H5675" s="35">
        <f>SUM(G5675:G5675)</f>
        <v>30.02</v>
      </c>
      <c r="I5675" s="36"/>
      <c r="J5675" s="141">
        <v>0</v>
      </c>
    </row>
    <row r="5676" spans="1:10" ht="15.75" hidden="1" thickBot="1" x14ac:dyDescent="0.3">
      <c r="A5676" s="232"/>
      <c r="B5676" s="230"/>
      <c r="C5676" s="51"/>
      <c r="D5676" s="151"/>
      <c r="E5676" s="62"/>
      <c r="F5676" s="72" t="s">
        <v>523</v>
      </c>
      <c r="G5676" s="72" t="str">
        <f t="shared" si="107"/>
        <v/>
      </c>
      <c r="H5676" s="73"/>
      <c r="I5676" s="70"/>
      <c r="J5676" s="141">
        <v>0</v>
      </c>
    </row>
    <row r="5677" spans="1:10" ht="15.75" hidden="1" thickBot="1" x14ac:dyDescent="0.3">
      <c r="A5677" s="225" t="s">
        <v>5212</v>
      </c>
      <c r="B5677" s="228" t="str">
        <f>INDEX(Orçamentária!A:B,MATCH(Composições!A5677,Orçamentária!A:A,0),2)</f>
        <v>Terminal de compressão 300 mm²</v>
      </c>
      <c r="C5677" s="37"/>
      <c r="D5677" s="22" t="str">
        <f>TRIM(INDEX(Orçamentária!C:C,MATCH(Composições!A5677,Orçamentária!A:A,0),1))</f>
        <v>un</v>
      </c>
      <c r="E5677" s="23"/>
      <c r="F5677" s="45" t="s">
        <v>523</v>
      </c>
      <c r="G5677" s="24" t="str">
        <f t="shared" si="107"/>
        <v/>
      </c>
      <c r="H5677" s="25"/>
      <c r="I5677" s="26"/>
      <c r="J5677" s="141">
        <v>0</v>
      </c>
    </row>
    <row r="5678" spans="1:10" ht="15.75" hidden="1" thickBot="1" x14ac:dyDescent="0.3">
      <c r="A5678" s="231"/>
      <c r="B5678" s="229"/>
      <c r="C5678" s="155"/>
      <c r="D5678" s="155"/>
      <c r="E5678" s="156"/>
      <c r="F5678" s="50" t="s">
        <v>523</v>
      </c>
      <c r="G5678" s="50" t="str">
        <f t="shared" si="107"/>
        <v/>
      </c>
      <c r="H5678" s="69"/>
      <c r="I5678" s="70"/>
      <c r="J5678" s="141">
        <v>0</v>
      </c>
    </row>
    <row r="5679" spans="1:10" ht="26.25" hidden="1" thickBot="1" x14ac:dyDescent="0.3">
      <c r="A5679" s="231"/>
      <c r="B5679" s="229"/>
      <c r="C5679" s="32" t="s">
        <v>3386</v>
      </c>
      <c r="D5679" s="148" t="s">
        <v>20</v>
      </c>
      <c r="E5679" s="149">
        <v>1</v>
      </c>
      <c r="F5679" s="27">
        <v>43.680999999999997</v>
      </c>
      <c r="G5679" s="50">
        <f t="shared" si="107"/>
        <v>43.680999999999997</v>
      </c>
      <c r="H5679" s="35">
        <f>SUM(G5679:G5679)</f>
        <v>43.680999999999997</v>
      </c>
      <c r="I5679" s="36"/>
      <c r="J5679" s="141">
        <v>0</v>
      </c>
    </row>
    <row r="5680" spans="1:10" ht="15.75" hidden="1" thickBot="1" x14ac:dyDescent="0.3">
      <c r="A5680" s="232"/>
      <c r="B5680" s="230"/>
      <c r="C5680" s="51"/>
      <c r="D5680" s="151"/>
      <c r="E5680" s="62"/>
      <c r="F5680" s="72" t="s">
        <v>523</v>
      </c>
      <c r="G5680" s="72" t="str">
        <f t="shared" si="107"/>
        <v/>
      </c>
      <c r="H5680" s="73"/>
      <c r="I5680" s="70"/>
      <c r="J5680" s="141">
        <v>0</v>
      </c>
    </row>
    <row r="5681" spans="1:10" ht="15.75" hidden="1" thickBot="1" x14ac:dyDescent="0.3">
      <c r="A5681" s="225" t="s">
        <v>5239</v>
      </c>
      <c r="B5681" s="228" t="str">
        <f>INDEX(Orçamentária!A:B,MATCH(Composições!A5681,Orçamentária!A:A,0),2)</f>
        <v>Cobre nu 16 mm²</v>
      </c>
      <c r="C5681" s="37"/>
      <c r="D5681" s="22" t="str">
        <f>TRIM(INDEX(Orçamentária!C:C,MATCH(Composições!A5681,Orçamentária!A:A,0),1))</f>
        <v>m</v>
      </c>
      <c r="E5681" s="23"/>
      <c r="F5681" s="45" t="s">
        <v>523</v>
      </c>
      <c r="G5681" s="24" t="str">
        <f t="shared" si="107"/>
        <v/>
      </c>
      <c r="H5681" s="25"/>
      <c r="I5681" s="26"/>
      <c r="J5681" s="141">
        <v>0</v>
      </c>
    </row>
    <row r="5682" spans="1:10" ht="15.75" hidden="1" thickBot="1" x14ac:dyDescent="0.3">
      <c r="A5682" s="231"/>
      <c r="B5682" s="229"/>
      <c r="C5682" s="155"/>
      <c r="D5682" s="155"/>
      <c r="E5682" s="156"/>
      <c r="F5682" s="50" t="s">
        <v>523</v>
      </c>
      <c r="G5682" s="50" t="str">
        <f t="shared" si="107"/>
        <v/>
      </c>
      <c r="H5682" s="69"/>
      <c r="I5682" s="70"/>
      <c r="J5682" s="141">
        <v>0</v>
      </c>
    </row>
    <row r="5683" spans="1:10" ht="15.75" hidden="1" thickBot="1" x14ac:dyDescent="0.3">
      <c r="A5683" s="231"/>
      <c r="B5683" s="229"/>
      <c r="C5683" s="32" t="s">
        <v>3258</v>
      </c>
      <c r="D5683" s="148" t="s">
        <v>93</v>
      </c>
      <c r="E5683" s="149">
        <v>1</v>
      </c>
      <c r="F5683" s="27">
        <v>14.344999999999999</v>
      </c>
      <c r="G5683" s="50">
        <f t="shared" si="107"/>
        <v>14.344999999999999</v>
      </c>
      <c r="H5683" s="35">
        <f>SUM(G5683:G5683)</f>
        <v>14.344999999999999</v>
      </c>
      <c r="I5683" s="36"/>
      <c r="J5683" s="141">
        <v>0</v>
      </c>
    </row>
    <row r="5684" spans="1:10" ht="15.75" hidden="1" thickBot="1" x14ac:dyDescent="0.3">
      <c r="A5684" s="232"/>
      <c r="B5684" s="230"/>
      <c r="C5684" s="51"/>
      <c r="D5684" s="151"/>
      <c r="E5684" s="62"/>
      <c r="F5684" s="72" t="s">
        <v>523</v>
      </c>
      <c r="G5684" s="72" t="str">
        <f t="shared" si="107"/>
        <v/>
      </c>
      <c r="H5684" s="73"/>
      <c r="I5684" s="70"/>
      <c r="J5684" s="141">
        <v>0</v>
      </c>
    </row>
    <row r="5685" spans="1:10" ht="15.75" hidden="1" thickBot="1" x14ac:dyDescent="0.3">
      <c r="A5685" s="225" t="s">
        <v>5240</v>
      </c>
      <c r="B5685" s="228" t="str">
        <f>INDEX(Orçamentária!A:B,MATCH(Composições!A5685,Orçamentária!A:A,0),2)</f>
        <v>Cobre nu 25 mm²</v>
      </c>
      <c r="C5685" s="37"/>
      <c r="D5685" s="22" t="str">
        <f>TRIM(INDEX(Orçamentária!C:C,MATCH(Composições!A5685,Orçamentária!A:A,0),1))</f>
        <v>m</v>
      </c>
      <c r="E5685" s="23"/>
      <c r="F5685" s="45" t="s">
        <v>523</v>
      </c>
      <c r="G5685" s="24" t="str">
        <f t="shared" si="107"/>
        <v/>
      </c>
      <c r="H5685" s="25"/>
      <c r="I5685" s="26"/>
      <c r="J5685" s="141">
        <v>0</v>
      </c>
    </row>
    <row r="5686" spans="1:10" ht="15.75" hidden="1" thickBot="1" x14ac:dyDescent="0.3">
      <c r="A5686" s="231"/>
      <c r="B5686" s="229"/>
      <c r="C5686" s="155"/>
      <c r="D5686" s="155"/>
      <c r="E5686" s="156"/>
      <c r="F5686" s="50" t="s">
        <v>523</v>
      </c>
      <c r="G5686" s="50" t="str">
        <f t="shared" si="107"/>
        <v/>
      </c>
      <c r="H5686" s="69"/>
      <c r="I5686" s="70"/>
      <c r="J5686" s="141">
        <v>0</v>
      </c>
    </row>
    <row r="5687" spans="1:10" ht="15.75" hidden="1" thickBot="1" x14ac:dyDescent="0.3">
      <c r="A5687" s="231"/>
      <c r="B5687" s="229"/>
      <c r="C5687" s="32" t="s">
        <v>3259</v>
      </c>
      <c r="D5687" s="148" t="s">
        <v>93</v>
      </c>
      <c r="E5687" s="149">
        <v>1</v>
      </c>
      <c r="F5687" s="27">
        <v>22.154</v>
      </c>
      <c r="G5687" s="50">
        <f t="shared" si="107"/>
        <v>22.154</v>
      </c>
      <c r="H5687" s="35">
        <f>SUM(G5687:G5687)</f>
        <v>22.154</v>
      </c>
      <c r="I5687" s="36"/>
      <c r="J5687" s="141">
        <v>0</v>
      </c>
    </row>
    <row r="5688" spans="1:10" ht="15.75" hidden="1" thickBot="1" x14ac:dyDescent="0.3">
      <c r="A5688" s="232"/>
      <c r="B5688" s="230"/>
      <c r="C5688" s="51"/>
      <c r="D5688" s="151"/>
      <c r="E5688" s="62"/>
      <c r="F5688" s="72" t="s">
        <v>523</v>
      </c>
      <c r="G5688" s="72" t="str">
        <f t="shared" si="107"/>
        <v/>
      </c>
      <c r="H5688" s="73"/>
      <c r="I5688" s="70"/>
      <c r="J5688" s="141">
        <v>0</v>
      </c>
    </row>
    <row r="5689" spans="1:10" ht="15.75" hidden="1" thickBot="1" x14ac:dyDescent="0.3">
      <c r="A5689" s="225" t="s">
        <v>5241</v>
      </c>
      <c r="B5689" s="228" t="str">
        <f>INDEX(Orçamentária!A:B,MATCH(Composições!A5689,Orçamentária!A:A,0),2)</f>
        <v>Cobre nu 35 mm²</v>
      </c>
      <c r="C5689" s="37"/>
      <c r="D5689" s="22" t="str">
        <f>TRIM(INDEX(Orçamentária!C:C,MATCH(Composições!A5689,Orçamentária!A:A,0),1))</f>
        <v>m</v>
      </c>
      <c r="E5689" s="23"/>
      <c r="F5689" s="45" t="s">
        <v>523</v>
      </c>
      <c r="G5689" s="24" t="str">
        <f t="shared" si="107"/>
        <v/>
      </c>
      <c r="H5689" s="25"/>
      <c r="I5689" s="26"/>
      <c r="J5689" s="141">
        <v>0</v>
      </c>
    </row>
    <row r="5690" spans="1:10" ht="15.75" hidden="1" thickBot="1" x14ac:dyDescent="0.3">
      <c r="A5690" s="231"/>
      <c r="B5690" s="229"/>
      <c r="C5690" s="155"/>
      <c r="D5690" s="155"/>
      <c r="E5690" s="156"/>
      <c r="F5690" s="50" t="s">
        <v>523</v>
      </c>
      <c r="G5690" s="50" t="str">
        <f t="shared" si="107"/>
        <v/>
      </c>
      <c r="H5690" s="69"/>
      <c r="I5690" s="70"/>
      <c r="J5690" s="141">
        <v>0</v>
      </c>
    </row>
    <row r="5691" spans="1:10" ht="15.75" hidden="1" thickBot="1" x14ac:dyDescent="0.3">
      <c r="A5691" s="231"/>
      <c r="B5691" s="229"/>
      <c r="C5691" s="32" t="s">
        <v>3260</v>
      </c>
      <c r="D5691" s="148" t="s">
        <v>93</v>
      </c>
      <c r="E5691" s="149">
        <v>1</v>
      </c>
      <c r="F5691" s="27">
        <v>30.608999999999998</v>
      </c>
      <c r="G5691" s="50">
        <f t="shared" si="107"/>
        <v>30.608999999999998</v>
      </c>
      <c r="H5691" s="35">
        <f>SUM(G5691:G5691)</f>
        <v>30.608999999999998</v>
      </c>
      <c r="I5691" s="36"/>
      <c r="J5691" s="141">
        <v>0</v>
      </c>
    </row>
    <row r="5692" spans="1:10" ht="15.75" hidden="1" thickBot="1" x14ac:dyDescent="0.3">
      <c r="A5692" s="232"/>
      <c r="B5692" s="230"/>
      <c r="C5692" s="51"/>
      <c r="D5692" s="151"/>
      <c r="E5692" s="62"/>
      <c r="F5692" s="72" t="s">
        <v>523</v>
      </c>
      <c r="G5692" s="72" t="str">
        <f t="shared" si="107"/>
        <v/>
      </c>
      <c r="H5692" s="73"/>
      <c r="I5692" s="70"/>
      <c r="J5692" s="141">
        <v>0</v>
      </c>
    </row>
    <row r="5693" spans="1:10" ht="15.75" hidden="1" thickBot="1" x14ac:dyDescent="0.3">
      <c r="A5693" s="225" t="s">
        <v>5242</v>
      </c>
      <c r="B5693" s="228" t="str">
        <f>INDEX(Orçamentária!A:B,MATCH(Composições!A5693,Orçamentária!A:A,0),2)</f>
        <v>Cobre nu 50 mm²</v>
      </c>
      <c r="C5693" s="37"/>
      <c r="D5693" s="22" t="str">
        <f>TRIM(INDEX(Orçamentária!C:C,MATCH(Composições!A5693,Orçamentária!A:A,0),1))</f>
        <v>m</v>
      </c>
      <c r="E5693" s="23"/>
      <c r="F5693" s="45" t="s">
        <v>523</v>
      </c>
      <c r="G5693" s="24" t="str">
        <f t="shared" si="107"/>
        <v/>
      </c>
      <c r="H5693" s="25"/>
      <c r="I5693" s="26"/>
      <c r="J5693" s="141">
        <v>0</v>
      </c>
    </row>
    <row r="5694" spans="1:10" ht="15.75" hidden="1" thickBot="1" x14ac:dyDescent="0.3">
      <c r="A5694" s="231"/>
      <c r="B5694" s="229"/>
      <c r="C5694" s="155"/>
      <c r="D5694" s="155"/>
      <c r="E5694" s="156"/>
      <c r="F5694" s="50" t="s">
        <v>523</v>
      </c>
      <c r="G5694" s="50" t="str">
        <f t="shared" si="107"/>
        <v/>
      </c>
      <c r="H5694" s="69"/>
      <c r="I5694" s="70"/>
      <c r="J5694" s="141">
        <v>0</v>
      </c>
    </row>
    <row r="5695" spans="1:10" ht="15.75" hidden="1" thickBot="1" x14ac:dyDescent="0.3">
      <c r="A5695" s="231"/>
      <c r="B5695" s="229"/>
      <c r="C5695" s="32" t="s">
        <v>3261</v>
      </c>
      <c r="D5695" s="148" t="s">
        <v>93</v>
      </c>
      <c r="E5695" s="149">
        <v>1</v>
      </c>
      <c r="F5695" s="27">
        <v>42.626499999999993</v>
      </c>
      <c r="G5695" s="50">
        <f t="shared" si="107"/>
        <v>42.626499999999993</v>
      </c>
      <c r="H5695" s="35">
        <f>SUM(G5695:G5695)</f>
        <v>42.626499999999993</v>
      </c>
      <c r="I5695" s="36"/>
      <c r="J5695" s="141">
        <v>0</v>
      </c>
    </row>
    <row r="5696" spans="1:10" ht="15.75" hidden="1" thickBot="1" x14ac:dyDescent="0.3">
      <c r="A5696" s="232"/>
      <c r="B5696" s="230"/>
      <c r="C5696" s="51"/>
      <c r="D5696" s="151"/>
      <c r="E5696" s="62"/>
      <c r="F5696" s="72" t="s">
        <v>523</v>
      </c>
      <c r="G5696" s="72" t="str">
        <f t="shared" si="107"/>
        <v/>
      </c>
      <c r="H5696" s="73"/>
      <c r="I5696" s="70"/>
      <c r="J5696" s="141">
        <v>0</v>
      </c>
    </row>
    <row r="5697" spans="1:10" ht="15.75" hidden="1" thickBot="1" x14ac:dyDescent="0.3">
      <c r="A5697" s="225" t="s">
        <v>5243</v>
      </c>
      <c r="B5697" s="228" t="str">
        <f>INDEX(Orçamentária!A:B,MATCH(Composições!A5697,Orçamentária!A:A,0),2)</f>
        <v>Cobre nu 70 mm²</v>
      </c>
      <c r="C5697" s="37"/>
      <c r="D5697" s="22" t="str">
        <f>TRIM(INDEX(Orçamentária!C:C,MATCH(Composições!A5697,Orçamentária!A:A,0),1))</f>
        <v>m</v>
      </c>
      <c r="E5697" s="23"/>
      <c r="F5697" s="45" t="s">
        <v>523</v>
      </c>
      <c r="G5697" s="24" t="str">
        <f t="shared" si="107"/>
        <v/>
      </c>
      <c r="H5697" s="25"/>
      <c r="I5697" s="26"/>
      <c r="J5697" s="141">
        <v>0</v>
      </c>
    </row>
    <row r="5698" spans="1:10" ht="15.75" hidden="1" thickBot="1" x14ac:dyDescent="0.3">
      <c r="A5698" s="231"/>
      <c r="B5698" s="229"/>
      <c r="C5698" s="155"/>
      <c r="D5698" s="155"/>
      <c r="E5698" s="156"/>
      <c r="F5698" s="50" t="s">
        <v>523</v>
      </c>
      <c r="G5698" s="50" t="str">
        <f t="shared" si="107"/>
        <v/>
      </c>
      <c r="H5698" s="69"/>
      <c r="I5698" s="70"/>
      <c r="J5698" s="141">
        <v>0</v>
      </c>
    </row>
    <row r="5699" spans="1:10" ht="15.75" hidden="1" thickBot="1" x14ac:dyDescent="0.3">
      <c r="A5699" s="231"/>
      <c r="B5699" s="229"/>
      <c r="C5699" s="32" t="s">
        <v>3262</v>
      </c>
      <c r="D5699" s="148" t="s">
        <v>93</v>
      </c>
      <c r="E5699" s="149">
        <v>1</v>
      </c>
      <c r="F5699" s="27">
        <v>60.058999999999997</v>
      </c>
      <c r="G5699" s="50">
        <f t="shared" si="107"/>
        <v>60.058999999999997</v>
      </c>
      <c r="H5699" s="35">
        <f>SUM(G5699:G5699)</f>
        <v>60.058999999999997</v>
      </c>
      <c r="I5699" s="36"/>
      <c r="J5699" s="141">
        <v>0</v>
      </c>
    </row>
    <row r="5700" spans="1:10" ht="15.75" hidden="1" thickBot="1" x14ac:dyDescent="0.3">
      <c r="A5700" s="232"/>
      <c r="B5700" s="230"/>
      <c r="C5700" s="51"/>
      <c r="D5700" s="151"/>
      <c r="E5700" s="62"/>
      <c r="F5700" s="72" t="s">
        <v>523</v>
      </c>
      <c r="G5700" s="72" t="str">
        <f t="shared" si="107"/>
        <v/>
      </c>
      <c r="H5700" s="73"/>
      <c r="I5700" s="70"/>
      <c r="J5700" s="141">
        <v>0</v>
      </c>
    </row>
    <row r="5701" spans="1:10" ht="15.75" hidden="1" thickBot="1" x14ac:dyDescent="0.3">
      <c r="A5701" s="239" t="s">
        <v>5447</v>
      </c>
      <c r="B5701" s="228" t="str">
        <f>INDEX(Orçamentária!A:B,MATCH(Composições!A5701,Orçamentária!A:A,0),2)</f>
        <v>Eletroduto de aço galvanizado de 3/4”</v>
      </c>
      <c r="C5701" s="37"/>
      <c r="D5701" s="22" t="str">
        <f>TRIM(INDEX(Orçamentária!C:C,MATCH(Composições!A5701,Orçamentária!A:A,0),1))</f>
        <v>m</v>
      </c>
      <c r="E5701" s="23"/>
      <c r="F5701" s="45" t="s">
        <v>523</v>
      </c>
      <c r="G5701" s="24" t="str">
        <f t="shared" si="107"/>
        <v/>
      </c>
      <c r="H5701" s="25"/>
      <c r="I5701" s="26"/>
      <c r="J5701" s="141">
        <v>0</v>
      </c>
    </row>
    <row r="5702" spans="1:10" ht="15.75" hidden="1" thickBot="1" x14ac:dyDescent="0.3">
      <c r="A5702" s="242"/>
      <c r="B5702" s="229"/>
      <c r="C5702" s="155"/>
      <c r="D5702" s="155"/>
      <c r="E5702" s="156"/>
      <c r="F5702" s="50" t="s">
        <v>523</v>
      </c>
      <c r="G5702" s="50" t="str">
        <f t="shared" si="107"/>
        <v/>
      </c>
      <c r="H5702" s="69"/>
      <c r="I5702" s="70"/>
      <c r="J5702" s="141">
        <v>0</v>
      </c>
    </row>
    <row r="5703" spans="1:10" ht="26.25" hidden="1" thickBot="1" x14ac:dyDescent="0.3">
      <c r="A5703" s="242"/>
      <c r="B5703" s="229"/>
      <c r="C5703" s="32" t="s">
        <v>6383</v>
      </c>
      <c r="D5703" s="148" t="s">
        <v>93</v>
      </c>
      <c r="E5703" s="149">
        <v>1</v>
      </c>
      <c r="F5703" s="27">
        <v>0</v>
      </c>
      <c r="G5703" s="50">
        <f t="shared" si="107"/>
        <v>0</v>
      </c>
      <c r="H5703" s="35">
        <f>SUM(G5703:G5703)</f>
        <v>0</v>
      </c>
      <c r="I5703" s="36"/>
      <c r="J5703" s="141">
        <v>0</v>
      </c>
    </row>
    <row r="5704" spans="1:10" ht="15.75" hidden="1" thickBot="1" x14ac:dyDescent="0.3">
      <c r="A5704" s="243"/>
      <c r="B5704" s="230"/>
      <c r="C5704" s="51"/>
      <c r="D5704" s="151"/>
      <c r="E5704" s="62"/>
      <c r="F5704" s="72" t="s">
        <v>523</v>
      </c>
      <c r="G5704" s="72" t="str">
        <f t="shared" si="107"/>
        <v/>
      </c>
      <c r="H5704" s="73"/>
      <c r="I5704" s="70"/>
      <c r="J5704" s="141">
        <v>0</v>
      </c>
    </row>
    <row r="5705" spans="1:10" ht="15.75" hidden="1" thickBot="1" x14ac:dyDescent="0.3">
      <c r="A5705" s="239" t="s">
        <v>5448</v>
      </c>
      <c r="B5705" s="228" t="str">
        <f>INDEX(Orçamentária!A:B,MATCH(Composições!A5705,Orçamentária!A:A,0),2)</f>
        <v>Eletroduto de aço galvanizado de 1”</v>
      </c>
      <c r="C5705" s="37"/>
      <c r="D5705" s="22" t="str">
        <f>TRIM(INDEX(Orçamentária!C:C,MATCH(Composições!A5705,Orçamentária!A:A,0),1))</f>
        <v>m</v>
      </c>
      <c r="E5705" s="23"/>
      <c r="F5705" s="45" t="s">
        <v>523</v>
      </c>
      <c r="G5705" s="24" t="str">
        <f t="shared" si="107"/>
        <v/>
      </c>
      <c r="H5705" s="25"/>
      <c r="I5705" s="26"/>
      <c r="J5705" s="141">
        <v>0</v>
      </c>
    </row>
    <row r="5706" spans="1:10" ht="15.75" hidden="1" thickBot="1" x14ac:dyDescent="0.3">
      <c r="A5706" s="242"/>
      <c r="B5706" s="229"/>
      <c r="C5706" s="155"/>
      <c r="D5706" s="155"/>
      <c r="E5706" s="156"/>
      <c r="F5706" s="50" t="s">
        <v>523</v>
      </c>
      <c r="G5706" s="50" t="str">
        <f t="shared" si="107"/>
        <v/>
      </c>
      <c r="H5706" s="69"/>
      <c r="I5706" s="70"/>
      <c r="J5706" s="141">
        <v>0</v>
      </c>
    </row>
    <row r="5707" spans="1:10" ht="26.25" hidden="1" thickBot="1" x14ac:dyDescent="0.3">
      <c r="A5707" s="242"/>
      <c r="B5707" s="229"/>
      <c r="C5707" s="32" t="s">
        <v>6384</v>
      </c>
      <c r="D5707" s="148" t="s">
        <v>93</v>
      </c>
      <c r="E5707" s="149">
        <v>1</v>
      </c>
      <c r="F5707" s="27">
        <v>0</v>
      </c>
      <c r="G5707" s="50">
        <f t="shared" si="107"/>
        <v>0</v>
      </c>
      <c r="H5707" s="35">
        <f>SUM(G5707:G5707)</f>
        <v>0</v>
      </c>
      <c r="I5707" s="36"/>
      <c r="J5707" s="141">
        <v>0</v>
      </c>
    </row>
    <row r="5708" spans="1:10" ht="15.75" hidden="1" thickBot="1" x14ac:dyDescent="0.3">
      <c r="A5708" s="243"/>
      <c r="B5708" s="230"/>
      <c r="C5708" s="51"/>
      <c r="D5708" s="151"/>
      <c r="E5708" s="62"/>
      <c r="F5708" s="72" t="s">
        <v>523</v>
      </c>
      <c r="G5708" s="72" t="str">
        <f t="shared" si="107"/>
        <v/>
      </c>
      <c r="H5708" s="73"/>
      <c r="I5708" s="70"/>
      <c r="J5708" s="141">
        <v>0</v>
      </c>
    </row>
    <row r="5709" spans="1:10" ht="15.75" hidden="1" thickBot="1" x14ac:dyDescent="0.3">
      <c r="A5709" s="239" t="s">
        <v>5449</v>
      </c>
      <c r="B5709" s="228" t="str">
        <f>INDEX(Orçamentária!A:B,MATCH(Composições!A5709,Orçamentária!A:A,0),2)</f>
        <v>Eletroduto de aço galvanizado de 1 1/4”</v>
      </c>
      <c r="C5709" s="37"/>
      <c r="D5709" s="22" t="str">
        <f>TRIM(INDEX(Orçamentária!C:C,MATCH(Composições!A5709,Orçamentária!A:A,0),1))</f>
        <v>m</v>
      </c>
      <c r="E5709" s="23"/>
      <c r="F5709" s="45" t="s">
        <v>523</v>
      </c>
      <c r="G5709" s="24" t="str">
        <f t="shared" si="107"/>
        <v/>
      </c>
      <c r="H5709" s="25"/>
      <c r="I5709" s="26"/>
      <c r="J5709" s="141">
        <v>0</v>
      </c>
    </row>
    <row r="5710" spans="1:10" ht="15.75" hidden="1" thickBot="1" x14ac:dyDescent="0.3">
      <c r="A5710" s="242"/>
      <c r="B5710" s="229"/>
      <c r="C5710" s="155"/>
      <c r="D5710" s="155"/>
      <c r="E5710" s="156"/>
      <c r="F5710" s="50" t="s">
        <v>523</v>
      </c>
      <c r="G5710" s="50" t="str">
        <f t="shared" si="107"/>
        <v/>
      </c>
      <c r="H5710" s="69"/>
      <c r="I5710" s="70"/>
      <c r="J5710" s="141">
        <v>0</v>
      </c>
    </row>
    <row r="5711" spans="1:10" ht="26.25" hidden="1" thickBot="1" x14ac:dyDescent="0.3">
      <c r="A5711" s="242"/>
      <c r="B5711" s="229"/>
      <c r="C5711" s="32" t="s">
        <v>6385</v>
      </c>
      <c r="D5711" s="148" t="s">
        <v>93</v>
      </c>
      <c r="E5711" s="149">
        <v>1</v>
      </c>
      <c r="F5711" s="27">
        <v>0</v>
      </c>
      <c r="G5711" s="50">
        <f t="shared" si="107"/>
        <v>0</v>
      </c>
      <c r="H5711" s="35">
        <f>SUM(G5711:G5711)</f>
        <v>0</v>
      </c>
      <c r="I5711" s="36"/>
      <c r="J5711" s="141">
        <v>0</v>
      </c>
    </row>
    <row r="5712" spans="1:10" ht="15.75" hidden="1" thickBot="1" x14ac:dyDescent="0.3">
      <c r="A5712" s="243"/>
      <c r="B5712" s="230"/>
      <c r="C5712" s="51"/>
      <c r="D5712" s="151"/>
      <c r="E5712" s="62"/>
      <c r="F5712" s="72" t="s">
        <v>523</v>
      </c>
      <c r="G5712" s="72" t="str">
        <f t="shared" si="107"/>
        <v/>
      </c>
      <c r="H5712" s="73"/>
      <c r="I5712" s="70"/>
      <c r="J5712" s="141">
        <v>0</v>
      </c>
    </row>
    <row r="5713" spans="1:10" ht="15.75" hidden="1" thickBot="1" x14ac:dyDescent="0.3">
      <c r="A5713" s="239" t="s">
        <v>5450</v>
      </c>
      <c r="B5713" s="228" t="str">
        <f>INDEX(Orçamentária!A:B,MATCH(Composições!A5713,Orçamentária!A:A,0),2)</f>
        <v>Eletroduto de aço galvanizado de 1 1/2”</v>
      </c>
      <c r="C5713" s="37"/>
      <c r="D5713" s="22" t="str">
        <f>TRIM(INDEX(Orçamentária!C:C,MATCH(Composições!A5713,Orçamentária!A:A,0),1))</f>
        <v>m</v>
      </c>
      <c r="E5713" s="23"/>
      <c r="F5713" s="45" t="s">
        <v>523</v>
      </c>
      <c r="G5713" s="24" t="str">
        <f t="shared" si="107"/>
        <v/>
      </c>
      <c r="H5713" s="25"/>
      <c r="I5713" s="26"/>
      <c r="J5713" s="141">
        <v>0</v>
      </c>
    </row>
    <row r="5714" spans="1:10" ht="15.75" hidden="1" thickBot="1" x14ac:dyDescent="0.3">
      <c r="A5714" s="242"/>
      <c r="B5714" s="229"/>
      <c r="C5714" s="155"/>
      <c r="D5714" s="155"/>
      <c r="E5714" s="156"/>
      <c r="F5714" s="50" t="s">
        <v>523</v>
      </c>
      <c r="G5714" s="50" t="str">
        <f t="shared" si="107"/>
        <v/>
      </c>
      <c r="H5714" s="69"/>
      <c r="I5714" s="70"/>
      <c r="J5714" s="141">
        <v>0</v>
      </c>
    </row>
    <row r="5715" spans="1:10" ht="26.25" hidden="1" thickBot="1" x14ac:dyDescent="0.3">
      <c r="A5715" s="242"/>
      <c r="B5715" s="229"/>
      <c r="C5715" s="32" t="s">
        <v>6386</v>
      </c>
      <c r="D5715" s="148" t="s">
        <v>93</v>
      </c>
      <c r="E5715" s="149">
        <v>1</v>
      </c>
      <c r="F5715" s="27">
        <v>0</v>
      </c>
      <c r="G5715" s="50">
        <f t="shared" si="107"/>
        <v>0</v>
      </c>
      <c r="H5715" s="35">
        <f>SUM(G5715:G5715)</f>
        <v>0</v>
      </c>
      <c r="I5715" s="36"/>
      <c r="J5715" s="141">
        <v>0</v>
      </c>
    </row>
    <row r="5716" spans="1:10" ht="15.75" hidden="1" thickBot="1" x14ac:dyDescent="0.3">
      <c r="A5716" s="243"/>
      <c r="B5716" s="230"/>
      <c r="C5716" s="51"/>
      <c r="D5716" s="151"/>
      <c r="E5716" s="62"/>
      <c r="F5716" s="72" t="s">
        <v>523</v>
      </c>
      <c r="G5716" s="72" t="str">
        <f t="shared" si="107"/>
        <v/>
      </c>
      <c r="H5716" s="73"/>
      <c r="I5716" s="70"/>
      <c r="J5716" s="141">
        <v>0</v>
      </c>
    </row>
    <row r="5717" spans="1:10" ht="15.75" hidden="1" thickBot="1" x14ac:dyDescent="0.3">
      <c r="A5717" s="239" t="s">
        <v>5451</v>
      </c>
      <c r="B5717" s="228" t="str">
        <f>INDEX(Orçamentária!A:B,MATCH(Composições!A5717,Orçamentária!A:A,0),2)</f>
        <v>Eletroduto de aço galvanizado de 2”</v>
      </c>
      <c r="C5717" s="37"/>
      <c r="D5717" s="22" t="str">
        <f>TRIM(INDEX(Orçamentária!C:C,MATCH(Composições!A5717,Orçamentária!A:A,0),1))</f>
        <v>m</v>
      </c>
      <c r="E5717" s="23"/>
      <c r="F5717" s="45" t="s">
        <v>523</v>
      </c>
      <c r="G5717" s="24" t="str">
        <f t="shared" si="107"/>
        <v/>
      </c>
      <c r="H5717" s="25"/>
      <c r="I5717" s="26"/>
      <c r="J5717" s="141">
        <v>0</v>
      </c>
    </row>
    <row r="5718" spans="1:10" ht="15.75" hidden="1" thickBot="1" x14ac:dyDescent="0.3">
      <c r="A5718" s="242"/>
      <c r="B5718" s="229"/>
      <c r="C5718" s="155"/>
      <c r="D5718" s="155"/>
      <c r="E5718" s="156"/>
      <c r="F5718" s="50" t="s">
        <v>523</v>
      </c>
      <c r="G5718" s="50" t="str">
        <f t="shared" si="107"/>
        <v/>
      </c>
      <c r="H5718" s="69"/>
      <c r="I5718" s="70"/>
      <c r="J5718" s="141">
        <v>0</v>
      </c>
    </row>
    <row r="5719" spans="1:10" ht="26.25" hidden="1" thickBot="1" x14ac:dyDescent="0.3">
      <c r="A5719" s="242"/>
      <c r="B5719" s="229"/>
      <c r="C5719" s="32" t="s">
        <v>6387</v>
      </c>
      <c r="D5719" s="148" t="s">
        <v>93</v>
      </c>
      <c r="E5719" s="149">
        <v>1</v>
      </c>
      <c r="F5719" s="27">
        <v>0</v>
      </c>
      <c r="G5719" s="50">
        <f t="shared" si="107"/>
        <v>0</v>
      </c>
      <c r="H5719" s="35">
        <f>SUM(G5719:G5719)</f>
        <v>0</v>
      </c>
      <c r="I5719" s="36"/>
      <c r="J5719" s="141">
        <v>0</v>
      </c>
    </row>
    <row r="5720" spans="1:10" ht="15.75" hidden="1" thickBot="1" x14ac:dyDescent="0.3">
      <c r="A5720" s="243"/>
      <c r="B5720" s="230"/>
      <c r="C5720" s="51"/>
      <c r="D5720" s="151"/>
      <c r="E5720" s="62"/>
      <c r="F5720" s="72" t="s">
        <v>523</v>
      </c>
      <c r="G5720" s="72" t="str">
        <f t="shared" si="107"/>
        <v/>
      </c>
      <c r="H5720" s="73"/>
      <c r="I5720" s="70"/>
      <c r="J5720" s="141">
        <v>0</v>
      </c>
    </row>
    <row r="5721" spans="1:10" ht="15.75" hidden="1" thickBot="1" x14ac:dyDescent="0.3">
      <c r="A5721" s="239" t="s">
        <v>5452</v>
      </c>
      <c r="B5721" s="228" t="str">
        <f>INDEX(Orçamentária!A:B,MATCH(Composições!A5721,Orçamentária!A:A,0),2)</f>
        <v>Eletroduto de aço galvanizado de 2 1/2”</v>
      </c>
      <c r="C5721" s="37"/>
      <c r="D5721" s="22" t="str">
        <f>TRIM(INDEX(Orçamentária!C:C,MATCH(Composições!A5721,Orçamentária!A:A,0),1))</f>
        <v>m</v>
      </c>
      <c r="E5721" s="23"/>
      <c r="F5721" s="45" t="s">
        <v>523</v>
      </c>
      <c r="G5721" s="24" t="str">
        <f t="shared" si="107"/>
        <v/>
      </c>
      <c r="H5721" s="25"/>
      <c r="I5721" s="26"/>
      <c r="J5721" s="141">
        <v>0</v>
      </c>
    </row>
    <row r="5722" spans="1:10" ht="15.75" hidden="1" thickBot="1" x14ac:dyDescent="0.3">
      <c r="A5722" s="242"/>
      <c r="B5722" s="229"/>
      <c r="C5722" s="155"/>
      <c r="D5722" s="155"/>
      <c r="E5722" s="156"/>
      <c r="F5722" s="50" t="s">
        <v>523</v>
      </c>
      <c r="G5722" s="50" t="str">
        <f t="shared" si="107"/>
        <v/>
      </c>
      <c r="H5722" s="69"/>
      <c r="I5722" s="70"/>
      <c r="J5722" s="141">
        <v>0</v>
      </c>
    </row>
    <row r="5723" spans="1:10" ht="26.25" hidden="1" thickBot="1" x14ac:dyDescent="0.3">
      <c r="A5723" s="242"/>
      <c r="B5723" s="229"/>
      <c r="C5723" s="32" t="s">
        <v>6388</v>
      </c>
      <c r="D5723" s="148" t="s">
        <v>93</v>
      </c>
      <c r="E5723" s="149">
        <v>1</v>
      </c>
      <c r="F5723" s="27">
        <v>0</v>
      </c>
      <c r="G5723" s="50">
        <f t="shared" si="107"/>
        <v>0</v>
      </c>
      <c r="H5723" s="35">
        <f>SUM(G5723:G5723)</f>
        <v>0</v>
      </c>
      <c r="I5723" s="36"/>
      <c r="J5723" s="141">
        <v>0</v>
      </c>
    </row>
    <row r="5724" spans="1:10" ht="15.75" hidden="1" thickBot="1" x14ac:dyDescent="0.3">
      <c r="A5724" s="243"/>
      <c r="B5724" s="230"/>
      <c r="C5724" s="51"/>
      <c r="D5724" s="151"/>
      <c r="E5724" s="62"/>
      <c r="F5724" s="72" t="s">
        <v>523</v>
      </c>
      <c r="G5724" s="72" t="str">
        <f t="shared" si="107"/>
        <v/>
      </c>
      <c r="H5724" s="73"/>
      <c r="I5724" s="70"/>
      <c r="J5724" s="141">
        <v>0</v>
      </c>
    </row>
    <row r="5725" spans="1:10" ht="15.75" hidden="1" thickBot="1" x14ac:dyDescent="0.3">
      <c r="A5725" s="239" t="s">
        <v>5453</v>
      </c>
      <c r="B5725" s="228" t="str">
        <f>INDEX(Orçamentária!A:B,MATCH(Composições!A5725,Orçamentária!A:A,0),2)</f>
        <v xml:space="preserve">Eletroduto de aço galvanizado de 3” </v>
      </c>
      <c r="C5725" s="37"/>
      <c r="D5725" s="22" t="str">
        <f>TRIM(INDEX(Orçamentária!C:C,MATCH(Composições!A5725,Orçamentária!A:A,0),1))</f>
        <v>m</v>
      </c>
      <c r="E5725" s="23"/>
      <c r="F5725" s="45" t="s">
        <v>523</v>
      </c>
      <c r="G5725" s="24" t="str">
        <f t="shared" si="107"/>
        <v/>
      </c>
      <c r="H5725" s="25"/>
      <c r="I5725" s="26"/>
      <c r="J5725" s="141">
        <v>0</v>
      </c>
    </row>
    <row r="5726" spans="1:10" ht="15.75" hidden="1" thickBot="1" x14ac:dyDescent="0.3">
      <c r="A5726" s="242"/>
      <c r="B5726" s="229"/>
      <c r="C5726" s="155"/>
      <c r="D5726" s="155"/>
      <c r="E5726" s="156"/>
      <c r="F5726" s="50" t="s">
        <v>523</v>
      </c>
      <c r="G5726" s="50" t="str">
        <f t="shared" ref="G5726:G5789" si="108">IF(ISNUMBER(F5726),E5726*F5726,"")</f>
        <v/>
      </c>
      <c r="H5726" s="69"/>
      <c r="I5726" s="70"/>
      <c r="J5726" s="141">
        <v>0</v>
      </c>
    </row>
    <row r="5727" spans="1:10" ht="26.25" hidden="1" thickBot="1" x14ac:dyDescent="0.3">
      <c r="A5727" s="242"/>
      <c r="B5727" s="229"/>
      <c r="C5727" s="32" t="s">
        <v>6389</v>
      </c>
      <c r="D5727" s="148" t="s">
        <v>93</v>
      </c>
      <c r="E5727" s="149">
        <v>1</v>
      </c>
      <c r="F5727" s="27">
        <v>0</v>
      </c>
      <c r="G5727" s="50">
        <f t="shared" si="108"/>
        <v>0</v>
      </c>
      <c r="H5727" s="35">
        <f>SUM(G5727:G5727)</f>
        <v>0</v>
      </c>
      <c r="I5727" s="36"/>
      <c r="J5727" s="141">
        <v>0</v>
      </c>
    </row>
    <row r="5728" spans="1:10" ht="15.75" hidden="1" thickBot="1" x14ac:dyDescent="0.3">
      <c r="A5728" s="243"/>
      <c r="B5728" s="230"/>
      <c r="C5728" s="51"/>
      <c r="D5728" s="151"/>
      <c r="E5728" s="62"/>
      <c r="F5728" s="72" t="s">
        <v>523</v>
      </c>
      <c r="G5728" s="72" t="str">
        <f t="shared" si="108"/>
        <v/>
      </c>
      <c r="H5728" s="73"/>
      <c r="I5728" s="70"/>
      <c r="J5728" s="141">
        <v>0</v>
      </c>
    </row>
    <row r="5729" spans="1:10" ht="15.75" hidden="1" thickBot="1" x14ac:dyDescent="0.3">
      <c r="A5729" s="239" t="s">
        <v>5454</v>
      </c>
      <c r="B5729" s="228" t="str">
        <f>INDEX(Orçamentária!A:B,MATCH(Composições!A5729,Orçamentária!A:A,0),2)</f>
        <v>Eletroduto de aço galvanizado de 4”</v>
      </c>
      <c r="C5729" s="37"/>
      <c r="D5729" s="22" t="str">
        <f>TRIM(INDEX(Orçamentária!C:C,MATCH(Composições!A5729,Orçamentária!A:A,0),1))</f>
        <v>m</v>
      </c>
      <c r="E5729" s="23"/>
      <c r="F5729" s="45" t="s">
        <v>523</v>
      </c>
      <c r="G5729" s="24" t="str">
        <f t="shared" si="108"/>
        <v/>
      </c>
      <c r="H5729" s="25"/>
      <c r="I5729" s="26"/>
      <c r="J5729" s="141">
        <v>0</v>
      </c>
    </row>
    <row r="5730" spans="1:10" ht="15.75" hidden="1" thickBot="1" x14ac:dyDescent="0.3">
      <c r="A5730" s="242"/>
      <c r="B5730" s="229"/>
      <c r="C5730" s="155"/>
      <c r="D5730" s="155"/>
      <c r="E5730" s="156"/>
      <c r="F5730" s="50" t="s">
        <v>523</v>
      </c>
      <c r="G5730" s="50" t="str">
        <f t="shared" si="108"/>
        <v/>
      </c>
      <c r="H5730" s="69"/>
      <c r="I5730" s="70"/>
      <c r="J5730" s="141">
        <v>0</v>
      </c>
    </row>
    <row r="5731" spans="1:10" ht="26.25" hidden="1" thickBot="1" x14ac:dyDescent="0.3">
      <c r="A5731" s="242"/>
      <c r="B5731" s="229"/>
      <c r="C5731" s="32" t="s">
        <v>6390</v>
      </c>
      <c r="D5731" s="148" t="s">
        <v>144</v>
      </c>
      <c r="E5731" s="149">
        <v>1</v>
      </c>
      <c r="F5731" s="27">
        <v>0</v>
      </c>
      <c r="G5731" s="50">
        <f t="shared" si="108"/>
        <v>0</v>
      </c>
      <c r="H5731" s="35">
        <f>SUM(G5731:G5731)</f>
        <v>0</v>
      </c>
      <c r="I5731" s="36"/>
      <c r="J5731" s="141">
        <v>0</v>
      </c>
    </row>
    <row r="5732" spans="1:10" ht="15.75" hidden="1" thickBot="1" x14ac:dyDescent="0.3">
      <c r="A5732" s="243"/>
      <c r="B5732" s="230"/>
      <c r="C5732" s="51"/>
      <c r="D5732" s="151"/>
      <c r="E5732" s="62"/>
      <c r="F5732" s="72" t="s">
        <v>523</v>
      </c>
      <c r="G5732" s="72" t="str">
        <f t="shared" si="108"/>
        <v/>
      </c>
      <c r="H5732" s="73"/>
      <c r="I5732" s="70"/>
      <c r="J5732" s="141">
        <v>0</v>
      </c>
    </row>
    <row r="5733" spans="1:10" ht="15.75" hidden="1" thickBot="1" x14ac:dyDescent="0.3">
      <c r="A5733" s="239" t="s">
        <v>5464</v>
      </c>
      <c r="B5733" s="228" t="str">
        <f>INDEX(Orçamentária!A:B,MATCH(Composições!A5733,Orçamentária!A:A,0),2)</f>
        <v>Luva para eletroduto 1/2”</v>
      </c>
      <c r="C5733" s="37"/>
      <c r="D5733" s="22" t="str">
        <f>TRIM(INDEX(Orçamentária!C:C,MATCH(Composições!A5733,Orçamentária!A:A,0),1))</f>
        <v>un</v>
      </c>
      <c r="E5733" s="23"/>
      <c r="F5733" s="45" t="s">
        <v>523</v>
      </c>
      <c r="G5733" s="24" t="str">
        <f t="shared" si="108"/>
        <v/>
      </c>
      <c r="H5733" s="25"/>
      <c r="I5733" s="26"/>
      <c r="J5733" s="141">
        <v>0</v>
      </c>
    </row>
    <row r="5734" spans="1:10" ht="15.75" hidden="1" thickBot="1" x14ac:dyDescent="0.3">
      <c r="A5734" s="242"/>
      <c r="B5734" s="229"/>
      <c r="C5734" s="155"/>
      <c r="D5734" s="155"/>
      <c r="E5734" s="156"/>
      <c r="F5734" s="50" t="s">
        <v>523</v>
      </c>
      <c r="G5734" s="50" t="str">
        <f t="shared" si="108"/>
        <v/>
      </c>
      <c r="H5734" s="69"/>
      <c r="I5734" s="70"/>
      <c r="J5734" s="141">
        <v>0</v>
      </c>
    </row>
    <row r="5735" spans="1:10" ht="26.25" hidden="1" thickBot="1" x14ac:dyDescent="0.3">
      <c r="A5735" s="242"/>
      <c r="B5735" s="229"/>
      <c r="C5735" s="32" t="s">
        <v>3341</v>
      </c>
      <c r="D5735" s="148" t="s">
        <v>20</v>
      </c>
      <c r="E5735" s="149">
        <v>1</v>
      </c>
      <c r="F5735" s="27">
        <v>2.2799999999999998</v>
      </c>
      <c r="G5735" s="50">
        <f t="shared" si="108"/>
        <v>2.2799999999999998</v>
      </c>
      <c r="H5735" s="35">
        <f>SUM(G5735:G5735)</f>
        <v>2.2799999999999998</v>
      </c>
      <c r="I5735" s="36"/>
      <c r="J5735" s="141">
        <v>0</v>
      </c>
    </row>
    <row r="5736" spans="1:10" ht="15.75" hidden="1" thickBot="1" x14ac:dyDescent="0.3">
      <c r="A5736" s="243"/>
      <c r="B5736" s="230"/>
      <c r="C5736" s="51"/>
      <c r="D5736" s="151"/>
      <c r="E5736" s="62"/>
      <c r="F5736" s="72" t="s">
        <v>523</v>
      </c>
      <c r="G5736" s="72" t="str">
        <f t="shared" si="108"/>
        <v/>
      </c>
      <c r="H5736" s="73"/>
      <c r="I5736" s="70"/>
      <c r="J5736" s="141">
        <v>0</v>
      </c>
    </row>
    <row r="5737" spans="1:10" ht="15.75" hidden="1" thickBot="1" x14ac:dyDescent="0.3">
      <c r="A5737" s="225" t="s">
        <v>5466</v>
      </c>
      <c r="B5737" s="228" t="str">
        <f>INDEX(Orçamentária!A:B,MATCH(Composições!A5737,Orçamentária!A:A,0),2)</f>
        <v>Curva para eletroduto 1/2”</v>
      </c>
      <c r="C5737" s="37"/>
      <c r="D5737" s="22" t="str">
        <f>TRIM(INDEX(Orçamentária!C:C,MATCH(Composições!A5737,Orçamentária!A:A,0),1))</f>
        <v>un</v>
      </c>
      <c r="E5737" s="23"/>
      <c r="F5737" s="45" t="s">
        <v>523</v>
      </c>
      <c r="G5737" s="24" t="str">
        <f t="shared" si="108"/>
        <v/>
      </c>
      <c r="H5737" s="25"/>
      <c r="I5737" s="26"/>
      <c r="J5737" s="141">
        <v>0</v>
      </c>
    </row>
    <row r="5738" spans="1:10" ht="15.75" hidden="1" thickBot="1" x14ac:dyDescent="0.3">
      <c r="A5738" s="231"/>
      <c r="B5738" s="229"/>
      <c r="C5738" s="155"/>
      <c r="D5738" s="155"/>
      <c r="E5738" s="156"/>
      <c r="F5738" s="50" t="s">
        <v>523</v>
      </c>
      <c r="G5738" s="50" t="str">
        <f t="shared" si="108"/>
        <v/>
      </c>
      <c r="H5738" s="69"/>
      <c r="I5738" s="70"/>
      <c r="J5738" s="141">
        <v>0</v>
      </c>
    </row>
    <row r="5739" spans="1:10" ht="26.25" hidden="1" thickBot="1" x14ac:dyDescent="0.3">
      <c r="A5739" s="231"/>
      <c r="B5739" s="229"/>
      <c r="C5739" s="32" t="s">
        <v>3305</v>
      </c>
      <c r="D5739" s="148" t="s">
        <v>20</v>
      </c>
      <c r="E5739" s="149">
        <v>1</v>
      </c>
      <c r="F5739" s="27">
        <v>5.6999999999999993</v>
      </c>
      <c r="G5739" s="50">
        <f t="shared" si="108"/>
        <v>5.6999999999999993</v>
      </c>
      <c r="H5739" s="35">
        <f>SUM(G5739:G5739)</f>
        <v>5.6999999999999993</v>
      </c>
      <c r="I5739" s="36"/>
      <c r="J5739" s="141">
        <v>0</v>
      </c>
    </row>
    <row r="5740" spans="1:10" ht="15.75" hidden="1" thickBot="1" x14ac:dyDescent="0.3">
      <c r="A5740" s="232"/>
      <c r="B5740" s="230"/>
      <c r="C5740" s="51"/>
      <c r="D5740" s="151"/>
      <c r="E5740" s="62"/>
      <c r="F5740" s="72" t="s">
        <v>523</v>
      </c>
      <c r="G5740" s="72" t="str">
        <f t="shared" si="108"/>
        <v/>
      </c>
      <c r="H5740" s="73"/>
      <c r="I5740" s="70"/>
      <c r="J5740" s="141">
        <v>0</v>
      </c>
    </row>
    <row r="5741" spans="1:10" ht="15.75" hidden="1" thickBot="1" x14ac:dyDescent="0.3">
      <c r="A5741" s="225" t="s">
        <v>5467</v>
      </c>
      <c r="B5741" s="228" t="str">
        <f>INDEX(Orçamentária!A:B,MATCH(Composições!A5741,Orçamentária!A:A,0),2)</f>
        <v>Conector reto para eletroduto 3/4”</v>
      </c>
      <c r="C5741" s="37"/>
      <c r="D5741" s="22" t="str">
        <f>TRIM(INDEX(Orçamentária!C:C,MATCH(Composições!A5741,Orçamentária!A:A,0),1))</f>
        <v>un</v>
      </c>
      <c r="E5741" s="23"/>
      <c r="F5741" s="45" t="s">
        <v>523</v>
      </c>
      <c r="G5741" s="24" t="str">
        <f t="shared" si="108"/>
        <v/>
      </c>
      <c r="H5741" s="25"/>
      <c r="I5741" s="26"/>
      <c r="J5741" s="141">
        <v>0</v>
      </c>
    </row>
    <row r="5742" spans="1:10" ht="15.75" hidden="1" thickBot="1" x14ac:dyDescent="0.3">
      <c r="A5742" s="231"/>
      <c r="B5742" s="229"/>
      <c r="C5742" s="155"/>
      <c r="D5742" s="155"/>
      <c r="E5742" s="156"/>
      <c r="F5742" s="50" t="s">
        <v>523</v>
      </c>
      <c r="G5742" s="50" t="str">
        <f t="shared" si="108"/>
        <v/>
      </c>
      <c r="H5742" s="69"/>
      <c r="I5742" s="70"/>
      <c r="J5742" s="141">
        <v>0</v>
      </c>
    </row>
    <row r="5743" spans="1:10" ht="39" hidden="1" thickBot="1" x14ac:dyDescent="0.3">
      <c r="A5743" s="231"/>
      <c r="B5743" s="229"/>
      <c r="C5743" s="32" t="s">
        <v>3295</v>
      </c>
      <c r="D5743" s="148" t="s">
        <v>20</v>
      </c>
      <c r="E5743" s="149">
        <v>1</v>
      </c>
      <c r="F5743" s="27">
        <v>2.1469999999999998</v>
      </c>
      <c r="G5743" s="50">
        <f t="shared" si="108"/>
        <v>2.1469999999999998</v>
      </c>
      <c r="H5743" s="35">
        <f>SUM(G5743:G5743)</f>
        <v>2.1469999999999998</v>
      </c>
      <c r="I5743" s="36"/>
      <c r="J5743" s="141">
        <v>0</v>
      </c>
    </row>
    <row r="5744" spans="1:10" ht="15.75" hidden="1" thickBot="1" x14ac:dyDescent="0.3">
      <c r="A5744" s="232"/>
      <c r="B5744" s="230"/>
      <c r="C5744" s="51"/>
      <c r="D5744" s="151"/>
      <c r="E5744" s="62"/>
      <c r="F5744" s="72" t="s">
        <v>523</v>
      </c>
      <c r="G5744" s="72" t="str">
        <f t="shared" si="108"/>
        <v/>
      </c>
      <c r="H5744" s="73"/>
      <c r="I5744" s="70"/>
      <c r="J5744" s="141">
        <v>0</v>
      </c>
    </row>
    <row r="5745" spans="1:10" ht="15.75" hidden="1" thickBot="1" x14ac:dyDescent="0.3">
      <c r="A5745" s="225" t="s">
        <v>5468</v>
      </c>
      <c r="B5745" s="228" t="str">
        <f>INDEX(Orçamentária!A:B,MATCH(Composições!A5745,Orçamentária!A:A,0),2)</f>
        <v>Conector curvo para eletroduto 3/4”</v>
      </c>
      <c r="C5745" s="37"/>
      <c r="D5745" s="22" t="str">
        <f>TRIM(INDEX(Orçamentária!C:C,MATCH(Composições!A5745,Orçamentária!A:A,0),1))</f>
        <v>un</v>
      </c>
      <c r="E5745" s="23"/>
      <c r="F5745" s="45" t="s">
        <v>523</v>
      </c>
      <c r="G5745" s="24" t="str">
        <f t="shared" si="108"/>
        <v/>
      </c>
      <c r="H5745" s="25"/>
      <c r="I5745" s="26"/>
      <c r="J5745" s="141">
        <v>0</v>
      </c>
    </row>
    <row r="5746" spans="1:10" ht="15.75" hidden="1" thickBot="1" x14ac:dyDescent="0.3">
      <c r="A5746" s="231"/>
      <c r="B5746" s="229"/>
      <c r="C5746" s="155"/>
      <c r="D5746" s="155"/>
      <c r="E5746" s="156"/>
      <c r="F5746" s="50" t="s">
        <v>523</v>
      </c>
      <c r="G5746" s="50" t="str">
        <f t="shared" si="108"/>
        <v/>
      </c>
      <c r="H5746" s="69"/>
      <c r="I5746" s="70"/>
      <c r="J5746" s="141">
        <v>0</v>
      </c>
    </row>
    <row r="5747" spans="1:10" ht="39" hidden="1" thickBot="1" x14ac:dyDescent="0.3">
      <c r="A5747" s="231"/>
      <c r="B5747" s="229"/>
      <c r="C5747" s="32" t="s">
        <v>3288</v>
      </c>
      <c r="D5747" s="148" t="s">
        <v>20</v>
      </c>
      <c r="E5747" s="149">
        <v>1</v>
      </c>
      <c r="F5747" s="27">
        <v>10.1175</v>
      </c>
      <c r="G5747" s="50">
        <f t="shared" si="108"/>
        <v>10.1175</v>
      </c>
      <c r="H5747" s="35">
        <f>SUM(G5747:G5747)</f>
        <v>10.1175</v>
      </c>
      <c r="I5747" s="36"/>
      <c r="J5747" s="141">
        <v>0</v>
      </c>
    </row>
    <row r="5748" spans="1:10" ht="15.75" hidden="1" thickBot="1" x14ac:dyDescent="0.3">
      <c r="A5748" s="232"/>
      <c r="B5748" s="230"/>
      <c r="C5748" s="51"/>
      <c r="D5748" s="151"/>
      <c r="E5748" s="62"/>
      <c r="F5748" s="72" t="s">
        <v>523</v>
      </c>
      <c r="G5748" s="72" t="str">
        <f t="shared" si="108"/>
        <v/>
      </c>
      <c r="H5748" s="73"/>
      <c r="I5748" s="70"/>
      <c r="J5748" s="141">
        <v>0</v>
      </c>
    </row>
    <row r="5749" spans="1:10" ht="15.75" hidden="1" thickBot="1" x14ac:dyDescent="0.3">
      <c r="A5749" s="239" t="s">
        <v>5469</v>
      </c>
      <c r="B5749" s="228" t="str">
        <f>INDEX(Orçamentária!A:B,MATCH(Composições!A5749,Orçamentária!A:A,0),2)</f>
        <v>Luva para eletroduto 3/4”</v>
      </c>
      <c r="C5749" s="37"/>
      <c r="D5749" s="22" t="str">
        <f>TRIM(INDEX(Orçamentária!C:C,MATCH(Composições!A5749,Orçamentária!A:A,0),1))</f>
        <v>un</v>
      </c>
      <c r="E5749" s="23"/>
      <c r="F5749" s="45" t="s">
        <v>523</v>
      </c>
      <c r="G5749" s="24" t="str">
        <f t="shared" si="108"/>
        <v/>
      </c>
      <c r="H5749" s="25"/>
      <c r="I5749" s="26"/>
      <c r="J5749" s="141">
        <v>0</v>
      </c>
    </row>
    <row r="5750" spans="1:10" ht="15.75" hidden="1" thickBot="1" x14ac:dyDescent="0.3">
      <c r="A5750" s="242"/>
      <c r="B5750" s="229"/>
      <c r="C5750" s="155"/>
      <c r="D5750" s="155"/>
      <c r="E5750" s="156"/>
      <c r="F5750" s="50" t="s">
        <v>523</v>
      </c>
      <c r="G5750" s="50" t="str">
        <f t="shared" si="108"/>
        <v/>
      </c>
      <c r="H5750" s="69"/>
      <c r="I5750" s="70"/>
      <c r="J5750" s="141">
        <v>0</v>
      </c>
    </row>
    <row r="5751" spans="1:10" ht="26.25" hidden="1" thickBot="1" x14ac:dyDescent="0.3">
      <c r="A5751" s="242"/>
      <c r="B5751" s="229"/>
      <c r="C5751" s="32" t="s">
        <v>3342</v>
      </c>
      <c r="D5751" s="148" t="s">
        <v>20</v>
      </c>
      <c r="E5751" s="149">
        <v>1</v>
      </c>
      <c r="F5751" s="27">
        <v>2.4319999999999999</v>
      </c>
      <c r="G5751" s="50">
        <f t="shared" si="108"/>
        <v>2.4319999999999999</v>
      </c>
      <c r="H5751" s="35">
        <f>SUM(G5751:G5751)</f>
        <v>2.4319999999999999</v>
      </c>
      <c r="I5751" s="36"/>
      <c r="J5751" s="141">
        <v>0</v>
      </c>
    </row>
    <row r="5752" spans="1:10" ht="15.75" hidden="1" thickBot="1" x14ac:dyDescent="0.3">
      <c r="A5752" s="243"/>
      <c r="B5752" s="230"/>
      <c r="C5752" s="51"/>
      <c r="D5752" s="151"/>
      <c r="E5752" s="62"/>
      <c r="F5752" s="72" t="s">
        <v>523</v>
      </c>
      <c r="G5752" s="72" t="str">
        <f t="shared" si="108"/>
        <v/>
      </c>
      <c r="H5752" s="73"/>
      <c r="I5752" s="70"/>
      <c r="J5752" s="141">
        <v>0</v>
      </c>
    </row>
    <row r="5753" spans="1:10" ht="15.75" hidden="1" thickBot="1" x14ac:dyDescent="0.3">
      <c r="A5753" s="239" t="s">
        <v>5471</v>
      </c>
      <c r="B5753" s="228" t="str">
        <f>INDEX(Orçamentária!A:B,MATCH(Composições!A5753,Orçamentária!A:A,0),2)</f>
        <v>Curva para eletroduto 3/4”</v>
      </c>
      <c r="C5753" s="37"/>
      <c r="D5753" s="22" t="str">
        <f>TRIM(INDEX(Orçamentária!C:C,MATCH(Composições!A5753,Orçamentária!A:A,0),1))</f>
        <v>un</v>
      </c>
      <c r="E5753" s="23"/>
      <c r="F5753" s="45" t="s">
        <v>523</v>
      </c>
      <c r="G5753" s="24" t="str">
        <f t="shared" si="108"/>
        <v/>
      </c>
      <c r="H5753" s="25"/>
      <c r="I5753" s="26"/>
      <c r="J5753" s="141">
        <v>0</v>
      </c>
    </row>
    <row r="5754" spans="1:10" ht="15.75" hidden="1" thickBot="1" x14ac:dyDescent="0.3">
      <c r="A5754" s="242"/>
      <c r="B5754" s="229"/>
      <c r="C5754" s="155"/>
      <c r="D5754" s="155"/>
      <c r="E5754" s="156"/>
      <c r="F5754" s="50" t="s">
        <v>523</v>
      </c>
      <c r="G5754" s="50" t="str">
        <f t="shared" si="108"/>
        <v/>
      </c>
      <c r="H5754" s="69"/>
      <c r="I5754" s="70"/>
      <c r="J5754" s="141">
        <v>0</v>
      </c>
    </row>
    <row r="5755" spans="1:10" ht="26.25" hidden="1" thickBot="1" x14ac:dyDescent="0.3">
      <c r="A5755" s="242"/>
      <c r="B5755" s="229"/>
      <c r="C5755" s="32" t="s">
        <v>3306</v>
      </c>
      <c r="D5755" s="148" t="s">
        <v>20</v>
      </c>
      <c r="E5755" s="149">
        <v>1</v>
      </c>
      <c r="F5755" s="27">
        <v>6.4504999999999999</v>
      </c>
      <c r="G5755" s="50">
        <f t="shared" si="108"/>
        <v>6.4504999999999999</v>
      </c>
      <c r="H5755" s="35">
        <f>SUM(G5755:G5755)</f>
        <v>6.4504999999999999</v>
      </c>
      <c r="I5755" s="36"/>
      <c r="J5755" s="141">
        <v>0</v>
      </c>
    </row>
    <row r="5756" spans="1:10" ht="15.75" hidden="1" thickBot="1" x14ac:dyDescent="0.3">
      <c r="A5756" s="243"/>
      <c r="B5756" s="230"/>
      <c r="C5756" s="51"/>
      <c r="D5756" s="151"/>
      <c r="E5756" s="62"/>
      <c r="F5756" s="72" t="s">
        <v>523</v>
      </c>
      <c r="G5756" s="72" t="str">
        <f t="shared" si="108"/>
        <v/>
      </c>
      <c r="H5756" s="73"/>
      <c r="I5756" s="70"/>
      <c r="J5756" s="141">
        <v>0</v>
      </c>
    </row>
    <row r="5757" spans="1:10" ht="15.75" hidden="1" thickBot="1" x14ac:dyDescent="0.3">
      <c r="A5757" s="239" t="s">
        <v>5472</v>
      </c>
      <c r="B5757" s="228" t="str">
        <f>INDEX(Orçamentária!A:B,MATCH(Composições!A5757,Orçamentária!A:A,0),2)</f>
        <v>Conector reto para eletroduto 1”</v>
      </c>
      <c r="C5757" s="37"/>
      <c r="D5757" s="22" t="str">
        <f>TRIM(INDEX(Orçamentária!C:C,MATCH(Composições!A5757,Orçamentária!A:A,0),1))</f>
        <v>un</v>
      </c>
      <c r="E5757" s="23"/>
      <c r="F5757" s="45" t="s">
        <v>523</v>
      </c>
      <c r="G5757" s="24" t="str">
        <f t="shared" si="108"/>
        <v/>
      </c>
      <c r="H5757" s="25"/>
      <c r="I5757" s="26"/>
      <c r="J5757" s="141">
        <v>0</v>
      </c>
    </row>
    <row r="5758" spans="1:10" ht="15.75" hidden="1" thickBot="1" x14ac:dyDescent="0.3">
      <c r="A5758" s="242"/>
      <c r="B5758" s="229"/>
      <c r="C5758" s="155"/>
      <c r="D5758" s="155"/>
      <c r="E5758" s="156"/>
      <c r="F5758" s="50" t="s">
        <v>523</v>
      </c>
      <c r="G5758" s="50" t="str">
        <f t="shared" si="108"/>
        <v/>
      </c>
      <c r="H5758" s="69"/>
      <c r="I5758" s="70"/>
      <c r="J5758" s="141">
        <v>0</v>
      </c>
    </row>
    <row r="5759" spans="1:10" ht="39" hidden="1" thickBot="1" x14ac:dyDescent="0.3">
      <c r="A5759" s="242"/>
      <c r="B5759" s="229"/>
      <c r="C5759" s="32" t="s">
        <v>3293</v>
      </c>
      <c r="D5759" s="148" t="s">
        <v>20</v>
      </c>
      <c r="E5759" s="149">
        <v>1</v>
      </c>
      <c r="F5759" s="27">
        <v>3.8285</v>
      </c>
      <c r="G5759" s="50">
        <f t="shared" si="108"/>
        <v>3.8285</v>
      </c>
      <c r="H5759" s="35">
        <f>SUM(G5759:G5759)</f>
        <v>3.8285</v>
      </c>
      <c r="I5759" s="36"/>
      <c r="J5759" s="141">
        <v>0</v>
      </c>
    </row>
    <row r="5760" spans="1:10" ht="15.75" hidden="1" thickBot="1" x14ac:dyDescent="0.3">
      <c r="A5760" s="243"/>
      <c r="B5760" s="230"/>
      <c r="C5760" s="51"/>
      <c r="D5760" s="151"/>
      <c r="E5760" s="62"/>
      <c r="F5760" s="72" t="s">
        <v>523</v>
      </c>
      <c r="G5760" s="72" t="str">
        <f t="shared" si="108"/>
        <v/>
      </c>
      <c r="H5760" s="73"/>
      <c r="I5760" s="70"/>
      <c r="J5760" s="141">
        <v>0</v>
      </c>
    </row>
    <row r="5761" spans="1:10" ht="15.75" hidden="1" thickBot="1" x14ac:dyDescent="0.3">
      <c r="A5761" s="239" t="s">
        <v>5473</v>
      </c>
      <c r="B5761" s="228" t="str">
        <f>INDEX(Orçamentária!A:B,MATCH(Composições!A5761,Orçamentária!A:A,0),2)</f>
        <v>Conector curvo para eletroduto 1”</v>
      </c>
      <c r="C5761" s="37"/>
      <c r="D5761" s="22" t="str">
        <f>TRIM(INDEX(Orçamentária!C:C,MATCH(Composições!A5761,Orçamentária!A:A,0),1))</f>
        <v>un</v>
      </c>
      <c r="E5761" s="23"/>
      <c r="F5761" s="45" t="s">
        <v>523</v>
      </c>
      <c r="G5761" s="24" t="str">
        <f t="shared" si="108"/>
        <v/>
      </c>
      <c r="H5761" s="25"/>
      <c r="I5761" s="26"/>
      <c r="J5761" s="141">
        <v>0</v>
      </c>
    </row>
    <row r="5762" spans="1:10" ht="15.75" hidden="1" thickBot="1" x14ac:dyDescent="0.3">
      <c r="A5762" s="242"/>
      <c r="B5762" s="229"/>
      <c r="C5762" s="155"/>
      <c r="D5762" s="155"/>
      <c r="E5762" s="156"/>
      <c r="F5762" s="50" t="s">
        <v>523</v>
      </c>
      <c r="G5762" s="50" t="str">
        <f t="shared" si="108"/>
        <v/>
      </c>
      <c r="H5762" s="69"/>
      <c r="I5762" s="70"/>
      <c r="J5762" s="141">
        <v>0</v>
      </c>
    </row>
    <row r="5763" spans="1:10" ht="39" hidden="1" thickBot="1" x14ac:dyDescent="0.3">
      <c r="A5763" s="242"/>
      <c r="B5763" s="229"/>
      <c r="C5763" s="32" t="s">
        <v>3285</v>
      </c>
      <c r="D5763" s="148" t="s">
        <v>20</v>
      </c>
      <c r="E5763" s="149">
        <v>1</v>
      </c>
      <c r="F5763" s="27">
        <v>12.16</v>
      </c>
      <c r="G5763" s="50">
        <f t="shared" si="108"/>
        <v>12.16</v>
      </c>
      <c r="H5763" s="35">
        <f>SUM(G5763:G5763)</f>
        <v>12.16</v>
      </c>
      <c r="I5763" s="36"/>
      <c r="J5763" s="141">
        <v>0</v>
      </c>
    </row>
    <row r="5764" spans="1:10" ht="15.75" hidden="1" thickBot="1" x14ac:dyDescent="0.3">
      <c r="A5764" s="243"/>
      <c r="B5764" s="230"/>
      <c r="C5764" s="51"/>
      <c r="D5764" s="151"/>
      <c r="E5764" s="62"/>
      <c r="F5764" s="72" t="s">
        <v>523</v>
      </c>
      <c r="G5764" s="72" t="str">
        <f t="shared" si="108"/>
        <v/>
      </c>
      <c r="H5764" s="73"/>
      <c r="I5764" s="70"/>
      <c r="J5764" s="141">
        <v>0</v>
      </c>
    </row>
    <row r="5765" spans="1:10" ht="15.75" hidden="1" thickBot="1" x14ac:dyDescent="0.3">
      <c r="A5765" s="239" t="s">
        <v>5474</v>
      </c>
      <c r="B5765" s="228" t="str">
        <f>INDEX(Orçamentária!A:B,MATCH(Composições!A5765,Orçamentária!A:A,0),2)</f>
        <v>Luva para eletroduto 1”</v>
      </c>
      <c r="C5765" s="37"/>
      <c r="D5765" s="22" t="str">
        <f>TRIM(INDEX(Orçamentária!C:C,MATCH(Composições!A5765,Orçamentária!A:A,0),1))</f>
        <v>un</v>
      </c>
      <c r="E5765" s="23"/>
      <c r="F5765" s="45" t="s">
        <v>523</v>
      </c>
      <c r="G5765" s="24" t="str">
        <f t="shared" si="108"/>
        <v/>
      </c>
      <c r="H5765" s="25"/>
      <c r="I5765" s="26"/>
      <c r="J5765" s="141">
        <v>0</v>
      </c>
    </row>
    <row r="5766" spans="1:10" ht="15.75" hidden="1" thickBot="1" x14ac:dyDescent="0.3">
      <c r="A5766" s="242"/>
      <c r="B5766" s="229"/>
      <c r="C5766" s="155"/>
      <c r="D5766" s="155"/>
      <c r="E5766" s="156"/>
      <c r="F5766" s="50" t="s">
        <v>523</v>
      </c>
      <c r="G5766" s="50" t="str">
        <f t="shared" si="108"/>
        <v/>
      </c>
      <c r="H5766" s="69"/>
      <c r="I5766" s="70"/>
      <c r="J5766" s="141">
        <v>0</v>
      </c>
    </row>
    <row r="5767" spans="1:10" ht="26.25" hidden="1" thickBot="1" x14ac:dyDescent="0.3">
      <c r="A5767" s="242"/>
      <c r="B5767" s="229"/>
      <c r="C5767" s="32" t="s">
        <v>3343</v>
      </c>
      <c r="D5767" s="148" t="s">
        <v>20</v>
      </c>
      <c r="E5767" s="149">
        <v>1</v>
      </c>
      <c r="F5767" s="27">
        <v>2.831</v>
      </c>
      <c r="G5767" s="50">
        <f t="shared" si="108"/>
        <v>2.831</v>
      </c>
      <c r="H5767" s="35">
        <f>SUM(G5767:G5767)</f>
        <v>2.831</v>
      </c>
      <c r="I5767" s="36"/>
      <c r="J5767" s="141">
        <v>0</v>
      </c>
    </row>
    <row r="5768" spans="1:10" ht="15.75" hidden="1" thickBot="1" x14ac:dyDescent="0.3">
      <c r="A5768" s="243"/>
      <c r="B5768" s="230"/>
      <c r="C5768" s="51"/>
      <c r="D5768" s="151"/>
      <c r="E5768" s="62"/>
      <c r="F5768" s="72" t="s">
        <v>523</v>
      </c>
      <c r="G5768" s="72" t="str">
        <f t="shared" si="108"/>
        <v/>
      </c>
      <c r="H5768" s="73"/>
      <c r="I5768" s="70"/>
      <c r="J5768" s="141">
        <v>0</v>
      </c>
    </row>
    <row r="5769" spans="1:10" ht="15.75" hidden="1" thickBot="1" x14ac:dyDescent="0.3">
      <c r="A5769" s="239" t="s">
        <v>5476</v>
      </c>
      <c r="B5769" s="228" t="str">
        <f>INDEX(Orçamentária!A:B,MATCH(Composições!A5769,Orçamentária!A:A,0),2)</f>
        <v>Curva para eletroduto 1”</v>
      </c>
      <c r="C5769" s="37"/>
      <c r="D5769" s="22" t="str">
        <f>TRIM(INDEX(Orçamentária!C:C,MATCH(Composições!A5769,Orçamentária!A:A,0),1))</f>
        <v>un</v>
      </c>
      <c r="E5769" s="23"/>
      <c r="F5769" s="45" t="s">
        <v>523</v>
      </c>
      <c r="G5769" s="24" t="str">
        <f t="shared" si="108"/>
        <v/>
      </c>
      <c r="H5769" s="25"/>
      <c r="I5769" s="26"/>
      <c r="J5769" s="141">
        <v>0</v>
      </c>
    </row>
    <row r="5770" spans="1:10" ht="15.75" hidden="1" thickBot="1" x14ac:dyDescent="0.3">
      <c r="A5770" s="242"/>
      <c r="B5770" s="229"/>
      <c r="C5770" s="155"/>
      <c r="D5770" s="155"/>
      <c r="E5770" s="156"/>
      <c r="F5770" s="50" t="s">
        <v>523</v>
      </c>
      <c r="G5770" s="50" t="str">
        <f t="shared" si="108"/>
        <v/>
      </c>
      <c r="H5770" s="69"/>
      <c r="I5770" s="70"/>
      <c r="J5770" s="141">
        <v>0</v>
      </c>
    </row>
    <row r="5771" spans="1:10" ht="26.25" hidden="1" thickBot="1" x14ac:dyDescent="0.3">
      <c r="A5771" s="242"/>
      <c r="B5771" s="229"/>
      <c r="C5771" s="32" t="s">
        <v>3307</v>
      </c>
      <c r="D5771" s="148" t="s">
        <v>20</v>
      </c>
      <c r="E5771" s="149">
        <v>1</v>
      </c>
      <c r="F5771" s="27">
        <v>8.7684999999999995</v>
      </c>
      <c r="G5771" s="50">
        <f t="shared" si="108"/>
        <v>8.7684999999999995</v>
      </c>
      <c r="H5771" s="35">
        <f>SUM(G5771:G5771)</f>
        <v>8.7684999999999995</v>
      </c>
      <c r="I5771" s="36"/>
      <c r="J5771" s="141">
        <v>0</v>
      </c>
    </row>
    <row r="5772" spans="1:10" ht="15.75" hidden="1" thickBot="1" x14ac:dyDescent="0.3">
      <c r="A5772" s="243"/>
      <c r="B5772" s="230"/>
      <c r="C5772" s="51"/>
      <c r="D5772" s="151"/>
      <c r="E5772" s="62"/>
      <c r="F5772" s="72" t="s">
        <v>523</v>
      </c>
      <c r="G5772" s="72" t="str">
        <f t="shared" si="108"/>
        <v/>
      </c>
      <c r="H5772" s="73"/>
      <c r="I5772" s="70"/>
      <c r="J5772" s="141">
        <v>0</v>
      </c>
    </row>
    <row r="5773" spans="1:10" ht="15.75" hidden="1" thickBot="1" x14ac:dyDescent="0.3">
      <c r="A5773" s="239" t="s">
        <v>5477</v>
      </c>
      <c r="B5773" s="228" t="str">
        <f>INDEX(Orçamentária!A:B,MATCH(Composições!A5773,Orçamentária!A:A,0),2)</f>
        <v>Conector reto para eletroduto 1 1/4”</v>
      </c>
      <c r="C5773" s="37"/>
      <c r="D5773" s="22" t="str">
        <f>TRIM(INDEX(Orçamentária!C:C,MATCH(Composições!A5773,Orçamentária!A:A,0),1))</f>
        <v>un</v>
      </c>
      <c r="E5773" s="23"/>
      <c r="F5773" s="45" t="s">
        <v>523</v>
      </c>
      <c r="G5773" s="24" t="str">
        <f t="shared" si="108"/>
        <v/>
      </c>
      <c r="H5773" s="25"/>
      <c r="I5773" s="26"/>
      <c r="J5773" s="141">
        <v>0</v>
      </c>
    </row>
    <row r="5774" spans="1:10" ht="15.75" hidden="1" thickBot="1" x14ac:dyDescent="0.3">
      <c r="A5774" s="242"/>
      <c r="B5774" s="229"/>
      <c r="C5774" s="155"/>
      <c r="D5774" s="155"/>
      <c r="E5774" s="156"/>
      <c r="F5774" s="50" t="s">
        <v>523</v>
      </c>
      <c r="G5774" s="50" t="str">
        <f t="shared" si="108"/>
        <v/>
      </c>
      <c r="H5774" s="69"/>
      <c r="I5774" s="70"/>
      <c r="J5774" s="141">
        <v>0</v>
      </c>
    </row>
    <row r="5775" spans="1:10" ht="39" hidden="1" thickBot="1" x14ac:dyDescent="0.3">
      <c r="A5775" s="242"/>
      <c r="B5775" s="229"/>
      <c r="C5775" s="32" t="s">
        <v>3292</v>
      </c>
      <c r="D5775" s="148" t="s">
        <v>20</v>
      </c>
      <c r="E5775" s="149">
        <v>1</v>
      </c>
      <c r="F5775" s="27">
        <v>5.3769999999999998</v>
      </c>
      <c r="G5775" s="50">
        <f t="shared" si="108"/>
        <v>5.3769999999999998</v>
      </c>
      <c r="H5775" s="35">
        <f>SUM(G5775:G5775)</f>
        <v>5.3769999999999998</v>
      </c>
      <c r="I5775" s="36"/>
      <c r="J5775" s="141">
        <v>0</v>
      </c>
    </row>
    <row r="5776" spans="1:10" ht="15.75" hidden="1" thickBot="1" x14ac:dyDescent="0.3">
      <c r="A5776" s="243"/>
      <c r="B5776" s="230"/>
      <c r="C5776" s="51"/>
      <c r="D5776" s="151"/>
      <c r="E5776" s="62"/>
      <c r="F5776" s="72" t="s">
        <v>523</v>
      </c>
      <c r="G5776" s="72" t="str">
        <f t="shared" si="108"/>
        <v/>
      </c>
      <c r="H5776" s="73"/>
      <c r="I5776" s="70"/>
      <c r="J5776" s="141">
        <v>0</v>
      </c>
    </row>
    <row r="5777" spans="1:10" ht="15.75" hidden="1" thickBot="1" x14ac:dyDescent="0.3">
      <c r="A5777" s="239" t="s">
        <v>5478</v>
      </c>
      <c r="B5777" s="228" t="str">
        <f>INDEX(Orçamentária!A:B,MATCH(Composições!A5777,Orçamentária!A:A,0),2)</f>
        <v>Conector curvo para eletroduto 1 1/4”</v>
      </c>
      <c r="C5777" s="37"/>
      <c r="D5777" s="22" t="str">
        <f>TRIM(INDEX(Orçamentária!C:C,MATCH(Composições!A5777,Orçamentária!A:A,0),1))</f>
        <v>un</v>
      </c>
      <c r="E5777" s="23"/>
      <c r="F5777" s="45" t="s">
        <v>523</v>
      </c>
      <c r="G5777" s="24" t="str">
        <f t="shared" si="108"/>
        <v/>
      </c>
      <c r="H5777" s="25"/>
      <c r="I5777" s="26"/>
      <c r="J5777" s="141">
        <v>0</v>
      </c>
    </row>
    <row r="5778" spans="1:10" ht="15.75" hidden="1" thickBot="1" x14ac:dyDescent="0.3">
      <c r="A5778" s="242"/>
      <c r="B5778" s="229"/>
      <c r="C5778" s="155"/>
      <c r="D5778" s="155"/>
      <c r="E5778" s="156"/>
      <c r="F5778" s="50" t="s">
        <v>523</v>
      </c>
      <c r="G5778" s="50" t="str">
        <f t="shared" si="108"/>
        <v/>
      </c>
      <c r="H5778" s="69"/>
      <c r="I5778" s="70"/>
      <c r="J5778" s="141">
        <v>0</v>
      </c>
    </row>
    <row r="5779" spans="1:10" ht="39" hidden="1" thickBot="1" x14ac:dyDescent="0.3">
      <c r="A5779" s="242"/>
      <c r="B5779" s="229"/>
      <c r="C5779" s="32" t="s">
        <v>3284</v>
      </c>
      <c r="D5779" s="148" t="s">
        <v>20</v>
      </c>
      <c r="E5779" s="149">
        <v>1</v>
      </c>
      <c r="F5779" s="27">
        <v>15.142999999999999</v>
      </c>
      <c r="G5779" s="50">
        <f t="shared" si="108"/>
        <v>15.142999999999999</v>
      </c>
      <c r="H5779" s="35">
        <f>SUM(G5779:G5779)</f>
        <v>15.142999999999999</v>
      </c>
      <c r="I5779" s="36"/>
      <c r="J5779" s="141">
        <v>0</v>
      </c>
    </row>
    <row r="5780" spans="1:10" ht="15.75" hidden="1" thickBot="1" x14ac:dyDescent="0.3">
      <c r="A5780" s="243"/>
      <c r="B5780" s="230"/>
      <c r="C5780" s="51"/>
      <c r="D5780" s="151"/>
      <c r="E5780" s="62"/>
      <c r="F5780" s="72" t="s">
        <v>523</v>
      </c>
      <c r="G5780" s="72" t="str">
        <f t="shared" si="108"/>
        <v/>
      </c>
      <c r="H5780" s="73"/>
      <c r="I5780" s="70"/>
      <c r="J5780" s="141">
        <v>0</v>
      </c>
    </row>
    <row r="5781" spans="1:10" ht="15.75" hidden="1" thickBot="1" x14ac:dyDescent="0.3">
      <c r="A5781" s="239" t="s">
        <v>5479</v>
      </c>
      <c r="B5781" s="228" t="str">
        <f>INDEX(Orçamentária!A:B,MATCH(Composições!A5781,Orçamentária!A:A,0),2)</f>
        <v>Luva para eletroduto 1 1/4”</v>
      </c>
      <c r="C5781" s="37"/>
      <c r="D5781" s="22" t="str">
        <f>TRIM(INDEX(Orçamentária!C:C,MATCH(Composições!A5781,Orçamentária!A:A,0),1))</f>
        <v>un</v>
      </c>
      <c r="E5781" s="23"/>
      <c r="F5781" s="45" t="s">
        <v>523</v>
      </c>
      <c r="G5781" s="24" t="str">
        <f t="shared" si="108"/>
        <v/>
      </c>
      <c r="H5781" s="25"/>
      <c r="I5781" s="26"/>
      <c r="J5781" s="141">
        <v>0</v>
      </c>
    </row>
    <row r="5782" spans="1:10" ht="15.75" hidden="1" thickBot="1" x14ac:dyDescent="0.3">
      <c r="A5782" s="242"/>
      <c r="B5782" s="229"/>
      <c r="C5782" s="155"/>
      <c r="D5782" s="155"/>
      <c r="E5782" s="156"/>
      <c r="F5782" s="50" t="s">
        <v>523</v>
      </c>
      <c r="G5782" s="50" t="str">
        <f t="shared" si="108"/>
        <v/>
      </c>
      <c r="H5782" s="69"/>
      <c r="I5782" s="70"/>
      <c r="J5782" s="141">
        <v>0</v>
      </c>
    </row>
    <row r="5783" spans="1:10" ht="26.25" hidden="1" thickBot="1" x14ac:dyDescent="0.3">
      <c r="A5783" s="242"/>
      <c r="B5783" s="229"/>
      <c r="C5783" s="32" t="s">
        <v>3344</v>
      </c>
      <c r="D5783" s="148" t="s">
        <v>20</v>
      </c>
      <c r="E5783" s="149">
        <v>1</v>
      </c>
      <c r="F5783" s="27">
        <v>5.016</v>
      </c>
      <c r="G5783" s="50">
        <f t="shared" si="108"/>
        <v>5.016</v>
      </c>
      <c r="H5783" s="35">
        <f>SUM(G5783:G5783)</f>
        <v>5.016</v>
      </c>
      <c r="I5783" s="36"/>
      <c r="J5783" s="141">
        <v>0</v>
      </c>
    </row>
    <row r="5784" spans="1:10" ht="15.75" hidden="1" thickBot="1" x14ac:dyDescent="0.3">
      <c r="A5784" s="243"/>
      <c r="B5784" s="230"/>
      <c r="C5784" s="51"/>
      <c r="D5784" s="151"/>
      <c r="E5784" s="62"/>
      <c r="F5784" s="72" t="s">
        <v>523</v>
      </c>
      <c r="G5784" s="72" t="str">
        <f t="shared" si="108"/>
        <v/>
      </c>
      <c r="H5784" s="73"/>
      <c r="I5784" s="70"/>
      <c r="J5784" s="141">
        <v>0</v>
      </c>
    </row>
    <row r="5785" spans="1:10" ht="15.75" hidden="1" thickBot="1" x14ac:dyDescent="0.3">
      <c r="A5785" s="239" t="s">
        <v>5481</v>
      </c>
      <c r="B5785" s="228" t="str">
        <f>INDEX(Orçamentária!A:B,MATCH(Composições!A5785,Orçamentária!A:A,0),2)</f>
        <v>Curva para eletroduto 1 1/4”</v>
      </c>
      <c r="C5785" s="37"/>
      <c r="D5785" s="22" t="str">
        <f>TRIM(INDEX(Orçamentária!C:C,MATCH(Composições!A5785,Orçamentária!A:A,0),1))</f>
        <v>un</v>
      </c>
      <c r="E5785" s="23"/>
      <c r="F5785" s="45" t="s">
        <v>523</v>
      </c>
      <c r="G5785" s="24" t="str">
        <f t="shared" si="108"/>
        <v/>
      </c>
      <c r="H5785" s="25"/>
      <c r="I5785" s="26"/>
      <c r="J5785" s="141">
        <v>0</v>
      </c>
    </row>
    <row r="5786" spans="1:10" ht="15.75" hidden="1" thickBot="1" x14ac:dyDescent="0.3">
      <c r="A5786" s="242"/>
      <c r="B5786" s="229"/>
      <c r="C5786" s="155"/>
      <c r="D5786" s="155"/>
      <c r="E5786" s="156"/>
      <c r="F5786" s="50" t="s">
        <v>523</v>
      </c>
      <c r="G5786" s="50" t="str">
        <f t="shared" si="108"/>
        <v/>
      </c>
      <c r="H5786" s="69"/>
      <c r="I5786" s="70"/>
      <c r="J5786" s="141">
        <v>0</v>
      </c>
    </row>
    <row r="5787" spans="1:10" ht="26.25" hidden="1" thickBot="1" x14ac:dyDescent="0.3">
      <c r="A5787" s="242"/>
      <c r="B5787" s="229"/>
      <c r="C5787" s="32" t="s">
        <v>3308</v>
      </c>
      <c r="D5787" s="148" t="s">
        <v>20</v>
      </c>
      <c r="E5787" s="149">
        <v>1</v>
      </c>
      <c r="F5787" s="27">
        <v>19.968999999999998</v>
      </c>
      <c r="G5787" s="50">
        <f t="shared" si="108"/>
        <v>19.968999999999998</v>
      </c>
      <c r="H5787" s="35">
        <f>SUM(G5787:G5787)</f>
        <v>19.968999999999998</v>
      </c>
      <c r="I5787" s="36"/>
      <c r="J5787" s="141">
        <v>0</v>
      </c>
    </row>
    <row r="5788" spans="1:10" ht="15.75" hidden="1" thickBot="1" x14ac:dyDescent="0.3">
      <c r="A5788" s="243"/>
      <c r="B5788" s="230"/>
      <c r="C5788" s="51"/>
      <c r="D5788" s="151"/>
      <c r="E5788" s="62"/>
      <c r="F5788" s="72" t="s">
        <v>523</v>
      </c>
      <c r="G5788" s="72" t="str">
        <f t="shared" si="108"/>
        <v/>
      </c>
      <c r="H5788" s="73"/>
      <c r="I5788" s="70"/>
      <c r="J5788" s="141">
        <v>0</v>
      </c>
    </row>
    <row r="5789" spans="1:10" ht="15.75" hidden="1" thickBot="1" x14ac:dyDescent="0.3">
      <c r="A5789" s="239" t="s">
        <v>5482</v>
      </c>
      <c r="B5789" s="228" t="str">
        <f>INDEX(Orçamentária!A:B,MATCH(Composições!A5789,Orçamentária!A:A,0),2)</f>
        <v>Conector reto para eletroduto 1 1/2”</v>
      </c>
      <c r="C5789" s="37"/>
      <c r="D5789" s="22" t="str">
        <f>TRIM(INDEX(Orçamentária!C:C,MATCH(Composições!A5789,Orçamentária!A:A,0),1))</f>
        <v>un</v>
      </c>
      <c r="E5789" s="23"/>
      <c r="F5789" s="45" t="s">
        <v>523</v>
      </c>
      <c r="G5789" s="24" t="str">
        <f t="shared" si="108"/>
        <v/>
      </c>
      <c r="H5789" s="25"/>
      <c r="I5789" s="26"/>
      <c r="J5789" s="141">
        <v>0</v>
      </c>
    </row>
    <row r="5790" spans="1:10" ht="15.75" hidden="1" thickBot="1" x14ac:dyDescent="0.3">
      <c r="A5790" s="242"/>
      <c r="B5790" s="229"/>
      <c r="C5790" s="155"/>
      <c r="D5790" s="155"/>
      <c r="E5790" s="156"/>
      <c r="F5790" s="50" t="s">
        <v>523</v>
      </c>
      <c r="G5790" s="50" t="str">
        <f t="shared" ref="G5790:G5853" si="109">IF(ISNUMBER(F5790),E5790*F5790,"")</f>
        <v/>
      </c>
      <c r="H5790" s="69"/>
      <c r="I5790" s="70"/>
      <c r="J5790" s="141">
        <v>0</v>
      </c>
    </row>
    <row r="5791" spans="1:10" ht="39" hidden="1" thickBot="1" x14ac:dyDescent="0.3">
      <c r="A5791" s="242"/>
      <c r="B5791" s="229"/>
      <c r="C5791" s="32" t="s">
        <v>3291</v>
      </c>
      <c r="D5791" s="148" t="s">
        <v>20</v>
      </c>
      <c r="E5791" s="149">
        <v>1</v>
      </c>
      <c r="F5791" s="27">
        <v>8.3885000000000005</v>
      </c>
      <c r="G5791" s="50">
        <f t="shared" si="109"/>
        <v>8.3885000000000005</v>
      </c>
      <c r="H5791" s="35">
        <f>SUM(G5791:G5791)</f>
        <v>8.3885000000000005</v>
      </c>
      <c r="I5791" s="36"/>
      <c r="J5791" s="141">
        <v>0</v>
      </c>
    </row>
    <row r="5792" spans="1:10" ht="15.75" hidden="1" thickBot="1" x14ac:dyDescent="0.3">
      <c r="A5792" s="243"/>
      <c r="B5792" s="230"/>
      <c r="C5792" s="51"/>
      <c r="D5792" s="151"/>
      <c r="E5792" s="62"/>
      <c r="F5792" s="72" t="s">
        <v>523</v>
      </c>
      <c r="G5792" s="72" t="str">
        <f t="shared" si="109"/>
        <v/>
      </c>
      <c r="H5792" s="73"/>
      <c r="I5792" s="70"/>
      <c r="J5792" s="141">
        <v>0</v>
      </c>
    </row>
    <row r="5793" spans="1:10" ht="15.75" hidden="1" thickBot="1" x14ac:dyDescent="0.3">
      <c r="A5793" s="239" t="s">
        <v>5483</v>
      </c>
      <c r="B5793" s="228" t="str">
        <f>INDEX(Orçamentária!A:B,MATCH(Composições!A5793,Orçamentária!A:A,0),2)</f>
        <v>Conector curvo para eletroduto 1 1/2”</v>
      </c>
      <c r="C5793" s="37"/>
      <c r="D5793" s="22" t="str">
        <f>TRIM(INDEX(Orçamentária!C:C,MATCH(Composições!A5793,Orçamentária!A:A,0),1))</f>
        <v>un</v>
      </c>
      <c r="E5793" s="23"/>
      <c r="F5793" s="45" t="s">
        <v>523</v>
      </c>
      <c r="G5793" s="24" t="str">
        <f t="shared" si="109"/>
        <v/>
      </c>
      <c r="H5793" s="25"/>
      <c r="I5793" s="26"/>
      <c r="J5793" s="141">
        <v>0</v>
      </c>
    </row>
    <row r="5794" spans="1:10" ht="15.75" hidden="1" thickBot="1" x14ac:dyDescent="0.3">
      <c r="A5794" s="242"/>
      <c r="B5794" s="229"/>
      <c r="C5794" s="155"/>
      <c r="D5794" s="155"/>
      <c r="E5794" s="156"/>
      <c r="F5794" s="50" t="s">
        <v>523</v>
      </c>
      <c r="G5794" s="50" t="str">
        <f t="shared" si="109"/>
        <v/>
      </c>
      <c r="H5794" s="69"/>
      <c r="I5794" s="70"/>
      <c r="J5794" s="141">
        <v>0</v>
      </c>
    </row>
    <row r="5795" spans="1:10" ht="39" hidden="1" thickBot="1" x14ac:dyDescent="0.3">
      <c r="A5795" s="242"/>
      <c r="B5795" s="229"/>
      <c r="C5795" s="32" t="s">
        <v>3283</v>
      </c>
      <c r="D5795" s="148" t="s">
        <v>20</v>
      </c>
      <c r="E5795" s="149">
        <v>1</v>
      </c>
      <c r="F5795" s="27">
        <v>23.436499999999999</v>
      </c>
      <c r="G5795" s="50">
        <f t="shared" si="109"/>
        <v>23.436499999999999</v>
      </c>
      <c r="H5795" s="35">
        <f>SUM(G5795:G5795)</f>
        <v>23.436499999999999</v>
      </c>
      <c r="I5795" s="36"/>
      <c r="J5795" s="141">
        <v>0</v>
      </c>
    </row>
    <row r="5796" spans="1:10" ht="15.75" hidden="1" thickBot="1" x14ac:dyDescent="0.3">
      <c r="A5796" s="243"/>
      <c r="B5796" s="230"/>
      <c r="C5796" s="51"/>
      <c r="D5796" s="151"/>
      <c r="E5796" s="62"/>
      <c r="F5796" s="72" t="s">
        <v>523</v>
      </c>
      <c r="G5796" s="72" t="str">
        <f t="shared" si="109"/>
        <v/>
      </c>
      <c r="H5796" s="73"/>
      <c r="I5796" s="70"/>
      <c r="J5796" s="141">
        <v>0</v>
      </c>
    </row>
    <row r="5797" spans="1:10" ht="15.75" hidden="1" thickBot="1" x14ac:dyDescent="0.3">
      <c r="A5797" s="239" t="s">
        <v>5484</v>
      </c>
      <c r="B5797" s="228" t="str">
        <f>INDEX(Orçamentária!A:B,MATCH(Composições!A5797,Orçamentária!A:A,0),2)</f>
        <v>Luva para eletroduto 1 1/2”</v>
      </c>
      <c r="C5797" s="37"/>
      <c r="D5797" s="22" t="str">
        <f>TRIM(INDEX(Orçamentária!C:C,MATCH(Composições!A5797,Orçamentária!A:A,0),1))</f>
        <v>un</v>
      </c>
      <c r="E5797" s="23"/>
      <c r="F5797" s="45" t="s">
        <v>523</v>
      </c>
      <c r="G5797" s="24" t="str">
        <f t="shared" si="109"/>
        <v/>
      </c>
      <c r="H5797" s="25"/>
      <c r="I5797" s="26"/>
      <c r="J5797" s="141">
        <v>0</v>
      </c>
    </row>
    <row r="5798" spans="1:10" ht="15.75" hidden="1" thickBot="1" x14ac:dyDescent="0.3">
      <c r="A5798" s="242"/>
      <c r="B5798" s="229"/>
      <c r="C5798" s="155"/>
      <c r="D5798" s="155"/>
      <c r="E5798" s="156"/>
      <c r="F5798" s="50" t="s">
        <v>523</v>
      </c>
      <c r="G5798" s="50" t="str">
        <f t="shared" si="109"/>
        <v/>
      </c>
      <c r="H5798" s="69"/>
      <c r="I5798" s="70"/>
      <c r="J5798" s="141">
        <v>0</v>
      </c>
    </row>
    <row r="5799" spans="1:10" ht="26.25" hidden="1" thickBot="1" x14ac:dyDescent="0.3">
      <c r="A5799" s="242"/>
      <c r="B5799" s="229"/>
      <c r="C5799" s="32" t="s">
        <v>3345</v>
      </c>
      <c r="D5799" s="148" t="s">
        <v>20</v>
      </c>
      <c r="E5799" s="149">
        <v>1</v>
      </c>
      <c r="F5799" s="27">
        <v>7.2579999999999991</v>
      </c>
      <c r="G5799" s="50">
        <f t="shared" si="109"/>
        <v>7.2579999999999991</v>
      </c>
      <c r="H5799" s="35">
        <f>SUM(G5799:G5799)</f>
        <v>7.2579999999999991</v>
      </c>
      <c r="I5799" s="36"/>
      <c r="J5799" s="141">
        <v>0</v>
      </c>
    </row>
    <row r="5800" spans="1:10" ht="15.75" hidden="1" thickBot="1" x14ac:dyDescent="0.3">
      <c r="A5800" s="243"/>
      <c r="B5800" s="230"/>
      <c r="C5800" s="51"/>
      <c r="D5800" s="151"/>
      <c r="E5800" s="62"/>
      <c r="F5800" s="72" t="s">
        <v>523</v>
      </c>
      <c r="G5800" s="72" t="str">
        <f t="shared" si="109"/>
        <v/>
      </c>
      <c r="H5800" s="73"/>
      <c r="I5800" s="70"/>
      <c r="J5800" s="141">
        <v>0</v>
      </c>
    </row>
    <row r="5801" spans="1:10" ht="15.75" hidden="1" thickBot="1" x14ac:dyDescent="0.3">
      <c r="A5801" s="239" t="s">
        <v>5486</v>
      </c>
      <c r="B5801" s="228" t="str">
        <f>INDEX(Orçamentária!A:B,MATCH(Composições!A5673,Orçamentária!A:A,0),2)</f>
        <v>Terminal de compressão 240 mm²</v>
      </c>
      <c r="C5801" s="37"/>
      <c r="D5801" s="22" t="str">
        <f>TRIM(INDEX(Orçamentária!C:C,MATCH(Composições!A5801,Orçamentária!A:A,0),1))</f>
        <v>un</v>
      </c>
      <c r="E5801" s="23"/>
      <c r="F5801" s="45" t="s">
        <v>523</v>
      </c>
      <c r="G5801" s="24" t="str">
        <f t="shared" si="109"/>
        <v/>
      </c>
      <c r="H5801" s="25"/>
      <c r="I5801" s="26"/>
      <c r="J5801" s="141">
        <v>0</v>
      </c>
    </row>
    <row r="5802" spans="1:10" ht="15.75" hidden="1" thickBot="1" x14ac:dyDescent="0.3">
      <c r="A5802" s="242"/>
      <c r="B5802" s="229"/>
      <c r="C5802" s="155"/>
      <c r="D5802" s="155"/>
      <c r="E5802" s="156"/>
      <c r="F5802" s="50" t="s">
        <v>523</v>
      </c>
      <c r="G5802" s="50" t="str">
        <f t="shared" si="109"/>
        <v/>
      </c>
      <c r="H5802" s="69"/>
      <c r="I5802" s="70"/>
      <c r="J5802" s="141">
        <v>0</v>
      </c>
    </row>
    <row r="5803" spans="1:10" ht="26.25" hidden="1" thickBot="1" x14ac:dyDescent="0.3">
      <c r="A5803" s="242"/>
      <c r="B5803" s="229"/>
      <c r="C5803" s="32" t="s">
        <v>3309</v>
      </c>
      <c r="D5803" s="148" t="s">
        <v>20</v>
      </c>
      <c r="E5803" s="149">
        <v>1</v>
      </c>
      <c r="F5803" s="27">
        <v>24.348499999999998</v>
      </c>
      <c r="G5803" s="50">
        <f t="shared" si="109"/>
        <v>24.348499999999998</v>
      </c>
      <c r="H5803" s="35">
        <f>SUM(G5803:G5803)</f>
        <v>24.348499999999998</v>
      </c>
      <c r="I5803" s="36"/>
      <c r="J5803" s="141">
        <v>0</v>
      </c>
    </row>
    <row r="5804" spans="1:10" ht="15.75" hidden="1" thickBot="1" x14ac:dyDescent="0.3">
      <c r="A5804" s="243"/>
      <c r="B5804" s="230"/>
      <c r="C5804" s="51"/>
      <c r="D5804" s="151"/>
      <c r="E5804" s="62"/>
      <c r="F5804" s="72" t="s">
        <v>523</v>
      </c>
      <c r="G5804" s="72" t="str">
        <f t="shared" si="109"/>
        <v/>
      </c>
      <c r="H5804" s="73"/>
      <c r="I5804" s="70"/>
      <c r="J5804" s="141">
        <v>0</v>
      </c>
    </row>
    <row r="5805" spans="1:10" ht="15.75" hidden="1" thickBot="1" x14ac:dyDescent="0.3">
      <c r="A5805" s="239" t="s">
        <v>5487</v>
      </c>
      <c r="B5805" s="228" t="str">
        <f>INDEX(Orçamentária!A:B,MATCH(Composições!A5805,Orçamentária!A:A,0),2)</f>
        <v>Conector reto para eletroduto 2”</v>
      </c>
      <c r="C5805" s="37"/>
      <c r="D5805" s="22" t="str">
        <f>TRIM(INDEX(Orçamentária!C:C,MATCH(Composições!A5805,Orçamentária!A:A,0),1))</f>
        <v>un</v>
      </c>
      <c r="E5805" s="23"/>
      <c r="F5805" s="45" t="s">
        <v>523</v>
      </c>
      <c r="G5805" s="24" t="str">
        <f t="shared" si="109"/>
        <v/>
      </c>
      <c r="H5805" s="25"/>
      <c r="I5805" s="26"/>
      <c r="J5805" s="141">
        <v>0</v>
      </c>
    </row>
    <row r="5806" spans="1:10" ht="15.75" hidden="1" thickBot="1" x14ac:dyDescent="0.3">
      <c r="A5806" s="242"/>
      <c r="B5806" s="229"/>
      <c r="C5806" s="155"/>
      <c r="D5806" s="155"/>
      <c r="E5806" s="156"/>
      <c r="F5806" s="50" t="s">
        <v>523</v>
      </c>
      <c r="G5806" s="50" t="str">
        <f t="shared" si="109"/>
        <v/>
      </c>
      <c r="H5806" s="69"/>
      <c r="I5806" s="70"/>
      <c r="J5806" s="141">
        <v>0</v>
      </c>
    </row>
    <row r="5807" spans="1:10" ht="39" hidden="1" thickBot="1" x14ac:dyDescent="0.3">
      <c r="A5807" s="242"/>
      <c r="B5807" s="229"/>
      <c r="C5807" s="32" t="s">
        <v>3294</v>
      </c>
      <c r="D5807" s="148" t="s">
        <v>20</v>
      </c>
      <c r="E5807" s="149">
        <v>1</v>
      </c>
      <c r="F5807" s="27">
        <v>9.3004999999999995</v>
      </c>
      <c r="G5807" s="50">
        <f t="shared" si="109"/>
        <v>9.3004999999999995</v>
      </c>
      <c r="H5807" s="35">
        <f>SUM(G5807:G5807)</f>
        <v>9.3004999999999995</v>
      </c>
      <c r="I5807" s="36"/>
      <c r="J5807" s="141">
        <v>0</v>
      </c>
    </row>
    <row r="5808" spans="1:10" ht="15.75" hidden="1" thickBot="1" x14ac:dyDescent="0.3">
      <c r="A5808" s="243"/>
      <c r="B5808" s="230"/>
      <c r="C5808" s="51"/>
      <c r="D5808" s="151"/>
      <c r="E5808" s="62"/>
      <c r="F5808" s="72" t="s">
        <v>523</v>
      </c>
      <c r="G5808" s="72" t="str">
        <f t="shared" si="109"/>
        <v/>
      </c>
      <c r="H5808" s="73"/>
      <c r="I5808" s="70"/>
      <c r="J5808" s="141">
        <v>0</v>
      </c>
    </row>
    <row r="5809" spans="1:10" ht="15.75" hidden="1" thickBot="1" x14ac:dyDescent="0.3">
      <c r="A5809" s="239" t="s">
        <v>5488</v>
      </c>
      <c r="B5809" s="228" t="str">
        <f>INDEX(Orçamentária!A:B,MATCH(Composições!A5809,Orçamentária!A:A,0),2)</f>
        <v>Conector curvo para eletroduto 2”</v>
      </c>
      <c r="C5809" s="37"/>
      <c r="D5809" s="22" t="str">
        <f>TRIM(INDEX(Orçamentária!C:C,MATCH(Composições!A5809,Orçamentária!A:A,0),1))</f>
        <v>un</v>
      </c>
      <c r="E5809" s="23"/>
      <c r="F5809" s="45" t="s">
        <v>523</v>
      </c>
      <c r="G5809" s="24" t="str">
        <f t="shared" si="109"/>
        <v/>
      </c>
      <c r="H5809" s="25"/>
      <c r="I5809" s="26"/>
      <c r="J5809" s="141">
        <v>0</v>
      </c>
    </row>
    <row r="5810" spans="1:10" ht="15.75" hidden="1" thickBot="1" x14ac:dyDescent="0.3">
      <c r="A5810" s="242"/>
      <c r="B5810" s="229"/>
      <c r="C5810" s="155"/>
      <c r="D5810" s="155"/>
      <c r="E5810" s="156"/>
      <c r="F5810" s="50" t="s">
        <v>523</v>
      </c>
      <c r="G5810" s="50" t="str">
        <f t="shared" si="109"/>
        <v/>
      </c>
      <c r="H5810" s="69"/>
      <c r="I5810" s="70"/>
      <c r="J5810" s="141">
        <v>0</v>
      </c>
    </row>
    <row r="5811" spans="1:10" ht="39" hidden="1" thickBot="1" x14ac:dyDescent="0.3">
      <c r="A5811" s="242"/>
      <c r="B5811" s="229"/>
      <c r="C5811" s="32" t="s">
        <v>3287</v>
      </c>
      <c r="D5811" s="148" t="s">
        <v>20</v>
      </c>
      <c r="E5811" s="149">
        <v>1</v>
      </c>
      <c r="F5811" s="27">
        <v>47.490499999999997</v>
      </c>
      <c r="G5811" s="50">
        <f t="shared" si="109"/>
        <v>47.490499999999997</v>
      </c>
      <c r="H5811" s="35">
        <f>SUM(G5811:G5811)</f>
        <v>47.490499999999997</v>
      </c>
      <c r="I5811" s="36"/>
      <c r="J5811" s="141">
        <v>0</v>
      </c>
    </row>
    <row r="5812" spans="1:10" ht="15.75" hidden="1" thickBot="1" x14ac:dyDescent="0.3">
      <c r="A5812" s="243"/>
      <c r="B5812" s="230"/>
      <c r="C5812" s="51"/>
      <c r="D5812" s="151"/>
      <c r="E5812" s="62"/>
      <c r="F5812" s="72" t="s">
        <v>523</v>
      </c>
      <c r="G5812" s="72" t="str">
        <f t="shared" si="109"/>
        <v/>
      </c>
      <c r="H5812" s="73"/>
      <c r="I5812" s="70"/>
      <c r="J5812" s="141">
        <v>0</v>
      </c>
    </row>
    <row r="5813" spans="1:10" ht="15.75" hidden="1" thickBot="1" x14ac:dyDescent="0.3">
      <c r="A5813" s="239" t="s">
        <v>5489</v>
      </c>
      <c r="B5813" s="228" t="str">
        <f>INDEX(Orçamentária!A:B,MATCH(Composições!A5813,Orçamentária!A:A,0),2)</f>
        <v>Luva para eletroduto 2”</v>
      </c>
      <c r="C5813" s="37"/>
      <c r="D5813" s="22" t="str">
        <f>TRIM(INDEX(Orçamentária!C:C,MATCH(Composições!A5813,Orçamentária!A:A,0),1))</f>
        <v>un</v>
      </c>
      <c r="E5813" s="23"/>
      <c r="F5813" s="45" t="s">
        <v>523</v>
      </c>
      <c r="G5813" s="24" t="str">
        <f t="shared" si="109"/>
        <v/>
      </c>
      <c r="H5813" s="25"/>
      <c r="I5813" s="26"/>
      <c r="J5813" s="141">
        <v>0</v>
      </c>
    </row>
    <row r="5814" spans="1:10" ht="15.75" hidden="1" thickBot="1" x14ac:dyDescent="0.3">
      <c r="A5814" s="242"/>
      <c r="B5814" s="229"/>
      <c r="C5814" s="155"/>
      <c r="D5814" s="155"/>
      <c r="E5814" s="156"/>
      <c r="F5814" s="50" t="s">
        <v>523</v>
      </c>
      <c r="G5814" s="50" t="str">
        <f t="shared" si="109"/>
        <v/>
      </c>
      <c r="H5814" s="69"/>
      <c r="I5814" s="70"/>
      <c r="J5814" s="141">
        <v>0</v>
      </c>
    </row>
    <row r="5815" spans="1:10" ht="26.25" hidden="1" thickBot="1" x14ac:dyDescent="0.3">
      <c r="A5815" s="242"/>
      <c r="B5815" s="229"/>
      <c r="C5815" s="32" t="s">
        <v>3346</v>
      </c>
      <c r="D5815" s="148" t="s">
        <v>20</v>
      </c>
      <c r="E5815" s="149">
        <v>1</v>
      </c>
      <c r="F5815" s="27">
        <v>10.1175</v>
      </c>
      <c r="G5815" s="50">
        <f t="shared" si="109"/>
        <v>10.1175</v>
      </c>
      <c r="H5815" s="35">
        <f>SUM(G5815:G5815)</f>
        <v>10.1175</v>
      </c>
      <c r="I5815" s="36"/>
      <c r="J5815" s="141">
        <v>0</v>
      </c>
    </row>
    <row r="5816" spans="1:10" ht="15.75" hidden="1" thickBot="1" x14ac:dyDescent="0.3">
      <c r="A5816" s="243"/>
      <c r="B5816" s="230"/>
      <c r="C5816" s="51"/>
      <c r="D5816" s="151"/>
      <c r="E5816" s="62"/>
      <c r="F5816" s="72" t="s">
        <v>523</v>
      </c>
      <c r="G5816" s="72" t="str">
        <f t="shared" si="109"/>
        <v/>
      </c>
      <c r="H5816" s="73"/>
      <c r="I5816" s="70"/>
      <c r="J5816" s="141">
        <v>0</v>
      </c>
    </row>
    <row r="5817" spans="1:10" ht="15.75" hidden="1" thickBot="1" x14ac:dyDescent="0.3">
      <c r="A5817" s="239" t="s">
        <v>5491</v>
      </c>
      <c r="B5817" s="228" t="str">
        <f>INDEX(Orçamentária!A:B,MATCH(Composições!A5817,Orçamentária!A:A,0),2)</f>
        <v>Curva para eletroduto 2”</v>
      </c>
      <c r="C5817" s="37"/>
      <c r="D5817" s="22" t="str">
        <f>TRIM(INDEX(Orçamentária!C:C,MATCH(Composições!A5817,Orçamentária!A:A,0),1))</f>
        <v>un</v>
      </c>
      <c r="E5817" s="23"/>
      <c r="F5817" s="45" t="s">
        <v>523</v>
      </c>
      <c r="G5817" s="24" t="str">
        <f t="shared" si="109"/>
        <v/>
      </c>
      <c r="H5817" s="25"/>
      <c r="I5817" s="26"/>
      <c r="J5817" s="141">
        <v>0</v>
      </c>
    </row>
    <row r="5818" spans="1:10" ht="15.75" hidden="1" thickBot="1" x14ac:dyDescent="0.3">
      <c r="A5818" s="242"/>
      <c r="B5818" s="229"/>
      <c r="C5818" s="155"/>
      <c r="D5818" s="155"/>
      <c r="E5818" s="156"/>
      <c r="F5818" s="50" t="s">
        <v>523</v>
      </c>
      <c r="G5818" s="50" t="str">
        <f t="shared" si="109"/>
        <v/>
      </c>
      <c r="H5818" s="69"/>
      <c r="I5818" s="70"/>
      <c r="J5818" s="141">
        <v>0</v>
      </c>
    </row>
    <row r="5819" spans="1:10" ht="26.25" hidden="1" thickBot="1" x14ac:dyDescent="0.3">
      <c r="A5819" s="242"/>
      <c r="B5819" s="229"/>
      <c r="C5819" s="32" t="s">
        <v>3310</v>
      </c>
      <c r="D5819" s="148" t="s">
        <v>20</v>
      </c>
      <c r="E5819" s="149">
        <v>1</v>
      </c>
      <c r="F5819" s="27">
        <v>35.7485</v>
      </c>
      <c r="G5819" s="50">
        <f t="shared" si="109"/>
        <v>35.7485</v>
      </c>
      <c r="H5819" s="35">
        <f>SUM(G5819:G5819)</f>
        <v>35.7485</v>
      </c>
      <c r="I5819" s="36"/>
      <c r="J5819" s="141">
        <v>0</v>
      </c>
    </row>
    <row r="5820" spans="1:10" ht="15.75" hidden="1" thickBot="1" x14ac:dyDescent="0.3">
      <c r="A5820" s="243"/>
      <c r="B5820" s="230"/>
      <c r="C5820" s="51"/>
      <c r="D5820" s="151"/>
      <c r="E5820" s="62"/>
      <c r="F5820" s="72" t="s">
        <v>523</v>
      </c>
      <c r="G5820" s="72" t="str">
        <f t="shared" si="109"/>
        <v/>
      </c>
      <c r="H5820" s="73"/>
      <c r="I5820" s="70"/>
      <c r="J5820" s="141">
        <v>0</v>
      </c>
    </row>
    <row r="5821" spans="1:10" ht="15.75" hidden="1" thickBot="1" x14ac:dyDescent="0.3">
      <c r="A5821" s="239" t="s">
        <v>5493</v>
      </c>
      <c r="B5821" s="228" t="str">
        <f>INDEX(Orçamentária!A:B,MATCH(Composições!A5821,Orçamentária!A:A,0),2)</f>
        <v>Conector curvo para eletroduto 2 1/2”</v>
      </c>
      <c r="C5821" s="37"/>
      <c r="D5821" s="22" t="str">
        <f>TRIM(INDEX(Orçamentária!C:C,MATCH(Composições!A5821,Orçamentária!A:A,0),1))</f>
        <v>un</v>
      </c>
      <c r="E5821" s="23"/>
      <c r="F5821" s="45" t="s">
        <v>523</v>
      </c>
      <c r="G5821" s="24" t="str">
        <f t="shared" si="109"/>
        <v/>
      </c>
      <c r="H5821" s="25"/>
      <c r="I5821" s="26"/>
      <c r="J5821" s="141">
        <v>0</v>
      </c>
    </row>
    <row r="5822" spans="1:10" ht="15.75" hidden="1" thickBot="1" x14ac:dyDescent="0.3">
      <c r="A5822" s="242"/>
      <c r="B5822" s="229"/>
      <c r="C5822" s="155"/>
      <c r="D5822" s="155"/>
      <c r="E5822" s="156"/>
      <c r="F5822" s="50" t="s">
        <v>523</v>
      </c>
      <c r="G5822" s="50" t="str">
        <f t="shared" si="109"/>
        <v/>
      </c>
      <c r="H5822" s="69"/>
      <c r="I5822" s="70"/>
      <c r="J5822" s="141">
        <v>0</v>
      </c>
    </row>
    <row r="5823" spans="1:10" ht="39" hidden="1" thickBot="1" x14ac:dyDescent="0.3">
      <c r="A5823" s="242"/>
      <c r="B5823" s="229"/>
      <c r="C5823" s="32" t="s">
        <v>3286</v>
      </c>
      <c r="D5823" s="148" t="s">
        <v>20</v>
      </c>
      <c r="E5823" s="149">
        <v>1</v>
      </c>
      <c r="F5823" s="27">
        <v>111.568</v>
      </c>
      <c r="G5823" s="50">
        <f t="shared" si="109"/>
        <v>111.568</v>
      </c>
      <c r="H5823" s="35">
        <f>SUM(G5823:G5823)</f>
        <v>111.568</v>
      </c>
      <c r="I5823" s="36"/>
      <c r="J5823" s="141">
        <v>0</v>
      </c>
    </row>
    <row r="5824" spans="1:10" ht="15.75" hidden="1" thickBot="1" x14ac:dyDescent="0.3">
      <c r="A5824" s="243"/>
      <c r="B5824" s="230"/>
      <c r="C5824" s="51"/>
      <c r="D5824" s="151"/>
      <c r="E5824" s="62"/>
      <c r="F5824" s="72" t="s">
        <v>523</v>
      </c>
      <c r="G5824" s="72" t="str">
        <f t="shared" si="109"/>
        <v/>
      </c>
      <c r="H5824" s="73"/>
      <c r="I5824" s="70"/>
      <c r="J5824" s="141">
        <v>0</v>
      </c>
    </row>
    <row r="5825" spans="1:10" ht="15.75" hidden="1" thickBot="1" x14ac:dyDescent="0.3">
      <c r="A5825" s="239" t="s">
        <v>5494</v>
      </c>
      <c r="B5825" s="228" t="str">
        <f>INDEX(Orçamentária!A:B,MATCH(Composições!A5825,Orçamentária!A:A,0),2)</f>
        <v>Luva para eletroduto 2 1/2”</v>
      </c>
      <c r="C5825" s="37"/>
      <c r="D5825" s="22" t="str">
        <f>TRIM(INDEX(Orçamentária!C:C,MATCH(Composições!A5825,Orçamentária!A:A,0),1))</f>
        <v>un</v>
      </c>
      <c r="E5825" s="23"/>
      <c r="F5825" s="45" t="s">
        <v>523</v>
      </c>
      <c r="G5825" s="24" t="str">
        <f t="shared" si="109"/>
        <v/>
      </c>
      <c r="H5825" s="25"/>
      <c r="I5825" s="26"/>
      <c r="J5825" s="141">
        <v>0</v>
      </c>
    </row>
    <row r="5826" spans="1:10" ht="15.75" hidden="1" thickBot="1" x14ac:dyDescent="0.3">
      <c r="A5826" s="242"/>
      <c r="B5826" s="229"/>
      <c r="C5826" s="155"/>
      <c r="D5826" s="155"/>
      <c r="E5826" s="156"/>
      <c r="F5826" s="50" t="s">
        <v>523</v>
      </c>
      <c r="G5826" s="50" t="str">
        <f t="shared" si="109"/>
        <v/>
      </c>
      <c r="H5826" s="69"/>
      <c r="I5826" s="70"/>
      <c r="J5826" s="141">
        <v>0</v>
      </c>
    </row>
    <row r="5827" spans="1:10" ht="26.25" hidden="1" thickBot="1" x14ac:dyDescent="0.3">
      <c r="A5827" s="242"/>
      <c r="B5827" s="229"/>
      <c r="C5827" s="32" t="s">
        <v>3347</v>
      </c>
      <c r="D5827" s="148" t="s">
        <v>20</v>
      </c>
      <c r="E5827" s="149">
        <v>1</v>
      </c>
      <c r="F5827" s="27">
        <v>14.772500000000001</v>
      </c>
      <c r="G5827" s="50">
        <f t="shared" si="109"/>
        <v>14.772500000000001</v>
      </c>
      <c r="H5827" s="35">
        <f>SUM(G5827:G5827)</f>
        <v>14.772500000000001</v>
      </c>
      <c r="I5827" s="36"/>
      <c r="J5827" s="141">
        <v>0</v>
      </c>
    </row>
    <row r="5828" spans="1:10" ht="15.75" hidden="1" thickBot="1" x14ac:dyDescent="0.3">
      <c r="A5828" s="243"/>
      <c r="B5828" s="230"/>
      <c r="C5828" s="51"/>
      <c r="D5828" s="151"/>
      <c r="E5828" s="62"/>
      <c r="F5828" s="72" t="s">
        <v>523</v>
      </c>
      <c r="G5828" s="72" t="str">
        <f t="shared" si="109"/>
        <v/>
      </c>
      <c r="H5828" s="73"/>
      <c r="I5828" s="70"/>
      <c r="J5828" s="141">
        <v>0</v>
      </c>
    </row>
    <row r="5829" spans="1:10" ht="15.75" hidden="1" thickBot="1" x14ac:dyDescent="0.3">
      <c r="A5829" s="239" t="s">
        <v>5496</v>
      </c>
      <c r="B5829" s="228" t="str">
        <f>INDEX(Orçamentária!A:B,MATCH(Composições!A5829,Orçamentária!A:A,0),2)</f>
        <v>Curva para eletroduto 2 1/2”</v>
      </c>
      <c r="C5829" s="37"/>
      <c r="D5829" s="22" t="str">
        <f>TRIM(INDEX(Orçamentária!C:C,MATCH(Composições!A5829,Orçamentária!A:A,0),1))</f>
        <v>un</v>
      </c>
      <c r="E5829" s="23"/>
      <c r="F5829" s="45" t="s">
        <v>523</v>
      </c>
      <c r="G5829" s="24" t="str">
        <f t="shared" si="109"/>
        <v/>
      </c>
      <c r="H5829" s="25"/>
      <c r="I5829" s="26"/>
      <c r="J5829" s="141">
        <v>0</v>
      </c>
    </row>
    <row r="5830" spans="1:10" ht="15.75" hidden="1" thickBot="1" x14ac:dyDescent="0.3">
      <c r="A5830" s="242"/>
      <c r="B5830" s="229"/>
      <c r="C5830" s="155"/>
      <c r="D5830" s="155"/>
      <c r="E5830" s="156"/>
      <c r="F5830" s="50" t="s">
        <v>523</v>
      </c>
      <c r="G5830" s="50" t="str">
        <f t="shared" si="109"/>
        <v/>
      </c>
      <c r="H5830" s="69"/>
      <c r="I5830" s="70"/>
      <c r="J5830" s="141">
        <v>0</v>
      </c>
    </row>
    <row r="5831" spans="1:10" ht="26.25" hidden="1" thickBot="1" x14ac:dyDescent="0.3">
      <c r="A5831" s="242"/>
      <c r="B5831" s="229"/>
      <c r="C5831" s="32" t="s">
        <v>3311</v>
      </c>
      <c r="D5831" s="148" t="s">
        <v>20</v>
      </c>
      <c r="E5831" s="149">
        <v>1</v>
      </c>
      <c r="F5831" s="27">
        <v>90.525500000000008</v>
      </c>
      <c r="G5831" s="50">
        <f t="shared" si="109"/>
        <v>90.525500000000008</v>
      </c>
      <c r="H5831" s="35">
        <f>SUM(G5831:G5831)</f>
        <v>90.525500000000008</v>
      </c>
      <c r="I5831" s="36"/>
      <c r="J5831" s="141">
        <v>0</v>
      </c>
    </row>
    <row r="5832" spans="1:10" ht="15.75" hidden="1" thickBot="1" x14ac:dyDescent="0.3">
      <c r="A5832" s="243"/>
      <c r="B5832" s="230"/>
      <c r="C5832" s="51"/>
      <c r="D5832" s="151"/>
      <c r="E5832" s="62"/>
      <c r="F5832" s="72" t="s">
        <v>523</v>
      </c>
      <c r="G5832" s="72" t="str">
        <f t="shared" si="109"/>
        <v/>
      </c>
      <c r="H5832" s="73"/>
      <c r="I5832" s="70"/>
      <c r="J5832" s="141">
        <v>0</v>
      </c>
    </row>
    <row r="5833" spans="1:10" ht="15.75" hidden="1" thickBot="1" x14ac:dyDescent="0.3">
      <c r="A5833" s="239" t="s">
        <v>5497</v>
      </c>
      <c r="B5833" s="228" t="str">
        <f>INDEX(Orçamentária!A:B,MATCH(Composições!A5833,Orçamentária!A:A,0),2)</f>
        <v>Conector reto para eletroduto 3”</v>
      </c>
      <c r="C5833" s="37"/>
      <c r="D5833" s="22" t="str">
        <f>TRIM(INDEX(Orçamentária!C:C,MATCH(Composições!A5833,Orçamentária!A:A,0),1))</f>
        <v>un</v>
      </c>
      <c r="E5833" s="23"/>
      <c r="F5833" s="45" t="s">
        <v>523</v>
      </c>
      <c r="G5833" s="24" t="str">
        <f t="shared" si="109"/>
        <v/>
      </c>
      <c r="H5833" s="25"/>
      <c r="I5833" s="26"/>
      <c r="J5833" s="141">
        <v>0</v>
      </c>
    </row>
    <row r="5834" spans="1:10" ht="15.75" hidden="1" thickBot="1" x14ac:dyDescent="0.3">
      <c r="A5834" s="242"/>
      <c r="B5834" s="229"/>
      <c r="C5834" s="155"/>
      <c r="D5834" s="155"/>
      <c r="E5834" s="156"/>
      <c r="F5834" s="50" t="s">
        <v>523</v>
      </c>
      <c r="G5834" s="50" t="str">
        <f t="shared" si="109"/>
        <v/>
      </c>
      <c r="H5834" s="69"/>
      <c r="I5834" s="70"/>
      <c r="J5834" s="141">
        <v>0</v>
      </c>
    </row>
    <row r="5835" spans="1:10" ht="39" hidden="1" thickBot="1" x14ac:dyDescent="0.3">
      <c r="A5835" s="242"/>
      <c r="B5835" s="229"/>
      <c r="C5835" s="32" t="s">
        <v>3296</v>
      </c>
      <c r="D5835" s="148" t="s">
        <v>20</v>
      </c>
      <c r="E5835" s="149">
        <v>1</v>
      </c>
      <c r="F5835" s="27">
        <v>30.666</v>
      </c>
      <c r="G5835" s="50">
        <f t="shared" si="109"/>
        <v>30.666</v>
      </c>
      <c r="H5835" s="35">
        <f>SUM(G5835:G5835)</f>
        <v>30.666</v>
      </c>
      <c r="I5835" s="36"/>
      <c r="J5835" s="141">
        <v>0</v>
      </c>
    </row>
    <row r="5836" spans="1:10" ht="15.75" hidden="1" thickBot="1" x14ac:dyDescent="0.3">
      <c r="A5836" s="243"/>
      <c r="B5836" s="230"/>
      <c r="C5836" s="51"/>
      <c r="D5836" s="151"/>
      <c r="E5836" s="62"/>
      <c r="F5836" s="72" t="s">
        <v>523</v>
      </c>
      <c r="G5836" s="72" t="str">
        <f t="shared" si="109"/>
        <v/>
      </c>
      <c r="H5836" s="73"/>
      <c r="I5836" s="70"/>
      <c r="J5836" s="141">
        <v>0</v>
      </c>
    </row>
    <row r="5837" spans="1:10" ht="15.75" hidden="1" thickBot="1" x14ac:dyDescent="0.3">
      <c r="A5837" s="239" t="s">
        <v>5498</v>
      </c>
      <c r="B5837" s="228" t="str">
        <f>INDEX(Orçamentária!A:B,MATCH(Composições!A5837,Orçamentária!A:A,0),2)</f>
        <v>Conector curvo para eletroduto 3”</v>
      </c>
      <c r="C5837" s="37"/>
      <c r="D5837" s="22" t="str">
        <f>TRIM(INDEX(Orçamentária!C:C,MATCH(Composições!A5837,Orçamentária!A:A,0),1))</f>
        <v>un</v>
      </c>
      <c r="E5837" s="23"/>
      <c r="F5837" s="45" t="s">
        <v>523</v>
      </c>
      <c r="G5837" s="24" t="str">
        <f t="shared" si="109"/>
        <v/>
      </c>
      <c r="H5837" s="25"/>
      <c r="I5837" s="26"/>
      <c r="J5837" s="141">
        <v>0</v>
      </c>
    </row>
    <row r="5838" spans="1:10" ht="15.75" hidden="1" thickBot="1" x14ac:dyDescent="0.3">
      <c r="A5838" s="242"/>
      <c r="B5838" s="229"/>
      <c r="C5838" s="155"/>
      <c r="D5838" s="155"/>
      <c r="E5838" s="156"/>
      <c r="F5838" s="50" t="s">
        <v>523</v>
      </c>
      <c r="G5838" s="50" t="str">
        <f t="shared" si="109"/>
        <v/>
      </c>
      <c r="H5838" s="69"/>
      <c r="I5838" s="70"/>
      <c r="J5838" s="141">
        <v>0</v>
      </c>
    </row>
    <row r="5839" spans="1:10" ht="39" hidden="1" thickBot="1" x14ac:dyDescent="0.3">
      <c r="A5839" s="242"/>
      <c r="B5839" s="229"/>
      <c r="C5839" s="32" t="s">
        <v>3289</v>
      </c>
      <c r="D5839" s="148" t="s">
        <v>20</v>
      </c>
      <c r="E5839" s="149">
        <v>1</v>
      </c>
      <c r="F5839" s="27">
        <v>134.52950000000001</v>
      </c>
      <c r="G5839" s="50">
        <f t="shared" si="109"/>
        <v>134.52950000000001</v>
      </c>
      <c r="H5839" s="35">
        <f>SUM(G5839:G5839)</f>
        <v>134.52950000000001</v>
      </c>
      <c r="I5839" s="36"/>
      <c r="J5839" s="141">
        <v>0</v>
      </c>
    </row>
    <row r="5840" spans="1:10" ht="15.75" hidden="1" thickBot="1" x14ac:dyDescent="0.3">
      <c r="A5840" s="243"/>
      <c r="B5840" s="230"/>
      <c r="C5840" s="51"/>
      <c r="D5840" s="151"/>
      <c r="E5840" s="62"/>
      <c r="F5840" s="72" t="s">
        <v>523</v>
      </c>
      <c r="G5840" s="72" t="str">
        <f t="shared" si="109"/>
        <v/>
      </c>
      <c r="H5840" s="73"/>
      <c r="I5840" s="70"/>
      <c r="J5840" s="141">
        <v>0</v>
      </c>
    </row>
    <row r="5841" spans="1:10" ht="15.75" hidden="1" thickBot="1" x14ac:dyDescent="0.3">
      <c r="A5841" s="239" t="s">
        <v>5499</v>
      </c>
      <c r="B5841" s="228" t="str">
        <f>INDEX(Orçamentária!A:B,MATCH(Composições!A5841,Orçamentária!A:A,0),2)</f>
        <v>Luva para eletroduto 3”</v>
      </c>
      <c r="C5841" s="37"/>
      <c r="D5841" s="22" t="str">
        <f>TRIM(INDEX(Orçamentária!C:C,MATCH(Composições!A5841,Orçamentária!A:A,0),1))</f>
        <v>un</v>
      </c>
      <c r="E5841" s="23"/>
      <c r="F5841" s="45" t="s">
        <v>523</v>
      </c>
      <c r="G5841" s="24" t="str">
        <f t="shared" si="109"/>
        <v/>
      </c>
      <c r="H5841" s="25"/>
      <c r="I5841" s="26"/>
      <c r="J5841" s="141">
        <v>0</v>
      </c>
    </row>
    <row r="5842" spans="1:10" ht="15.75" hidden="1" thickBot="1" x14ac:dyDescent="0.3">
      <c r="A5842" s="242"/>
      <c r="B5842" s="229"/>
      <c r="C5842" s="155"/>
      <c r="D5842" s="155"/>
      <c r="E5842" s="156"/>
      <c r="F5842" s="50" t="s">
        <v>523</v>
      </c>
      <c r="G5842" s="50" t="str">
        <f t="shared" si="109"/>
        <v/>
      </c>
      <c r="H5842" s="69"/>
      <c r="I5842" s="70"/>
      <c r="J5842" s="141">
        <v>0</v>
      </c>
    </row>
    <row r="5843" spans="1:10" ht="26.25" hidden="1" thickBot="1" x14ac:dyDescent="0.3">
      <c r="A5843" s="242"/>
      <c r="B5843" s="229"/>
      <c r="C5843" s="32" t="s">
        <v>3348</v>
      </c>
      <c r="D5843" s="148" t="s">
        <v>20</v>
      </c>
      <c r="E5843" s="149">
        <v>1</v>
      </c>
      <c r="F5843" s="27">
        <v>22.486499999999999</v>
      </c>
      <c r="G5843" s="50">
        <f t="shared" si="109"/>
        <v>22.486499999999999</v>
      </c>
      <c r="H5843" s="35">
        <f>SUM(G5843:G5843)</f>
        <v>22.486499999999999</v>
      </c>
      <c r="I5843" s="36"/>
      <c r="J5843" s="141">
        <v>0</v>
      </c>
    </row>
    <row r="5844" spans="1:10" ht="15.75" hidden="1" thickBot="1" x14ac:dyDescent="0.3">
      <c r="A5844" s="243"/>
      <c r="B5844" s="230"/>
      <c r="C5844" s="51"/>
      <c r="D5844" s="151"/>
      <c r="E5844" s="62"/>
      <c r="F5844" s="72" t="s">
        <v>523</v>
      </c>
      <c r="G5844" s="72" t="str">
        <f t="shared" si="109"/>
        <v/>
      </c>
      <c r="H5844" s="73"/>
      <c r="I5844" s="70"/>
      <c r="J5844" s="141">
        <v>0</v>
      </c>
    </row>
    <row r="5845" spans="1:10" ht="15.75" hidden="1" thickBot="1" x14ac:dyDescent="0.3">
      <c r="A5845" s="239" t="s">
        <v>5501</v>
      </c>
      <c r="B5845" s="228" t="str">
        <f>INDEX(Orçamentária!A:B,MATCH(Composições!A5845,Orçamentária!A:A,0),2)</f>
        <v>Curva para eletroduto 3”</v>
      </c>
      <c r="C5845" s="37"/>
      <c r="D5845" s="22" t="str">
        <f>TRIM(INDEX(Orçamentária!C:C,MATCH(Composições!A5845,Orçamentária!A:A,0),1))</f>
        <v>un</v>
      </c>
      <c r="E5845" s="23"/>
      <c r="F5845" s="45" t="s">
        <v>523</v>
      </c>
      <c r="G5845" s="24" t="str">
        <f t="shared" si="109"/>
        <v/>
      </c>
      <c r="H5845" s="25"/>
      <c r="I5845" s="26"/>
      <c r="J5845" s="141">
        <v>0</v>
      </c>
    </row>
    <row r="5846" spans="1:10" ht="15.75" hidden="1" thickBot="1" x14ac:dyDescent="0.3">
      <c r="A5846" s="242"/>
      <c r="B5846" s="229"/>
      <c r="C5846" s="155"/>
      <c r="D5846" s="155"/>
      <c r="E5846" s="156"/>
      <c r="F5846" s="50" t="s">
        <v>523</v>
      </c>
      <c r="G5846" s="50" t="str">
        <f t="shared" si="109"/>
        <v/>
      </c>
      <c r="H5846" s="69"/>
      <c r="I5846" s="70"/>
      <c r="J5846" s="141">
        <v>0</v>
      </c>
    </row>
    <row r="5847" spans="1:10" ht="26.25" hidden="1" thickBot="1" x14ac:dyDescent="0.3">
      <c r="A5847" s="242"/>
      <c r="B5847" s="229"/>
      <c r="C5847" s="32" t="s">
        <v>3312</v>
      </c>
      <c r="D5847" s="148" t="s">
        <v>20</v>
      </c>
      <c r="E5847" s="149">
        <v>1</v>
      </c>
      <c r="F5847" s="27">
        <v>118.84499999999998</v>
      </c>
      <c r="G5847" s="50">
        <f t="shared" si="109"/>
        <v>118.84499999999998</v>
      </c>
      <c r="H5847" s="35">
        <f>SUM(G5847:G5847)</f>
        <v>118.84499999999998</v>
      </c>
      <c r="I5847" s="36"/>
      <c r="J5847" s="141">
        <v>0</v>
      </c>
    </row>
    <row r="5848" spans="1:10" ht="15.75" hidden="1" thickBot="1" x14ac:dyDescent="0.3">
      <c r="A5848" s="243"/>
      <c r="B5848" s="230"/>
      <c r="C5848" s="51"/>
      <c r="D5848" s="151"/>
      <c r="E5848" s="62"/>
      <c r="F5848" s="72" t="s">
        <v>523</v>
      </c>
      <c r="G5848" s="72" t="str">
        <f t="shared" si="109"/>
        <v/>
      </c>
      <c r="H5848" s="73"/>
      <c r="I5848" s="70"/>
      <c r="J5848" s="141">
        <v>0</v>
      </c>
    </row>
    <row r="5849" spans="1:10" ht="15.75" hidden="1" thickBot="1" x14ac:dyDescent="0.3">
      <c r="A5849" s="239" t="s">
        <v>5502</v>
      </c>
      <c r="B5849" s="228" t="str">
        <f>INDEX(Orçamentária!A:B,MATCH(Composições!A5849,Orçamentária!A:A,0),2)</f>
        <v>Conector reto para eletroduto 4”</v>
      </c>
      <c r="C5849" s="37"/>
      <c r="D5849" s="22" t="str">
        <f>TRIM(INDEX(Orçamentária!C:C,MATCH(Composições!A5849,Orçamentária!A:A,0),1))</f>
        <v>un</v>
      </c>
      <c r="E5849" s="23"/>
      <c r="F5849" s="45" t="s">
        <v>523</v>
      </c>
      <c r="G5849" s="24" t="str">
        <f t="shared" si="109"/>
        <v/>
      </c>
      <c r="H5849" s="25"/>
      <c r="I5849" s="26"/>
      <c r="J5849" s="141">
        <v>0</v>
      </c>
    </row>
    <row r="5850" spans="1:10" ht="15.75" hidden="1" thickBot="1" x14ac:dyDescent="0.3">
      <c r="A5850" s="242"/>
      <c r="B5850" s="229"/>
      <c r="C5850" s="155"/>
      <c r="D5850" s="155"/>
      <c r="E5850" s="156"/>
      <c r="F5850" s="50" t="s">
        <v>523</v>
      </c>
      <c r="G5850" s="50" t="str">
        <f t="shared" si="109"/>
        <v/>
      </c>
      <c r="H5850" s="69"/>
      <c r="I5850" s="70"/>
      <c r="J5850" s="141">
        <v>0</v>
      </c>
    </row>
    <row r="5851" spans="1:10" ht="39" hidden="1" thickBot="1" x14ac:dyDescent="0.3">
      <c r="A5851" s="242"/>
      <c r="B5851" s="229"/>
      <c r="C5851" s="32" t="s">
        <v>3297</v>
      </c>
      <c r="D5851" s="148" t="s">
        <v>20</v>
      </c>
      <c r="E5851" s="149">
        <v>1</v>
      </c>
      <c r="F5851" s="27">
        <v>48.060499999999998</v>
      </c>
      <c r="G5851" s="50">
        <f t="shared" si="109"/>
        <v>48.060499999999998</v>
      </c>
      <c r="H5851" s="35">
        <f>SUM(G5851:G5851)</f>
        <v>48.060499999999998</v>
      </c>
      <c r="I5851" s="36"/>
      <c r="J5851" s="141">
        <v>0</v>
      </c>
    </row>
    <row r="5852" spans="1:10" ht="15.75" hidden="1" thickBot="1" x14ac:dyDescent="0.3">
      <c r="A5852" s="243"/>
      <c r="B5852" s="230"/>
      <c r="C5852" s="51"/>
      <c r="D5852" s="151"/>
      <c r="E5852" s="62"/>
      <c r="F5852" s="72" t="s">
        <v>523</v>
      </c>
      <c r="G5852" s="72" t="str">
        <f t="shared" si="109"/>
        <v/>
      </c>
      <c r="H5852" s="73"/>
      <c r="I5852" s="70"/>
      <c r="J5852" s="141">
        <v>0</v>
      </c>
    </row>
    <row r="5853" spans="1:10" ht="15.75" hidden="1" thickBot="1" x14ac:dyDescent="0.3">
      <c r="A5853" s="239" t="s">
        <v>5503</v>
      </c>
      <c r="B5853" s="228" t="str">
        <f>INDEX(Orçamentária!A:B,MATCH(Composições!A5853,Orçamentária!A:A,0),2)</f>
        <v>Conector curvo para eletroduto 4”</v>
      </c>
      <c r="C5853" s="37"/>
      <c r="D5853" s="22" t="str">
        <f>TRIM(INDEX(Orçamentária!C:C,MATCH(Composições!A5853,Orçamentária!A:A,0),1))</f>
        <v>un</v>
      </c>
      <c r="E5853" s="23"/>
      <c r="F5853" s="45" t="s">
        <v>523</v>
      </c>
      <c r="G5853" s="24" t="str">
        <f t="shared" si="109"/>
        <v/>
      </c>
      <c r="H5853" s="25"/>
      <c r="I5853" s="26"/>
      <c r="J5853" s="141">
        <v>0</v>
      </c>
    </row>
    <row r="5854" spans="1:10" ht="15.75" hidden="1" thickBot="1" x14ac:dyDescent="0.3">
      <c r="A5854" s="242"/>
      <c r="B5854" s="229"/>
      <c r="C5854" s="155"/>
      <c r="D5854" s="155"/>
      <c r="E5854" s="156"/>
      <c r="F5854" s="50" t="s">
        <v>523</v>
      </c>
      <c r="G5854" s="50" t="str">
        <f t="shared" ref="G5854:G5917" si="110">IF(ISNUMBER(F5854),E5854*F5854,"")</f>
        <v/>
      </c>
      <c r="H5854" s="69"/>
      <c r="I5854" s="70"/>
      <c r="J5854" s="141">
        <v>0</v>
      </c>
    </row>
    <row r="5855" spans="1:10" ht="39" hidden="1" thickBot="1" x14ac:dyDescent="0.3">
      <c r="A5855" s="242"/>
      <c r="B5855" s="229"/>
      <c r="C5855" s="32" t="s">
        <v>3290</v>
      </c>
      <c r="D5855" s="148" t="s">
        <v>20</v>
      </c>
      <c r="E5855" s="149">
        <v>1</v>
      </c>
      <c r="F5855" s="27">
        <v>247.60799999999998</v>
      </c>
      <c r="G5855" s="50">
        <f t="shared" si="110"/>
        <v>247.60799999999998</v>
      </c>
      <c r="H5855" s="35">
        <f>SUM(G5855:G5855)</f>
        <v>247.60799999999998</v>
      </c>
      <c r="I5855" s="36"/>
      <c r="J5855" s="141">
        <v>0</v>
      </c>
    </row>
    <row r="5856" spans="1:10" ht="15.75" hidden="1" thickBot="1" x14ac:dyDescent="0.3">
      <c r="A5856" s="243"/>
      <c r="B5856" s="230"/>
      <c r="C5856" s="51"/>
      <c r="D5856" s="151"/>
      <c r="E5856" s="62"/>
      <c r="F5856" s="72" t="s">
        <v>523</v>
      </c>
      <c r="G5856" s="72" t="str">
        <f t="shared" si="110"/>
        <v/>
      </c>
      <c r="H5856" s="73"/>
      <c r="I5856" s="70"/>
      <c r="J5856" s="141">
        <v>0</v>
      </c>
    </row>
    <row r="5857" spans="1:10" ht="15.75" hidden="1" thickBot="1" x14ac:dyDescent="0.3">
      <c r="A5857" s="239" t="s">
        <v>5504</v>
      </c>
      <c r="B5857" s="228" t="str">
        <f>INDEX(Orçamentária!A:B,MATCH(Composições!A5857,Orçamentária!A:A,0),2)</f>
        <v>Luva para eletroduto 4”</v>
      </c>
      <c r="C5857" s="37"/>
      <c r="D5857" s="22" t="str">
        <f>TRIM(INDEX(Orçamentária!C:C,MATCH(Composições!A5857,Orçamentária!A:A,0),1))</f>
        <v>un</v>
      </c>
      <c r="E5857" s="23"/>
      <c r="F5857" s="45" t="s">
        <v>523</v>
      </c>
      <c r="G5857" s="24" t="str">
        <f t="shared" si="110"/>
        <v/>
      </c>
      <c r="H5857" s="25"/>
      <c r="I5857" s="26"/>
      <c r="J5857" s="141">
        <v>0</v>
      </c>
    </row>
    <row r="5858" spans="1:10" ht="15.75" hidden="1" thickBot="1" x14ac:dyDescent="0.3">
      <c r="A5858" s="242"/>
      <c r="B5858" s="229"/>
      <c r="C5858" s="155"/>
      <c r="D5858" s="155"/>
      <c r="E5858" s="156"/>
      <c r="F5858" s="50" t="s">
        <v>523</v>
      </c>
      <c r="G5858" s="50" t="str">
        <f t="shared" si="110"/>
        <v/>
      </c>
      <c r="H5858" s="69"/>
      <c r="I5858" s="70"/>
      <c r="J5858" s="141">
        <v>0</v>
      </c>
    </row>
    <row r="5859" spans="1:10" ht="26.25" hidden="1" thickBot="1" x14ac:dyDescent="0.3">
      <c r="A5859" s="242"/>
      <c r="B5859" s="229"/>
      <c r="C5859" s="32" t="s">
        <v>3340</v>
      </c>
      <c r="D5859" s="148" t="s">
        <v>20</v>
      </c>
      <c r="E5859" s="149">
        <v>1</v>
      </c>
      <c r="F5859" s="27">
        <v>35.491999999999997</v>
      </c>
      <c r="G5859" s="50">
        <f t="shared" si="110"/>
        <v>35.491999999999997</v>
      </c>
      <c r="H5859" s="35">
        <f>SUM(G5859:G5859)</f>
        <v>35.491999999999997</v>
      </c>
      <c r="I5859" s="36"/>
      <c r="J5859" s="141">
        <v>0</v>
      </c>
    </row>
    <row r="5860" spans="1:10" ht="15.75" hidden="1" thickBot="1" x14ac:dyDescent="0.3">
      <c r="A5860" s="243"/>
      <c r="B5860" s="230"/>
      <c r="C5860" s="51"/>
      <c r="D5860" s="151"/>
      <c r="E5860" s="62"/>
      <c r="F5860" s="72" t="s">
        <v>523</v>
      </c>
      <c r="G5860" s="72" t="str">
        <f t="shared" si="110"/>
        <v/>
      </c>
      <c r="H5860" s="73"/>
      <c r="I5860" s="70"/>
      <c r="J5860" s="141">
        <v>0</v>
      </c>
    </row>
    <row r="5861" spans="1:10" ht="15.75" hidden="1" thickBot="1" x14ac:dyDescent="0.3">
      <c r="A5861" s="239" t="s">
        <v>5506</v>
      </c>
      <c r="B5861" s="228" t="str">
        <f>INDEX(Orçamentária!A:B,MATCH(Composições!A5861,Orçamentária!A:A,0),2)</f>
        <v>Curva para eletroduto 4”</v>
      </c>
      <c r="C5861" s="37"/>
      <c r="D5861" s="22" t="str">
        <f>TRIM(INDEX(Orçamentária!C:C,MATCH(Composições!A5861,Orçamentária!A:A,0),1))</f>
        <v>un</v>
      </c>
      <c r="E5861" s="23"/>
      <c r="F5861" s="45" t="s">
        <v>523</v>
      </c>
      <c r="G5861" s="24" t="str">
        <f t="shared" si="110"/>
        <v/>
      </c>
      <c r="H5861" s="25"/>
      <c r="I5861" s="26"/>
      <c r="J5861" s="141">
        <v>0</v>
      </c>
    </row>
    <row r="5862" spans="1:10" ht="15.75" hidden="1" thickBot="1" x14ac:dyDescent="0.3">
      <c r="A5862" s="242"/>
      <c r="B5862" s="229"/>
      <c r="C5862" s="155"/>
      <c r="D5862" s="155"/>
      <c r="E5862" s="156"/>
      <c r="F5862" s="50" t="s">
        <v>523</v>
      </c>
      <c r="G5862" s="50" t="str">
        <f t="shared" si="110"/>
        <v/>
      </c>
      <c r="H5862" s="69"/>
      <c r="I5862" s="70"/>
      <c r="J5862" s="141">
        <v>0</v>
      </c>
    </row>
    <row r="5863" spans="1:10" ht="26.25" hidden="1" thickBot="1" x14ac:dyDescent="0.3">
      <c r="A5863" s="242"/>
      <c r="B5863" s="229"/>
      <c r="C5863" s="32" t="s">
        <v>3304</v>
      </c>
      <c r="D5863" s="148" t="s">
        <v>20</v>
      </c>
      <c r="E5863" s="149">
        <v>1</v>
      </c>
      <c r="F5863" s="27">
        <v>201.56149999999997</v>
      </c>
      <c r="G5863" s="50">
        <f t="shared" si="110"/>
        <v>201.56149999999997</v>
      </c>
      <c r="H5863" s="35">
        <f>SUM(G5863:G5863)</f>
        <v>201.56149999999997</v>
      </c>
      <c r="I5863" s="36"/>
      <c r="J5863" s="141">
        <v>0</v>
      </c>
    </row>
    <row r="5864" spans="1:10" ht="15.75" hidden="1" thickBot="1" x14ac:dyDescent="0.3">
      <c r="A5864" s="243"/>
      <c r="B5864" s="230"/>
      <c r="C5864" s="51"/>
      <c r="D5864" s="151"/>
      <c r="E5864" s="62"/>
      <c r="F5864" s="72" t="s">
        <v>523</v>
      </c>
      <c r="G5864" s="72" t="str">
        <f t="shared" si="110"/>
        <v/>
      </c>
      <c r="H5864" s="73"/>
      <c r="I5864" s="70"/>
      <c r="J5864" s="141">
        <v>0</v>
      </c>
    </row>
    <row r="5865" spans="1:10" ht="15.75" hidden="1" thickBot="1" x14ac:dyDescent="0.3">
      <c r="A5865" s="239" t="s">
        <v>5507</v>
      </c>
      <c r="B5865" s="228" t="str">
        <f>INDEX(Orçamentária!A:B,MATCH(Composições!A5865,Orçamentária!A:A,0),2)</f>
        <v>Eletroduto de PVC Corrugado Reforçado 3/4” (DE 25mm)</v>
      </c>
      <c r="C5865" s="37"/>
      <c r="D5865" s="22" t="str">
        <f>TRIM(INDEX(Orçamentária!C:C,MATCH(Composições!A5865,Orçamentária!A:A,0),1))</f>
        <v>m</v>
      </c>
      <c r="E5865" s="23"/>
      <c r="F5865" s="45" t="s">
        <v>523</v>
      </c>
      <c r="G5865" s="24" t="str">
        <f t="shared" si="110"/>
        <v/>
      </c>
      <c r="H5865" s="25"/>
      <c r="I5865" s="26"/>
      <c r="J5865" s="141">
        <v>0</v>
      </c>
    </row>
    <row r="5866" spans="1:10" ht="15.75" hidden="1" thickBot="1" x14ac:dyDescent="0.3">
      <c r="A5866" s="242"/>
      <c r="B5866" s="229"/>
      <c r="C5866" s="155"/>
      <c r="D5866" s="155"/>
      <c r="E5866" s="156"/>
      <c r="F5866" s="50" t="s">
        <v>523</v>
      </c>
      <c r="G5866" s="50" t="str">
        <f t="shared" si="110"/>
        <v/>
      </c>
      <c r="H5866" s="69"/>
      <c r="I5866" s="70"/>
      <c r="J5866" s="141">
        <v>0</v>
      </c>
    </row>
    <row r="5867" spans="1:10" ht="26.25" hidden="1" thickBot="1" x14ac:dyDescent="0.3">
      <c r="A5867" s="242"/>
      <c r="B5867" s="229"/>
      <c r="C5867" s="32" t="s">
        <v>3323</v>
      </c>
      <c r="D5867" s="148" t="s">
        <v>93</v>
      </c>
      <c r="E5867" s="149">
        <v>1</v>
      </c>
      <c r="F5867" s="27">
        <v>4.1420000000000003</v>
      </c>
      <c r="G5867" s="50">
        <f t="shared" si="110"/>
        <v>4.1420000000000003</v>
      </c>
      <c r="H5867" s="35">
        <f>SUM(G5867:G5867)</f>
        <v>4.1420000000000003</v>
      </c>
      <c r="I5867" s="36"/>
      <c r="J5867" s="141">
        <v>0</v>
      </c>
    </row>
    <row r="5868" spans="1:10" ht="15.75" hidden="1" thickBot="1" x14ac:dyDescent="0.3">
      <c r="A5868" s="243"/>
      <c r="B5868" s="230"/>
      <c r="C5868" s="51"/>
      <c r="D5868" s="151"/>
      <c r="E5868" s="62"/>
      <c r="F5868" s="72" t="s">
        <v>523</v>
      </c>
      <c r="G5868" s="72" t="str">
        <f t="shared" si="110"/>
        <v/>
      </c>
      <c r="H5868" s="73"/>
      <c r="I5868" s="70"/>
      <c r="J5868" s="141">
        <v>0</v>
      </c>
    </row>
    <row r="5869" spans="1:10" ht="15.75" hidden="1" thickBot="1" x14ac:dyDescent="0.3">
      <c r="A5869" s="239" t="s">
        <v>5508</v>
      </c>
      <c r="B5869" s="228" t="str">
        <f>INDEX(Orçamentária!A:B,MATCH(Composições!A5869,Orçamentária!A:A,0),2)</f>
        <v>Eletroduto de PVC Corrugado Reforçado 1” (DE 32mm)</v>
      </c>
      <c r="C5869" s="37"/>
      <c r="D5869" s="22" t="str">
        <f>TRIM(INDEX(Orçamentária!C:C,MATCH(Composições!A5869,Orçamentária!A:A,0),1))</f>
        <v>m</v>
      </c>
      <c r="E5869" s="23"/>
      <c r="F5869" s="45" t="s">
        <v>523</v>
      </c>
      <c r="G5869" s="24" t="str">
        <f t="shared" si="110"/>
        <v/>
      </c>
      <c r="H5869" s="25"/>
      <c r="I5869" s="26"/>
      <c r="J5869" s="141">
        <v>0</v>
      </c>
    </row>
    <row r="5870" spans="1:10" ht="15.75" hidden="1" thickBot="1" x14ac:dyDescent="0.3">
      <c r="A5870" s="242"/>
      <c r="B5870" s="229"/>
      <c r="C5870" s="155"/>
      <c r="D5870" s="155"/>
      <c r="E5870" s="156"/>
      <c r="F5870" s="50" t="s">
        <v>523</v>
      </c>
      <c r="G5870" s="50" t="str">
        <f t="shared" si="110"/>
        <v/>
      </c>
      <c r="H5870" s="69"/>
      <c r="I5870" s="70"/>
      <c r="J5870" s="141">
        <v>0</v>
      </c>
    </row>
    <row r="5871" spans="1:10" ht="26.25" hidden="1" thickBot="1" x14ac:dyDescent="0.3">
      <c r="A5871" s="242"/>
      <c r="B5871" s="229"/>
      <c r="C5871" s="32" t="s">
        <v>3324</v>
      </c>
      <c r="D5871" s="148" t="s">
        <v>93</v>
      </c>
      <c r="E5871" s="149">
        <v>1</v>
      </c>
      <c r="F5871" s="27">
        <v>7.9705000000000004</v>
      </c>
      <c r="G5871" s="50">
        <f t="shared" si="110"/>
        <v>7.9705000000000004</v>
      </c>
      <c r="H5871" s="35">
        <f>SUM(G5871:G5871)</f>
        <v>7.9705000000000004</v>
      </c>
      <c r="I5871" s="36"/>
      <c r="J5871" s="141">
        <v>0</v>
      </c>
    </row>
    <row r="5872" spans="1:10" ht="15.75" hidden="1" thickBot="1" x14ac:dyDescent="0.3">
      <c r="A5872" s="243"/>
      <c r="B5872" s="230"/>
      <c r="C5872" s="51"/>
      <c r="D5872" s="151"/>
      <c r="E5872" s="62"/>
      <c r="F5872" s="72" t="s">
        <v>523</v>
      </c>
      <c r="G5872" s="72" t="str">
        <f t="shared" si="110"/>
        <v/>
      </c>
      <c r="H5872" s="73"/>
      <c r="I5872" s="70"/>
      <c r="J5872" s="141">
        <v>0</v>
      </c>
    </row>
    <row r="5873" spans="1:10" ht="15.75" hidden="1" thickBot="1" x14ac:dyDescent="0.3">
      <c r="A5873" s="239" t="s">
        <v>5509</v>
      </c>
      <c r="B5873" s="228" t="str">
        <f>INDEX(Orçamentária!A:B,MATCH(Composições!A5873,Orçamentária!A:A,0),2)</f>
        <v>Eletroduto flexível metálico com capa de PVC 3/4”</v>
      </c>
      <c r="C5873" s="37"/>
      <c r="D5873" s="22" t="str">
        <f>TRIM(INDEX(Orçamentária!C:C,MATCH(Composições!A5873,Orçamentária!A:A,0),1))</f>
        <v>m</v>
      </c>
      <c r="E5873" s="23"/>
      <c r="F5873" s="45" t="s">
        <v>523</v>
      </c>
      <c r="G5873" s="24" t="str">
        <f t="shared" si="110"/>
        <v/>
      </c>
      <c r="H5873" s="25"/>
      <c r="I5873" s="26"/>
      <c r="J5873" s="141">
        <v>0</v>
      </c>
    </row>
    <row r="5874" spans="1:10" ht="15.75" hidden="1" thickBot="1" x14ac:dyDescent="0.3">
      <c r="A5874" s="242"/>
      <c r="B5874" s="229"/>
      <c r="C5874" s="155"/>
      <c r="D5874" s="155"/>
      <c r="E5874" s="156"/>
      <c r="F5874" s="50" t="s">
        <v>523</v>
      </c>
      <c r="G5874" s="50" t="str">
        <f t="shared" si="110"/>
        <v/>
      </c>
      <c r="H5874" s="69"/>
      <c r="I5874" s="70"/>
      <c r="J5874" s="141">
        <v>0</v>
      </c>
    </row>
    <row r="5875" spans="1:10" ht="39" hidden="1" thickBot="1" x14ac:dyDescent="0.3">
      <c r="A5875" s="242"/>
      <c r="B5875" s="229"/>
      <c r="C5875" s="32" t="s">
        <v>3319</v>
      </c>
      <c r="D5875" s="148" t="s">
        <v>93</v>
      </c>
      <c r="E5875" s="149">
        <v>1</v>
      </c>
      <c r="F5875" s="27">
        <v>14.648999999999999</v>
      </c>
      <c r="G5875" s="50">
        <f t="shared" si="110"/>
        <v>14.648999999999999</v>
      </c>
      <c r="H5875" s="35">
        <f>SUM(G5875:G5875)</f>
        <v>14.648999999999999</v>
      </c>
      <c r="I5875" s="36"/>
      <c r="J5875" s="141">
        <v>0</v>
      </c>
    </row>
    <row r="5876" spans="1:10" ht="15.75" hidden="1" thickBot="1" x14ac:dyDescent="0.3">
      <c r="A5876" s="243"/>
      <c r="B5876" s="230"/>
      <c r="C5876" s="51"/>
      <c r="D5876" s="151"/>
      <c r="E5876" s="62"/>
      <c r="F5876" s="72" t="s">
        <v>523</v>
      </c>
      <c r="G5876" s="72" t="str">
        <f t="shared" si="110"/>
        <v/>
      </c>
      <c r="H5876" s="73"/>
      <c r="I5876" s="70"/>
      <c r="J5876" s="141">
        <v>0</v>
      </c>
    </row>
    <row r="5877" spans="1:10" ht="15.75" hidden="1" thickBot="1" x14ac:dyDescent="0.3">
      <c r="A5877" s="239" t="s">
        <v>5511</v>
      </c>
      <c r="B5877" s="228" t="str">
        <f>INDEX(Orçamentária!A:B,MATCH(Composições!A5877,Orçamentária!A:A,0),2)</f>
        <v>Eletroduto flexível metálico com capa de PVC 1”</v>
      </c>
      <c r="C5877" s="37"/>
      <c r="D5877" s="22" t="str">
        <f>TRIM(INDEX(Orçamentária!C:C,MATCH(Composições!A5877,Orçamentária!A:A,0),1))</f>
        <v>m</v>
      </c>
      <c r="E5877" s="23"/>
      <c r="F5877" s="45" t="s">
        <v>523</v>
      </c>
      <c r="G5877" s="24" t="str">
        <f t="shared" si="110"/>
        <v/>
      </c>
      <c r="H5877" s="25"/>
      <c r="I5877" s="26"/>
      <c r="J5877" s="141">
        <v>0</v>
      </c>
    </row>
    <row r="5878" spans="1:10" ht="15.75" hidden="1" thickBot="1" x14ac:dyDescent="0.3">
      <c r="A5878" s="242"/>
      <c r="B5878" s="229"/>
      <c r="C5878" s="155"/>
      <c r="D5878" s="155"/>
      <c r="E5878" s="156"/>
      <c r="F5878" s="50" t="s">
        <v>523</v>
      </c>
      <c r="G5878" s="50" t="str">
        <f t="shared" si="110"/>
        <v/>
      </c>
      <c r="H5878" s="69"/>
      <c r="I5878" s="70"/>
      <c r="J5878" s="141">
        <v>0</v>
      </c>
    </row>
    <row r="5879" spans="1:10" ht="39" hidden="1" thickBot="1" x14ac:dyDescent="0.3">
      <c r="A5879" s="242"/>
      <c r="B5879" s="229"/>
      <c r="C5879" s="32" t="s">
        <v>3320</v>
      </c>
      <c r="D5879" s="148" t="s">
        <v>93</v>
      </c>
      <c r="E5879" s="149">
        <v>1</v>
      </c>
      <c r="F5879" s="27">
        <v>19.218499999999999</v>
      </c>
      <c r="G5879" s="50">
        <f t="shared" si="110"/>
        <v>19.218499999999999</v>
      </c>
      <c r="H5879" s="35">
        <f>SUM(G5879:G5879)</f>
        <v>19.218499999999999</v>
      </c>
      <c r="I5879" s="36"/>
      <c r="J5879" s="141">
        <v>0</v>
      </c>
    </row>
    <row r="5880" spans="1:10" ht="15.75" hidden="1" thickBot="1" x14ac:dyDescent="0.3">
      <c r="A5880" s="243"/>
      <c r="B5880" s="230"/>
      <c r="C5880" s="51"/>
      <c r="D5880" s="151"/>
      <c r="E5880" s="62"/>
      <c r="F5880" s="72" t="s">
        <v>523</v>
      </c>
      <c r="G5880" s="72" t="str">
        <f t="shared" si="110"/>
        <v/>
      </c>
      <c r="H5880" s="73"/>
      <c r="I5880" s="70"/>
      <c r="J5880" s="141">
        <v>0</v>
      </c>
    </row>
    <row r="5881" spans="1:10" ht="15.75" hidden="1" thickBot="1" x14ac:dyDescent="0.3">
      <c r="A5881" s="239" t="s">
        <v>5513</v>
      </c>
      <c r="B5881" s="228" t="str">
        <f>INDEX(Orçamentária!A:B,MATCH(Composições!A5881,Orçamentária!A:A,0),2)</f>
        <v>Eletroduto flexível metálico com capa de PVC 1 1/4”</v>
      </c>
      <c r="C5881" s="37"/>
      <c r="D5881" s="22" t="str">
        <f>TRIM(INDEX(Orçamentária!C:C,MATCH(Composições!A5881,Orçamentária!A:A,0),1))</f>
        <v>m</v>
      </c>
      <c r="E5881" s="23"/>
      <c r="F5881" s="45" t="s">
        <v>523</v>
      </c>
      <c r="G5881" s="24" t="str">
        <f t="shared" si="110"/>
        <v/>
      </c>
      <c r="H5881" s="25"/>
      <c r="I5881" s="26"/>
      <c r="J5881" s="141">
        <v>0</v>
      </c>
    </row>
    <row r="5882" spans="1:10" ht="15.75" hidden="1" thickBot="1" x14ac:dyDescent="0.3">
      <c r="A5882" s="242"/>
      <c r="B5882" s="229"/>
      <c r="C5882" s="155"/>
      <c r="D5882" s="155"/>
      <c r="E5882" s="156"/>
      <c r="F5882" s="50" t="s">
        <v>523</v>
      </c>
      <c r="G5882" s="50" t="str">
        <f t="shared" si="110"/>
        <v/>
      </c>
      <c r="H5882" s="69"/>
      <c r="I5882" s="70"/>
      <c r="J5882" s="141">
        <v>0</v>
      </c>
    </row>
    <row r="5883" spans="1:10" ht="39" hidden="1" thickBot="1" x14ac:dyDescent="0.3">
      <c r="A5883" s="242"/>
      <c r="B5883" s="229"/>
      <c r="C5883" s="32" t="s">
        <v>3321</v>
      </c>
      <c r="D5883" s="148" t="s">
        <v>93</v>
      </c>
      <c r="E5883" s="149">
        <v>1</v>
      </c>
      <c r="F5883" s="27">
        <v>28.994</v>
      </c>
      <c r="G5883" s="50">
        <f t="shared" si="110"/>
        <v>28.994</v>
      </c>
      <c r="H5883" s="35">
        <f>SUM(G5883:G5883)</f>
        <v>28.994</v>
      </c>
      <c r="I5883" s="36"/>
      <c r="J5883" s="141">
        <v>0</v>
      </c>
    </row>
    <row r="5884" spans="1:10" ht="15.75" hidden="1" thickBot="1" x14ac:dyDescent="0.3">
      <c r="A5884" s="243"/>
      <c r="B5884" s="230"/>
      <c r="C5884" s="51"/>
      <c r="D5884" s="151"/>
      <c r="E5884" s="62"/>
      <c r="F5884" s="72" t="s">
        <v>523</v>
      </c>
      <c r="G5884" s="72" t="str">
        <f t="shared" si="110"/>
        <v/>
      </c>
      <c r="H5884" s="73"/>
      <c r="I5884" s="70"/>
      <c r="J5884" s="141">
        <v>0</v>
      </c>
    </row>
    <row r="5885" spans="1:10" ht="15.75" hidden="1" thickBot="1" x14ac:dyDescent="0.3">
      <c r="A5885" s="239" t="s">
        <v>5515</v>
      </c>
      <c r="B5885" s="228" t="str">
        <f>INDEX(Orçamentária!A:B,MATCH(Composições!A5885,Orçamentária!A:A,0),2)</f>
        <v>Eletroduto flexível metálico com capa de PVC 1 1/2”</v>
      </c>
      <c r="C5885" s="37"/>
      <c r="D5885" s="22" t="str">
        <f>TRIM(INDEX(Orçamentária!C:C,MATCH(Composições!A5885,Orçamentária!A:A,0),1))</f>
        <v>m</v>
      </c>
      <c r="E5885" s="23"/>
      <c r="F5885" s="45" t="s">
        <v>523</v>
      </c>
      <c r="G5885" s="24" t="str">
        <f t="shared" si="110"/>
        <v/>
      </c>
      <c r="H5885" s="25"/>
      <c r="I5885" s="26"/>
      <c r="J5885" s="141">
        <v>0</v>
      </c>
    </row>
    <row r="5886" spans="1:10" ht="15.75" hidden="1" thickBot="1" x14ac:dyDescent="0.3">
      <c r="A5886" s="242"/>
      <c r="B5886" s="229"/>
      <c r="C5886" s="155"/>
      <c r="D5886" s="155"/>
      <c r="E5886" s="156"/>
      <c r="F5886" s="50" t="s">
        <v>523</v>
      </c>
      <c r="G5886" s="50" t="str">
        <f t="shared" si="110"/>
        <v/>
      </c>
      <c r="H5886" s="69"/>
      <c r="I5886" s="70"/>
      <c r="J5886" s="141">
        <v>0</v>
      </c>
    </row>
    <row r="5887" spans="1:10" ht="39" hidden="1" thickBot="1" x14ac:dyDescent="0.3">
      <c r="A5887" s="242"/>
      <c r="B5887" s="229"/>
      <c r="C5887" s="32" t="s">
        <v>1215</v>
      </c>
      <c r="D5887" s="148" t="s">
        <v>93</v>
      </c>
      <c r="E5887" s="149">
        <v>1</v>
      </c>
      <c r="F5887" s="27">
        <v>37.316000000000003</v>
      </c>
      <c r="G5887" s="50">
        <f t="shared" si="110"/>
        <v>37.316000000000003</v>
      </c>
      <c r="H5887" s="35">
        <f>SUM(G5887:G5887)</f>
        <v>37.316000000000003</v>
      </c>
      <c r="I5887" s="36"/>
      <c r="J5887" s="141">
        <v>0</v>
      </c>
    </row>
    <row r="5888" spans="1:10" ht="15.75" hidden="1" thickBot="1" x14ac:dyDescent="0.3">
      <c r="A5888" s="243"/>
      <c r="B5888" s="230"/>
      <c r="C5888" s="51"/>
      <c r="D5888" s="151"/>
      <c r="E5888" s="62"/>
      <c r="F5888" s="72" t="s">
        <v>523</v>
      </c>
      <c r="G5888" s="72" t="str">
        <f t="shared" si="110"/>
        <v/>
      </c>
      <c r="H5888" s="73"/>
      <c r="I5888" s="70"/>
      <c r="J5888" s="141">
        <v>0</v>
      </c>
    </row>
    <row r="5889" spans="1:10" ht="15.75" hidden="1" thickBot="1" x14ac:dyDescent="0.3">
      <c r="A5889" s="239" t="s">
        <v>5517</v>
      </c>
      <c r="B5889" s="228" t="str">
        <f>INDEX(Orçamentária!A:B,MATCH(Composições!A5889,Orçamentária!A:A,0),2)</f>
        <v>Eletroduto flexível metálico com capa de PVC 2”</v>
      </c>
      <c r="C5889" s="37"/>
      <c r="D5889" s="22" t="str">
        <f>TRIM(INDEX(Orçamentária!C:C,MATCH(Composições!A5889,Orçamentária!A:A,0),1))</f>
        <v>m</v>
      </c>
      <c r="E5889" s="23"/>
      <c r="F5889" s="45" t="s">
        <v>523</v>
      </c>
      <c r="G5889" s="24" t="str">
        <f t="shared" si="110"/>
        <v/>
      </c>
      <c r="H5889" s="25"/>
      <c r="I5889" s="26"/>
      <c r="J5889" s="141">
        <v>0</v>
      </c>
    </row>
    <row r="5890" spans="1:10" ht="15.75" hidden="1" thickBot="1" x14ac:dyDescent="0.3">
      <c r="A5890" s="242"/>
      <c r="B5890" s="229"/>
      <c r="C5890" s="155"/>
      <c r="D5890" s="155"/>
      <c r="E5890" s="156"/>
      <c r="F5890" s="50" t="s">
        <v>523</v>
      </c>
      <c r="G5890" s="50" t="str">
        <f t="shared" si="110"/>
        <v/>
      </c>
      <c r="H5890" s="69"/>
      <c r="I5890" s="70"/>
      <c r="J5890" s="141">
        <v>0</v>
      </c>
    </row>
    <row r="5891" spans="1:10" ht="39" hidden="1" thickBot="1" x14ac:dyDescent="0.3">
      <c r="A5891" s="242"/>
      <c r="B5891" s="229"/>
      <c r="C5891" s="32" t="s">
        <v>3322</v>
      </c>
      <c r="D5891" s="148" t="s">
        <v>93</v>
      </c>
      <c r="E5891" s="149">
        <v>1</v>
      </c>
      <c r="F5891" s="27">
        <v>49.704000000000001</v>
      </c>
      <c r="G5891" s="50">
        <f t="shared" si="110"/>
        <v>49.704000000000001</v>
      </c>
      <c r="H5891" s="35">
        <f>SUM(G5891:G5891)</f>
        <v>49.704000000000001</v>
      </c>
      <c r="I5891" s="36"/>
      <c r="J5891" s="141">
        <v>0</v>
      </c>
    </row>
    <row r="5892" spans="1:10" ht="15.75" hidden="1" thickBot="1" x14ac:dyDescent="0.3">
      <c r="A5892" s="243"/>
      <c r="B5892" s="230"/>
      <c r="C5892" s="51"/>
      <c r="D5892" s="151"/>
      <c r="E5892" s="62"/>
      <c r="F5892" s="72" t="s">
        <v>523</v>
      </c>
      <c r="G5892" s="72" t="str">
        <f t="shared" si="110"/>
        <v/>
      </c>
      <c r="H5892" s="73"/>
      <c r="I5892" s="70"/>
      <c r="J5892" s="141">
        <v>0</v>
      </c>
    </row>
    <row r="5893" spans="1:10" ht="15.75" hidden="1" thickBot="1" x14ac:dyDescent="0.3">
      <c r="A5893" s="239" t="s">
        <v>5519</v>
      </c>
      <c r="B5893" s="228" t="str">
        <f>INDEX(Orçamentária!A:B,MATCH(Composições!A5893,Orçamentária!A:A,0),2)</f>
        <v>Eletroduto de PEAD de 1 1/4”</v>
      </c>
      <c r="C5893" s="37"/>
      <c r="D5893" s="22" t="str">
        <f>TRIM(INDEX(Orçamentária!C:C,MATCH(Composições!A5893,Orçamentária!A:A,0),1))</f>
        <v>m</v>
      </c>
      <c r="E5893" s="23"/>
      <c r="F5893" s="45" t="s">
        <v>523</v>
      </c>
      <c r="G5893" s="24" t="str">
        <f t="shared" si="110"/>
        <v/>
      </c>
      <c r="H5893" s="25"/>
      <c r="I5893" s="26"/>
      <c r="J5893" s="141">
        <v>0</v>
      </c>
    </row>
    <row r="5894" spans="1:10" ht="15.75" hidden="1" thickBot="1" x14ac:dyDescent="0.3">
      <c r="A5894" s="242"/>
      <c r="B5894" s="229"/>
      <c r="C5894" s="155"/>
      <c r="D5894" s="155"/>
      <c r="E5894" s="156"/>
      <c r="F5894" s="50" t="s">
        <v>523</v>
      </c>
      <c r="G5894" s="50" t="str">
        <f t="shared" si="110"/>
        <v/>
      </c>
      <c r="H5894" s="69"/>
      <c r="I5894" s="70"/>
      <c r="J5894" s="141">
        <v>0</v>
      </c>
    </row>
    <row r="5895" spans="1:10" ht="39" hidden="1" thickBot="1" x14ac:dyDescent="0.3">
      <c r="A5895" s="242"/>
      <c r="B5895" s="229"/>
      <c r="C5895" s="32" t="s">
        <v>6806</v>
      </c>
      <c r="D5895" s="148" t="s">
        <v>93</v>
      </c>
      <c r="E5895" s="149">
        <v>1</v>
      </c>
      <c r="F5895" s="27">
        <v>3.3819999999999997</v>
      </c>
      <c r="G5895" s="50">
        <f t="shared" si="110"/>
        <v>3.3819999999999997</v>
      </c>
      <c r="H5895" s="35">
        <f>SUM(G5895:G5895)</f>
        <v>3.3819999999999997</v>
      </c>
      <c r="I5895" s="36"/>
      <c r="J5895" s="141">
        <v>0</v>
      </c>
    </row>
    <row r="5896" spans="1:10" ht="15.75" hidden="1" thickBot="1" x14ac:dyDescent="0.3">
      <c r="A5896" s="243"/>
      <c r="B5896" s="230"/>
      <c r="C5896" s="51"/>
      <c r="D5896" s="151"/>
      <c r="E5896" s="62"/>
      <c r="F5896" s="72" t="s">
        <v>523</v>
      </c>
      <c r="G5896" s="72" t="str">
        <f t="shared" si="110"/>
        <v/>
      </c>
      <c r="H5896" s="73"/>
      <c r="I5896" s="70"/>
      <c r="J5896" s="141">
        <v>0</v>
      </c>
    </row>
    <row r="5897" spans="1:10" ht="15.75" hidden="1" thickBot="1" x14ac:dyDescent="0.3">
      <c r="A5897" s="239" t="s">
        <v>5520</v>
      </c>
      <c r="B5897" s="228" t="str">
        <f>INDEX(Orçamentária!A:B,MATCH(Composições!A5897,Orçamentária!A:A,0),2)</f>
        <v>Terminal para eletroduto de PEAD de 1 1/4”</v>
      </c>
      <c r="C5897" s="37"/>
      <c r="D5897" s="22" t="str">
        <f>TRIM(INDEX(Orçamentária!C:C,MATCH(Composições!A5897,Orçamentária!A:A,0),1))</f>
        <v>un</v>
      </c>
      <c r="E5897" s="23"/>
      <c r="F5897" s="45" t="s">
        <v>523</v>
      </c>
      <c r="G5897" s="24" t="str">
        <f t="shared" si="110"/>
        <v/>
      </c>
      <c r="H5897" s="25"/>
      <c r="I5897" s="26"/>
      <c r="J5897" s="141">
        <v>0</v>
      </c>
    </row>
    <row r="5898" spans="1:10" ht="15.75" hidden="1" thickBot="1" x14ac:dyDescent="0.3">
      <c r="A5898" s="242"/>
      <c r="B5898" s="229"/>
      <c r="C5898" s="155"/>
      <c r="D5898" s="155"/>
      <c r="E5898" s="156"/>
      <c r="F5898" s="50" t="s">
        <v>523</v>
      </c>
      <c r="G5898" s="50" t="str">
        <f t="shared" si="110"/>
        <v/>
      </c>
      <c r="H5898" s="69"/>
      <c r="I5898" s="70"/>
      <c r="J5898" s="141">
        <v>0</v>
      </c>
    </row>
    <row r="5899" spans="1:10" ht="26.25" hidden="1" thickBot="1" x14ac:dyDescent="0.3">
      <c r="A5899" s="242"/>
      <c r="B5899" s="229"/>
      <c r="C5899" s="32" t="s">
        <v>3368</v>
      </c>
      <c r="D5899" s="148" t="s">
        <v>20</v>
      </c>
      <c r="E5899" s="149">
        <v>1</v>
      </c>
      <c r="F5899" s="27">
        <v>5.6239999999999997</v>
      </c>
      <c r="G5899" s="50">
        <f t="shared" si="110"/>
        <v>5.6239999999999997</v>
      </c>
      <c r="H5899" s="35">
        <f>SUM(G5899:G5899)</f>
        <v>5.6239999999999997</v>
      </c>
      <c r="I5899" s="36"/>
      <c r="J5899" s="141">
        <v>0</v>
      </c>
    </row>
    <row r="5900" spans="1:10" ht="15.75" hidden="1" thickBot="1" x14ac:dyDescent="0.3">
      <c r="A5900" s="243"/>
      <c r="B5900" s="230"/>
      <c r="C5900" s="51"/>
      <c r="D5900" s="151"/>
      <c r="E5900" s="62"/>
      <c r="F5900" s="72" t="s">
        <v>523</v>
      </c>
      <c r="G5900" s="72" t="str">
        <f t="shared" si="110"/>
        <v/>
      </c>
      <c r="H5900" s="73"/>
      <c r="I5900" s="70"/>
      <c r="J5900" s="141">
        <v>0</v>
      </c>
    </row>
    <row r="5901" spans="1:10" ht="15.75" hidden="1" thickBot="1" x14ac:dyDescent="0.3">
      <c r="A5901" s="239" t="s">
        <v>5521</v>
      </c>
      <c r="B5901" s="228" t="str">
        <f>INDEX(Orçamentária!A:B,MATCH(Composições!A5901,Orçamentária!A:A,0),2)</f>
        <v>Eletroduto de PEAD de 2”</v>
      </c>
      <c r="C5901" s="37"/>
      <c r="D5901" s="22" t="str">
        <f>TRIM(INDEX(Orçamentária!C:C,MATCH(Composições!A5901,Orçamentária!A:A,0),1))</f>
        <v>m</v>
      </c>
      <c r="E5901" s="23"/>
      <c r="F5901" s="45" t="s">
        <v>523</v>
      </c>
      <c r="G5901" s="24" t="str">
        <f t="shared" si="110"/>
        <v/>
      </c>
      <c r="H5901" s="25"/>
      <c r="I5901" s="26"/>
      <c r="J5901" s="141">
        <v>0</v>
      </c>
    </row>
    <row r="5902" spans="1:10" ht="15.75" hidden="1" thickBot="1" x14ac:dyDescent="0.3">
      <c r="A5902" s="242"/>
      <c r="B5902" s="229"/>
      <c r="C5902" s="155"/>
      <c r="D5902" s="155"/>
      <c r="E5902" s="156"/>
      <c r="F5902" s="50" t="s">
        <v>523</v>
      </c>
      <c r="G5902" s="50" t="str">
        <f t="shared" si="110"/>
        <v/>
      </c>
      <c r="H5902" s="69"/>
      <c r="I5902" s="70"/>
      <c r="J5902" s="141">
        <v>0</v>
      </c>
    </row>
    <row r="5903" spans="1:10" ht="39" hidden="1" thickBot="1" x14ac:dyDescent="0.3">
      <c r="A5903" s="242"/>
      <c r="B5903" s="229"/>
      <c r="C5903" s="32" t="s">
        <v>6647</v>
      </c>
      <c r="D5903" s="148" t="s">
        <v>93</v>
      </c>
      <c r="E5903" s="149">
        <v>1</v>
      </c>
      <c r="F5903" s="27">
        <v>5.5765000000000002</v>
      </c>
      <c r="G5903" s="50">
        <f t="shared" si="110"/>
        <v>5.5765000000000002</v>
      </c>
      <c r="H5903" s="35">
        <f>SUM(G5903:G5903)</f>
        <v>5.5765000000000002</v>
      </c>
      <c r="I5903" s="36"/>
      <c r="J5903" s="141">
        <v>0</v>
      </c>
    </row>
    <row r="5904" spans="1:10" ht="15.75" hidden="1" thickBot="1" x14ac:dyDescent="0.3">
      <c r="A5904" s="243"/>
      <c r="B5904" s="230"/>
      <c r="C5904" s="51"/>
      <c r="D5904" s="151"/>
      <c r="E5904" s="62"/>
      <c r="F5904" s="72" t="s">
        <v>523</v>
      </c>
      <c r="G5904" s="72" t="str">
        <f t="shared" si="110"/>
        <v/>
      </c>
      <c r="H5904" s="73"/>
      <c r="I5904" s="70"/>
      <c r="J5904" s="141">
        <v>0</v>
      </c>
    </row>
    <row r="5905" spans="1:10" ht="15.75" hidden="1" thickBot="1" x14ac:dyDescent="0.3">
      <c r="A5905" s="239" t="s">
        <v>5522</v>
      </c>
      <c r="B5905" s="228" t="str">
        <f>INDEX(Orçamentária!A:B,MATCH(Composições!A5905,Orçamentária!A:A,0),2)</f>
        <v>Terminal para eletroduto de PEAD de 2”</v>
      </c>
      <c r="C5905" s="37"/>
      <c r="D5905" s="22" t="str">
        <f>TRIM(INDEX(Orçamentária!C:C,MATCH(Composições!A5905,Orçamentária!A:A,0),1))</f>
        <v>un</v>
      </c>
      <c r="E5905" s="23"/>
      <c r="F5905" s="45" t="s">
        <v>523</v>
      </c>
      <c r="G5905" s="24" t="str">
        <f t="shared" si="110"/>
        <v/>
      </c>
      <c r="H5905" s="25"/>
      <c r="I5905" s="26"/>
      <c r="J5905" s="141">
        <v>0</v>
      </c>
    </row>
    <row r="5906" spans="1:10" ht="15.75" hidden="1" thickBot="1" x14ac:dyDescent="0.3">
      <c r="A5906" s="242"/>
      <c r="B5906" s="229"/>
      <c r="C5906" s="155"/>
      <c r="D5906" s="155"/>
      <c r="E5906" s="156"/>
      <c r="F5906" s="50" t="s">
        <v>523</v>
      </c>
      <c r="G5906" s="50" t="str">
        <f t="shared" si="110"/>
        <v/>
      </c>
      <c r="H5906" s="69"/>
      <c r="I5906" s="70"/>
      <c r="J5906" s="141">
        <v>0</v>
      </c>
    </row>
    <row r="5907" spans="1:10" ht="26.25" hidden="1" thickBot="1" x14ac:dyDescent="0.3">
      <c r="A5907" s="242"/>
      <c r="B5907" s="229"/>
      <c r="C5907" s="32" t="s">
        <v>3369</v>
      </c>
      <c r="D5907" s="148" t="s">
        <v>20</v>
      </c>
      <c r="E5907" s="149">
        <v>1</v>
      </c>
      <c r="F5907" s="27">
        <v>6.4219999999999997</v>
      </c>
      <c r="G5907" s="50">
        <f t="shared" si="110"/>
        <v>6.4219999999999997</v>
      </c>
      <c r="H5907" s="35">
        <f>SUM(G5907:G5907)</f>
        <v>6.4219999999999997</v>
      </c>
      <c r="I5907" s="36"/>
      <c r="J5907" s="141">
        <v>0</v>
      </c>
    </row>
    <row r="5908" spans="1:10" ht="15.75" hidden="1" thickBot="1" x14ac:dyDescent="0.3">
      <c r="A5908" s="243"/>
      <c r="B5908" s="230"/>
      <c r="C5908" s="51"/>
      <c r="D5908" s="151"/>
      <c r="E5908" s="62"/>
      <c r="F5908" s="72" t="s">
        <v>523</v>
      </c>
      <c r="G5908" s="72" t="str">
        <f t="shared" si="110"/>
        <v/>
      </c>
      <c r="H5908" s="73"/>
      <c r="I5908" s="70"/>
      <c r="J5908" s="141">
        <v>0</v>
      </c>
    </row>
    <row r="5909" spans="1:10" ht="15.75" hidden="1" thickBot="1" x14ac:dyDescent="0.3">
      <c r="A5909" s="239" t="s">
        <v>5523</v>
      </c>
      <c r="B5909" s="228" t="str">
        <f>INDEX(Orçamentária!A:B,MATCH(Composições!A5909,Orçamentária!A:A,0),2)</f>
        <v>Eletroduto de PEAD de 3”</v>
      </c>
      <c r="C5909" s="37"/>
      <c r="D5909" s="22" t="str">
        <f>TRIM(INDEX(Orçamentária!C:C,MATCH(Composições!A5909,Orçamentária!A:A,0),1))</f>
        <v>m</v>
      </c>
      <c r="E5909" s="23"/>
      <c r="F5909" s="45" t="s">
        <v>523</v>
      </c>
      <c r="G5909" s="24" t="str">
        <f t="shared" si="110"/>
        <v/>
      </c>
      <c r="H5909" s="25"/>
      <c r="I5909" s="26"/>
      <c r="J5909" s="141">
        <v>0</v>
      </c>
    </row>
    <row r="5910" spans="1:10" ht="15.75" hidden="1" thickBot="1" x14ac:dyDescent="0.3">
      <c r="A5910" s="242"/>
      <c r="B5910" s="229"/>
      <c r="C5910" s="155"/>
      <c r="D5910" s="155"/>
      <c r="E5910" s="156"/>
      <c r="F5910" s="50" t="s">
        <v>523</v>
      </c>
      <c r="G5910" s="50" t="str">
        <f t="shared" si="110"/>
        <v/>
      </c>
      <c r="H5910" s="69"/>
      <c r="I5910" s="70"/>
      <c r="J5910" s="141">
        <v>0</v>
      </c>
    </row>
    <row r="5911" spans="1:10" ht="39" hidden="1" thickBot="1" x14ac:dyDescent="0.3">
      <c r="A5911" s="242"/>
      <c r="B5911" s="229"/>
      <c r="C5911" s="32" t="s">
        <v>6643</v>
      </c>
      <c r="D5911" s="148" t="s">
        <v>93</v>
      </c>
      <c r="E5911" s="149">
        <v>1</v>
      </c>
      <c r="F5911" s="27">
        <v>7.8090000000000002</v>
      </c>
      <c r="G5911" s="50">
        <f t="shared" si="110"/>
        <v>7.8090000000000002</v>
      </c>
      <c r="H5911" s="35">
        <f>SUM(G5911:G5911)</f>
        <v>7.8090000000000002</v>
      </c>
      <c r="I5911" s="36"/>
      <c r="J5911" s="141">
        <v>0</v>
      </c>
    </row>
    <row r="5912" spans="1:10" ht="15.75" hidden="1" thickBot="1" x14ac:dyDescent="0.3">
      <c r="A5912" s="243"/>
      <c r="B5912" s="230"/>
      <c r="C5912" s="51"/>
      <c r="D5912" s="151"/>
      <c r="E5912" s="62"/>
      <c r="F5912" s="72" t="s">
        <v>523</v>
      </c>
      <c r="G5912" s="72" t="str">
        <f t="shared" si="110"/>
        <v/>
      </c>
      <c r="H5912" s="73"/>
      <c r="I5912" s="70"/>
      <c r="J5912" s="141">
        <v>0</v>
      </c>
    </row>
    <row r="5913" spans="1:10" ht="15.75" hidden="1" thickBot="1" x14ac:dyDescent="0.3">
      <c r="A5913" s="239" t="s">
        <v>5524</v>
      </c>
      <c r="B5913" s="228" t="str">
        <f>INDEX(Orçamentária!A:B,MATCH(Composições!A5913,Orçamentária!A:A,0),2)</f>
        <v>Terminal para eletroduto de PEAD de 3”</v>
      </c>
      <c r="C5913" s="37"/>
      <c r="D5913" s="22" t="str">
        <f>TRIM(INDEX(Orçamentária!C:C,MATCH(Composições!A5913,Orçamentária!A:A,0),1))</f>
        <v>un</v>
      </c>
      <c r="E5913" s="23"/>
      <c r="F5913" s="45" t="s">
        <v>523</v>
      </c>
      <c r="G5913" s="24" t="str">
        <f t="shared" si="110"/>
        <v/>
      </c>
      <c r="H5913" s="25"/>
      <c r="I5913" s="26"/>
      <c r="J5913" s="141">
        <v>0</v>
      </c>
    </row>
    <row r="5914" spans="1:10" ht="15.75" hidden="1" thickBot="1" x14ac:dyDescent="0.3">
      <c r="A5914" s="242"/>
      <c r="B5914" s="229"/>
      <c r="C5914" s="155"/>
      <c r="D5914" s="155"/>
      <c r="E5914" s="156"/>
      <c r="F5914" s="50" t="s">
        <v>523</v>
      </c>
      <c r="G5914" s="50" t="str">
        <f t="shared" si="110"/>
        <v/>
      </c>
      <c r="H5914" s="69"/>
      <c r="I5914" s="70"/>
      <c r="J5914" s="141">
        <v>0</v>
      </c>
    </row>
    <row r="5915" spans="1:10" ht="26.25" hidden="1" thickBot="1" x14ac:dyDescent="0.3">
      <c r="A5915" s="242"/>
      <c r="B5915" s="229"/>
      <c r="C5915" s="32" t="s">
        <v>3370</v>
      </c>
      <c r="D5915" s="148" t="s">
        <v>20</v>
      </c>
      <c r="E5915" s="149">
        <v>1</v>
      </c>
      <c r="F5915" s="27">
        <v>9.4809999999999999</v>
      </c>
      <c r="G5915" s="50">
        <f t="shared" si="110"/>
        <v>9.4809999999999999</v>
      </c>
      <c r="H5915" s="35">
        <f>SUM(G5915:G5915)</f>
        <v>9.4809999999999999</v>
      </c>
      <c r="I5915" s="36"/>
      <c r="J5915" s="141">
        <v>0</v>
      </c>
    </row>
    <row r="5916" spans="1:10" ht="15.75" hidden="1" thickBot="1" x14ac:dyDescent="0.3">
      <c r="A5916" s="243"/>
      <c r="B5916" s="230"/>
      <c r="C5916" s="51"/>
      <c r="D5916" s="151"/>
      <c r="E5916" s="62"/>
      <c r="F5916" s="72" t="s">
        <v>523</v>
      </c>
      <c r="G5916" s="72" t="str">
        <f t="shared" si="110"/>
        <v/>
      </c>
      <c r="H5916" s="73"/>
      <c r="I5916" s="70"/>
      <c r="J5916" s="141">
        <v>0</v>
      </c>
    </row>
    <row r="5917" spans="1:10" ht="15.75" hidden="1" thickBot="1" x14ac:dyDescent="0.3">
      <c r="A5917" s="239" t="s">
        <v>5525</v>
      </c>
      <c r="B5917" s="228" t="str">
        <f>INDEX(Orçamentária!A:B,MATCH(Composições!A5917,Orçamentária!A:A,0),2)</f>
        <v>Eletroduto de PVC de 3/4”</v>
      </c>
      <c r="C5917" s="37"/>
      <c r="D5917" s="22" t="str">
        <f>TRIM(INDEX(Orçamentária!C:C,MATCH(Composições!A5917,Orçamentária!A:A,0),1))</f>
        <v>m</v>
      </c>
      <c r="E5917" s="23"/>
      <c r="F5917" s="45" t="s">
        <v>523</v>
      </c>
      <c r="G5917" s="24" t="str">
        <f t="shared" si="110"/>
        <v/>
      </c>
      <c r="H5917" s="25"/>
      <c r="I5917" s="26"/>
      <c r="J5917" s="141">
        <v>0</v>
      </c>
    </row>
    <row r="5918" spans="1:10" ht="15.75" hidden="1" thickBot="1" x14ac:dyDescent="0.3">
      <c r="A5918" s="242"/>
      <c r="B5918" s="229"/>
      <c r="C5918" s="155"/>
      <c r="D5918" s="155"/>
      <c r="E5918" s="156"/>
      <c r="F5918" s="50" t="s">
        <v>523</v>
      </c>
      <c r="G5918" s="50" t="str">
        <f t="shared" ref="G5918:G5981" si="111">IF(ISNUMBER(F5918),E5918*F5918,"")</f>
        <v/>
      </c>
      <c r="H5918" s="69"/>
      <c r="I5918" s="70"/>
      <c r="J5918" s="141">
        <v>0</v>
      </c>
    </row>
    <row r="5919" spans="1:10" ht="15.75" hidden="1" thickBot="1" x14ac:dyDescent="0.3">
      <c r="A5919" s="242"/>
      <c r="B5919" s="229"/>
      <c r="C5919" s="32" t="s">
        <v>3318</v>
      </c>
      <c r="D5919" s="148" t="s">
        <v>93</v>
      </c>
      <c r="E5919" s="149">
        <v>1</v>
      </c>
      <c r="F5919" s="27">
        <v>5.1680000000000001</v>
      </c>
      <c r="G5919" s="50">
        <f t="shared" si="111"/>
        <v>5.1680000000000001</v>
      </c>
      <c r="H5919" s="35">
        <f>SUM(G5919:G5919)</f>
        <v>5.1680000000000001</v>
      </c>
      <c r="I5919" s="36"/>
      <c r="J5919" s="141">
        <v>0</v>
      </c>
    </row>
    <row r="5920" spans="1:10" ht="15.75" hidden="1" thickBot="1" x14ac:dyDescent="0.3">
      <c r="A5920" s="243"/>
      <c r="B5920" s="230"/>
      <c r="C5920" s="51"/>
      <c r="D5920" s="151"/>
      <c r="E5920" s="62"/>
      <c r="F5920" s="72" t="s">
        <v>523</v>
      </c>
      <c r="G5920" s="72" t="str">
        <f t="shared" si="111"/>
        <v/>
      </c>
      <c r="H5920" s="73"/>
      <c r="I5920" s="70"/>
      <c r="J5920" s="141">
        <v>0</v>
      </c>
    </row>
    <row r="5921" spans="1:10" ht="15.75" hidden="1" thickBot="1" x14ac:dyDescent="0.3">
      <c r="A5921" s="239" t="s">
        <v>5526</v>
      </c>
      <c r="B5921" s="228" t="str">
        <f>INDEX(Orçamentária!A:B,MATCH(Composições!A5921,Orçamentária!A:A,0),2)</f>
        <v>Luva para eletroduto de PVC de 3/4”</v>
      </c>
      <c r="C5921" s="37"/>
      <c r="D5921" s="22" t="str">
        <f>TRIM(INDEX(Orçamentária!C:C,MATCH(Composições!A5921,Orçamentária!A:A,0),1))</f>
        <v>un</v>
      </c>
      <c r="E5921" s="23"/>
      <c r="F5921" s="45" t="s">
        <v>523</v>
      </c>
      <c r="G5921" s="24" t="str">
        <f t="shared" si="111"/>
        <v/>
      </c>
      <c r="H5921" s="25"/>
      <c r="I5921" s="26"/>
      <c r="J5921" s="141">
        <v>0</v>
      </c>
    </row>
    <row r="5922" spans="1:10" ht="15.75" hidden="1" thickBot="1" x14ac:dyDescent="0.3">
      <c r="A5922" s="242"/>
      <c r="B5922" s="229"/>
      <c r="C5922" s="155"/>
      <c r="D5922" s="155"/>
      <c r="E5922" s="156"/>
      <c r="F5922" s="50" t="s">
        <v>523</v>
      </c>
      <c r="G5922" s="50" t="str">
        <f t="shared" si="111"/>
        <v/>
      </c>
      <c r="H5922" s="69"/>
      <c r="I5922" s="70"/>
      <c r="J5922" s="141">
        <v>0</v>
      </c>
    </row>
    <row r="5923" spans="1:10" ht="15.75" hidden="1" thickBot="1" x14ac:dyDescent="0.3">
      <c r="A5923" s="242"/>
      <c r="B5923" s="229"/>
      <c r="C5923" s="32" t="s">
        <v>3338</v>
      </c>
      <c r="D5923" s="148" t="s">
        <v>20</v>
      </c>
      <c r="E5923" s="149">
        <v>1</v>
      </c>
      <c r="F5923" s="27">
        <v>1.71</v>
      </c>
      <c r="G5923" s="50">
        <f t="shared" si="111"/>
        <v>1.71</v>
      </c>
      <c r="H5923" s="35">
        <f>SUM(G5923:G5923)</f>
        <v>1.71</v>
      </c>
      <c r="I5923" s="36"/>
      <c r="J5923" s="141">
        <v>0</v>
      </c>
    </row>
    <row r="5924" spans="1:10" ht="15.75" hidden="1" thickBot="1" x14ac:dyDescent="0.3">
      <c r="A5924" s="243"/>
      <c r="B5924" s="230"/>
      <c r="C5924" s="51"/>
      <c r="D5924" s="151"/>
      <c r="E5924" s="62"/>
      <c r="F5924" s="72" t="s">
        <v>523</v>
      </c>
      <c r="G5924" s="72" t="str">
        <f t="shared" si="111"/>
        <v/>
      </c>
      <c r="H5924" s="73"/>
      <c r="I5924" s="70"/>
      <c r="J5924" s="141">
        <v>0</v>
      </c>
    </row>
    <row r="5925" spans="1:10" ht="15.75" hidden="1" thickBot="1" x14ac:dyDescent="0.3">
      <c r="A5925" s="239" t="s">
        <v>5527</v>
      </c>
      <c r="B5925" s="228" t="str">
        <f>INDEX(Orçamentária!A:B,MATCH(Composições!A5925,Orçamentária!A:A,0),2)</f>
        <v>Curva para eletroduto de PVC de 3/4”</v>
      </c>
      <c r="C5925" s="37"/>
      <c r="D5925" s="22" t="str">
        <f>TRIM(INDEX(Orçamentária!C:C,MATCH(Composições!A5925,Orçamentária!A:A,0),1))</f>
        <v>un</v>
      </c>
      <c r="E5925" s="23"/>
      <c r="F5925" s="45" t="s">
        <v>523</v>
      </c>
      <c r="G5925" s="24" t="str">
        <f t="shared" si="111"/>
        <v/>
      </c>
      <c r="H5925" s="25"/>
      <c r="I5925" s="26"/>
      <c r="J5925" s="141">
        <v>0</v>
      </c>
    </row>
    <row r="5926" spans="1:10" ht="15.75" hidden="1" thickBot="1" x14ac:dyDescent="0.3">
      <c r="A5926" s="242"/>
      <c r="B5926" s="229"/>
      <c r="C5926" s="155"/>
      <c r="D5926" s="155"/>
      <c r="E5926" s="156"/>
      <c r="F5926" s="50" t="s">
        <v>523</v>
      </c>
      <c r="G5926" s="50" t="str">
        <f t="shared" si="111"/>
        <v/>
      </c>
      <c r="H5926" s="69"/>
      <c r="I5926" s="70"/>
      <c r="J5926" s="141">
        <v>0</v>
      </c>
    </row>
    <row r="5927" spans="1:10" ht="26.25" hidden="1" thickBot="1" x14ac:dyDescent="0.3">
      <c r="A5927" s="242"/>
      <c r="B5927" s="229"/>
      <c r="C5927" s="32" t="s">
        <v>3299</v>
      </c>
      <c r="D5927" s="148" t="s">
        <v>20</v>
      </c>
      <c r="E5927" s="149">
        <v>1</v>
      </c>
      <c r="F5927" s="27">
        <v>3.6859999999999999</v>
      </c>
      <c r="G5927" s="50">
        <f t="shared" si="111"/>
        <v>3.6859999999999999</v>
      </c>
      <c r="H5927" s="35">
        <f>SUM(G5927:G5927)</f>
        <v>3.6859999999999999</v>
      </c>
      <c r="I5927" s="36"/>
      <c r="J5927" s="141">
        <v>0</v>
      </c>
    </row>
    <row r="5928" spans="1:10" ht="15.75" hidden="1" thickBot="1" x14ac:dyDescent="0.3">
      <c r="A5928" s="243"/>
      <c r="B5928" s="230"/>
      <c r="C5928" s="51"/>
      <c r="D5928" s="151"/>
      <c r="E5928" s="62"/>
      <c r="F5928" s="72" t="s">
        <v>523</v>
      </c>
      <c r="G5928" s="72" t="str">
        <f t="shared" si="111"/>
        <v/>
      </c>
      <c r="H5928" s="73"/>
      <c r="I5928" s="70"/>
      <c r="J5928" s="141">
        <v>0</v>
      </c>
    </row>
    <row r="5929" spans="1:10" ht="15.75" hidden="1" thickBot="1" x14ac:dyDescent="0.3">
      <c r="A5929" s="239" t="s">
        <v>5528</v>
      </c>
      <c r="B5929" s="228" t="str">
        <f>INDEX(Orçamentária!A:B,MATCH(Composições!A5929,Orçamentária!A:A,0),2)</f>
        <v>Eletroduto de PVC de 1”</v>
      </c>
      <c r="C5929" s="37"/>
      <c r="D5929" s="22" t="str">
        <f>TRIM(INDEX(Orçamentária!C:C,MATCH(Composições!A5929,Orçamentária!A:A,0),1))</f>
        <v>m</v>
      </c>
      <c r="E5929" s="23"/>
      <c r="F5929" s="45" t="s">
        <v>523</v>
      </c>
      <c r="G5929" s="24" t="str">
        <f t="shared" si="111"/>
        <v/>
      </c>
      <c r="H5929" s="25"/>
      <c r="I5929" s="26"/>
      <c r="J5929" s="141">
        <v>0</v>
      </c>
    </row>
    <row r="5930" spans="1:10" ht="15.75" hidden="1" thickBot="1" x14ac:dyDescent="0.3">
      <c r="A5930" s="242"/>
      <c r="B5930" s="229"/>
      <c r="C5930" s="155"/>
      <c r="D5930" s="155"/>
      <c r="E5930" s="156"/>
      <c r="F5930" s="50" t="s">
        <v>523</v>
      </c>
      <c r="G5930" s="50" t="str">
        <f t="shared" si="111"/>
        <v/>
      </c>
      <c r="H5930" s="69"/>
      <c r="I5930" s="70"/>
      <c r="J5930" s="141">
        <v>0</v>
      </c>
    </row>
    <row r="5931" spans="1:10" ht="15.75" hidden="1" thickBot="1" x14ac:dyDescent="0.3">
      <c r="A5931" s="242"/>
      <c r="B5931" s="229"/>
      <c r="C5931" s="32" t="s">
        <v>3313</v>
      </c>
      <c r="D5931" s="148" t="s">
        <v>93</v>
      </c>
      <c r="E5931" s="149">
        <v>1</v>
      </c>
      <c r="F5931" s="27">
        <v>8.0749999999999993</v>
      </c>
      <c r="G5931" s="50">
        <f t="shared" si="111"/>
        <v>8.0749999999999993</v>
      </c>
      <c r="H5931" s="35">
        <f>SUM(G5931:G5931)</f>
        <v>8.0749999999999993</v>
      </c>
      <c r="I5931" s="36"/>
      <c r="J5931" s="141">
        <v>0</v>
      </c>
    </row>
    <row r="5932" spans="1:10" ht="15.75" hidden="1" thickBot="1" x14ac:dyDescent="0.3">
      <c r="A5932" s="243"/>
      <c r="B5932" s="230"/>
      <c r="C5932" s="51"/>
      <c r="D5932" s="151"/>
      <c r="E5932" s="62"/>
      <c r="F5932" s="72" t="s">
        <v>523</v>
      </c>
      <c r="G5932" s="72" t="str">
        <f t="shared" si="111"/>
        <v/>
      </c>
      <c r="H5932" s="73"/>
      <c r="I5932" s="70"/>
      <c r="J5932" s="141">
        <v>0</v>
      </c>
    </row>
    <row r="5933" spans="1:10" ht="15.75" hidden="1" thickBot="1" x14ac:dyDescent="0.3">
      <c r="A5933" s="239" t="s">
        <v>5529</v>
      </c>
      <c r="B5933" s="228" t="str">
        <f>INDEX(Orçamentária!A:B,MATCH(Composições!A5933,Orçamentária!A:A,0),2)</f>
        <v>Luva para eletroduto de PVC de 1”</v>
      </c>
      <c r="C5933" s="37"/>
      <c r="D5933" s="22" t="str">
        <f>TRIM(INDEX(Orçamentária!C:C,MATCH(Composições!A5933,Orçamentária!A:A,0),1))</f>
        <v>un</v>
      </c>
      <c r="E5933" s="23"/>
      <c r="F5933" s="45" t="s">
        <v>523</v>
      </c>
      <c r="G5933" s="24" t="str">
        <f t="shared" si="111"/>
        <v/>
      </c>
      <c r="H5933" s="25"/>
      <c r="I5933" s="26"/>
      <c r="J5933" s="141">
        <v>0</v>
      </c>
    </row>
    <row r="5934" spans="1:10" ht="15.75" hidden="1" thickBot="1" x14ac:dyDescent="0.3">
      <c r="A5934" s="242"/>
      <c r="B5934" s="229"/>
      <c r="C5934" s="155"/>
      <c r="D5934" s="155"/>
      <c r="E5934" s="156"/>
      <c r="F5934" s="50" t="s">
        <v>523</v>
      </c>
      <c r="G5934" s="50" t="str">
        <f t="shared" si="111"/>
        <v/>
      </c>
      <c r="H5934" s="69"/>
      <c r="I5934" s="70"/>
      <c r="J5934" s="141">
        <v>0</v>
      </c>
    </row>
    <row r="5935" spans="1:10" ht="15.75" hidden="1" thickBot="1" x14ac:dyDescent="0.3">
      <c r="A5935" s="242"/>
      <c r="B5935" s="229"/>
      <c r="C5935" s="32" t="s">
        <v>3336</v>
      </c>
      <c r="D5935" s="148" t="s">
        <v>20</v>
      </c>
      <c r="E5935" s="149">
        <v>1</v>
      </c>
      <c r="F5935" s="27">
        <v>2.3844999999999996</v>
      </c>
      <c r="G5935" s="50">
        <f t="shared" si="111"/>
        <v>2.3844999999999996</v>
      </c>
      <c r="H5935" s="35">
        <f>SUM(G5935:G5935)</f>
        <v>2.3844999999999996</v>
      </c>
      <c r="I5935" s="36"/>
      <c r="J5935" s="141">
        <v>0</v>
      </c>
    </row>
    <row r="5936" spans="1:10" ht="15.75" hidden="1" thickBot="1" x14ac:dyDescent="0.3">
      <c r="A5936" s="243"/>
      <c r="B5936" s="230"/>
      <c r="C5936" s="51"/>
      <c r="D5936" s="151"/>
      <c r="E5936" s="62"/>
      <c r="F5936" s="72" t="s">
        <v>523</v>
      </c>
      <c r="G5936" s="72" t="str">
        <f t="shared" si="111"/>
        <v/>
      </c>
      <c r="H5936" s="73"/>
      <c r="I5936" s="70"/>
      <c r="J5936" s="141">
        <v>0</v>
      </c>
    </row>
    <row r="5937" spans="1:10" ht="15.75" hidden="1" thickBot="1" x14ac:dyDescent="0.3">
      <c r="A5937" s="239" t="s">
        <v>5530</v>
      </c>
      <c r="B5937" s="228" t="str">
        <f>INDEX(Orçamentária!A:B,MATCH(Composições!A5937,Orçamentária!A:A,0),2)</f>
        <v>Curva para eletroduto de PVC de 1”</v>
      </c>
      <c r="C5937" s="37"/>
      <c r="D5937" s="22" t="str">
        <f>TRIM(INDEX(Orçamentária!C:C,MATCH(Composições!A5937,Orçamentária!A:A,0),1))</f>
        <v>un</v>
      </c>
      <c r="E5937" s="23"/>
      <c r="F5937" s="45" t="s">
        <v>523</v>
      </c>
      <c r="G5937" s="24" t="str">
        <f t="shared" si="111"/>
        <v/>
      </c>
      <c r="H5937" s="25"/>
      <c r="I5937" s="26"/>
      <c r="J5937" s="141">
        <v>0</v>
      </c>
    </row>
    <row r="5938" spans="1:10" ht="15.75" hidden="1" thickBot="1" x14ac:dyDescent="0.3">
      <c r="A5938" s="242"/>
      <c r="B5938" s="229"/>
      <c r="C5938" s="155"/>
      <c r="D5938" s="155"/>
      <c r="E5938" s="156"/>
      <c r="F5938" s="50" t="s">
        <v>523</v>
      </c>
      <c r="G5938" s="50" t="str">
        <f t="shared" si="111"/>
        <v/>
      </c>
      <c r="H5938" s="69"/>
      <c r="I5938" s="70"/>
      <c r="J5938" s="141">
        <v>0</v>
      </c>
    </row>
    <row r="5939" spans="1:10" ht="26.25" hidden="1" thickBot="1" x14ac:dyDescent="0.3">
      <c r="A5939" s="242"/>
      <c r="B5939" s="229"/>
      <c r="C5939" s="32" t="s">
        <v>3298</v>
      </c>
      <c r="D5939" s="148" t="s">
        <v>20</v>
      </c>
      <c r="E5939" s="149">
        <v>1</v>
      </c>
      <c r="F5939" s="27">
        <v>5.1014999999999997</v>
      </c>
      <c r="G5939" s="50">
        <f t="shared" si="111"/>
        <v>5.1014999999999997</v>
      </c>
      <c r="H5939" s="35">
        <f>SUM(G5939:G5939)</f>
        <v>5.1014999999999997</v>
      </c>
      <c r="I5939" s="36"/>
      <c r="J5939" s="141">
        <v>0</v>
      </c>
    </row>
    <row r="5940" spans="1:10" ht="15.75" hidden="1" thickBot="1" x14ac:dyDescent="0.3">
      <c r="A5940" s="243"/>
      <c r="B5940" s="230"/>
      <c r="C5940" s="51"/>
      <c r="D5940" s="151"/>
      <c r="E5940" s="62"/>
      <c r="F5940" s="72" t="s">
        <v>523</v>
      </c>
      <c r="G5940" s="72" t="str">
        <f t="shared" si="111"/>
        <v/>
      </c>
      <c r="H5940" s="73"/>
      <c r="I5940" s="70"/>
      <c r="J5940" s="141">
        <v>0</v>
      </c>
    </row>
    <row r="5941" spans="1:10" ht="15.75" hidden="1" thickBot="1" x14ac:dyDescent="0.3">
      <c r="A5941" s="239" t="s">
        <v>5531</v>
      </c>
      <c r="B5941" s="228" t="str">
        <f>INDEX(Orçamentária!A:B,MATCH(Composições!A5941,Orçamentária!A:A,0),2)</f>
        <v>Eletroduto de PVC de 1 1/4”</v>
      </c>
      <c r="C5941" s="37"/>
      <c r="D5941" s="22" t="str">
        <f>TRIM(INDEX(Orçamentária!C:C,MATCH(Composições!A5941,Orçamentária!A:A,0),1))</f>
        <v>m</v>
      </c>
      <c r="E5941" s="23"/>
      <c r="F5941" s="45" t="s">
        <v>523</v>
      </c>
      <c r="G5941" s="24" t="str">
        <f t="shared" si="111"/>
        <v/>
      </c>
      <c r="H5941" s="25"/>
      <c r="I5941" s="26"/>
      <c r="J5941" s="141">
        <v>0</v>
      </c>
    </row>
    <row r="5942" spans="1:10" ht="15.75" hidden="1" thickBot="1" x14ac:dyDescent="0.3">
      <c r="A5942" s="242"/>
      <c r="B5942" s="229"/>
      <c r="C5942" s="155"/>
      <c r="D5942" s="155"/>
      <c r="E5942" s="156"/>
      <c r="F5942" s="50" t="s">
        <v>523</v>
      </c>
      <c r="G5942" s="50" t="str">
        <f t="shared" si="111"/>
        <v/>
      </c>
      <c r="H5942" s="69"/>
      <c r="I5942" s="70"/>
      <c r="J5942" s="141">
        <v>0</v>
      </c>
    </row>
    <row r="5943" spans="1:10" ht="15.75" hidden="1" thickBot="1" x14ac:dyDescent="0.3">
      <c r="A5943" s="242"/>
      <c r="B5943" s="229"/>
      <c r="C5943" s="32" t="s">
        <v>3315</v>
      </c>
      <c r="D5943" s="148" t="s">
        <v>93</v>
      </c>
      <c r="E5943" s="149">
        <v>1</v>
      </c>
      <c r="F5943" s="27">
        <v>10.754</v>
      </c>
      <c r="G5943" s="50">
        <f t="shared" si="111"/>
        <v>10.754</v>
      </c>
      <c r="H5943" s="35">
        <f>SUM(G5943:G5943)</f>
        <v>10.754</v>
      </c>
      <c r="I5943" s="36"/>
      <c r="J5943" s="141">
        <v>0</v>
      </c>
    </row>
    <row r="5944" spans="1:10" ht="15.75" hidden="1" thickBot="1" x14ac:dyDescent="0.3">
      <c r="A5944" s="243"/>
      <c r="B5944" s="230"/>
      <c r="C5944" s="51"/>
      <c r="D5944" s="151"/>
      <c r="E5944" s="62"/>
      <c r="F5944" s="72" t="s">
        <v>523</v>
      </c>
      <c r="G5944" s="72" t="str">
        <f t="shared" si="111"/>
        <v/>
      </c>
      <c r="H5944" s="73"/>
      <c r="I5944" s="70"/>
      <c r="J5944" s="141">
        <v>0</v>
      </c>
    </row>
    <row r="5945" spans="1:10" ht="15.75" hidden="1" thickBot="1" x14ac:dyDescent="0.3">
      <c r="A5945" s="239" t="s">
        <v>5532</v>
      </c>
      <c r="B5945" s="228" t="str">
        <f>INDEX(Orçamentária!A:B,MATCH(Composições!A5945,Orçamentária!A:A,0),2)</f>
        <v>Luva para eletroduto de PVC de 1 1/4”</v>
      </c>
      <c r="C5945" s="37"/>
      <c r="D5945" s="22" t="str">
        <f>TRIM(INDEX(Orçamentária!C:C,MATCH(Composições!A5945,Orçamentária!A:A,0),1))</f>
        <v>un</v>
      </c>
      <c r="E5945" s="23"/>
      <c r="F5945" s="45" t="s">
        <v>523</v>
      </c>
      <c r="G5945" s="24" t="str">
        <f t="shared" si="111"/>
        <v/>
      </c>
      <c r="H5945" s="25"/>
      <c r="I5945" s="26"/>
      <c r="J5945" s="141">
        <v>0</v>
      </c>
    </row>
    <row r="5946" spans="1:10" ht="15.75" hidden="1" thickBot="1" x14ac:dyDescent="0.3">
      <c r="A5946" s="242"/>
      <c r="B5946" s="229"/>
      <c r="C5946" s="155"/>
      <c r="D5946" s="155"/>
      <c r="E5946" s="156"/>
      <c r="F5946" s="50" t="s">
        <v>523</v>
      </c>
      <c r="G5946" s="50" t="str">
        <f t="shared" si="111"/>
        <v/>
      </c>
      <c r="H5946" s="69"/>
      <c r="I5946" s="70"/>
      <c r="J5946" s="141">
        <v>0</v>
      </c>
    </row>
    <row r="5947" spans="1:10" ht="15.75" hidden="1" thickBot="1" x14ac:dyDescent="0.3">
      <c r="A5947" s="242"/>
      <c r="B5947" s="229"/>
      <c r="C5947" s="32" t="s">
        <v>3335</v>
      </c>
      <c r="D5947" s="148" t="s">
        <v>20</v>
      </c>
      <c r="E5947" s="149">
        <v>1</v>
      </c>
      <c r="F5947" s="27">
        <v>3.7049999999999996</v>
      </c>
      <c r="G5947" s="50">
        <f t="shared" si="111"/>
        <v>3.7049999999999996</v>
      </c>
      <c r="H5947" s="35">
        <f>SUM(G5947:G5947)</f>
        <v>3.7049999999999996</v>
      </c>
      <c r="I5947" s="36"/>
      <c r="J5947" s="141">
        <v>0</v>
      </c>
    </row>
    <row r="5948" spans="1:10" ht="15.75" hidden="1" thickBot="1" x14ac:dyDescent="0.3">
      <c r="A5948" s="243"/>
      <c r="B5948" s="230"/>
      <c r="C5948" s="51"/>
      <c r="D5948" s="151"/>
      <c r="E5948" s="62"/>
      <c r="F5948" s="72" t="s">
        <v>523</v>
      </c>
      <c r="G5948" s="72" t="str">
        <f t="shared" si="111"/>
        <v/>
      </c>
      <c r="H5948" s="73"/>
      <c r="I5948" s="70"/>
      <c r="J5948" s="141">
        <v>0</v>
      </c>
    </row>
    <row r="5949" spans="1:10" ht="15.75" hidden="1" thickBot="1" x14ac:dyDescent="0.3">
      <c r="A5949" s="239" t="s">
        <v>5533</v>
      </c>
      <c r="B5949" s="228" t="str">
        <f>INDEX(Orçamentária!A:B,MATCH(Composições!A5949,Orçamentária!A:A,0),2)</f>
        <v>Curva para eletroduto de PVC de 1 1/4”</v>
      </c>
      <c r="C5949" s="37"/>
      <c r="D5949" s="22" t="str">
        <f>TRIM(INDEX(Orçamentária!C:C,MATCH(Composições!A5949,Orçamentária!A:A,0),1))</f>
        <v>un</v>
      </c>
      <c r="E5949" s="23"/>
      <c r="F5949" s="45" t="s">
        <v>523</v>
      </c>
      <c r="G5949" s="24" t="str">
        <f t="shared" si="111"/>
        <v/>
      </c>
      <c r="H5949" s="25"/>
      <c r="I5949" s="26"/>
      <c r="J5949" s="141">
        <v>0</v>
      </c>
    </row>
    <row r="5950" spans="1:10" ht="15.75" hidden="1" thickBot="1" x14ac:dyDescent="0.3">
      <c r="A5950" s="242"/>
      <c r="B5950" s="229"/>
      <c r="C5950" s="155"/>
      <c r="D5950" s="155"/>
      <c r="E5950" s="156"/>
      <c r="F5950" s="50" t="s">
        <v>523</v>
      </c>
      <c r="G5950" s="50" t="str">
        <f t="shared" si="111"/>
        <v/>
      </c>
      <c r="H5950" s="69"/>
      <c r="I5950" s="70"/>
      <c r="J5950" s="141">
        <v>0</v>
      </c>
    </row>
    <row r="5951" spans="1:10" ht="26.25" hidden="1" thickBot="1" x14ac:dyDescent="0.3">
      <c r="A5951" s="242"/>
      <c r="B5951" s="229"/>
      <c r="C5951" s="32" t="s">
        <v>3301</v>
      </c>
      <c r="D5951" s="148" t="s">
        <v>20</v>
      </c>
      <c r="E5951" s="149">
        <v>1</v>
      </c>
      <c r="F5951" s="27">
        <v>6.726</v>
      </c>
      <c r="G5951" s="50">
        <f t="shared" si="111"/>
        <v>6.726</v>
      </c>
      <c r="H5951" s="35">
        <f>SUM(G5951:G5951)</f>
        <v>6.726</v>
      </c>
      <c r="I5951" s="36"/>
      <c r="J5951" s="141">
        <v>0</v>
      </c>
    </row>
    <row r="5952" spans="1:10" ht="15.75" hidden="1" thickBot="1" x14ac:dyDescent="0.3">
      <c r="A5952" s="243"/>
      <c r="B5952" s="230"/>
      <c r="C5952" s="51"/>
      <c r="D5952" s="151"/>
      <c r="E5952" s="62"/>
      <c r="F5952" s="72" t="s">
        <v>523</v>
      </c>
      <c r="G5952" s="72" t="str">
        <f t="shared" si="111"/>
        <v/>
      </c>
      <c r="H5952" s="73"/>
      <c r="I5952" s="70"/>
      <c r="J5952" s="141">
        <v>0</v>
      </c>
    </row>
    <row r="5953" spans="1:10" ht="15.75" hidden="1" thickBot="1" x14ac:dyDescent="0.3">
      <c r="A5953" s="239" t="s">
        <v>5534</v>
      </c>
      <c r="B5953" s="228" t="str">
        <f>INDEX(Orçamentária!A:B,MATCH(Composições!A5953,Orçamentária!A:A,0),2)</f>
        <v>Eletroduto de PVC de 1 1/2”</v>
      </c>
      <c r="C5953" s="37"/>
      <c r="D5953" s="22" t="str">
        <f>TRIM(INDEX(Orçamentária!C:C,MATCH(Composições!A5953,Orçamentária!A:A,0),1))</f>
        <v>m</v>
      </c>
      <c r="E5953" s="23"/>
      <c r="F5953" s="45" t="s">
        <v>523</v>
      </c>
      <c r="G5953" s="24" t="str">
        <f t="shared" si="111"/>
        <v/>
      </c>
      <c r="H5953" s="25"/>
      <c r="I5953" s="26"/>
      <c r="J5953" s="141">
        <v>0</v>
      </c>
    </row>
    <row r="5954" spans="1:10" ht="15.75" hidden="1" thickBot="1" x14ac:dyDescent="0.3">
      <c r="A5954" s="242"/>
      <c r="B5954" s="229"/>
      <c r="C5954" s="155"/>
      <c r="D5954" s="155"/>
      <c r="E5954" s="156"/>
      <c r="F5954" s="50" t="s">
        <v>523</v>
      </c>
      <c r="G5954" s="50" t="str">
        <f t="shared" si="111"/>
        <v/>
      </c>
      <c r="H5954" s="69"/>
      <c r="I5954" s="70"/>
      <c r="J5954" s="141">
        <v>0</v>
      </c>
    </row>
    <row r="5955" spans="1:10" ht="15.75" hidden="1" thickBot="1" x14ac:dyDescent="0.3">
      <c r="A5955" s="242"/>
      <c r="B5955" s="229"/>
      <c r="C5955" s="32" t="s">
        <v>3314</v>
      </c>
      <c r="D5955" s="148" t="s">
        <v>93</v>
      </c>
      <c r="E5955" s="149">
        <v>1</v>
      </c>
      <c r="F5955" s="27">
        <v>11.818</v>
      </c>
      <c r="G5955" s="50">
        <f t="shared" si="111"/>
        <v>11.818</v>
      </c>
      <c r="H5955" s="35">
        <f>SUM(G5955:G5955)</f>
        <v>11.818</v>
      </c>
      <c r="I5955" s="36"/>
      <c r="J5955" s="141">
        <v>0</v>
      </c>
    </row>
    <row r="5956" spans="1:10" ht="15.75" hidden="1" thickBot="1" x14ac:dyDescent="0.3">
      <c r="A5956" s="243"/>
      <c r="B5956" s="230"/>
      <c r="C5956" s="51"/>
      <c r="D5956" s="151"/>
      <c r="E5956" s="62"/>
      <c r="F5956" s="72" t="s">
        <v>523</v>
      </c>
      <c r="G5956" s="72" t="str">
        <f t="shared" si="111"/>
        <v/>
      </c>
      <c r="H5956" s="73"/>
      <c r="I5956" s="70"/>
      <c r="J5956" s="141">
        <v>0</v>
      </c>
    </row>
    <row r="5957" spans="1:10" ht="15.75" hidden="1" thickBot="1" x14ac:dyDescent="0.3">
      <c r="A5957" s="239" t="s">
        <v>5535</v>
      </c>
      <c r="B5957" s="228" t="str">
        <f>INDEX(Orçamentária!A:B,MATCH(Composições!A5957,Orçamentária!A:A,0),2)</f>
        <v>Luva para eletroduto de PVC de 1 1/2”</v>
      </c>
      <c r="C5957" s="37"/>
      <c r="D5957" s="22" t="str">
        <f>TRIM(INDEX(Orçamentária!C:C,MATCH(Composições!A5957,Orçamentária!A:A,0),1))</f>
        <v>un</v>
      </c>
      <c r="E5957" s="23"/>
      <c r="F5957" s="45" t="s">
        <v>523</v>
      </c>
      <c r="G5957" s="24" t="str">
        <f t="shared" si="111"/>
        <v/>
      </c>
      <c r="H5957" s="25"/>
      <c r="I5957" s="26"/>
      <c r="J5957" s="141">
        <v>0</v>
      </c>
    </row>
    <row r="5958" spans="1:10" ht="15.75" hidden="1" thickBot="1" x14ac:dyDescent="0.3">
      <c r="A5958" s="242"/>
      <c r="B5958" s="229"/>
      <c r="C5958" s="155"/>
      <c r="D5958" s="155"/>
      <c r="E5958" s="156"/>
      <c r="F5958" s="50" t="s">
        <v>523</v>
      </c>
      <c r="G5958" s="50" t="str">
        <f t="shared" si="111"/>
        <v/>
      </c>
      <c r="H5958" s="69"/>
      <c r="I5958" s="70"/>
      <c r="J5958" s="141">
        <v>0</v>
      </c>
    </row>
    <row r="5959" spans="1:10" ht="15.75" hidden="1" thickBot="1" x14ac:dyDescent="0.3">
      <c r="A5959" s="242"/>
      <c r="B5959" s="229"/>
      <c r="C5959" s="32" t="s">
        <v>3334</v>
      </c>
      <c r="D5959" s="148" t="s">
        <v>20</v>
      </c>
      <c r="E5959" s="149">
        <v>1</v>
      </c>
      <c r="F5959" s="27">
        <v>5.0824999999999996</v>
      </c>
      <c r="G5959" s="50">
        <f t="shared" si="111"/>
        <v>5.0824999999999996</v>
      </c>
      <c r="H5959" s="35">
        <f>SUM(G5959:G5959)</f>
        <v>5.0824999999999996</v>
      </c>
      <c r="I5959" s="36"/>
      <c r="J5959" s="141">
        <v>0</v>
      </c>
    </row>
    <row r="5960" spans="1:10" ht="15.75" hidden="1" thickBot="1" x14ac:dyDescent="0.3">
      <c r="A5960" s="243"/>
      <c r="B5960" s="230"/>
      <c r="C5960" s="51"/>
      <c r="D5960" s="151"/>
      <c r="E5960" s="62"/>
      <c r="F5960" s="72" t="s">
        <v>523</v>
      </c>
      <c r="G5960" s="72" t="str">
        <f t="shared" si="111"/>
        <v/>
      </c>
      <c r="H5960" s="73"/>
      <c r="I5960" s="70"/>
      <c r="J5960" s="141">
        <v>0</v>
      </c>
    </row>
    <row r="5961" spans="1:10" ht="15.75" hidden="1" thickBot="1" x14ac:dyDescent="0.3">
      <c r="A5961" s="239" t="s">
        <v>5536</v>
      </c>
      <c r="B5961" s="228" t="str">
        <f>INDEX(Orçamentária!A:B,MATCH(Composições!A5961,Orçamentária!A:A,0),2)</f>
        <v>Curva para eletroduto de PVC de 1 1/2”</v>
      </c>
      <c r="C5961" s="37"/>
      <c r="D5961" s="22" t="str">
        <f>TRIM(INDEX(Orçamentária!C:C,MATCH(Composições!A5961,Orçamentária!A:A,0),1))</f>
        <v>un</v>
      </c>
      <c r="E5961" s="23"/>
      <c r="F5961" s="45" t="s">
        <v>523</v>
      </c>
      <c r="G5961" s="24" t="str">
        <f t="shared" si="111"/>
        <v/>
      </c>
      <c r="H5961" s="25"/>
      <c r="I5961" s="26"/>
      <c r="J5961" s="141">
        <v>0</v>
      </c>
    </row>
    <row r="5962" spans="1:10" ht="15.75" hidden="1" thickBot="1" x14ac:dyDescent="0.3">
      <c r="A5962" s="242"/>
      <c r="B5962" s="229"/>
      <c r="C5962" s="155"/>
      <c r="D5962" s="155"/>
      <c r="E5962" s="156"/>
      <c r="F5962" s="50" t="s">
        <v>523</v>
      </c>
      <c r="G5962" s="50" t="str">
        <f t="shared" si="111"/>
        <v/>
      </c>
      <c r="H5962" s="69"/>
      <c r="I5962" s="70"/>
      <c r="J5962" s="141">
        <v>0</v>
      </c>
    </row>
    <row r="5963" spans="1:10" ht="26.25" hidden="1" thickBot="1" x14ac:dyDescent="0.3">
      <c r="A5963" s="242"/>
      <c r="B5963" s="229"/>
      <c r="C5963" s="32" t="s">
        <v>3300</v>
      </c>
      <c r="D5963" s="148" t="s">
        <v>20</v>
      </c>
      <c r="E5963" s="149">
        <v>1</v>
      </c>
      <c r="F5963" s="27">
        <v>8.1509999999999998</v>
      </c>
      <c r="G5963" s="50">
        <f t="shared" si="111"/>
        <v>8.1509999999999998</v>
      </c>
      <c r="H5963" s="35">
        <f>SUM(G5963:G5963)</f>
        <v>8.1509999999999998</v>
      </c>
      <c r="I5963" s="36"/>
      <c r="J5963" s="141">
        <v>0</v>
      </c>
    </row>
    <row r="5964" spans="1:10" ht="15.75" hidden="1" thickBot="1" x14ac:dyDescent="0.3">
      <c r="A5964" s="243"/>
      <c r="B5964" s="230"/>
      <c r="C5964" s="51"/>
      <c r="D5964" s="151"/>
      <c r="E5964" s="62"/>
      <c r="F5964" s="72" t="s">
        <v>523</v>
      </c>
      <c r="G5964" s="72" t="str">
        <f t="shared" si="111"/>
        <v/>
      </c>
      <c r="H5964" s="73"/>
      <c r="I5964" s="70"/>
      <c r="J5964" s="141">
        <v>0</v>
      </c>
    </row>
    <row r="5965" spans="1:10" ht="15.75" hidden="1" thickBot="1" x14ac:dyDescent="0.3">
      <c r="A5965" s="239" t="s">
        <v>5537</v>
      </c>
      <c r="B5965" s="228" t="str">
        <f>INDEX(Orçamentária!A:B,MATCH(Composições!A5965,Orçamentária!A:A,0),2)</f>
        <v>Eletroduto de PVC de 2”</v>
      </c>
      <c r="C5965" s="37"/>
      <c r="D5965" s="22" t="str">
        <f>TRIM(INDEX(Orçamentária!C:C,MATCH(Composições!A5965,Orçamentária!A:A,0),1))</f>
        <v>m</v>
      </c>
      <c r="E5965" s="23"/>
      <c r="F5965" s="45" t="s">
        <v>523</v>
      </c>
      <c r="G5965" s="24" t="str">
        <f t="shared" si="111"/>
        <v/>
      </c>
      <c r="H5965" s="25"/>
      <c r="I5965" s="26"/>
      <c r="J5965" s="141">
        <v>0</v>
      </c>
    </row>
    <row r="5966" spans="1:10" ht="15.75" hidden="1" thickBot="1" x14ac:dyDescent="0.3">
      <c r="A5966" s="242"/>
      <c r="B5966" s="229"/>
      <c r="C5966" s="155"/>
      <c r="D5966" s="155"/>
      <c r="E5966" s="156"/>
      <c r="F5966" s="50" t="s">
        <v>523</v>
      </c>
      <c r="G5966" s="50" t="str">
        <f t="shared" si="111"/>
        <v/>
      </c>
      <c r="H5966" s="69"/>
      <c r="I5966" s="70"/>
      <c r="J5966" s="141">
        <v>0</v>
      </c>
    </row>
    <row r="5967" spans="1:10" ht="15.75" hidden="1" thickBot="1" x14ac:dyDescent="0.3">
      <c r="A5967" s="242"/>
      <c r="B5967" s="229"/>
      <c r="C5967" s="32" t="s">
        <v>3316</v>
      </c>
      <c r="D5967" s="148" t="s">
        <v>93</v>
      </c>
      <c r="E5967" s="149">
        <v>1</v>
      </c>
      <c r="F5967" s="27">
        <v>19.313499999999998</v>
      </c>
      <c r="G5967" s="50">
        <f t="shared" si="111"/>
        <v>19.313499999999998</v>
      </c>
      <c r="H5967" s="35">
        <f>SUM(G5967:G5967)</f>
        <v>19.313499999999998</v>
      </c>
      <c r="I5967" s="36"/>
      <c r="J5967" s="141">
        <v>0</v>
      </c>
    </row>
    <row r="5968" spans="1:10" ht="15.75" hidden="1" thickBot="1" x14ac:dyDescent="0.3">
      <c r="A5968" s="243"/>
      <c r="B5968" s="230"/>
      <c r="C5968" s="51"/>
      <c r="D5968" s="151"/>
      <c r="E5968" s="62"/>
      <c r="F5968" s="72" t="s">
        <v>523</v>
      </c>
      <c r="G5968" s="72" t="str">
        <f t="shared" si="111"/>
        <v/>
      </c>
      <c r="H5968" s="73"/>
      <c r="I5968" s="70"/>
      <c r="J5968" s="141">
        <v>0</v>
      </c>
    </row>
    <row r="5969" spans="1:10" ht="15.75" hidden="1" thickBot="1" x14ac:dyDescent="0.3">
      <c r="A5969" s="239" t="s">
        <v>5538</v>
      </c>
      <c r="B5969" s="228" t="str">
        <f>INDEX(Orçamentária!A:B,MATCH(Composições!A5969,Orçamentária!A:A,0),2)</f>
        <v>Luva para eletroduto de PVC de 2”</v>
      </c>
      <c r="C5969" s="37"/>
      <c r="D5969" s="22" t="str">
        <f>TRIM(INDEX(Orçamentária!C:C,MATCH(Composições!A5969,Orçamentária!A:A,0),1))</f>
        <v>un</v>
      </c>
      <c r="E5969" s="23"/>
      <c r="F5969" s="45" t="s">
        <v>523</v>
      </c>
      <c r="G5969" s="24" t="str">
        <f t="shared" si="111"/>
        <v/>
      </c>
      <c r="H5969" s="25"/>
      <c r="I5969" s="26"/>
      <c r="J5969" s="141">
        <v>0</v>
      </c>
    </row>
    <row r="5970" spans="1:10" ht="15.75" hidden="1" thickBot="1" x14ac:dyDescent="0.3">
      <c r="A5970" s="242"/>
      <c r="B5970" s="229"/>
      <c r="C5970" s="155"/>
      <c r="D5970" s="155"/>
      <c r="E5970" s="156"/>
      <c r="F5970" s="50" t="s">
        <v>523</v>
      </c>
      <c r="G5970" s="50" t="str">
        <f t="shared" si="111"/>
        <v/>
      </c>
      <c r="H5970" s="69"/>
      <c r="I5970" s="70"/>
      <c r="J5970" s="141">
        <v>0</v>
      </c>
    </row>
    <row r="5971" spans="1:10" ht="15.75" hidden="1" thickBot="1" x14ac:dyDescent="0.3">
      <c r="A5971" s="242"/>
      <c r="B5971" s="229"/>
      <c r="C5971" s="32" t="s">
        <v>3337</v>
      </c>
      <c r="D5971" s="148" t="s">
        <v>20</v>
      </c>
      <c r="E5971" s="149">
        <v>1</v>
      </c>
      <c r="F5971" s="27">
        <v>7.3624999999999998</v>
      </c>
      <c r="G5971" s="50">
        <f t="shared" si="111"/>
        <v>7.3624999999999998</v>
      </c>
      <c r="H5971" s="35">
        <f>SUM(G5971:G5971)</f>
        <v>7.3624999999999998</v>
      </c>
      <c r="I5971" s="36"/>
      <c r="J5971" s="141">
        <v>0</v>
      </c>
    </row>
    <row r="5972" spans="1:10" ht="15.75" hidden="1" thickBot="1" x14ac:dyDescent="0.3">
      <c r="A5972" s="243"/>
      <c r="B5972" s="230"/>
      <c r="C5972" s="51"/>
      <c r="D5972" s="151"/>
      <c r="E5972" s="62"/>
      <c r="F5972" s="72" t="s">
        <v>523</v>
      </c>
      <c r="G5972" s="72" t="str">
        <f t="shared" si="111"/>
        <v/>
      </c>
      <c r="H5972" s="73"/>
      <c r="I5972" s="70"/>
      <c r="J5972" s="141">
        <v>0</v>
      </c>
    </row>
    <row r="5973" spans="1:10" ht="15.75" hidden="1" thickBot="1" x14ac:dyDescent="0.3">
      <c r="A5973" s="239" t="s">
        <v>5539</v>
      </c>
      <c r="B5973" s="228" t="str">
        <f>INDEX(Orçamentária!A:B,MATCH(Composições!A5973,Orçamentária!A:A,0),2)</f>
        <v>Curva para eletroduto de PVC de 2”</v>
      </c>
      <c r="C5973" s="37"/>
      <c r="D5973" s="22" t="str">
        <f>TRIM(INDEX(Orçamentária!C:C,MATCH(Composições!A5973,Orçamentária!A:A,0),1))</f>
        <v>un</v>
      </c>
      <c r="E5973" s="23"/>
      <c r="F5973" s="45" t="s">
        <v>523</v>
      </c>
      <c r="G5973" s="24" t="str">
        <f t="shared" si="111"/>
        <v/>
      </c>
      <c r="H5973" s="25"/>
      <c r="I5973" s="26"/>
      <c r="J5973" s="141">
        <v>0</v>
      </c>
    </row>
    <row r="5974" spans="1:10" ht="15.75" hidden="1" thickBot="1" x14ac:dyDescent="0.3">
      <c r="A5974" s="242"/>
      <c r="B5974" s="229"/>
      <c r="C5974" s="155"/>
      <c r="D5974" s="155"/>
      <c r="E5974" s="156"/>
      <c r="F5974" s="50" t="s">
        <v>523</v>
      </c>
      <c r="G5974" s="50" t="str">
        <f t="shared" si="111"/>
        <v/>
      </c>
      <c r="H5974" s="69"/>
      <c r="I5974" s="70"/>
      <c r="J5974" s="141">
        <v>0</v>
      </c>
    </row>
    <row r="5975" spans="1:10" ht="26.25" hidden="1" thickBot="1" x14ac:dyDescent="0.3">
      <c r="A5975" s="242"/>
      <c r="B5975" s="229"/>
      <c r="C5975" s="32" t="s">
        <v>3302</v>
      </c>
      <c r="D5975" s="148" t="s">
        <v>20</v>
      </c>
      <c r="E5975" s="149">
        <v>1</v>
      </c>
      <c r="F5975" s="27">
        <v>13.242999999999999</v>
      </c>
      <c r="G5975" s="50">
        <f t="shared" si="111"/>
        <v>13.242999999999999</v>
      </c>
      <c r="H5975" s="35">
        <f>SUM(G5975:G5975)</f>
        <v>13.242999999999999</v>
      </c>
      <c r="I5975" s="36"/>
      <c r="J5975" s="141">
        <v>0</v>
      </c>
    </row>
    <row r="5976" spans="1:10" ht="15.75" hidden="1" thickBot="1" x14ac:dyDescent="0.3">
      <c r="A5976" s="243"/>
      <c r="B5976" s="230"/>
      <c r="C5976" s="51"/>
      <c r="D5976" s="151"/>
      <c r="E5976" s="62"/>
      <c r="F5976" s="72" t="s">
        <v>523</v>
      </c>
      <c r="G5976" s="72" t="str">
        <f t="shared" si="111"/>
        <v/>
      </c>
      <c r="H5976" s="73"/>
      <c r="I5976" s="70"/>
      <c r="J5976" s="141">
        <v>0</v>
      </c>
    </row>
    <row r="5977" spans="1:10" ht="15.75" hidden="1" thickBot="1" x14ac:dyDescent="0.3">
      <c r="A5977" s="239" t="s">
        <v>5540</v>
      </c>
      <c r="B5977" s="228" t="str">
        <f>INDEX(Orçamentária!A:B,MATCH(Composições!A5977,Orçamentária!A:A,0),2)</f>
        <v>Eletroduto de PVC de 3”</v>
      </c>
      <c r="C5977" s="37"/>
      <c r="D5977" s="22" t="str">
        <f>TRIM(INDEX(Orçamentária!C:C,MATCH(Composições!A5977,Orçamentária!A:A,0),1))</f>
        <v>m</v>
      </c>
      <c r="E5977" s="23"/>
      <c r="F5977" s="45" t="s">
        <v>523</v>
      </c>
      <c r="G5977" s="24" t="str">
        <f t="shared" si="111"/>
        <v/>
      </c>
      <c r="H5977" s="25"/>
      <c r="I5977" s="26"/>
      <c r="J5977" s="141">
        <v>0</v>
      </c>
    </row>
    <row r="5978" spans="1:10" ht="15.75" hidden="1" thickBot="1" x14ac:dyDescent="0.3">
      <c r="A5978" s="242"/>
      <c r="B5978" s="229"/>
      <c r="C5978" s="155"/>
      <c r="D5978" s="155"/>
      <c r="E5978" s="156"/>
      <c r="F5978" s="50" t="s">
        <v>523</v>
      </c>
      <c r="G5978" s="50" t="str">
        <f t="shared" si="111"/>
        <v/>
      </c>
      <c r="H5978" s="69"/>
      <c r="I5978" s="70"/>
      <c r="J5978" s="141">
        <v>0</v>
      </c>
    </row>
    <row r="5979" spans="1:10" ht="15.75" hidden="1" thickBot="1" x14ac:dyDescent="0.3">
      <c r="A5979" s="242"/>
      <c r="B5979" s="229"/>
      <c r="C5979" s="32" t="s">
        <v>3317</v>
      </c>
      <c r="D5979" s="148" t="s">
        <v>93</v>
      </c>
      <c r="E5979" s="149">
        <v>1</v>
      </c>
      <c r="F5979" s="27">
        <v>35.340000000000003</v>
      </c>
      <c r="G5979" s="50">
        <f t="shared" si="111"/>
        <v>35.340000000000003</v>
      </c>
      <c r="H5979" s="35">
        <f>SUM(G5979:G5979)</f>
        <v>35.340000000000003</v>
      </c>
      <c r="I5979" s="36"/>
      <c r="J5979" s="141">
        <v>0</v>
      </c>
    </row>
    <row r="5980" spans="1:10" ht="15.75" hidden="1" thickBot="1" x14ac:dyDescent="0.3">
      <c r="A5980" s="243"/>
      <c r="B5980" s="230"/>
      <c r="C5980" s="51"/>
      <c r="D5980" s="151"/>
      <c r="E5980" s="62"/>
      <c r="F5980" s="72" t="s">
        <v>523</v>
      </c>
      <c r="G5980" s="72" t="str">
        <f t="shared" si="111"/>
        <v/>
      </c>
      <c r="H5980" s="73"/>
      <c r="I5980" s="70"/>
      <c r="J5980" s="141">
        <v>0</v>
      </c>
    </row>
    <row r="5981" spans="1:10" ht="15.75" hidden="1" thickBot="1" x14ac:dyDescent="0.3">
      <c r="A5981" s="239" t="s">
        <v>5541</v>
      </c>
      <c r="B5981" s="228" t="str">
        <f>INDEX(Orçamentária!A:B,MATCH(Composições!A5981,Orçamentária!A:A,0),2)</f>
        <v>Luva para eletroduto de PVC de 3”</v>
      </c>
      <c r="C5981" s="37"/>
      <c r="D5981" s="22" t="str">
        <f>TRIM(INDEX(Orçamentária!C:C,MATCH(Composições!A5981,Orçamentária!A:A,0),1))</f>
        <v>un</v>
      </c>
      <c r="E5981" s="23"/>
      <c r="F5981" s="45" t="s">
        <v>523</v>
      </c>
      <c r="G5981" s="24" t="str">
        <f t="shared" si="111"/>
        <v/>
      </c>
      <c r="H5981" s="25"/>
      <c r="I5981" s="26"/>
      <c r="J5981" s="141">
        <v>0</v>
      </c>
    </row>
    <row r="5982" spans="1:10" ht="15.75" hidden="1" thickBot="1" x14ac:dyDescent="0.3">
      <c r="A5982" s="242"/>
      <c r="B5982" s="229"/>
      <c r="C5982" s="155"/>
      <c r="D5982" s="155"/>
      <c r="E5982" s="156"/>
      <c r="F5982" s="50" t="s">
        <v>523</v>
      </c>
      <c r="G5982" s="50" t="str">
        <f t="shared" ref="G5982:G6045" si="112">IF(ISNUMBER(F5982),E5982*F5982,"")</f>
        <v/>
      </c>
      <c r="H5982" s="69"/>
      <c r="I5982" s="70"/>
      <c r="J5982" s="141">
        <v>0</v>
      </c>
    </row>
    <row r="5983" spans="1:10" ht="15.75" hidden="1" thickBot="1" x14ac:dyDescent="0.3">
      <c r="A5983" s="242"/>
      <c r="B5983" s="229"/>
      <c r="C5983" s="32" t="s">
        <v>3339</v>
      </c>
      <c r="D5983" s="148" t="s">
        <v>20</v>
      </c>
      <c r="E5983" s="149">
        <v>1</v>
      </c>
      <c r="F5983" s="27">
        <v>21.983000000000001</v>
      </c>
      <c r="G5983" s="50">
        <f t="shared" si="112"/>
        <v>21.983000000000001</v>
      </c>
      <c r="H5983" s="35">
        <f>SUM(G5983:G5983)</f>
        <v>21.983000000000001</v>
      </c>
      <c r="I5983" s="36"/>
      <c r="J5983" s="141">
        <v>0</v>
      </c>
    </row>
    <row r="5984" spans="1:10" ht="15.75" hidden="1" thickBot="1" x14ac:dyDescent="0.3">
      <c r="A5984" s="243"/>
      <c r="B5984" s="230"/>
      <c r="C5984" s="51"/>
      <c r="D5984" s="151"/>
      <c r="E5984" s="62"/>
      <c r="F5984" s="72" t="s">
        <v>523</v>
      </c>
      <c r="G5984" s="72" t="str">
        <f t="shared" si="112"/>
        <v/>
      </c>
      <c r="H5984" s="73"/>
      <c r="I5984" s="70"/>
      <c r="J5984" s="141">
        <v>0</v>
      </c>
    </row>
    <row r="5985" spans="1:10" ht="15.75" hidden="1" thickBot="1" x14ac:dyDescent="0.3">
      <c r="A5985" s="239" t="s">
        <v>5542</v>
      </c>
      <c r="B5985" s="228" t="str">
        <f>INDEX(Orçamentária!A:B,MATCH(Composições!A5985,Orçamentária!A:A,0),2)</f>
        <v>Curva para eletroduto de PVC de 3”</v>
      </c>
      <c r="C5985" s="37"/>
      <c r="D5985" s="22" t="str">
        <f>TRIM(INDEX(Orçamentária!C:C,MATCH(Composições!A5985,Orçamentária!A:A,0),1))</f>
        <v>un</v>
      </c>
      <c r="E5985" s="23"/>
      <c r="F5985" s="45" t="s">
        <v>523</v>
      </c>
      <c r="G5985" s="24" t="str">
        <f t="shared" si="112"/>
        <v/>
      </c>
      <c r="H5985" s="25"/>
      <c r="I5985" s="26"/>
      <c r="J5985" s="141">
        <v>0</v>
      </c>
    </row>
    <row r="5986" spans="1:10" ht="15.75" hidden="1" thickBot="1" x14ac:dyDescent="0.3">
      <c r="A5986" s="242"/>
      <c r="B5986" s="229"/>
      <c r="C5986" s="155"/>
      <c r="D5986" s="155"/>
      <c r="E5986" s="156"/>
      <c r="F5986" s="50" t="s">
        <v>523</v>
      </c>
      <c r="G5986" s="50" t="str">
        <f t="shared" si="112"/>
        <v/>
      </c>
      <c r="H5986" s="69"/>
      <c r="I5986" s="70"/>
      <c r="J5986" s="141">
        <v>0</v>
      </c>
    </row>
    <row r="5987" spans="1:10" ht="26.25" hidden="1" thickBot="1" x14ac:dyDescent="0.3">
      <c r="A5987" s="242"/>
      <c r="B5987" s="229"/>
      <c r="C5987" s="32" t="s">
        <v>3303</v>
      </c>
      <c r="D5987" s="148" t="s">
        <v>20</v>
      </c>
      <c r="E5987" s="149">
        <v>1</v>
      </c>
      <c r="F5987" s="27">
        <v>33.829499999999996</v>
      </c>
      <c r="G5987" s="50">
        <f t="shared" si="112"/>
        <v>33.829499999999996</v>
      </c>
      <c r="H5987" s="35">
        <f>SUM(G5987:G5987)</f>
        <v>33.829499999999996</v>
      </c>
      <c r="I5987" s="36"/>
      <c r="J5987" s="141">
        <v>0</v>
      </c>
    </row>
    <row r="5988" spans="1:10" ht="15.75" hidden="1" thickBot="1" x14ac:dyDescent="0.3">
      <c r="A5988" s="243"/>
      <c r="B5988" s="230"/>
      <c r="C5988" s="51"/>
      <c r="D5988" s="151"/>
      <c r="E5988" s="62"/>
      <c r="F5988" s="72" t="s">
        <v>523</v>
      </c>
      <c r="G5988" s="72" t="str">
        <f t="shared" si="112"/>
        <v/>
      </c>
      <c r="H5988" s="73"/>
      <c r="I5988" s="70"/>
      <c r="J5988" s="141">
        <v>0</v>
      </c>
    </row>
    <row r="5989" spans="1:10" ht="15.75" hidden="1" thickBot="1" x14ac:dyDescent="0.3">
      <c r="A5989" s="239" t="s">
        <v>5555</v>
      </c>
      <c r="B5989" s="228" t="str">
        <f>INDEX(Orçamentária!A:B,MATCH(Composições!A5989,Orçamentária!A:A,0),2)</f>
        <v>Base fusível NH 00 / NH 000</v>
      </c>
      <c r="C5989" s="37"/>
      <c r="D5989" s="22" t="str">
        <f>TRIM(INDEX(Orçamentária!C:C,MATCH(Composições!A5989,Orçamentária!A:A,0),1))</f>
        <v>un</v>
      </c>
      <c r="E5989" s="23"/>
      <c r="F5989" s="45" t="s">
        <v>523</v>
      </c>
      <c r="G5989" s="24" t="str">
        <f t="shared" si="112"/>
        <v/>
      </c>
      <c r="H5989" s="25"/>
      <c r="I5989" s="26"/>
      <c r="J5989" s="141">
        <v>0</v>
      </c>
    </row>
    <row r="5990" spans="1:10" ht="15.75" hidden="1" thickBot="1" x14ac:dyDescent="0.3">
      <c r="A5990" s="242"/>
      <c r="B5990" s="229"/>
      <c r="C5990" s="155"/>
      <c r="D5990" s="155"/>
      <c r="E5990" s="156"/>
      <c r="F5990" s="50" t="s">
        <v>523</v>
      </c>
      <c r="G5990" s="50" t="str">
        <f t="shared" si="112"/>
        <v/>
      </c>
      <c r="H5990" s="69"/>
      <c r="I5990" s="70"/>
      <c r="J5990" s="141">
        <v>0</v>
      </c>
    </row>
    <row r="5991" spans="1:10" ht="26.25" hidden="1" thickBot="1" x14ac:dyDescent="0.3">
      <c r="A5991" s="242"/>
      <c r="B5991" s="229"/>
      <c r="C5991" s="32" t="s">
        <v>6391</v>
      </c>
      <c r="D5991" s="148" t="s">
        <v>20</v>
      </c>
      <c r="E5991" s="149">
        <v>1</v>
      </c>
      <c r="F5991" s="27">
        <v>0</v>
      </c>
      <c r="G5991" s="50">
        <f t="shared" si="112"/>
        <v>0</v>
      </c>
      <c r="H5991" s="35">
        <f>SUM(G5991:G5991)</f>
        <v>0</v>
      </c>
      <c r="I5991" s="36"/>
      <c r="J5991" s="141">
        <v>0</v>
      </c>
    </row>
    <row r="5992" spans="1:10" ht="15.75" hidden="1" thickBot="1" x14ac:dyDescent="0.3">
      <c r="A5992" s="243"/>
      <c r="B5992" s="230"/>
      <c r="C5992" s="51"/>
      <c r="D5992" s="151"/>
      <c r="E5992" s="62"/>
      <c r="F5992" s="72" t="s">
        <v>523</v>
      </c>
      <c r="G5992" s="72" t="str">
        <f t="shared" si="112"/>
        <v/>
      </c>
      <c r="H5992" s="73"/>
      <c r="I5992" s="70"/>
      <c r="J5992" s="141">
        <v>0</v>
      </c>
    </row>
    <row r="5993" spans="1:10" ht="15.75" hidden="1" customHeight="1" thickBot="1" x14ac:dyDescent="0.3">
      <c r="A5993" s="239" t="s">
        <v>5556</v>
      </c>
      <c r="B5993" s="228" t="str">
        <f>INDEX(Orçamentária!A:B,MATCH(Composições!A5993,Orçamentária!A:A,0),2)</f>
        <v>Base fusível NH 1</v>
      </c>
      <c r="C5993" s="37"/>
      <c r="D5993" s="22" t="str">
        <f>TRIM(INDEX(Orçamentária!C:C,MATCH(Composições!A5993,Orçamentária!A:A,0),1))</f>
        <v>un</v>
      </c>
      <c r="E5993" s="23"/>
      <c r="F5993" s="45" t="s">
        <v>523</v>
      </c>
      <c r="G5993" s="24" t="str">
        <f t="shared" si="112"/>
        <v/>
      </c>
      <c r="H5993" s="25"/>
      <c r="I5993" s="26"/>
      <c r="J5993" s="141">
        <v>0</v>
      </c>
    </row>
    <row r="5994" spans="1:10" ht="15.75" hidden="1" thickBot="1" x14ac:dyDescent="0.3">
      <c r="A5994" s="242"/>
      <c r="B5994" s="229"/>
      <c r="C5994" s="155"/>
      <c r="D5994" s="155"/>
      <c r="E5994" s="156"/>
      <c r="F5994" s="50" t="s">
        <v>523</v>
      </c>
      <c r="G5994" s="50" t="str">
        <f t="shared" si="112"/>
        <v/>
      </c>
      <c r="H5994" s="69"/>
      <c r="I5994" s="70"/>
      <c r="J5994" s="141">
        <v>0</v>
      </c>
    </row>
    <row r="5995" spans="1:10" ht="26.25" hidden="1" thickBot="1" x14ac:dyDescent="0.3">
      <c r="A5995" s="242"/>
      <c r="B5995" s="229"/>
      <c r="C5995" s="32" t="s">
        <v>6392</v>
      </c>
      <c r="D5995" s="148" t="s">
        <v>20</v>
      </c>
      <c r="E5995" s="149">
        <v>1</v>
      </c>
      <c r="F5995" s="27">
        <v>0</v>
      </c>
      <c r="G5995" s="50">
        <f t="shared" si="112"/>
        <v>0</v>
      </c>
      <c r="H5995" s="35">
        <f>SUM(G5995:G5995)</f>
        <v>0</v>
      </c>
      <c r="I5995" s="36"/>
      <c r="J5995" s="141">
        <v>0</v>
      </c>
    </row>
    <row r="5996" spans="1:10" ht="15.75" hidden="1" thickBot="1" x14ac:dyDescent="0.3">
      <c r="A5996" s="243"/>
      <c r="B5996" s="230"/>
      <c r="C5996" s="51"/>
      <c r="D5996" s="151"/>
      <c r="E5996" s="62"/>
      <c r="F5996" s="72" t="s">
        <v>523</v>
      </c>
      <c r="G5996" s="72" t="str">
        <f t="shared" si="112"/>
        <v/>
      </c>
      <c r="H5996" s="73"/>
      <c r="I5996" s="70"/>
      <c r="J5996" s="141">
        <v>0</v>
      </c>
    </row>
    <row r="5997" spans="1:10" ht="15.75" hidden="1" customHeight="1" thickBot="1" x14ac:dyDescent="0.3">
      <c r="A5997" s="239" t="s">
        <v>5557</v>
      </c>
      <c r="B5997" s="228" t="str">
        <f>INDEX(Orçamentária!A:B,MATCH(Composições!A5997,Orçamentária!A:A,0),2)</f>
        <v>Base fusível NH 2</v>
      </c>
      <c r="C5997" s="37"/>
      <c r="D5997" s="22" t="str">
        <f>TRIM(INDEX(Orçamentária!C:C,MATCH(Composições!A5997,Orçamentária!A:A,0),1))</f>
        <v>un</v>
      </c>
      <c r="E5997" s="23"/>
      <c r="F5997" s="45" t="s">
        <v>523</v>
      </c>
      <c r="G5997" s="24" t="str">
        <f t="shared" si="112"/>
        <v/>
      </c>
      <c r="H5997" s="25"/>
      <c r="I5997" s="26"/>
      <c r="J5997" s="141">
        <v>0</v>
      </c>
    </row>
    <row r="5998" spans="1:10" ht="15.75" hidden="1" thickBot="1" x14ac:dyDescent="0.3">
      <c r="A5998" s="242"/>
      <c r="B5998" s="229"/>
      <c r="C5998" s="155"/>
      <c r="D5998" s="155"/>
      <c r="E5998" s="156"/>
      <c r="F5998" s="50" t="s">
        <v>523</v>
      </c>
      <c r="G5998" s="50" t="str">
        <f t="shared" si="112"/>
        <v/>
      </c>
      <c r="H5998" s="69"/>
      <c r="I5998" s="70"/>
      <c r="J5998" s="141">
        <v>0</v>
      </c>
    </row>
    <row r="5999" spans="1:10" ht="26.25" hidden="1" thickBot="1" x14ac:dyDescent="0.3">
      <c r="A5999" s="242"/>
      <c r="B5999" s="229"/>
      <c r="C5999" s="32" t="s">
        <v>6393</v>
      </c>
      <c r="D5999" s="148" t="s">
        <v>20</v>
      </c>
      <c r="E5999" s="149">
        <v>1</v>
      </c>
      <c r="F5999" s="27">
        <v>0</v>
      </c>
      <c r="G5999" s="50">
        <f t="shared" si="112"/>
        <v>0</v>
      </c>
      <c r="H5999" s="35">
        <f>SUM(G5999:G5999)</f>
        <v>0</v>
      </c>
      <c r="I5999" s="36"/>
      <c r="J5999" s="141">
        <v>0</v>
      </c>
    </row>
    <row r="6000" spans="1:10" ht="15.75" hidden="1" thickBot="1" x14ac:dyDescent="0.3">
      <c r="A6000" s="243"/>
      <c r="B6000" s="230"/>
      <c r="C6000" s="51"/>
      <c r="D6000" s="151"/>
      <c r="E6000" s="62"/>
      <c r="F6000" s="72" t="s">
        <v>523</v>
      </c>
      <c r="G6000" s="72" t="str">
        <f t="shared" si="112"/>
        <v/>
      </c>
      <c r="H6000" s="73"/>
      <c r="I6000" s="70"/>
      <c r="J6000" s="141">
        <v>0</v>
      </c>
    </row>
    <row r="6001" spans="1:10" ht="15.75" hidden="1" thickBot="1" x14ac:dyDescent="0.3">
      <c r="A6001" s="239" t="s">
        <v>5558</v>
      </c>
      <c r="B6001" s="228" t="str">
        <f>INDEX(Orçamentária!A:B,MATCH(Composições!A6001,Orçamentária!A:A,0),2)</f>
        <v>Base fusível NH 3</v>
      </c>
      <c r="C6001" s="37"/>
      <c r="D6001" s="22" t="str">
        <f>TRIM(INDEX(Orçamentária!C:C,MATCH(Composições!A6001,Orçamentária!A:A,0),1))</f>
        <v>un</v>
      </c>
      <c r="E6001" s="23"/>
      <c r="F6001" s="45" t="s">
        <v>523</v>
      </c>
      <c r="G6001" s="24" t="str">
        <f t="shared" si="112"/>
        <v/>
      </c>
      <c r="H6001" s="25"/>
      <c r="I6001" s="26"/>
      <c r="J6001" s="141">
        <v>0</v>
      </c>
    </row>
    <row r="6002" spans="1:10" ht="15.75" hidden="1" thickBot="1" x14ac:dyDescent="0.3">
      <c r="A6002" s="242"/>
      <c r="B6002" s="229"/>
      <c r="C6002" s="155"/>
      <c r="D6002" s="155"/>
      <c r="E6002" s="156"/>
      <c r="F6002" s="50" t="s">
        <v>523</v>
      </c>
      <c r="G6002" s="50" t="str">
        <f t="shared" si="112"/>
        <v/>
      </c>
      <c r="H6002" s="69"/>
      <c r="I6002" s="70"/>
      <c r="J6002" s="141">
        <v>0</v>
      </c>
    </row>
    <row r="6003" spans="1:10" ht="26.25" hidden="1" thickBot="1" x14ac:dyDescent="0.3">
      <c r="A6003" s="242"/>
      <c r="B6003" s="229"/>
      <c r="C6003" s="32" t="s">
        <v>6394</v>
      </c>
      <c r="D6003" s="148" t="s">
        <v>20</v>
      </c>
      <c r="E6003" s="149">
        <v>1</v>
      </c>
      <c r="F6003" s="27">
        <v>0</v>
      </c>
      <c r="G6003" s="50">
        <f t="shared" si="112"/>
        <v>0</v>
      </c>
      <c r="H6003" s="35">
        <f>SUM(G6003:G6003)</f>
        <v>0</v>
      </c>
      <c r="I6003" s="36"/>
      <c r="J6003" s="141">
        <v>0</v>
      </c>
    </row>
    <row r="6004" spans="1:10" ht="15.75" hidden="1" thickBot="1" x14ac:dyDescent="0.3">
      <c r="A6004" s="243"/>
      <c r="B6004" s="230"/>
      <c r="C6004" s="51"/>
      <c r="D6004" s="151"/>
      <c r="E6004" s="62"/>
      <c r="F6004" s="72" t="s">
        <v>523</v>
      </c>
      <c r="G6004" s="72" t="str">
        <f t="shared" si="112"/>
        <v/>
      </c>
      <c r="H6004" s="73"/>
      <c r="I6004" s="70"/>
      <c r="J6004" s="141">
        <v>0</v>
      </c>
    </row>
    <row r="6005" spans="1:10" ht="15.75" hidden="1" thickBot="1" x14ac:dyDescent="0.3">
      <c r="A6005" s="239" t="s">
        <v>5559</v>
      </c>
      <c r="B6005" s="228" t="str">
        <f>INDEX(Orçamentária!A:B,MATCH(Composições!A6005,Orçamentária!A:A,0),2)</f>
        <v>Fusível NH 000</v>
      </c>
      <c r="C6005" s="37"/>
      <c r="D6005" s="22" t="str">
        <f>TRIM(INDEX(Orçamentária!C:C,MATCH(Composições!A6005,Orçamentária!A:A,0),1))</f>
        <v>un</v>
      </c>
      <c r="E6005" s="23"/>
      <c r="F6005" s="45" t="s">
        <v>523</v>
      </c>
      <c r="G6005" s="24" t="str">
        <f t="shared" si="112"/>
        <v/>
      </c>
      <c r="H6005" s="25"/>
      <c r="I6005" s="26"/>
      <c r="J6005" s="141">
        <v>0</v>
      </c>
    </row>
    <row r="6006" spans="1:10" ht="15.75" hidden="1" thickBot="1" x14ac:dyDescent="0.3">
      <c r="A6006" s="242"/>
      <c r="B6006" s="229"/>
      <c r="C6006" s="155"/>
      <c r="D6006" s="155"/>
      <c r="E6006" s="156"/>
      <c r="F6006" s="50" t="s">
        <v>523</v>
      </c>
      <c r="G6006" s="50" t="str">
        <f t="shared" si="112"/>
        <v/>
      </c>
      <c r="H6006" s="69"/>
      <c r="I6006" s="70"/>
      <c r="J6006" s="141">
        <v>0</v>
      </c>
    </row>
    <row r="6007" spans="1:10" ht="15.75" hidden="1" thickBot="1" x14ac:dyDescent="0.3">
      <c r="A6007" s="242"/>
      <c r="B6007" s="229"/>
      <c r="C6007" s="32" t="s">
        <v>6395</v>
      </c>
      <c r="D6007" s="148" t="s">
        <v>20</v>
      </c>
      <c r="E6007" s="149">
        <v>1</v>
      </c>
      <c r="F6007" s="27">
        <v>0</v>
      </c>
      <c r="G6007" s="50">
        <f t="shared" si="112"/>
        <v>0</v>
      </c>
      <c r="H6007" s="35">
        <f>SUM(G6007:G6007)</f>
        <v>0</v>
      </c>
      <c r="I6007" s="36"/>
      <c r="J6007" s="141">
        <v>0</v>
      </c>
    </row>
    <row r="6008" spans="1:10" ht="15.75" hidden="1" thickBot="1" x14ac:dyDescent="0.3">
      <c r="A6008" s="243"/>
      <c r="B6008" s="230"/>
      <c r="C6008" s="51"/>
      <c r="D6008" s="151"/>
      <c r="E6008" s="62"/>
      <c r="F6008" s="72" t="s">
        <v>523</v>
      </c>
      <c r="G6008" s="72" t="str">
        <f t="shared" si="112"/>
        <v/>
      </c>
      <c r="H6008" s="73"/>
      <c r="I6008" s="70"/>
      <c r="J6008" s="141">
        <v>0</v>
      </c>
    </row>
    <row r="6009" spans="1:10" ht="15.75" hidden="1" thickBot="1" x14ac:dyDescent="0.3">
      <c r="A6009" s="239" t="s">
        <v>5561</v>
      </c>
      <c r="B6009" s="228" t="str">
        <f>INDEX(Orçamentária!A:B,MATCH(Composições!A6009,Orçamentária!A:A,0),2)</f>
        <v>Fusível NH 1</v>
      </c>
      <c r="C6009" s="37"/>
      <c r="D6009" s="22" t="str">
        <f>TRIM(INDEX(Orçamentária!C:C,MATCH(Composições!A6009,Orçamentária!A:A,0),1))</f>
        <v>un</v>
      </c>
      <c r="E6009" s="23"/>
      <c r="F6009" s="45" t="s">
        <v>523</v>
      </c>
      <c r="G6009" s="24" t="str">
        <f t="shared" si="112"/>
        <v/>
      </c>
      <c r="H6009" s="25"/>
      <c r="I6009" s="26"/>
      <c r="J6009" s="141">
        <v>0</v>
      </c>
    </row>
    <row r="6010" spans="1:10" ht="15.75" hidden="1" thickBot="1" x14ac:dyDescent="0.3">
      <c r="A6010" s="242"/>
      <c r="B6010" s="229"/>
      <c r="C6010" s="155"/>
      <c r="D6010" s="155"/>
      <c r="E6010" s="156"/>
      <c r="F6010" s="50" t="s">
        <v>523</v>
      </c>
      <c r="G6010" s="50" t="str">
        <f t="shared" si="112"/>
        <v/>
      </c>
      <c r="H6010" s="69"/>
      <c r="I6010" s="70"/>
      <c r="J6010" s="141">
        <v>0</v>
      </c>
    </row>
    <row r="6011" spans="1:10" ht="15.75" hidden="1" thickBot="1" x14ac:dyDescent="0.3">
      <c r="A6011" s="242"/>
      <c r="B6011" s="229"/>
      <c r="C6011" s="32" t="s">
        <v>6396</v>
      </c>
      <c r="D6011" s="148" t="s">
        <v>20</v>
      </c>
      <c r="E6011" s="149">
        <v>1</v>
      </c>
      <c r="F6011" s="27">
        <v>0</v>
      </c>
      <c r="G6011" s="50">
        <f t="shared" si="112"/>
        <v>0</v>
      </c>
      <c r="H6011" s="35">
        <f>SUM(G6011:G6011)</f>
        <v>0</v>
      </c>
      <c r="I6011" s="36"/>
      <c r="J6011" s="141">
        <v>0</v>
      </c>
    </row>
    <row r="6012" spans="1:10" ht="15.75" hidden="1" thickBot="1" x14ac:dyDescent="0.3">
      <c r="A6012" s="243"/>
      <c r="B6012" s="230"/>
      <c r="C6012" s="51"/>
      <c r="D6012" s="151"/>
      <c r="E6012" s="62"/>
      <c r="F6012" s="72" t="s">
        <v>523</v>
      </c>
      <c r="G6012" s="72" t="str">
        <f t="shared" si="112"/>
        <v/>
      </c>
      <c r="H6012" s="73"/>
      <c r="I6012" s="70"/>
      <c r="J6012" s="141">
        <v>0</v>
      </c>
    </row>
    <row r="6013" spans="1:10" ht="15.75" hidden="1" thickBot="1" x14ac:dyDescent="0.3">
      <c r="A6013" s="239" t="s">
        <v>5563</v>
      </c>
      <c r="B6013" s="228" t="str">
        <f>INDEX(Orçamentária!A:B,MATCH(Composições!A6013,Orçamentária!A:A,0),2)</f>
        <v>Fusível NH 2</v>
      </c>
      <c r="C6013" s="37"/>
      <c r="D6013" s="22" t="str">
        <f>TRIM(INDEX(Orçamentária!C:C,MATCH(Composições!A6013,Orçamentária!A:A,0),1))</f>
        <v>un</v>
      </c>
      <c r="E6013" s="23"/>
      <c r="F6013" s="45" t="s">
        <v>523</v>
      </c>
      <c r="G6013" s="24" t="str">
        <f t="shared" si="112"/>
        <v/>
      </c>
      <c r="H6013" s="25"/>
      <c r="I6013" s="26"/>
      <c r="J6013" s="141">
        <v>0</v>
      </c>
    </row>
    <row r="6014" spans="1:10" ht="15.75" hidden="1" thickBot="1" x14ac:dyDescent="0.3">
      <c r="A6014" s="242"/>
      <c r="B6014" s="229"/>
      <c r="C6014" s="155"/>
      <c r="D6014" s="155"/>
      <c r="E6014" s="156"/>
      <c r="F6014" s="50" t="s">
        <v>523</v>
      </c>
      <c r="G6014" s="50" t="str">
        <f t="shared" si="112"/>
        <v/>
      </c>
      <c r="H6014" s="69"/>
      <c r="I6014" s="70"/>
      <c r="J6014" s="141">
        <v>0</v>
      </c>
    </row>
    <row r="6015" spans="1:10" ht="15.75" hidden="1" thickBot="1" x14ac:dyDescent="0.3">
      <c r="A6015" s="242"/>
      <c r="B6015" s="229"/>
      <c r="C6015" s="32" t="s">
        <v>6397</v>
      </c>
      <c r="D6015" s="148" t="s">
        <v>20</v>
      </c>
      <c r="E6015" s="149">
        <v>1</v>
      </c>
      <c r="F6015" s="27">
        <v>0</v>
      </c>
      <c r="G6015" s="50">
        <f t="shared" si="112"/>
        <v>0</v>
      </c>
      <c r="H6015" s="35">
        <f>SUM(G6015:G6015)</f>
        <v>0</v>
      </c>
      <c r="I6015" s="36"/>
      <c r="J6015" s="141">
        <v>0</v>
      </c>
    </row>
    <row r="6016" spans="1:10" ht="15.75" hidden="1" thickBot="1" x14ac:dyDescent="0.3">
      <c r="A6016" s="243"/>
      <c r="B6016" s="230"/>
      <c r="C6016" s="51"/>
      <c r="D6016" s="151"/>
      <c r="E6016" s="62"/>
      <c r="F6016" s="72" t="s">
        <v>523</v>
      </c>
      <c r="G6016" s="72" t="str">
        <f t="shared" si="112"/>
        <v/>
      </c>
      <c r="H6016" s="73"/>
      <c r="I6016" s="70"/>
      <c r="J6016" s="141">
        <v>0</v>
      </c>
    </row>
    <row r="6017" spans="1:10" ht="15.75" hidden="1" thickBot="1" x14ac:dyDescent="0.3">
      <c r="A6017" s="239" t="s">
        <v>5565</v>
      </c>
      <c r="B6017" s="228" t="str">
        <f>INDEX(Orçamentária!A:B,MATCH(Composições!A6017,Orçamentária!A:A,0),2)</f>
        <v>Fusível NH 3</v>
      </c>
      <c r="C6017" s="37"/>
      <c r="D6017" s="22" t="str">
        <f>TRIM(INDEX(Orçamentária!C:C,MATCH(Composições!A6017,Orçamentária!A:A,0),1))</f>
        <v>un</v>
      </c>
      <c r="E6017" s="23"/>
      <c r="F6017" s="45" t="s">
        <v>523</v>
      </c>
      <c r="G6017" s="24" t="str">
        <f t="shared" si="112"/>
        <v/>
      </c>
      <c r="H6017" s="25"/>
      <c r="I6017" s="26"/>
      <c r="J6017" s="141">
        <v>0</v>
      </c>
    </row>
    <row r="6018" spans="1:10" ht="15.75" hidden="1" thickBot="1" x14ac:dyDescent="0.3">
      <c r="A6018" s="242"/>
      <c r="B6018" s="229"/>
      <c r="C6018" s="155"/>
      <c r="D6018" s="155"/>
      <c r="E6018" s="156"/>
      <c r="F6018" s="50" t="s">
        <v>523</v>
      </c>
      <c r="G6018" s="50" t="str">
        <f t="shared" si="112"/>
        <v/>
      </c>
      <c r="H6018" s="69"/>
      <c r="I6018" s="70"/>
      <c r="J6018" s="141">
        <v>0</v>
      </c>
    </row>
    <row r="6019" spans="1:10" ht="15.75" hidden="1" thickBot="1" x14ac:dyDescent="0.3">
      <c r="A6019" s="242"/>
      <c r="B6019" s="229"/>
      <c r="C6019" s="32" t="s">
        <v>6398</v>
      </c>
      <c r="D6019" s="148" t="s">
        <v>20</v>
      </c>
      <c r="E6019" s="149">
        <v>1</v>
      </c>
      <c r="F6019" s="27">
        <v>0</v>
      </c>
      <c r="G6019" s="50">
        <f t="shared" si="112"/>
        <v>0</v>
      </c>
      <c r="H6019" s="35">
        <f>SUM(G6019:G6019)</f>
        <v>0</v>
      </c>
      <c r="I6019" s="36"/>
      <c r="J6019" s="141">
        <v>0</v>
      </c>
    </row>
    <row r="6020" spans="1:10" ht="15.75" hidden="1" thickBot="1" x14ac:dyDescent="0.3">
      <c r="A6020" s="243"/>
      <c r="B6020" s="230"/>
      <c r="C6020" s="51"/>
      <c r="D6020" s="151"/>
      <c r="E6020" s="62"/>
      <c r="F6020" s="72" t="s">
        <v>523</v>
      </c>
      <c r="G6020" s="72" t="str">
        <f t="shared" si="112"/>
        <v/>
      </c>
      <c r="H6020" s="73"/>
      <c r="I6020" s="70"/>
      <c r="J6020" s="141">
        <v>0</v>
      </c>
    </row>
    <row r="6021" spans="1:10" ht="15.75" hidden="1" thickBot="1" x14ac:dyDescent="0.3">
      <c r="A6021" s="239" t="s">
        <v>5568</v>
      </c>
      <c r="B6021" s="228" t="str">
        <f>INDEX(Orçamentária!A:B,MATCH(Composições!A6021,Orçamentária!A:A,0),2)</f>
        <v>Fusível Diazed</v>
      </c>
      <c r="C6021" s="37"/>
      <c r="D6021" s="22" t="str">
        <f>TRIM(INDEX(Orçamentária!C:C,MATCH(Composições!A6021,Orçamentária!A:A,0),1))</f>
        <v>un</v>
      </c>
      <c r="E6021" s="23"/>
      <c r="F6021" s="45" t="s">
        <v>523</v>
      </c>
      <c r="G6021" s="24" t="str">
        <f t="shared" si="112"/>
        <v/>
      </c>
      <c r="H6021" s="25"/>
      <c r="I6021" s="26"/>
      <c r="J6021" s="141">
        <v>0</v>
      </c>
    </row>
    <row r="6022" spans="1:10" ht="15.75" hidden="1" thickBot="1" x14ac:dyDescent="0.3">
      <c r="A6022" s="242"/>
      <c r="B6022" s="229"/>
      <c r="C6022" s="155"/>
      <c r="D6022" s="155"/>
      <c r="E6022" s="156"/>
      <c r="F6022" s="50" t="s">
        <v>523</v>
      </c>
      <c r="G6022" s="50" t="str">
        <f t="shared" si="112"/>
        <v/>
      </c>
      <c r="H6022" s="69"/>
      <c r="I6022" s="70"/>
      <c r="J6022" s="141">
        <v>0</v>
      </c>
    </row>
    <row r="6023" spans="1:10" ht="26.25" hidden="1" thickBot="1" x14ac:dyDescent="0.3">
      <c r="A6023" s="242"/>
      <c r="B6023" s="229"/>
      <c r="C6023" s="32" t="s">
        <v>3328</v>
      </c>
      <c r="D6023" s="148" t="s">
        <v>20</v>
      </c>
      <c r="E6023" s="149">
        <v>1</v>
      </c>
      <c r="F6023" s="27">
        <v>3.306</v>
      </c>
      <c r="G6023" s="50">
        <f t="shared" si="112"/>
        <v>3.306</v>
      </c>
      <c r="H6023" s="35">
        <f>SUM(G6023:G6023)</f>
        <v>3.306</v>
      </c>
      <c r="I6023" s="36"/>
      <c r="J6023" s="141">
        <v>0</v>
      </c>
    </row>
    <row r="6024" spans="1:10" ht="15.75" hidden="1" thickBot="1" x14ac:dyDescent="0.3">
      <c r="A6024" s="243"/>
      <c r="B6024" s="230"/>
      <c r="C6024" s="51"/>
      <c r="D6024" s="151"/>
      <c r="E6024" s="62"/>
      <c r="F6024" s="72" t="s">
        <v>523</v>
      </c>
      <c r="G6024" s="72" t="str">
        <f t="shared" si="112"/>
        <v/>
      </c>
      <c r="H6024" s="73"/>
      <c r="I6024" s="70"/>
      <c r="J6024" s="141">
        <v>0</v>
      </c>
    </row>
    <row r="6025" spans="1:10" ht="15.75" hidden="1" thickBot="1" x14ac:dyDescent="0.3">
      <c r="A6025" s="239" t="s">
        <v>5584</v>
      </c>
      <c r="B6025" s="228" t="str">
        <f>INDEX(Orçamentária!A:B,MATCH(Composições!A6025,Orçamentária!A:A,0),2)</f>
        <v>Poste reto 3m</v>
      </c>
      <c r="C6025" s="37"/>
      <c r="D6025" s="22" t="str">
        <f>TRIM(INDEX(Orçamentária!C:C,MATCH(Composições!A6025,Orçamentária!A:A,0),1))</f>
        <v>un</v>
      </c>
      <c r="E6025" s="23"/>
      <c r="F6025" s="45" t="s">
        <v>523</v>
      </c>
      <c r="G6025" s="24" t="str">
        <f t="shared" si="112"/>
        <v/>
      </c>
      <c r="H6025" s="25"/>
      <c r="I6025" s="26"/>
      <c r="J6025" s="141">
        <v>0</v>
      </c>
    </row>
    <row r="6026" spans="1:10" ht="15.75" hidden="1" thickBot="1" x14ac:dyDescent="0.3">
      <c r="A6026" s="242"/>
      <c r="B6026" s="229"/>
      <c r="C6026" s="155"/>
      <c r="D6026" s="155"/>
      <c r="E6026" s="156"/>
      <c r="F6026" s="50" t="s">
        <v>523</v>
      </c>
      <c r="G6026" s="50" t="str">
        <f t="shared" si="112"/>
        <v/>
      </c>
      <c r="H6026" s="69"/>
      <c r="I6026" s="70"/>
      <c r="J6026" s="141">
        <v>0</v>
      </c>
    </row>
    <row r="6027" spans="1:10" ht="26.25" hidden="1" thickBot="1" x14ac:dyDescent="0.3">
      <c r="A6027" s="242"/>
      <c r="B6027" s="229"/>
      <c r="C6027" s="32" t="s">
        <v>7725</v>
      </c>
      <c r="D6027" s="148" t="s">
        <v>20</v>
      </c>
      <c r="E6027" s="149">
        <v>1</v>
      </c>
      <c r="F6027" s="27">
        <v>549.98349999999994</v>
      </c>
      <c r="G6027" s="50">
        <f t="shared" si="112"/>
        <v>549.98349999999994</v>
      </c>
      <c r="H6027" s="35">
        <f>SUM(G6027:G6027)</f>
        <v>549.98349999999994</v>
      </c>
      <c r="I6027" s="36"/>
      <c r="J6027" s="141">
        <v>0</v>
      </c>
    </row>
    <row r="6028" spans="1:10" ht="15.75" hidden="1" thickBot="1" x14ac:dyDescent="0.3">
      <c r="A6028" s="243"/>
      <c r="B6028" s="230"/>
      <c r="C6028" s="51"/>
      <c r="D6028" s="151"/>
      <c r="E6028" s="62"/>
      <c r="F6028" s="72" t="s">
        <v>523</v>
      </c>
      <c r="G6028" s="72" t="str">
        <f t="shared" si="112"/>
        <v/>
      </c>
      <c r="H6028" s="73"/>
      <c r="I6028" s="70"/>
      <c r="J6028" s="141">
        <v>0</v>
      </c>
    </row>
    <row r="6029" spans="1:10" ht="15.75" hidden="1" thickBot="1" x14ac:dyDescent="0.3">
      <c r="A6029" s="239" t="s">
        <v>5586</v>
      </c>
      <c r="B6029" s="228" t="str">
        <f>INDEX(Orçamentária!A:B,MATCH(Composições!A6029,Orçamentária!A:A,0),2)</f>
        <v>Poste curvo simples 8m</v>
      </c>
      <c r="C6029" s="37"/>
      <c r="D6029" s="22" t="str">
        <f>TRIM(INDEX(Orçamentária!C:C,MATCH(Composições!A6029,Orçamentária!A:A,0),1))</f>
        <v>un</v>
      </c>
      <c r="E6029" s="23"/>
      <c r="F6029" s="45" t="s">
        <v>523</v>
      </c>
      <c r="G6029" s="24" t="str">
        <f t="shared" si="112"/>
        <v/>
      </c>
      <c r="H6029" s="25"/>
      <c r="I6029" s="26"/>
      <c r="J6029" s="141">
        <v>0</v>
      </c>
    </row>
    <row r="6030" spans="1:10" ht="15.75" hidden="1" thickBot="1" x14ac:dyDescent="0.3">
      <c r="A6030" s="242"/>
      <c r="B6030" s="229"/>
      <c r="C6030" s="155"/>
      <c r="D6030" s="155"/>
      <c r="E6030" s="156"/>
      <c r="F6030" s="50" t="s">
        <v>523</v>
      </c>
      <c r="G6030" s="50" t="str">
        <f t="shared" si="112"/>
        <v/>
      </c>
      <c r="H6030" s="69"/>
      <c r="I6030" s="70"/>
      <c r="J6030" s="141">
        <v>0</v>
      </c>
    </row>
    <row r="6031" spans="1:10" ht="26.25" hidden="1" thickBot="1" x14ac:dyDescent="0.3">
      <c r="A6031" s="242"/>
      <c r="B6031" s="229"/>
      <c r="C6031" s="32" t="s">
        <v>6650</v>
      </c>
      <c r="D6031" s="148" t="s">
        <v>20</v>
      </c>
      <c r="E6031" s="149">
        <v>1</v>
      </c>
      <c r="F6031" s="27">
        <v>2134.7069999999999</v>
      </c>
      <c r="G6031" s="50">
        <f t="shared" si="112"/>
        <v>2134.7069999999999</v>
      </c>
      <c r="H6031" s="35">
        <f>SUM(G6031:G6031)</f>
        <v>2134.7069999999999</v>
      </c>
      <c r="I6031" s="36"/>
      <c r="J6031" s="141">
        <v>0</v>
      </c>
    </row>
    <row r="6032" spans="1:10" ht="15.75" hidden="1" thickBot="1" x14ac:dyDescent="0.3">
      <c r="A6032" s="243"/>
      <c r="B6032" s="230"/>
      <c r="C6032" s="51"/>
      <c r="D6032" s="151"/>
      <c r="E6032" s="62"/>
      <c r="F6032" s="72" t="s">
        <v>523</v>
      </c>
      <c r="G6032" s="72" t="str">
        <f t="shared" si="112"/>
        <v/>
      </c>
      <c r="H6032" s="73"/>
      <c r="I6032" s="70"/>
      <c r="J6032" s="141">
        <v>0</v>
      </c>
    </row>
    <row r="6033" spans="1:10" ht="15.75" hidden="1" thickBot="1" x14ac:dyDescent="0.3">
      <c r="A6033" s="239" t="s">
        <v>5588</v>
      </c>
      <c r="B6033" s="228" t="str">
        <f>INDEX(Orçamentária!A:B,MATCH(Composições!A6033,Orçamentária!A:A,0),2)</f>
        <v>Poste curvo duplo 8m</v>
      </c>
      <c r="C6033" s="37"/>
      <c r="D6033" s="22" t="str">
        <f>TRIM(INDEX(Orçamentária!C:C,MATCH(Composições!A6033,Orçamentária!A:A,0),1))</f>
        <v>un</v>
      </c>
      <c r="E6033" s="23"/>
      <c r="F6033" s="45" t="s">
        <v>523</v>
      </c>
      <c r="G6033" s="24" t="str">
        <f t="shared" si="112"/>
        <v/>
      </c>
      <c r="H6033" s="25"/>
      <c r="I6033" s="26"/>
      <c r="J6033" s="141">
        <v>0</v>
      </c>
    </row>
    <row r="6034" spans="1:10" ht="15.75" hidden="1" thickBot="1" x14ac:dyDescent="0.3">
      <c r="A6034" s="242"/>
      <c r="B6034" s="229"/>
      <c r="C6034" s="155"/>
      <c r="D6034" s="155"/>
      <c r="E6034" s="156"/>
      <c r="F6034" s="50" t="s">
        <v>523</v>
      </c>
      <c r="G6034" s="50" t="str">
        <f t="shared" si="112"/>
        <v/>
      </c>
      <c r="H6034" s="69"/>
      <c r="I6034" s="70"/>
      <c r="J6034" s="141">
        <v>0</v>
      </c>
    </row>
    <row r="6035" spans="1:10" ht="26.25" hidden="1" thickBot="1" x14ac:dyDescent="0.3">
      <c r="A6035" s="242"/>
      <c r="B6035" s="229"/>
      <c r="C6035" s="32" t="s">
        <v>6651</v>
      </c>
      <c r="D6035" s="148" t="s">
        <v>20</v>
      </c>
      <c r="E6035" s="149">
        <v>1</v>
      </c>
      <c r="F6035" s="27">
        <v>2513.6239999999998</v>
      </c>
      <c r="G6035" s="50">
        <f t="shared" si="112"/>
        <v>2513.6239999999998</v>
      </c>
      <c r="H6035" s="35">
        <f>SUM(G6035:G6035)</f>
        <v>2513.6239999999998</v>
      </c>
      <c r="I6035" s="36"/>
      <c r="J6035" s="141">
        <v>0</v>
      </c>
    </row>
    <row r="6036" spans="1:10" ht="15.75" hidden="1" thickBot="1" x14ac:dyDescent="0.3">
      <c r="A6036" s="243"/>
      <c r="B6036" s="230"/>
      <c r="C6036" s="51"/>
      <c r="D6036" s="151"/>
      <c r="E6036" s="62"/>
      <c r="F6036" s="72" t="s">
        <v>523</v>
      </c>
      <c r="G6036" s="72" t="str">
        <f t="shared" si="112"/>
        <v/>
      </c>
      <c r="H6036" s="73"/>
      <c r="I6036" s="70"/>
      <c r="J6036" s="141">
        <v>0</v>
      </c>
    </row>
    <row r="6037" spans="1:10" ht="15.75" hidden="1" thickBot="1" x14ac:dyDescent="0.3">
      <c r="A6037" s="239" t="s">
        <v>5589</v>
      </c>
      <c r="B6037" s="228" t="str">
        <f>INDEX(Orçamentária!A:B,MATCH(Composições!A6037,Orçamentária!A:A,0),2)</f>
        <v>Braço para iluminação</v>
      </c>
      <c r="C6037" s="37"/>
      <c r="D6037" s="22" t="str">
        <f>TRIM(INDEX(Orçamentária!C:C,MATCH(Composições!A6037,Orçamentária!A:A,0),1))</f>
        <v>un</v>
      </c>
      <c r="E6037" s="23"/>
      <c r="F6037" s="45" t="s">
        <v>523</v>
      </c>
      <c r="G6037" s="24" t="str">
        <f t="shared" si="112"/>
        <v/>
      </c>
      <c r="H6037" s="25"/>
      <c r="I6037" s="26"/>
      <c r="J6037" s="141">
        <v>0</v>
      </c>
    </row>
    <row r="6038" spans="1:10" ht="15.75" hidden="1" thickBot="1" x14ac:dyDescent="0.3">
      <c r="A6038" s="242"/>
      <c r="B6038" s="229"/>
      <c r="C6038" s="155"/>
      <c r="D6038" s="155"/>
      <c r="E6038" s="156"/>
      <c r="F6038" s="50" t="s">
        <v>523</v>
      </c>
      <c r="G6038" s="50" t="str">
        <f t="shared" si="112"/>
        <v/>
      </c>
      <c r="H6038" s="69"/>
      <c r="I6038" s="70"/>
      <c r="J6038" s="141">
        <v>0</v>
      </c>
    </row>
    <row r="6039" spans="1:10" ht="15.75" hidden="1" thickBot="1" x14ac:dyDescent="0.3">
      <c r="A6039" s="242"/>
      <c r="B6039" s="229"/>
      <c r="C6039" s="32" t="s">
        <v>3256</v>
      </c>
      <c r="D6039" s="148" t="s">
        <v>20</v>
      </c>
      <c r="E6039" s="149">
        <v>1</v>
      </c>
      <c r="F6039" s="27">
        <v>23.75</v>
      </c>
      <c r="G6039" s="50">
        <f t="shared" si="112"/>
        <v>23.75</v>
      </c>
      <c r="H6039" s="35">
        <f>SUM(G6039:G6039)</f>
        <v>23.75</v>
      </c>
      <c r="I6039" s="36"/>
      <c r="J6039" s="141">
        <v>0</v>
      </c>
    </row>
    <row r="6040" spans="1:10" ht="15.75" hidden="1" thickBot="1" x14ac:dyDescent="0.3">
      <c r="A6040" s="243"/>
      <c r="B6040" s="230"/>
      <c r="C6040" s="51"/>
      <c r="D6040" s="151"/>
      <c r="E6040" s="62"/>
      <c r="F6040" s="72" t="s">
        <v>523</v>
      </c>
      <c r="G6040" s="72" t="str">
        <f t="shared" si="112"/>
        <v/>
      </c>
      <c r="H6040" s="73"/>
      <c r="I6040" s="70"/>
      <c r="J6040" s="141">
        <v>0</v>
      </c>
    </row>
    <row r="6041" spans="1:10" ht="15.75" hidden="1" thickBot="1" x14ac:dyDescent="0.3">
      <c r="A6041" s="239" t="s">
        <v>5716</v>
      </c>
      <c r="B6041" s="228" t="str">
        <f>INDEX(Orçamentária!A:B,MATCH(Composições!A6041,Orçamentária!A:A,0),2)</f>
        <v>Chumbador 1/4”</v>
      </c>
      <c r="C6041" s="37"/>
      <c r="D6041" s="22" t="str">
        <f>TRIM(INDEX(Orçamentária!C:C,MATCH(Composições!A6041,Orçamentária!A:A,0),1))</f>
        <v>un</v>
      </c>
      <c r="E6041" s="23"/>
      <c r="F6041" s="45" t="s">
        <v>523</v>
      </c>
      <c r="G6041" s="24" t="str">
        <f t="shared" si="112"/>
        <v/>
      </c>
      <c r="H6041" s="25"/>
      <c r="I6041" s="26"/>
      <c r="J6041" s="141">
        <v>0</v>
      </c>
    </row>
    <row r="6042" spans="1:10" ht="15.75" hidden="1" thickBot="1" x14ac:dyDescent="0.3">
      <c r="A6042" s="242"/>
      <c r="B6042" s="229"/>
      <c r="C6042" s="155"/>
      <c r="D6042" s="155"/>
      <c r="E6042" s="156"/>
      <c r="F6042" s="50" t="s">
        <v>523</v>
      </c>
      <c r="G6042" s="50" t="str">
        <f t="shared" si="112"/>
        <v/>
      </c>
      <c r="H6042" s="69"/>
      <c r="I6042" s="70"/>
      <c r="J6042" s="141">
        <v>0</v>
      </c>
    </row>
    <row r="6043" spans="1:10" ht="15.75" hidden="1" thickBot="1" x14ac:dyDescent="0.3">
      <c r="A6043" s="242"/>
      <c r="B6043" s="229"/>
      <c r="C6043" s="32" t="s">
        <v>7590</v>
      </c>
      <c r="D6043" s="148" t="s">
        <v>20</v>
      </c>
      <c r="E6043" s="149">
        <v>1</v>
      </c>
      <c r="F6043" s="27">
        <v>1.1019999999999999</v>
      </c>
      <c r="G6043" s="50">
        <f t="shared" si="112"/>
        <v>1.1019999999999999</v>
      </c>
      <c r="H6043" s="35">
        <f>SUM(G6043:G6043)</f>
        <v>1.1019999999999999</v>
      </c>
      <c r="I6043" s="36"/>
      <c r="J6043" s="141">
        <v>0</v>
      </c>
    </row>
    <row r="6044" spans="1:10" ht="15.75" hidden="1" thickBot="1" x14ac:dyDescent="0.3">
      <c r="A6044" s="243"/>
      <c r="B6044" s="230"/>
      <c r="C6044" s="51"/>
      <c r="D6044" s="151"/>
      <c r="E6044" s="62"/>
      <c r="F6044" s="72" t="s">
        <v>523</v>
      </c>
      <c r="G6044" s="72" t="str">
        <f t="shared" si="112"/>
        <v/>
      </c>
      <c r="H6044" s="73"/>
      <c r="I6044" s="70"/>
      <c r="J6044" s="141">
        <v>0</v>
      </c>
    </row>
    <row r="6045" spans="1:10" ht="15.75" hidden="1" thickBot="1" x14ac:dyDescent="0.3">
      <c r="A6045" s="239" t="s">
        <v>5723</v>
      </c>
      <c r="B6045" s="228" t="str">
        <f>INDEX(Orçamentária!A:B,MATCH(Composições!A6045,Orçamentária!A:A,0),2)</f>
        <v xml:space="preserve">Caixa 4x4 de embutir para alvenaria </v>
      </c>
      <c r="C6045" s="37"/>
      <c r="D6045" s="22" t="str">
        <f>TRIM(INDEX(Orçamentária!C:C,MATCH(Composições!A6045,Orçamentária!A:A,0),1))</f>
        <v>un</v>
      </c>
      <c r="E6045" s="23"/>
      <c r="F6045" s="45" t="s">
        <v>523</v>
      </c>
      <c r="G6045" s="24" t="str">
        <f t="shared" si="112"/>
        <v/>
      </c>
      <c r="H6045" s="25"/>
      <c r="I6045" s="26"/>
      <c r="J6045" s="141">
        <v>0</v>
      </c>
    </row>
    <row r="6046" spans="1:10" ht="15.75" hidden="1" thickBot="1" x14ac:dyDescent="0.3">
      <c r="A6046" s="242"/>
      <c r="B6046" s="229"/>
      <c r="C6046" s="155"/>
      <c r="D6046" s="155"/>
      <c r="E6046" s="156"/>
      <c r="F6046" s="50" t="s">
        <v>523</v>
      </c>
      <c r="G6046" s="50" t="str">
        <f t="shared" ref="G6046:G6109" si="113">IF(ISNUMBER(F6046),E6046*F6046,"")</f>
        <v/>
      </c>
      <c r="H6046" s="69"/>
      <c r="I6046" s="70"/>
      <c r="J6046" s="141">
        <v>0</v>
      </c>
    </row>
    <row r="6047" spans="1:10" ht="26.25" hidden="1" thickBot="1" x14ac:dyDescent="0.3">
      <c r="A6047" s="242"/>
      <c r="B6047" s="229"/>
      <c r="C6047" s="32" t="s">
        <v>3264</v>
      </c>
      <c r="D6047" s="148" t="s">
        <v>20</v>
      </c>
      <c r="E6047" s="149">
        <v>1</v>
      </c>
      <c r="F6047" s="27">
        <v>6.7545000000000002</v>
      </c>
      <c r="G6047" s="50">
        <f t="shared" si="113"/>
        <v>6.7545000000000002</v>
      </c>
      <c r="H6047" s="35">
        <f>SUM(G6047:G6047)</f>
        <v>6.7545000000000002</v>
      </c>
      <c r="I6047" s="36"/>
      <c r="J6047" s="141">
        <v>0</v>
      </c>
    </row>
    <row r="6048" spans="1:10" ht="15.75" hidden="1" thickBot="1" x14ac:dyDescent="0.3">
      <c r="A6048" s="243"/>
      <c r="B6048" s="230"/>
      <c r="C6048" s="51"/>
      <c r="D6048" s="151"/>
      <c r="E6048" s="62"/>
      <c r="F6048" s="72" t="s">
        <v>523</v>
      </c>
      <c r="G6048" s="72" t="str">
        <f t="shared" si="113"/>
        <v/>
      </c>
      <c r="H6048" s="73"/>
      <c r="I6048" s="70"/>
      <c r="J6048" s="141">
        <v>0</v>
      </c>
    </row>
    <row r="6049" spans="1:10" ht="15.75" hidden="1" thickBot="1" x14ac:dyDescent="0.3">
      <c r="A6049" s="239" t="s">
        <v>5722</v>
      </c>
      <c r="B6049" s="228" t="str">
        <f>INDEX(Orçamentária!A:B,MATCH(Composições!A6049,Orçamentária!A:A,0),2)</f>
        <v xml:space="preserve">Caixa 4x2 de embutir para alvenaria </v>
      </c>
      <c r="C6049" s="37"/>
      <c r="D6049" s="22" t="str">
        <f>TRIM(INDEX(Orçamentária!C:C,MATCH(Composições!A6049,Orçamentária!A:A,0),1))</f>
        <v>un</v>
      </c>
      <c r="E6049" s="23"/>
      <c r="F6049" s="45" t="s">
        <v>523</v>
      </c>
      <c r="G6049" s="24" t="str">
        <f t="shared" si="113"/>
        <v/>
      </c>
      <c r="H6049" s="25"/>
      <c r="I6049" s="26"/>
      <c r="J6049" s="141">
        <v>0</v>
      </c>
    </row>
    <row r="6050" spans="1:10" ht="15.75" hidden="1" thickBot="1" x14ac:dyDescent="0.3">
      <c r="A6050" s="242"/>
      <c r="B6050" s="229"/>
      <c r="C6050" s="155"/>
      <c r="D6050" s="155"/>
      <c r="E6050" s="156"/>
      <c r="F6050" s="50" t="s">
        <v>523</v>
      </c>
      <c r="G6050" s="50" t="str">
        <f t="shared" si="113"/>
        <v/>
      </c>
      <c r="H6050" s="69"/>
      <c r="I6050" s="70"/>
      <c r="J6050" s="141">
        <v>0</v>
      </c>
    </row>
    <row r="6051" spans="1:10" ht="26.25" hidden="1" thickBot="1" x14ac:dyDescent="0.3">
      <c r="A6051" s="242"/>
      <c r="B6051" s="229"/>
      <c r="C6051" s="32" t="s">
        <v>3263</v>
      </c>
      <c r="D6051" s="148" t="s">
        <v>20</v>
      </c>
      <c r="E6051" s="149">
        <v>1</v>
      </c>
      <c r="F6051" s="27">
        <v>3.4009999999999998</v>
      </c>
      <c r="G6051" s="50">
        <f t="shared" si="113"/>
        <v>3.4009999999999998</v>
      </c>
      <c r="H6051" s="35">
        <f>SUM(G6051:G6051)</f>
        <v>3.4009999999999998</v>
      </c>
      <c r="I6051" s="36"/>
      <c r="J6051" s="141">
        <v>0</v>
      </c>
    </row>
    <row r="6052" spans="1:10" ht="15.75" hidden="1" thickBot="1" x14ac:dyDescent="0.3">
      <c r="A6052" s="243"/>
      <c r="B6052" s="230"/>
      <c r="C6052" s="51"/>
      <c r="D6052" s="151"/>
      <c r="E6052" s="62"/>
      <c r="F6052" s="72" t="s">
        <v>523</v>
      </c>
      <c r="G6052" s="72" t="str">
        <f t="shared" si="113"/>
        <v/>
      </c>
      <c r="H6052" s="73"/>
      <c r="I6052" s="70"/>
      <c r="J6052" s="141">
        <v>0</v>
      </c>
    </row>
    <row r="6053" spans="1:10" ht="15.75" hidden="1" thickBot="1" x14ac:dyDescent="0.3">
      <c r="A6053" s="239" t="s">
        <v>5723</v>
      </c>
      <c r="B6053" s="228" t="str">
        <f>INDEX(Orçamentária!A:B,MATCH(Composições!A6053,Orçamentária!A:A,0),2)</f>
        <v xml:space="preserve">Caixa 4x4 de embutir para alvenaria </v>
      </c>
      <c r="C6053" s="37"/>
      <c r="D6053" s="22" t="str">
        <f>TRIM(INDEX(Orçamentária!C:C,MATCH(Composições!A6053,Orçamentária!A:A,0),1))</f>
        <v>un</v>
      </c>
      <c r="E6053" s="23"/>
      <c r="F6053" s="45" t="s">
        <v>523</v>
      </c>
      <c r="G6053" s="24" t="str">
        <f t="shared" si="113"/>
        <v/>
      </c>
      <c r="H6053" s="25"/>
      <c r="I6053" s="26"/>
      <c r="J6053" s="141">
        <v>0</v>
      </c>
    </row>
    <row r="6054" spans="1:10" ht="15.75" hidden="1" thickBot="1" x14ac:dyDescent="0.3">
      <c r="A6054" s="242"/>
      <c r="B6054" s="229"/>
      <c r="C6054" s="155"/>
      <c r="D6054" s="155"/>
      <c r="E6054" s="156"/>
      <c r="F6054" s="50" t="s">
        <v>523</v>
      </c>
      <c r="G6054" s="50" t="str">
        <f t="shared" si="113"/>
        <v/>
      </c>
      <c r="H6054" s="69"/>
      <c r="I6054" s="70"/>
      <c r="J6054" s="141">
        <v>0</v>
      </c>
    </row>
    <row r="6055" spans="1:10" ht="26.25" hidden="1" thickBot="1" x14ac:dyDescent="0.3">
      <c r="A6055" s="242"/>
      <c r="B6055" s="229"/>
      <c r="C6055" s="32" t="s">
        <v>3264</v>
      </c>
      <c r="D6055" s="148" t="s">
        <v>20</v>
      </c>
      <c r="E6055" s="149">
        <v>1</v>
      </c>
      <c r="F6055" s="27">
        <v>6.7545000000000002</v>
      </c>
      <c r="G6055" s="50">
        <f t="shared" si="113"/>
        <v>6.7545000000000002</v>
      </c>
      <c r="H6055" s="35">
        <f>SUM(G6055:G6055)</f>
        <v>6.7545000000000002</v>
      </c>
      <c r="I6055" s="36"/>
      <c r="J6055" s="141">
        <v>0</v>
      </c>
    </row>
    <row r="6056" spans="1:10" ht="15.75" hidden="1" thickBot="1" x14ac:dyDescent="0.3">
      <c r="A6056" s="243"/>
      <c r="B6056" s="230"/>
      <c r="C6056" s="51"/>
      <c r="D6056" s="151"/>
      <c r="E6056" s="62"/>
      <c r="F6056" s="72" t="s">
        <v>523</v>
      </c>
      <c r="G6056" s="72" t="str">
        <f t="shared" si="113"/>
        <v/>
      </c>
      <c r="H6056" s="73"/>
      <c r="I6056" s="70"/>
      <c r="J6056" s="141">
        <v>0</v>
      </c>
    </row>
    <row r="6057" spans="1:10" ht="15.75" hidden="1" thickBot="1" x14ac:dyDescent="0.3">
      <c r="A6057" s="239" t="s">
        <v>5731</v>
      </c>
      <c r="B6057" s="228" t="str">
        <f>INDEX(Orçamentária!A:B,MATCH(Composições!A6057,Orçamentária!A:A,0),2)</f>
        <v>Caixa de passagem em aço 400x400x150mm</v>
      </c>
      <c r="C6057" s="37"/>
      <c r="D6057" s="22" t="str">
        <f>TRIM(INDEX(Orçamentária!C:C,MATCH(Composições!A6057,Orçamentária!A:A,0),1))</f>
        <v>un</v>
      </c>
      <c r="E6057" s="23"/>
      <c r="F6057" s="45" t="s">
        <v>523</v>
      </c>
      <c r="G6057" s="24" t="str">
        <f t="shared" si="113"/>
        <v/>
      </c>
      <c r="H6057" s="25"/>
      <c r="I6057" s="26"/>
      <c r="J6057" s="141">
        <v>0</v>
      </c>
    </row>
    <row r="6058" spans="1:10" ht="15.75" hidden="1" thickBot="1" x14ac:dyDescent="0.3">
      <c r="A6058" s="242"/>
      <c r="B6058" s="229"/>
      <c r="C6058" s="155"/>
      <c r="D6058" s="155"/>
      <c r="E6058" s="156"/>
      <c r="F6058" s="50" t="s">
        <v>523</v>
      </c>
      <c r="G6058" s="50" t="str">
        <f t="shared" si="113"/>
        <v/>
      </c>
      <c r="H6058" s="69"/>
      <c r="I6058" s="70"/>
      <c r="J6058" s="141">
        <v>0</v>
      </c>
    </row>
    <row r="6059" spans="1:10" ht="26.25" hidden="1" thickBot="1" x14ac:dyDescent="0.3">
      <c r="A6059" s="242"/>
      <c r="B6059" s="229"/>
      <c r="C6059" s="32" t="s">
        <v>6399</v>
      </c>
      <c r="D6059" s="148" t="s">
        <v>20</v>
      </c>
      <c r="E6059" s="149">
        <v>1</v>
      </c>
      <c r="F6059" s="27">
        <v>0</v>
      </c>
      <c r="G6059" s="50">
        <f t="shared" si="113"/>
        <v>0</v>
      </c>
      <c r="H6059" s="35">
        <f>SUM(G6059:G6059)</f>
        <v>0</v>
      </c>
      <c r="I6059" s="36"/>
      <c r="J6059" s="141">
        <v>0</v>
      </c>
    </row>
    <row r="6060" spans="1:10" ht="15.75" hidden="1" thickBot="1" x14ac:dyDescent="0.3">
      <c r="A6060" s="243"/>
      <c r="B6060" s="230"/>
      <c r="C6060" s="51"/>
      <c r="D6060" s="151"/>
      <c r="E6060" s="62"/>
      <c r="F6060" s="72" t="s">
        <v>523</v>
      </c>
      <c r="G6060" s="72" t="str">
        <f t="shared" si="113"/>
        <v/>
      </c>
      <c r="H6060" s="73"/>
      <c r="I6060" s="70"/>
      <c r="J6060" s="141">
        <v>0</v>
      </c>
    </row>
    <row r="6061" spans="1:10" ht="15.75" hidden="1" thickBot="1" x14ac:dyDescent="0.3">
      <c r="A6061" s="239" t="s">
        <v>5734</v>
      </c>
      <c r="B6061" s="228" t="str">
        <f>INDEX(Orçamentária!A:B,MATCH(Composições!A6061,Orçamentária!A:A,0),2)</f>
        <v>Abraçadeira tipo D para eletroduto</v>
      </c>
      <c r="C6061" s="37"/>
      <c r="D6061" s="22" t="str">
        <f>TRIM(INDEX(Orçamentária!C:C,MATCH(Composições!A6061,Orçamentária!A:A,0),1))</f>
        <v>un</v>
      </c>
      <c r="E6061" s="23"/>
      <c r="F6061" s="45" t="s">
        <v>523</v>
      </c>
      <c r="G6061" s="24" t="str">
        <f t="shared" si="113"/>
        <v/>
      </c>
      <c r="H6061" s="25"/>
      <c r="I6061" s="26"/>
      <c r="J6061" s="141">
        <v>0</v>
      </c>
    </row>
    <row r="6062" spans="1:10" ht="15.75" hidden="1" thickBot="1" x14ac:dyDescent="0.3">
      <c r="A6062" s="242"/>
      <c r="B6062" s="229"/>
      <c r="C6062" s="155"/>
      <c r="D6062" s="155"/>
      <c r="E6062" s="156"/>
      <c r="F6062" s="50" t="s">
        <v>523</v>
      </c>
      <c r="G6062" s="50" t="str">
        <f t="shared" si="113"/>
        <v/>
      </c>
      <c r="H6062" s="69"/>
      <c r="I6062" s="70"/>
      <c r="J6062" s="141">
        <v>0</v>
      </c>
    </row>
    <row r="6063" spans="1:10" ht="26.25" hidden="1" thickBot="1" x14ac:dyDescent="0.3">
      <c r="A6063" s="242"/>
      <c r="B6063" s="229"/>
      <c r="C6063" s="32" t="s">
        <v>7565</v>
      </c>
      <c r="D6063" s="148" t="s">
        <v>20</v>
      </c>
      <c r="E6063" s="149">
        <v>1</v>
      </c>
      <c r="F6063" s="27">
        <v>4.9494999999999996</v>
      </c>
      <c r="G6063" s="50">
        <f t="shared" si="113"/>
        <v>4.9494999999999996</v>
      </c>
      <c r="H6063" s="35">
        <f>SUM(G6063:G6063)</f>
        <v>4.9494999999999996</v>
      </c>
      <c r="I6063" s="36"/>
      <c r="J6063" s="141">
        <v>0</v>
      </c>
    </row>
    <row r="6064" spans="1:10" ht="15.75" hidden="1" thickBot="1" x14ac:dyDescent="0.3">
      <c r="A6064" s="243"/>
      <c r="B6064" s="230"/>
      <c r="C6064" s="51"/>
      <c r="D6064" s="151"/>
      <c r="E6064" s="62"/>
      <c r="F6064" s="72" t="s">
        <v>523</v>
      </c>
      <c r="G6064" s="72" t="str">
        <f t="shared" si="113"/>
        <v/>
      </c>
      <c r="H6064" s="73"/>
      <c r="I6064" s="70"/>
      <c r="J6064" s="141">
        <v>0</v>
      </c>
    </row>
    <row r="6065" spans="1:10" ht="15.75" hidden="1" thickBot="1" x14ac:dyDescent="0.3">
      <c r="A6065" s="239" t="s">
        <v>5735</v>
      </c>
      <c r="B6065" s="228" t="str">
        <f>INDEX(Orçamentária!A:B,MATCH(Composições!A6065,Orçamentária!A:A,0),2)</f>
        <v>Abraçadeira tipo copo para eletroduto</v>
      </c>
      <c r="C6065" s="37"/>
      <c r="D6065" s="22" t="str">
        <f>TRIM(INDEX(Orçamentária!C:C,MATCH(Composições!A6065,Orçamentária!A:A,0),1))</f>
        <v>un</v>
      </c>
      <c r="E6065" s="23"/>
      <c r="F6065" s="45" t="s">
        <v>523</v>
      </c>
      <c r="G6065" s="24" t="str">
        <f t="shared" si="113"/>
        <v/>
      </c>
      <c r="H6065" s="25"/>
      <c r="I6065" s="26"/>
      <c r="J6065" s="141">
        <v>0</v>
      </c>
    </row>
    <row r="6066" spans="1:10" ht="15.75" hidden="1" thickBot="1" x14ac:dyDescent="0.3">
      <c r="A6066" s="242"/>
      <c r="B6066" s="229"/>
      <c r="C6066" s="155"/>
      <c r="D6066" s="155"/>
      <c r="E6066" s="156"/>
      <c r="F6066" s="50" t="s">
        <v>523</v>
      </c>
      <c r="G6066" s="50" t="str">
        <f t="shared" si="113"/>
        <v/>
      </c>
      <c r="H6066" s="69"/>
      <c r="I6066" s="70"/>
      <c r="J6066" s="141">
        <v>0</v>
      </c>
    </row>
    <row r="6067" spans="1:10" ht="15.75" hidden="1" thickBot="1" x14ac:dyDescent="0.3">
      <c r="A6067" s="242"/>
      <c r="B6067" s="229"/>
      <c r="C6067" s="32" t="s">
        <v>6400</v>
      </c>
      <c r="D6067" s="148" t="s">
        <v>20</v>
      </c>
      <c r="E6067" s="149">
        <v>1</v>
      </c>
      <c r="F6067" s="27">
        <v>0</v>
      </c>
      <c r="G6067" s="50">
        <f t="shared" si="113"/>
        <v>0</v>
      </c>
      <c r="H6067" s="35">
        <f>SUM(G6067:G6067)</f>
        <v>0</v>
      </c>
      <c r="I6067" s="36"/>
      <c r="J6067" s="141">
        <v>0</v>
      </c>
    </row>
    <row r="6068" spans="1:10" ht="15.75" hidden="1" thickBot="1" x14ac:dyDescent="0.3">
      <c r="A6068" s="243"/>
      <c r="B6068" s="230"/>
      <c r="C6068" s="51"/>
      <c r="D6068" s="151"/>
      <c r="E6068" s="62"/>
      <c r="F6068" s="72" t="s">
        <v>523</v>
      </c>
      <c r="G6068" s="72" t="str">
        <f t="shared" si="113"/>
        <v/>
      </c>
      <c r="H6068" s="73"/>
      <c r="I6068" s="70"/>
      <c r="J6068" s="141">
        <v>0</v>
      </c>
    </row>
    <row r="6069" spans="1:10" ht="15.75" hidden="1" thickBot="1" x14ac:dyDescent="0.3">
      <c r="A6069" s="239" t="s">
        <v>5739</v>
      </c>
      <c r="B6069" s="228" t="str">
        <f>INDEX(Orçamentária!A:B,MATCH(Composições!A6069,Orçamentária!A:A,0),2)</f>
        <v xml:space="preserve">Tampa cega metálica para caixas de piso 4x4 </v>
      </c>
      <c r="C6069" s="37"/>
      <c r="D6069" s="22" t="str">
        <f>TRIM(INDEX(Orçamentária!C:C,MATCH(Composições!A6069,Orçamentária!A:A,0),1))</f>
        <v>un</v>
      </c>
      <c r="E6069" s="23"/>
      <c r="F6069" s="45" t="s">
        <v>523</v>
      </c>
      <c r="G6069" s="24" t="str">
        <f t="shared" si="113"/>
        <v/>
      </c>
      <c r="H6069" s="25"/>
      <c r="I6069" s="26"/>
      <c r="J6069" s="141">
        <v>0</v>
      </c>
    </row>
    <row r="6070" spans="1:10" ht="15.75" hidden="1" thickBot="1" x14ac:dyDescent="0.3">
      <c r="A6070" s="242"/>
      <c r="B6070" s="229"/>
      <c r="C6070" s="155"/>
      <c r="D6070" s="155"/>
      <c r="E6070" s="156"/>
      <c r="F6070" s="50" t="s">
        <v>523</v>
      </c>
      <c r="G6070" s="50" t="str">
        <f t="shared" si="113"/>
        <v/>
      </c>
      <c r="H6070" s="69"/>
      <c r="I6070" s="70"/>
      <c r="J6070" s="141">
        <v>0</v>
      </c>
    </row>
    <row r="6071" spans="1:10" ht="26.25" hidden="1" thickBot="1" x14ac:dyDescent="0.3">
      <c r="A6071" s="242"/>
      <c r="B6071" s="229"/>
      <c r="C6071" s="32" t="s">
        <v>3353</v>
      </c>
      <c r="D6071" s="148" t="s">
        <v>20</v>
      </c>
      <c r="E6071" s="149">
        <v>1</v>
      </c>
      <c r="F6071" s="27">
        <v>33.012499999999996</v>
      </c>
      <c r="G6071" s="50">
        <f t="shared" si="113"/>
        <v>33.012499999999996</v>
      </c>
      <c r="H6071" s="35">
        <f>SUM(G6071:G6071)</f>
        <v>33.012499999999996</v>
      </c>
      <c r="I6071" s="36"/>
      <c r="J6071" s="141">
        <v>0</v>
      </c>
    </row>
    <row r="6072" spans="1:10" ht="15.75" hidden="1" thickBot="1" x14ac:dyDescent="0.3">
      <c r="A6072" s="243"/>
      <c r="B6072" s="230"/>
      <c r="C6072" s="51"/>
      <c r="D6072" s="151"/>
      <c r="E6072" s="62"/>
      <c r="F6072" s="72" t="s">
        <v>523</v>
      </c>
      <c r="G6072" s="72" t="str">
        <f t="shared" si="113"/>
        <v/>
      </c>
      <c r="H6072" s="73"/>
      <c r="I6072" s="70"/>
      <c r="J6072" s="141">
        <v>0</v>
      </c>
    </row>
    <row r="6073" spans="1:10" ht="15.75" hidden="1" thickBot="1" x14ac:dyDescent="0.3">
      <c r="A6073" s="239" t="s">
        <v>5852</v>
      </c>
      <c r="B6073" s="228" t="str">
        <f>INDEX(Orçamentária!A:B,MATCH(Composições!A6073,Orçamentária!A:A,0),2)</f>
        <v>Quadro termoplástico para 12 disjuntores</v>
      </c>
      <c r="C6073" s="37"/>
      <c r="D6073" s="22" t="str">
        <f>TRIM(INDEX(Orçamentária!C:C,MATCH(Composições!A6073,Orçamentária!A:A,0),1))</f>
        <v>un</v>
      </c>
      <c r="E6073" s="23"/>
      <c r="F6073" s="45" t="s">
        <v>523</v>
      </c>
      <c r="G6073" s="24" t="str">
        <f t="shared" si="113"/>
        <v/>
      </c>
      <c r="H6073" s="25"/>
      <c r="I6073" s="26"/>
      <c r="J6073" s="141">
        <v>0</v>
      </c>
    </row>
    <row r="6074" spans="1:10" ht="15.75" hidden="1" thickBot="1" x14ac:dyDescent="0.3">
      <c r="A6074" s="242"/>
      <c r="B6074" s="229"/>
      <c r="C6074" s="155"/>
      <c r="D6074" s="155"/>
      <c r="E6074" s="156"/>
      <c r="F6074" s="50" t="s">
        <v>523</v>
      </c>
      <c r="G6074" s="50" t="str">
        <f t="shared" si="113"/>
        <v/>
      </c>
      <c r="H6074" s="69"/>
      <c r="I6074" s="70"/>
      <c r="J6074" s="141">
        <v>0</v>
      </c>
    </row>
    <row r="6075" spans="1:10" ht="39" hidden="1" thickBot="1" x14ac:dyDescent="0.3">
      <c r="A6075" s="242"/>
      <c r="B6075" s="229"/>
      <c r="C6075" s="32" t="s">
        <v>3360</v>
      </c>
      <c r="D6075" s="148" t="s">
        <v>20</v>
      </c>
      <c r="E6075" s="149">
        <v>1</v>
      </c>
      <c r="F6075" s="27">
        <v>157.61449999999999</v>
      </c>
      <c r="G6075" s="50">
        <f t="shared" si="113"/>
        <v>157.61449999999999</v>
      </c>
      <c r="H6075" s="35">
        <f>SUM(G6075:G6075)</f>
        <v>157.61449999999999</v>
      </c>
      <c r="I6075" s="36"/>
      <c r="J6075" s="141">
        <v>0</v>
      </c>
    </row>
    <row r="6076" spans="1:10" ht="15.75" hidden="1" thickBot="1" x14ac:dyDescent="0.3">
      <c r="A6076" s="243"/>
      <c r="B6076" s="230"/>
      <c r="C6076" s="51"/>
      <c r="D6076" s="151"/>
      <c r="E6076" s="62"/>
      <c r="F6076" s="72" t="s">
        <v>523</v>
      </c>
      <c r="G6076" s="72" t="str">
        <f t="shared" si="113"/>
        <v/>
      </c>
      <c r="H6076" s="73"/>
      <c r="I6076" s="70"/>
      <c r="J6076" s="141">
        <v>0</v>
      </c>
    </row>
    <row r="6077" spans="1:10" ht="15.75" hidden="1" thickBot="1" x14ac:dyDescent="0.3">
      <c r="A6077" s="239" t="s">
        <v>5853</v>
      </c>
      <c r="B6077" s="228" t="str">
        <f>INDEX(Orçamentária!A:B,MATCH(Composições!A6077,Orçamentária!A:A,0),2)</f>
        <v>Quadro termoplástico para 24 disjuntores</v>
      </c>
      <c r="C6077" s="37"/>
      <c r="D6077" s="22" t="str">
        <f>TRIM(INDEX(Orçamentária!C:C,MATCH(Composições!A6077,Orçamentária!A:A,0),1))</f>
        <v>un</v>
      </c>
      <c r="E6077" s="23"/>
      <c r="F6077" s="45" t="s">
        <v>523</v>
      </c>
      <c r="G6077" s="24" t="str">
        <f t="shared" si="113"/>
        <v/>
      </c>
      <c r="H6077" s="25"/>
      <c r="I6077" s="26"/>
      <c r="J6077" s="141">
        <v>0</v>
      </c>
    </row>
    <row r="6078" spans="1:10" ht="15.75" hidden="1" thickBot="1" x14ac:dyDescent="0.3">
      <c r="A6078" s="242"/>
      <c r="B6078" s="229"/>
      <c r="C6078" s="155"/>
      <c r="D6078" s="155"/>
      <c r="E6078" s="156"/>
      <c r="F6078" s="50" t="s">
        <v>523</v>
      </c>
      <c r="G6078" s="50" t="str">
        <f t="shared" si="113"/>
        <v/>
      </c>
      <c r="H6078" s="69"/>
      <c r="I6078" s="70"/>
      <c r="J6078" s="141">
        <v>0</v>
      </c>
    </row>
    <row r="6079" spans="1:10" ht="39" hidden="1" thickBot="1" x14ac:dyDescent="0.3">
      <c r="A6079" s="242"/>
      <c r="B6079" s="229"/>
      <c r="C6079" s="32" t="s">
        <v>3361</v>
      </c>
      <c r="D6079" s="148" t="s">
        <v>20</v>
      </c>
      <c r="E6079" s="149">
        <v>1</v>
      </c>
      <c r="F6079" s="27">
        <v>292.02049999999997</v>
      </c>
      <c r="G6079" s="50">
        <f t="shared" si="113"/>
        <v>292.02049999999997</v>
      </c>
      <c r="H6079" s="35">
        <f>SUM(G6079:G6079)</f>
        <v>292.02049999999997</v>
      </c>
      <c r="I6079" s="36"/>
      <c r="J6079" s="141">
        <v>0</v>
      </c>
    </row>
    <row r="6080" spans="1:10" ht="15.75" hidden="1" thickBot="1" x14ac:dyDescent="0.3">
      <c r="A6080" s="243"/>
      <c r="B6080" s="230"/>
      <c r="C6080" s="51"/>
      <c r="D6080" s="151"/>
      <c r="E6080" s="62"/>
      <c r="F6080" s="72" t="s">
        <v>523</v>
      </c>
      <c r="G6080" s="72" t="str">
        <f t="shared" si="113"/>
        <v/>
      </c>
      <c r="H6080" s="73"/>
      <c r="I6080" s="70"/>
      <c r="J6080" s="141">
        <v>0</v>
      </c>
    </row>
    <row r="6081" spans="1:10" ht="15.75" hidden="1" thickBot="1" x14ac:dyDescent="0.3">
      <c r="A6081" s="239" t="s">
        <v>5854</v>
      </c>
      <c r="B6081" s="228" t="str">
        <f>INDEX(Orçamentária!A:B,MATCH(Composições!A6081,Orçamentária!A:A,0),2)</f>
        <v>Quadro termoplástico para 36 disjuntores</v>
      </c>
      <c r="C6081" s="37"/>
      <c r="D6081" s="22" t="str">
        <f>TRIM(INDEX(Orçamentária!C:C,MATCH(Composições!A6081,Orçamentária!A:A,0),1))</f>
        <v>un</v>
      </c>
      <c r="E6081" s="23"/>
      <c r="F6081" s="45" t="s">
        <v>523</v>
      </c>
      <c r="G6081" s="24" t="str">
        <f t="shared" si="113"/>
        <v/>
      </c>
      <c r="H6081" s="25"/>
      <c r="I6081" s="26"/>
      <c r="J6081" s="141">
        <v>0</v>
      </c>
    </row>
    <row r="6082" spans="1:10" ht="15.75" hidden="1" thickBot="1" x14ac:dyDescent="0.3">
      <c r="A6082" s="242"/>
      <c r="B6082" s="229"/>
      <c r="C6082" s="155"/>
      <c r="D6082" s="155"/>
      <c r="E6082" s="156"/>
      <c r="F6082" s="50" t="s">
        <v>523</v>
      </c>
      <c r="G6082" s="50" t="str">
        <f t="shared" si="113"/>
        <v/>
      </c>
      <c r="H6082" s="69"/>
      <c r="I6082" s="70"/>
      <c r="J6082" s="141">
        <v>0</v>
      </c>
    </row>
    <row r="6083" spans="1:10" ht="39" hidden="1" thickBot="1" x14ac:dyDescent="0.3">
      <c r="A6083" s="242"/>
      <c r="B6083" s="229"/>
      <c r="C6083" s="32" t="s">
        <v>3362</v>
      </c>
      <c r="D6083" s="148" t="s">
        <v>20</v>
      </c>
      <c r="E6083" s="149">
        <v>1</v>
      </c>
      <c r="F6083" s="27">
        <v>632.87099999999987</v>
      </c>
      <c r="G6083" s="50">
        <f t="shared" si="113"/>
        <v>632.87099999999987</v>
      </c>
      <c r="H6083" s="35">
        <f>SUM(G6083:G6083)</f>
        <v>632.87099999999987</v>
      </c>
      <c r="I6083" s="36"/>
      <c r="J6083" s="141">
        <v>0</v>
      </c>
    </row>
    <row r="6084" spans="1:10" ht="15.75" hidden="1" thickBot="1" x14ac:dyDescent="0.3">
      <c r="A6084" s="243"/>
      <c r="B6084" s="230"/>
      <c r="C6084" s="51"/>
      <c r="D6084" s="151"/>
      <c r="E6084" s="62"/>
      <c r="F6084" s="72" t="s">
        <v>523</v>
      </c>
      <c r="G6084" s="72" t="str">
        <f t="shared" si="113"/>
        <v/>
      </c>
      <c r="H6084" s="73"/>
      <c r="I6084" s="70"/>
      <c r="J6084" s="141">
        <v>0</v>
      </c>
    </row>
    <row r="6085" spans="1:10" ht="15.75" hidden="1" thickBot="1" x14ac:dyDescent="0.3">
      <c r="A6085" s="239" t="s">
        <v>5890</v>
      </c>
      <c r="B6085" s="228" t="str">
        <f>INDEX(Orçamentária!A:B,MATCH(Composições!A6085,Orçamentária!A:A,0),2)</f>
        <v>Sensor de presença externo</v>
      </c>
      <c r="C6085" s="37"/>
      <c r="D6085" s="22" t="str">
        <f>TRIM(INDEX(Orçamentária!C:C,MATCH(Composições!A6085,Orçamentária!A:A,0),1))</f>
        <v>un</v>
      </c>
      <c r="E6085" s="23"/>
      <c r="F6085" s="45" t="s">
        <v>523</v>
      </c>
      <c r="G6085" s="24" t="str">
        <f t="shared" si="113"/>
        <v/>
      </c>
      <c r="H6085" s="25"/>
      <c r="I6085" s="26"/>
      <c r="J6085" s="141">
        <v>0</v>
      </c>
    </row>
    <row r="6086" spans="1:10" ht="15.75" hidden="1" thickBot="1" x14ac:dyDescent="0.3">
      <c r="A6086" s="242"/>
      <c r="B6086" s="229"/>
      <c r="C6086" s="155"/>
      <c r="D6086" s="155"/>
      <c r="E6086" s="156"/>
      <c r="F6086" s="50" t="s">
        <v>523</v>
      </c>
      <c r="G6086" s="50" t="str">
        <f t="shared" si="113"/>
        <v/>
      </c>
      <c r="H6086" s="69"/>
      <c r="I6086" s="70"/>
      <c r="J6086" s="141">
        <v>0</v>
      </c>
    </row>
    <row r="6087" spans="1:10" ht="39" hidden="1" thickBot="1" x14ac:dyDescent="0.3">
      <c r="A6087" s="242"/>
      <c r="B6087" s="229"/>
      <c r="C6087" s="32" t="s">
        <v>3364</v>
      </c>
      <c r="D6087" s="148" t="s">
        <v>20</v>
      </c>
      <c r="E6087" s="149">
        <v>1</v>
      </c>
      <c r="F6087" s="27">
        <v>42.294000000000004</v>
      </c>
      <c r="G6087" s="50">
        <f t="shared" si="113"/>
        <v>42.294000000000004</v>
      </c>
      <c r="H6087" s="35">
        <f>SUM(G6087:G6087)</f>
        <v>42.294000000000004</v>
      </c>
      <c r="I6087" s="36"/>
      <c r="J6087" s="141">
        <v>0</v>
      </c>
    </row>
    <row r="6088" spans="1:10" ht="15.75" hidden="1" thickBot="1" x14ac:dyDescent="0.3">
      <c r="A6088" s="243"/>
      <c r="B6088" s="230"/>
      <c r="C6088" s="51"/>
      <c r="D6088" s="151"/>
      <c r="E6088" s="62"/>
      <c r="F6088" s="72" t="s">
        <v>523</v>
      </c>
      <c r="G6088" s="72" t="str">
        <f t="shared" si="113"/>
        <v/>
      </c>
      <c r="H6088" s="73"/>
      <c r="I6088" s="70"/>
      <c r="J6088" s="141">
        <v>0</v>
      </c>
    </row>
    <row r="6089" spans="1:10" ht="15.75" hidden="1" thickBot="1" x14ac:dyDescent="0.3">
      <c r="A6089" s="239" t="s">
        <v>5925</v>
      </c>
      <c r="B6089" s="228" t="str">
        <f>INDEX(Orçamentária!A:B,MATCH(Composições!A6089,Orçamentária!A:A,0),2)</f>
        <v>Caixa de inspeção de aterramento 300 mm</v>
      </c>
      <c r="C6089" s="37"/>
      <c r="D6089" s="22" t="str">
        <f>TRIM(INDEX(Orçamentária!C:C,MATCH(Composições!A6089,Orçamentária!A:A,0),1))</f>
        <v>un</v>
      </c>
      <c r="E6089" s="23"/>
      <c r="F6089" s="45" t="s">
        <v>523</v>
      </c>
      <c r="G6089" s="24" t="str">
        <f t="shared" si="113"/>
        <v/>
      </c>
      <c r="H6089" s="25"/>
      <c r="I6089" s="26"/>
      <c r="J6089" s="141">
        <v>0</v>
      </c>
    </row>
    <row r="6090" spans="1:10" ht="15.75" hidden="1" thickBot="1" x14ac:dyDescent="0.3">
      <c r="A6090" s="242"/>
      <c r="B6090" s="229"/>
      <c r="C6090" s="155"/>
      <c r="D6090" s="155"/>
      <c r="E6090" s="156"/>
      <c r="F6090" s="50" t="s">
        <v>523</v>
      </c>
      <c r="G6090" s="50" t="str">
        <f t="shared" si="113"/>
        <v/>
      </c>
      <c r="H6090" s="69"/>
      <c r="I6090" s="70"/>
      <c r="J6090" s="141">
        <v>0</v>
      </c>
    </row>
    <row r="6091" spans="1:10" ht="26.25" hidden="1" thickBot="1" x14ac:dyDescent="0.3">
      <c r="A6091" s="242"/>
      <c r="B6091" s="229"/>
      <c r="C6091" s="32" t="s">
        <v>6652</v>
      </c>
      <c r="D6091" s="148" t="s">
        <v>20</v>
      </c>
      <c r="E6091" s="149">
        <v>1</v>
      </c>
      <c r="F6091" s="27">
        <v>50.2455</v>
      </c>
      <c r="G6091" s="50">
        <f t="shared" si="113"/>
        <v>50.2455</v>
      </c>
      <c r="H6091" s="35">
        <f>SUM(G6091:G6091)</f>
        <v>50.2455</v>
      </c>
      <c r="I6091" s="36"/>
      <c r="J6091" s="141">
        <v>0</v>
      </c>
    </row>
    <row r="6092" spans="1:10" ht="15.75" hidden="1" thickBot="1" x14ac:dyDescent="0.3">
      <c r="A6092" s="243"/>
      <c r="B6092" s="230"/>
      <c r="C6092" s="51"/>
      <c r="D6092" s="151"/>
      <c r="E6092" s="62"/>
      <c r="F6092" s="72" t="s">
        <v>523</v>
      </c>
      <c r="G6092" s="72" t="str">
        <f t="shared" si="113"/>
        <v/>
      </c>
      <c r="H6092" s="73"/>
      <c r="I6092" s="70"/>
      <c r="J6092" s="141">
        <v>0</v>
      </c>
    </row>
    <row r="6093" spans="1:10" ht="15.75" hidden="1" thickBot="1" x14ac:dyDescent="0.3">
      <c r="A6093" s="239" t="s">
        <v>5930</v>
      </c>
      <c r="B6093" s="228" t="str">
        <f>INDEX(Orçamentária!A:B,MATCH(Composições!A6093,Orçamentária!A:A,0),2)</f>
        <v>Captor tipo Franklin</v>
      </c>
      <c r="C6093" s="37"/>
      <c r="D6093" s="22" t="str">
        <f>TRIM(INDEX(Orçamentária!C:C,MATCH(Composições!A6093,Orçamentária!A:A,0),1))</f>
        <v>un</v>
      </c>
      <c r="E6093" s="23"/>
      <c r="F6093" s="45" t="s">
        <v>523</v>
      </c>
      <c r="G6093" s="24" t="str">
        <f t="shared" si="113"/>
        <v/>
      </c>
      <c r="H6093" s="25"/>
      <c r="I6093" s="26"/>
      <c r="J6093" s="141">
        <v>0</v>
      </c>
    </row>
    <row r="6094" spans="1:10" ht="15.75" hidden="1" thickBot="1" x14ac:dyDescent="0.3">
      <c r="A6094" s="242"/>
      <c r="B6094" s="229"/>
      <c r="C6094" s="155"/>
      <c r="D6094" s="155"/>
      <c r="E6094" s="156"/>
      <c r="F6094" s="50" t="s">
        <v>523</v>
      </c>
      <c r="G6094" s="50" t="str">
        <f t="shared" si="113"/>
        <v/>
      </c>
      <c r="H6094" s="69"/>
      <c r="I6094" s="70"/>
      <c r="J6094" s="141">
        <v>0</v>
      </c>
    </row>
    <row r="6095" spans="1:10" ht="39" hidden="1" thickBot="1" x14ac:dyDescent="0.3">
      <c r="A6095" s="242"/>
      <c r="B6095" s="229"/>
      <c r="C6095" s="32" t="s">
        <v>3350</v>
      </c>
      <c r="D6095" s="148" t="s">
        <v>20</v>
      </c>
      <c r="E6095" s="149">
        <v>1</v>
      </c>
      <c r="F6095" s="27">
        <v>97.678999999999988</v>
      </c>
      <c r="G6095" s="50">
        <f t="shared" si="113"/>
        <v>97.678999999999988</v>
      </c>
      <c r="H6095" s="35">
        <f>SUM(G6095:G6095)</f>
        <v>97.678999999999988</v>
      </c>
      <c r="I6095" s="36"/>
      <c r="J6095" s="141">
        <v>0</v>
      </c>
    </row>
    <row r="6096" spans="1:10" ht="15.75" hidden="1" thickBot="1" x14ac:dyDescent="0.3">
      <c r="A6096" s="243"/>
      <c r="B6096" s="230"/>
      <c r="C6096" s="51"/>
      <c r="D6096" s="151"/>
      <c r="E6096" s="62"/>
      <c r="F6096" s="72" t="s">
        <v>523</v>
      </c>
      <c r="G6096" s="72" t="str">
        <f t="shared" si="113"/>
        <v/>
      </c>
      <c r="H6096" s="73"/>
      <c r="I6096" s="70"/>
      <c r="J6096" s="141">
        <v>0</v>
      </c>
    </row>
    <row r="6097" spans="1:10" ht="15.75" hidden="1" thickBot="1" x14ac:dyDescent="0.3">
      <c r="A6097" s="239" t="s">
        <v>5934</v>
      </c>
      <c r="B6097" s="228" t="str">
        <f>INDEX(Orçamentária!A:B,MATCH(Composições!A6097,Orçamentária!A:A,0),2)</f>
        <v>Mastro 3m</v>
      </c>
      <c r="C6097" s="37"/>
      <c r="D6097" s="22" t="str">
        <f>TRIM(INDEX(Orçamentária!C:C,MATCH(Composições!A6097,Orçamentária!A:A,0),1))</f>
        <v>un</v>
      </c>
      <c r="E6097" s="23"/>
      <c r="F6097" s="45" t="s">
        <v>523</v>
      </c>
      <c r="G6097" s="24" t="str">
        <f t="shared" si="113"/>
        <v/>
      </c>
      <c r="H6097" s="25"/>
      <c r="I6097" s="26"/>
      <c r="J6097" s="141">
        <v>0</v>
      </c>
    </row>
    <row r="6098" spans="1:10" ht="15.75" hidden="1" thickBot="1" x14ac:dyDescent="0.3">
      <c r="A6098" s="242"/>
      <c r="B6098" s="229"/>
      <c r="C6098" s="155"/>
      <c r="D6098" s="155"/>
      <c r="E6098" s="156"/>
      <c r="F6098" s="50" t="s">
        <v>523</v>
      </c>
      <c r="G6098" s="50" t="str">
        <f t="shared" si="113"/>
        <v/>
      </c>
      <c r="H6098" s="69"/>
      <c r="I6098" s="70"/>
      <c r="J6098" s="141">
        <v>0</v>
      </c>
    </row>
    <row r="6099" spans="1:10" ht="15.75" hidden="1" thickBot="1" x14ac:dyDescent="0.3">
      <c r="A6099" s="242"/>
      <c r="B6099" s="229"/>
      <c r="C6099" s="32" t="s">
        <v>6702</v>
      </c>
      <c r="D6099" s="148" t="s">
        <v>93</v>
      </c>
      <c r="E6099" s="149">
        <v>3</v>
      </c>
      <c r="F6099" s="27">
        <v>46.578499999999998</v>
      </c>
      <c r="G6099" s="50">
        <f t="shared" si="113"/>
        <v>139.7355</v>
      </c>
      <c r="H6099" s="35">
        <f>SUM(G6099:G6099)</f>
        <v>139.7355</v>
      </c>
      <c r="I6099" s="36"/>
      <c r="J6099" s="141">
        <v>0</v>
      </c>
    </row>
    <row r="6100" spans="1:10" ht="15.75" hidden="1" thickBot="1" x14ac:dyDescent="0.3">
      <c r="A6100" s="243"/>
      <c r="B6100" s="230"/>
      <c r="C6100" s="51"/>
      <c r="D6100" s="151"/>
      <c r="E6100" s="62"/>
      <c r="F6100" s="72" t="s">
        <v>523</v>
      </c>
      <c r="G6100" s="72" t="str">
        <f t="shared" si="113"/>
        <v/>
      </c>
      <c r="H6100" s="73"/>
      <c r="I6100" s="70"/>
      <c r="J6100" s="141">
        <v>0</v>
      </c>
    </row>
    <row r="6101" spans="1:10" ht="15.75" hidden="1" thickBot="1" x14ac:dyDescent="0.3">
      <c r="A6101" s="239" t="s">
        <v>5950</v>
      </c>
      <c r="B6101" s="228" t="str">
        <f>INDEX(Orçamentária!A:B,MATCH(Composições!A6101,Orçamentária!A:A,0),2)</f>
        <v>Adesivo estrutural</v>
      </c>
      <c r="C6101" s="37"/>
      <c r="D6101" s="22" t="str">
        <f>TRIM(INDEX(Orçamentária!C:C,MATCH(Composições!A6101,Orçamentária!A:A,0),1))</f>
        <v>pct</v>
      </c>
      <c r="E6101" s="23"/>
      <c r="F6101" s="45" t="s">
        <v>523</v>
      </c>
      <c r="G6101" s="24" t="str">
        <f t="shared" si="113"/>
        <v/>
      </c>
      <c r="H6101" s="25"/>
      <c r="I6101" s="26"/>
      <c r="J6101" s="141">
        <v>0</v>
      </c>
    </row>
    <row r="6102" spans="1:10" ht="15.75" hidden="1" thickBot="1" x14ac:dyDescent="0.3">
      <c r="A6102" s="242"/>
      <c r="B6102" s="229"/>
      <c r="C6102" s="155"/>
      <c r="D6102" s="155"/>
      <c r="E6102" s="156"/>
      <c r="F6102" s="50" t="s">
        <v>523</v>
      </c>
      <c r="G6102" s="50" t="str">
        <f t="shared" si="113"/>
        <v/>
      </c>
      <c r="H6102" s="69"/>
      <c r="I6102" s="70"/>
      <c r="J6102" s="141">
        <v>0</v>
      </c>
    </row>
    <row r="6103" spans="1:10" ht="26.25" hidden="1" thickBot="1" x14ac:dyDescent="0.3">
      <c r="A6103" s="242"/>
      <c r="B6103" s="229"/>
      <c r="C6103" s="32" t="s">
        <v>778</v>
      </c>
      <c r="D6103" s="148" t="s">
        <v>42</v>
      </c>
      <c r="E6103" s="149">
        <v>1</v>
      </c>
      <c r="F6103" s="27">
        <v>47.386000000000003</v>
      </c>
      <c r="G6103" s="50">
        <f t="shared" si="113"/>
        <v>47.386000000000003</v>
      </c>
      <c r="H6103" s="35">
        <f>SUM(G6103:G6103)</f>
        <v>47.386000000000003</v>
      </c>
      <c r="I6103" s="36"/>
      <c r="J6103" s="141">
        <v>0</v>
      </c>
    </row>
    <row r="6104" spans="1:10" ht="15.75" hidden="1" thickBot="1" x14ac:dyDescent="0.3">
      <c r="A6104" s="243"/>
      <c r="B6104" s="230"/>
      <c r="C6104" s="51"/>
      <c r="D6104" s="151"/>
      <c r="E6104" s="62"/>
      <c r="F6104" s="72" t="s">
        <v>523</v>
      </c>
      <c r="G6104" s="72" t="str">
        <f t="shared" si="113"/>
        <v/>
      </c>
      <c r="H6104" s="73"/>
      <c r="I6104" s="70"/>
      <c r="J6104" s="141">
        <v>0</v>
      </c>
    </row>
    <row r="6105" spans="1:10" ht="15.75" hidden="1" thickBot="1" x14ac:dyDescent="0.3">
      <c r="A6105" s="239" t="s">
        <v>5968</v>
      </c>
      <c r="B6105" s="228" t="str">
        <f>INDEX(Orçamentária!A:B,MATCH(Composições!A6105,Orçamentária!A:A,0),2)</f>
        <v>Tampão DN 600 Articulado D-400</v>
      </c>
      <c r="C6105" s="37"/>
      <c r="D6105" s="22" t="str">
        <f>TRIM(INDEX(Orçamentária!C:C,MATCH(Composições!A6105,Orçamentária!A:A,0),1))</f>
        <v>un</v>
      </c>
      <c r="E6105" s="23"/>
      <c r="F6105" s="45" t="s">
        <v>523</v>
      </c>
      <c r="G6105" s="24" t="str">
        <f t="shared" si="113"/>
        <v/>
      </c>
      <c r="H6105" s="25"/>
      <c r="I6105" s="26"/>
      <c r="J6105" s="141">
        <v>0</v>
      </c>
    </row>
    <row r="6106" spans="1:10" ht="15.75" hidden="1" thickBot="1" x14ac:dyDescent="0.3">
      <c r="A6106" s="242"/>
      <c r="B6106" s="229"/>
      <c r="C6106" s="155"/>
      <c r="D6106" s="155"/>
      <c r="E6106" s="156"/>
      <c r="F6106" s="50" t="s">
        <v>523</v>
      </c>
      <c r="G6106" s="50" t="str">
        <f t="shared" si="113"/>
        <v/>
      </c>
      <c r="H6106" s="69"/>
      <c r="I6106" s="70"/>
      <c r="J6106" s="141">
        <v>0</v>
      </c>
    </row>
    <row r="6107" spans="1:10" ht="39" hidden="1" thickBot="1" x14ac:dyDescent="0.3">
      <c r="A6107" s="242"/>
      <c r="B6107" s="229"/>
      <c r="C6107" s="32" t="s">
        <v>7721</v>
      </c>
      <c r="D6107" s="148" t="s">
        <v>20</v>
      </c>
      <c r="E6107" s="149">
        <v>1</v>
      </c>
      <c r="F6107" s="27">
        <v>640.68949999999995</v>
      </c>
      <c r="G6107" s="50">
        <f t="shared" si="113"/>
        <v>640.68949999999995</v>
      </c>
      <c r="H6107" s="35">
        <f>SUM(G6107:G6107)</f>
        <v>640.68949999999995</v>
      </c>
      <c r="I6107" s="36"/>
      <c r="J6107" s="141">
        <v>0</v>
      </c>
    </row>
    <row r="6108" spans="1:10" ht="15.75" hidden="1" thickBot="1" x14ac:dyDescent="0.3">
      <c r="A6108" s="243"/>
      <c r="B6108" s="230"/>
      <c r="C6108" s="51"/>
      <c r="D6108" s="151"/>
      <c r="E6108" s="62"/>
      <c r="F6108" s="72" t="s">
        <v>523</v>
      </c>
      <c r="G6108" s="72" t="str">
        <f t="shared" si="113"/>
        <v/>
      </c>
      <c r="H6108" s="73"/>
      <c r="I6108" s="70"/>
      <c r="J6108" s="141">
        <v>0</v>
      </c>
    </row>
    <row r="6109" spans="1:10" ht="15.75" hidden="1" thickBot="1" x14ac:dyDescent="0.3">
      <c r="A6109" s="239" t="s">
        <v>5969</v>
      </c>
      <c r="B6109" s="228" t="str">
        <f>INDEX(Orçamentária!A:B,MATCH(Composições!A6109,Orçamentária!A:A,0),2)</f>
        <v>Tampão T-33 Articulado B-125</v>
      </c>
      <c r="C6109" s="37"/>
      <c r="D6109" s="22" t="str">
        <f>TRIM(INDEX(Orçamentária!C:C,MATCH(Composições!A6109,Orçamentária!A:A,0),1))</f>
        <v>un</v>
      </c>
      <c r="E6109" s="23"/>
      <c r="F6109" s="45" t="s">
        <v>523</v>
      </c>
      <c r="G6109" s="24" t="str">
        <f t="shared" si="113"/>
        <v/>
      </c>
      <c r="H6109" s="25"/>
      <c r="I6109" s="26"/>
      <c r="J6109" s="141">
        <v>0</v>
      </c>
    </row>
    <row r="6110" spans="1:10" ht="15.75" hidden="1" thickBot="1" x14ac:dyDescent="0.3">
      <c r="A6110" s="242"/>
      <c r="B6110" s="229"/>
      <c r="C6110" s="155"/>
      <c r="D6110" s="155"/>
      <c r="E6110" s="156"/>
      <c r="F6110" s="50" t="s">
        <v>523</v>
      </c>
      <c r="G6110" s="50" t="str">
        <f t="shared" ref="G6110:G6127" si="114">IF(ISNUMBER(F6110),E6110*F6110,"")</f>
        <v/>
      </c>
      <c r="H6110" s="69"/>
      <c r="I6110" s="70"/>
      <c r="J6110" s="141">
        <v>0</v>
      </c>
    </row>
    <row r="6111" spans="1:10" ht="39" hidden="1" thickBot="1" x14ac:dyDescent="0.3">
      <c r="A6111" s="242"/>
      <c r="B6111" s="229"/>
      <c r="C6111" s="32" t="s">
        <v>7720</v>
      </c>
      <c r="D6111" s="148" t="s">
        <v>20</v>
      </c>
      <c r="E6111" s="149">
        <v>1</v>
      </c>
      <c r="F6111" s="27">
        <v>522.86099999999999</v>
      </c>
      <c r="G6111" s="50">
        <f t="shared" si="114"/>
        <v>522.86099999999999</v>
      </c>
      <c r="H6111" s="35">
        <f>SUM(G6111:G6111)</f>
        <v>522.86099999999999</v>
      </c>
      <c r="I6111" s="36"/>
      <c r="J6111" s="141">
        <v>0</v>
      </c>
    </row>
    <row r="6112" spans="1:10" ht="15.75" hidden="1" thickBot="1" x14ac:dyDescent="0.3">
      <c r="A6112" s="243"/>
      <c r="B6112" s="230"/>
      <c r="C6112" s="51"/>
      <c r="D6112" s="151"/>
      <c r="E6112" s="62"/>
      <c r="F6112" s="72" t="s">
        <v>523</v>
      </c>
      <c r="G6112" s="72" t="str">
        <f t="shared" si="114"/>
        <v/>
      </c>
      <c r="H6112" s="73"/>
      <c r="I6112" s="70"/>
      <c r="J6112" s="141">
        <v>0</v>
      </c>
    </row>
    <row r="6113" spans="1:10" ht="15.75" hidden="1" thickBot="1" x14ac:dyDescent="0.3">
      <c r="A6113" s="239" t="s">
        <v>5970</v>
      </c>
      <c r="B6113" s="228" t="str">
        <f>INDEX(Orçamentária!A:B,MATCH(Composições!A6113,Orçamentária!A:A,0),2)</f>
        <v>Tampão T-33 Simples Pesado</v>
      </c>
      <c r="C6113" s="37"/>
      <c r="D6113" s="22" t="str">
        <f>TRIM(INDEX(Orçamentária!C:C,MATCH(Composições!A6113,Orçamentária!A:A,0),1))</f>
        <v>un</v>
      </c>
      <c r="E6113" s="23"/>
      <c r="F6113" s="45" t="s">
        <v>523</v>
      </c>
      <c r="G6113" s="24" t="str">
        <f t="shared" si="114"/>
        <v/>
      </c>
      <c r="H6113" s="25"/>
      <c r="I6113" s="26"/>
      <c r="J6113" s="141">
        <v>0</v>
      </c>
    </row>
    <row r="6114" spans="1:10" ht="15.75" hidden="1" thickBot="1" x14ac:dyDescent="0.3">
      <c r="A6114" s="242"/>
      <c r="B6114" s="229"/>
      <c r="C6114" s="155"/>
      <c r="D6114" s="155"/>
      <c r="E6114" s="156"/>
      <c r="F6114" s="50" t="s">
        <v>523</v>
      </c>
      <c r="G6114" s="50" t="str">
        <f t="shared" si="114"/>
        <v/>
      </c>
      <c r="H6114" s="69"/>
      <c r="I6114" s="70"/>
      <c r="J6114" s="141">
        <v>0</v>
      </c>
    </row>
    <row r="6115" spans="1:10" ht="26.25" hidden="1" thickBot="1" x14ac:dyDescent="0.3">
      <c r="A6115" s="242"/>
      <c r="B6115" s="229"/>
      <c r="C6115" s="32" t="s">
        <v>7722</v>
      </c>
      <c r="D6115" s="148" t="s">
        <v>20</v>
      </c>
      <c r="E6115" s="149">
        <v>1</v>
      </c>
      <c r="F6115" s="27">
        <v>267.32049999999998</v>
      </c>
      <c r="G6115" s="50">
        <f t="shared" si="114"/>
        <v>267.32049999999998</v>
      </c>
      <c r="H6115" s="35">
        <f>SUM(G6115:G6115)</f>
        <v>267.32049999999998</v>
      </c>
      <c r="I6115" s="36"/>
      <c r="J6115" s="141">
        <v>0</v>
      </c>
    </row>
    <row r="6116" spans="1:10" ht="15.75" hidden="1" thickBot="1" x14ac:dyDescent="0.3">
      <c r="A6116" s="243"/>
      <c r="B6116" s="230"/>
      <c r="C6116" s="51"/>
      <c r="D6116" s="151"/>
      <c r="E6116" s="62"/>
      <c r="F6116" s="72" t="s">
        <v>523</v>
      </c>
      <c r="G6116" s="72" t="str">
        <f t="shared" si="114"/>
        <v/>
      </c>
      <c r="H6116" s="73"/>
      <c r="I6116" s="70"/>
      <c r="J6116" s="141">
        <v>0</v>
      </c>
    </row>
    <row r="6117" spans="1:10" ht="15.75" hidden="1" thickBot="1" x14ac:dyDescent="0.3">
      <c r="A6117" s="239" t="s">
        <v>6003</v>
      </c>
      <c r="B6117" s="228" t="str">
        <f>INDEX(Orçamentária!A:B,MATCH(Composições!A6117,Orçamentária!A:A,0),2)</f>
        <v>Placa de sinalização em PVC 2mm</v>
      </c>
      <c r="C6117" s="37"/>
      <c r="D6117" s="22" t="str">
        <f>TRIM(INDEX(Orçamentária!C:C,MATCH(Composições!A6117,Orçamentária!A:A,0),1))</f>
        <v>m2</v>
      </c>
      <c r="E6117" s="23"/>
      <c r="F6117" s="45" t="s">
        <v>523</v>
      </c>
      <c r="G6117" s="24" t="str">
        <f t="shared" si="114"/>
        <v/>
      </c>
      <c r="H6117" s="25"/>
      <c r="I6117" s="26"/>
      <c r="J6117" s="141">
        <v>0</v>
      </c>
    </row>
    <row r="6118" spans="1:10" ht="15.75" hidden="1" thickBot="1" x14ac:dyDescent="0.3">
      <c r="A6118" s="242"/>
      <c r="B6118" s="229"/>
      <c r="C6118" s="155"/>
      <c r="D6118" s="155"/>
      <c r="E6118" s="156"/>
      <c r="F6118" s="50" t="s">
        <v>523</v>
      </c>
      <c r="G6118" s="50" t="str">
        <f t="shared" si="114"/>
        <v/>
      </c>
      <c r="H6118" s="69"/>
      <c r="I6118" s="70"/>
      <c r="J6118" s="141">
        <v>0</v>
      </c>
    </row>
    <row r="6119" spans="1:10" ht="51.75" hidden="1" thickBot="1" x14ac:dyDescent="0.3">
      <c r="A6119" s="242"/>
      <c r="B6119" s="229"/>
      <c r="C6119" s="32" t="s">
        <v>7629</v>
      </c>
      <c r="D6119" s="148" t="s">
        <v>20</v>
      </c>
      <c r="E6119" s="149">
        <f>1/0.13/0.26</f>
        <v>29.585798816568044</v>
      </c>
      <c r="F6119" s="27">
        <v>19</v>
      </c>
      <c r="G6119" s="50">
        <f t="shared" si="114"/>
        <v>562.13017751479288</v>
      </c>
      <c r="H6119" s="35">
        <f>SUM(G6119:G6119)</f>
        <v>562.13017751479288</v>
      </c>
      <c r="I6119" s="36"/>
      <c r="J6119" s="141">
        <v>0</v>
      </c>
    </row>
    <row r="6120" spans="1:10" ht="15.75" hidden="1" thickBot="1" x14ac:dyDescent="0.3">
      <c r="A6120" s="243"/>
      <c r="B6120" s="230"/>
      <c r="C6120" s="51"/>
      <c r="D6120" s="151"/>
      <c r="E6120" s="62"/>
      <c r="F6120" s="72" t="s">
        <v>523</v>
      </c>
      <c r="G6120" s="72" t="str">
        <f t="shared" si="114"/>
        <v/>
      </c>
      <c r="H6120" s="73"/>
      <c r="I6120" s="70"/>
      <c r="J6120" s="141">
        <v>0</v>
      </c>
    </row>
    <row r="6121" spans="1:10" ht="15.75" hidden="1" thickBot="1" x14ac:dyDescent="0.3">
      <c r="A6121" s="225" t="s">
        <v>6019</v>
      </c>
      <c r="B6121" s="228" t="str">
        <f>INDEX(Orçamentária!A:B,MATCH(Composições!A6121,Orçamentária!A:A,0),2)</f>
        <v>Solda exotérmica</v>
      </c>
      <c r="C6121" s="37"/>
      <c r="D6121" s="22" t="str">
        <f>TRIM(INDEX(Orçamentária!C:C,MATCH(Composições!A6121,Orçamentária!A:A,0),1))</f>
        <v>un</v>
      </c>
      <c r="E6121" s="23"/>
      <c r="F6121" s="45" t="s">
        <v>523</v>
      </c>
      <c r="G6121" s="24" t="str">
        <f t="shared" si="114"/>
        <v/>
      </c>
      <c r="H6121" s="25"/>
      <c r="I6121" s="26"/>
      <c r="J6121" s="141">
        <v>0</v>
      </c>
    </row>
    <row r="6122" spans="1:10" ht="15.75" hidden="1" thickBot="1" x14ac:dyDescent="0.3">
      <c r="A6122" s="231"/>
      <c r="B6122" s="229"/>
      <c r="C6122" s="155"/>
      <c r="D6122" s="155"/>
      <c r="E6122" s="156"/>
      <c r="F6122" s="50" t="s">
        <v>523</v>
      </c>
      <c r="G6122" s="50" t="str">
        <f t="shared" si="114"/>
        <v/>
      </c>
      <c r="H6122" s="69"/>
      <c r="I6122" s="70"/>
      <c r="J6122" s="141">
        <v>0</v>
      </c>
    </row>
    <row r="6123" spans="1:10" ht="15.75" hidden="1" thickBot="1" x14ac:dyDescent="0.3">
      <c r="A6123" s="231"/>
      <c r="B6123" s="229"/>
      <c r="C6123" s="32" t="s">
        <v>1165</v>
      </c>
      <c r="D6123" s="148" t="s">
        <v>12</v>
      </c>
      <c r="E6123" s="149">
        <v>0.08</v>
      </c>
      <c r="F6123" s="27">
        <v>25.146499999999996</v>
      </c>
      <c r="G6123" s="50">
        <f t="shared" si="114"/>
        <v>2.0117199999999995</v>
      </c>
      <c r="H6123" s="35">
        <f>SUM(G6123:G6127)</f>
        <v>3.4853599999999996</v>
      </c>
      <c r="I6123" s="36"/>
      <c r="J6123" s="141">
        <v>0</v>
      </c>
    </row>
    <row r="6124" spans="1:10" ht="15.75" hidden="1" thickBot="1" x14ac:dyDescent="0.3">
      <c r="A6124" s="231"/>
      <c r="B6124" s="229"/>
      <c r="C6124" s="32" t="s">
        <v>706</v>
      </c>
      <c r="D6124" s="148" t="s">
        <v>12</v>
      </c>
      <c r="E6124" s="149">
        <v>0.08</v>
      </c>
      <c r="F6124" s="27">
        <v>18.420500000000001</v>
      </c>
      <c r="G6124" s="50">
        <f t="shared" si="114"/>
        <v>1.4736400000000001</v>
      </c>
      <c r="H6124" s="40"/>
      <c r="I6124" s="36"/>
      <c r="J6124" s="141">
        <v>0</v>
      </c>
    </row>
    <row r="6125" spans="1:10" ht="15.75" hidden="1" thickBot="1" x14ac:dyDescent="0.3">
      <c r="A6125" s="231"/>
      <c r="B6125" s="229"/>
      <c r="C6125" s="32" t="s">
        <v>6401</v>
      </c>
      <c r="D6125" s="148" t="s">
        <v>20</v>
      </c>
      <c r="E6125" s="149">
        <v>1</v>
      </c>
      <c r="F6125" s="27">
        <v>0</v>
      </c>
      <c r="G6125" s="50">
        <f t="shared" si="114"/>
        <v>0</v>
      </c>
      <c r="H6125" s="40"/>
      <c r="I6125" s="36"/>
      <c r="J6125" s="141">
        <v>0</v>
      </c>
    </row>
    <row r="6126" spans="1:10" ht="15.75" hidden="1" thickBot="1" x14ac:dyDescent="0.3">
      <c r="A6126" s="231"/>
      <c r="B6126" s="229"/>
      <c r="C6126" s="32" t="s">
        <v>6402</v>
      </c>
      <c r="D6126" s="148" t="s">
        <v>20</v>
      </c>
      <c r="E6126" s="149">
        <v>1</v>
      </c>
      <c r="F6126" s="27">
        <v>0</v>
      </c>
      <c r="G6126" s="50">
        <f t="shared" si="114"/>
        <v>0</v>
      </c>
      <c r="H6126" s="40"/>
      <c r="I6126" s="36"/>
      <c r="J6126" s="141">
        <v>0</v>
      </c>
    </row>
    <row r="6127" spans="1:10" ht="15.75" hidden="1" thickBot="1" x14ac:dyDescent="0.3">
      <c r="A6127" s="231"/>
      <c r="B6127" s="229"/>
      <c r="C6127" s="32" t="s">
        <v>6403</v>
      </c>
      <c r="D6127" s="148" t="s">
        <v>20</v>
      </c>
      <c r="E6127" s="149">
        <v>0.04</v>
      </c>
      <c r="F6127" s="27">
        <v>0</v>
      </c>
      <c r="G6127" s="50">
        <f t="shared" si="114"/>
        <v>0</v>
      </c>
      <c r="H6127" s="40"/>
      <c r="I6127" s="36"/>
      <c r="J6127" s="141">
        <v>0</v>
      </c>
    </row>
    <row r="6128" spans="1:10" ht="15.75" hidden="1" thickBot="1" x14ac:dyDescent="0.3">
      <c r="A6128" s="232"/>
      <c r="B6128" s="230"/>
      <c r="C6128" s="32"/>
      <c r="D6128" s="148"/>
      <c r="E6128" s="149"/>
      <c r="F6128" s="27" t="s">
        <v>523</v>
      </c>
      <c r="G6128" s="50"/>
      <c r="H6128" s="40"/>
      <c r="I6128" s="36"/>
      <c r="J6128" s="141">
        <v>0</v>
      </c>
    </row>
    <row r="6129" spans="1:10" ht="15.75" hidden="1" thickBot="1" x14ac:dyDescent="0.3">
      <c r="A6129" s="239" t="s">
        <v>6029</v>
      </c>
      <c r="B6129" s="228" t="str">
        <f>INDEX(Orçamentária!A:B,MATCH(Composições!A6129,Orçamentária!A:A,0),2)</f>
        <v>Cone de sinalização</v>
      </c>
      <c r="C6129" s="37"/>
      <c r="D6129" s="22" t="str">
        <f>TRIM(INDEX(Orçamentária!C:C,MATCH(Composições!A6129,Orçamentária!A:A,0),1))</f>
        <v>un</v>
      </c>
      <c r="E6129" s="23"/>
      <c r="F6129" s="45" t="s">
        <v>523</v>
      </c>
      <c r="G6129" s="24" t="str">
        <f t="shared" ref="G6129:G6168" si="115">IF(ISNUMBER(F6129),E6129*F6129,"")</f>
        <v/>
      </c>
      <c r="H6129" s="25"/>
      <c r="I6129" s="26"/>
      <c r="J6129" s="141">
        <v>0</v>
      </c>
    </row>
    <row r="6130" spans="1:10" ht="15.75" hidden="1" thickBot="1" x14ac:dyDescent="0.3">
      <c r="A6130" s="242"/>
      <c r="B6130" s="229"/>
      <c r="C6130" s="155"/>
      <c r="D6130" s="155"/>
      <c r="E6130" s="156"/>
      <c r="F6130" s="50" t="s">
        <v>523</v>
      </c>
      <c r="G6130" s="50" t="str">
        <f t="shared" si="115"/>
        <v/>
      </c>
      <c r="H6130" s="69"/>
      <c r="I6130" s="70"/>
      <c r="J6130" s="141">
        <v>0</v>
      </c>
    </row>
    <row r="6131" spans="1:10" ht="26.25" hidden="1" thickBot="1" x14ac:dyDescent="0.3">
      <c r="A6131" s="242"/>
      <c r="B6131" s="229"/>
      <c r="C6131" s="32" t="s">
        <v>3282</v>
      </c>
      <c r="D6131" s="148" t="s">
        <v>20</v>
      </c>
      <c r="E6131" s="149">
        <v>1</v>
      </c>
      <c r="F6131" s="27">
        <v>39.273000000000003</v>
      </c>
      <c r="G6131" s="50">
        <f t="shared" si="115"/>
        <v>39.273000000000003</v>
      </c>
      <c r="H6131" s="35">
        <f>SUM(G6131:G6131)</f>
        <v>39.273000000000003</v>
      </c>
      <c r="I6131" s="36"/>
      <c r="J6131" s="141">
        <v>0</v>
      </c>
    </row>
    <row r="6132" spans="1:10" ht="15.75" hidden="1" thickBot="1" x14ac:dyDescent="0.3">
      <c r="A6132" s="243"/>
      <c r="B6132" s="230"/>
      <c r="C6132" s="51"/>
      <c r="D6132" s="151"/>
      <c r="E6132" s="62"/>
      <c r="F6132" s="72" t="s">
        <v>523</v>
      </c>
      <c r="G6132" s="72" t="str">
        <f t="shared" si="115"/>
        <v/>
      </c>
      <c r="H6132" s="73"/>
      <c r="I6132" s="70"/>
      <c r="J6132" s="141">
        <v>0</v>
      </c>
    </row>
    <row r="6133" spans="1:10" ht="15.75" hidden="1" thickBot="1" x14ac:dyDescent="0.3">
      <c r="A6133" s="239" t="s">
        <v>6139</v>
      </c>
      <c r="B6133" s="228" t="str">
        <f>INDEX(Orçamentária!A:B,MATCH(Composições!A6133,Orçamentária!A:A,0),2)</f>
        <v>Alicate crimpador com catraca para terminal RJ45</v>
      </c>
      <c r="C6133" s="37"/>
      <c r="D6133" s="22" t="str">
        <f>TRIM(INDEX(Orçamentária!C:C,MATCH(Composições!A6133,Orçamentária!A:A,0),1))</f>
        <v>un</v>
      </c>
      <c r="E6133" s="23"/>
      <c r="F6133" s="45" t="s">
        <v>523</v>
      </c>
      <c r="G6133" s="24" t="str">
        <f t="shared" si="115"/>
        <v/>
      </c>
      <c r="H6133" s="25"/>
      <c r="I6133" s="26"/>
      <c r="J6133" s="141">
        <v>0</v>
      </c>
    </row>
    <row r="6134" spans="1:10" ht="15.75" hidden="1" thickBot="1" x14ac:dyDescent="0.3">
      <c r="A6134" s="242"/>
      <c r="B6134" s="229"/>
      <c r="C6134" s="155"/>
      <c r="D6134" s="155"/>
      <c r="E6134" s="156"/>
      <c r="F6134" s="50" t="s">
        <v>523</v>
      </c>
      <c r="G6134" s="50" t="str">
        <f t="shared" si="115"/>
        <v/>
      </c>
      <c r="H6134" s="69"/>
      <c r="I6134" s="70"/>
      <c r="J6134" s="141">
        <v>0</v>
      </c>
    </row>
    <row r="6135" spans="1:10" ht="15.75" hidden="1" thickBot="1" x14ac:dyDescent="0.3">
      <c r="A6135" s="242"/>
      <c r="B6135" s="229"/>
      <c r="C6135" s="32" t="s">
        <v>3254</v>
      </c>
      <c r="D6135" s="148" t="s">
        <v>20</v>
      </c>
      <c r="E6135" s="149">
        <v>1</v>
      </c>
      <c r="F6135" s="27">
        <v>119.24399999999999</v>
      </c>
      <c r="G6135" s="50">
        <f t="shared" si="115"/>
        <v>119.24399999999999</v>
      </c>
      <c r="H6135" s="35">
        <f>SUM(G6135:G6135)</f>
        <v>119.24399999999999</v>
      </c>
      <c r="I6135" s="36"/>
      <c r="J6135" s="141">
        <v>0</v>
      </c>
    </row>
    <row r="6136" spans="1:10" ht="15.75" hidden="1" thickBot="1" x14ac:dyDescent="0.3">
      <c r="A6136" s="243"/>
      <c r="B6136" s="230"/>
      <c r="C6136" s="51"/>
      <c r="D6136" s="151"/>
      <c r="E6136" s="62"/>
      <c r="F6136" s="72" t="s">
        <v>523</v>
      </c>
      <c r="G6136" s="72" t="str">
        <f t="shared" si="115"/>
        <v/>
      </c>
      <c r="H6136" s="73"/>
      <c r="I6136" s="70"/>
      <c r="J6136" s="141">
        <v>0</v>
      </c>
    </row>
    <row r="6137" spans="1:10" ht="15.75" hidden="1" thickBot="1" x14ac:dyDescent="0.3">
      <c r="A6137" s="239" t="s">
        <v>6228</v>
      </c>
      <c r="B6137" s="228" t="str">
        <f>INDEX(Orçamentária!A:B,MATCH(Composições!A6137,Orçamentária!A:A,0),2)</f>
        <v>Protetor solar</v>
      </c>
      <c r="C6137" s="37"/>
      <c r="D6137" s="22" t="str">
        <f>TRIM(INDEX(Orçamentária!C:C,MATCH(Composições!A6137,Orçamentária!A:A,0),1))</f>
        <v>L</v>
      </c>
      <c r="E6137" s="23"/>
      <c r="F6137" s="45" t="s">
        <v>523</v>
      </c>
      <c r="G6137" s="24" t="str">
        <f t="shared" si="115"/>
        <v/>
      </c>
      <c r="H6137" s="25"/>
      <c r="I6137" s="26"/>
      <c r="J6137" s="141">
        <v>0</v>
      </c>
    </row>
    <row r="6138" spans="1:10" ht="15.75" hidden="1" thickBot="1" x14ac:dyDescent="0.3">
      <c r="A6138" s="242"/>
      <c r="B6138" s="229"/>
      <c r="C6138" s="155"/>
      <c r="D6138" s="155"/>
      <c r="E6138" s="156"/>
      <c r="F6138" s="50" t="s">
        <v>523</v>
      </c>
      <c r="G6138" s="50" t="str">
        <f t="shared" si="115"/>
        <v/>
      </c>
      <c r="H6138" s="69"/>
      <c r="I6138" s="70"/>
      <c r="J6138" s="141">
        <v>0</v>
      </c>
    </row>
    <row r="6139" spans="1:10" ht="15.75" hidden="1" thickBot="1" x14ac:dyDescent="0.3">
      <c r="A6139" s="242"/>
      <c r="B6139" s="229"/>
      <c r="C6139" s="32" t="s">
        <v>3357</v>
      </c>
      <c r="D6139" s="148" t="s">
        <v>20</v>
      </c>
      <c r="E6139" s="149">
        <v>0.5</v>
      </c>
      <c r="F6139" s="27">
        <v>251.77849999999995</v>
      </c>
      <c r="G6139" s="50">
        <f t="shared" si="115"/>
        <v>125.88924999999998</v>
      </c>
      <c r="H6139" s="35">
        <f>SUM(G6139:G6139)</f>
        <v>125.88924999999998</v>
      </c>
      <c r="I6139" s="36"/>
      <c r="J6139" s="141">
        <v>0</v>
      </c>
    </row>
    <row r="6140" spans="1:10" ht="15.75" hidden="1" thickBot="1" x14ac:dyDescent="0.3">
      <c r="A6140" s="243"/>
      <c r="B6140" s="230"/>
      <c r="C6140" s="51"/>
      <c r="D6140" s="151"/>
      <c r="E6140" s="62"/>
      <c r="F6140" s="72" t="s">
        <v>523</v>
      </c>
      <c r="G6140" s="72" t="str">
        <f t="shared" si="115"/>
        <v/>
      </c>
      <c r="H6140" s="73"/>
      <c r="I6140" s="70"/>
      <c r="J6140" s="141">
        <v>0</v>
      </c>
    </row>
    <row r="6141" spans="1:10" ht="15.75" hidden="1" thickBot="1" x14ac:dyDescent="0.3">
      <c r="A6141" s="239" t="s">
        <v>6230</v>
      </c>
      <c r="B6141" s="236" t="str">
        <f>INDEX(Orçamentária!A:B,MATCH(Composições!A6141,Orçamentária!A:A,0),2)</f>
        <v>Carpete em placa para o Bloco 2 (Interlegis) - fornecimento e instalação</v>
      </c>
      <c r="C6141" s="37"/>
      <c r="D6141" s="22" t="str">
        <f>TRIM(INDEX(Orçamentária!C:C,MATCH(Composições!A6141,Orçamentária!A:A,0),1))</f>
        <v>m2</v>
      </c>
      <c r="E6141" s="23"/>
      <c r="F6141" s="38" t="s">
        <v>523</v>
      </c>
      <c r="G6141" s="24" t="str">
        <f t="shared" si="115"/>
        <v/>
      </c>
      <c r="H6141" s="25"/>
      <c r="I6141" s="26"/>
      <c r="J6141" s="141">
        <v>0</v>
      </c>
    </row>
    <row r="6142" spans="1:10" ht="15.75" hidden="1" thickBot="1" x14ac:dyDescent="0.3">
      <c r="A6142" s="240"/>
      <c r="B6142" s="237"/>
      <c r="C6142" s="28"/>
      <c r="D6142" s="28"/>
      <c r="E6142" s="29"/>
      <c r="F6142" s="39" t="s">
        <v>523</v>
      </c>
      <c r="G6142" s="27" t="str">
        <f t="shared" si="115"/>
        <v/>
      </c>
      <c r="H6142" s="31"/>
      <c r="I6142" s="27"/>
      <c r="J6142" s="141">
        <v>0</v>
      </c>
    </row>
    <row r="6143" spans="1:10" ht="15.75" hidden="1" thickBot="1" x14ac:dyDescent="0.3">
      <c r="A6143" s="240"/>
      <c r="B6143" s="237"/>
      <c r="C6143" s="32" t="s">
        <v>713</v>
      </c>
      <c r="D6143" s="32" t="s">
        <v>705</v>
      </c>
      <c r="E6143" s="33">
        <f>0.1*1.3</f>
        <v>0.13</v>
      </c>
      <c r="F6143" s="27">
        <v>24.889999999999997</v>
      </c>
      <c r="G6143" s="30">
        <f t="shared" si="115"/>
        <v>3.2356999999999996</v>
      </c>
      <c r="H6143" s="35">
        <f>SUM(G6143:G6150)</f>
        <v>15.261464999999999</v>
      </c>
      <c r="I6143" s="36"/>
      <c r="J6143" s="141">
        <v>0</v>
      </c>
    </row>
    <row r="6144" spans="1:10" ht="15.75" hidden="1" thickBot="1" x14ac:dyDescent="0.3">
      <c r="A6144" s="240"/>
      <c r="B6144" s="237"/>
      <c r="C6144" s="32" t="s">
        <v>706</v>
      </c>
      <c r="D6144" s="32" t="s">
        <v>705</v>
      </c>
      <c r="E6144" s="33">
        <f>0.1*1.3</f>
        <v>0.13</v>
      </c>
      <c r="F6144" s="27">
        <v>18.420500000000001</v>
      </c>
      <c r="G6144" s="30">
        <f t="shared" si="115"/>
        <v>2.3946650000000003</v>
      </c>
      <c r="H6144" s="31"/>
      <c r="I6144" s="27"/>
      <c r="J6144" s="141">
        <v>0</v>
      </c>
    </row>
    <row r="6145" spans="1:10" ht="15.75" hidden="1" thickBot="1" x14ac:dyDescent="0.3">
      <c r="A6145" s="240"/>
      <c r="B6145" s="237"/>
      <c r="C6145" s="32" t="s">
        <v>6443</v>
      </c>
      <c r="D6145" s="32" t="s">
        <v>901</v>
      </c>
      <c r="E6145" s="33">
        <v>0.1</v>
      </c>
      <c r="F6145" s="30" t="s">
        <v>523</v>
      </c>
      <c r="G6145" s="27" t="str">
        <f t="shared" si="115"/>
        <v/>
      </c>
      <c r="H6145" s="31"/>
      <c r="I6145" s="27"/>
      <c r="J6145" s="141">
        <v>0</v>
      </c>
    </row>
    <row r="6146" spans="1:10" ht="26.25" hidden="1" thickBot="1" x14ac:dyDescent="0.3">
      <c r="A6146" s="240"/>
      <c r="B6146" s="237"/>
      <c r="C6146" s="32" t="s">
        <v>6444</v>
      </c>
      <c r="D6146" s="32" t="s">
        <v>95</v>
      </c>
      <c r="E6146" s="33">
        <v>1.1000000000000001</v>
      </c>
      <c r="F6146" s="27" t="s">
        <v>523</v>
      </c>
      <c r="G6146" s="30" t="str">
        <f t="shared" si="115"/>
        <v/>
      </c>
      <c r="H6146" s="31"/>
      <c r="I6146" s="36"/>
      <c r="J6146" s="141">
        <v>0</v>
      </c>
    </row>
    <row r="6147" spans="1:10" ht="15.75" hidden="1" thickBot="1" x14ac:dyDescent="0.3">
      <c r="A6147" s="240"/>
      <c r="B6147" s="237"/>
      <c r="C6147" s="32" t="s">
        <v>713</v>
      </c>
      <c r="D6147" s="32" t="s">
        <v>705</v>
      </c>
      <c r="E6147" s="33">
        <v>0.2</v>
      </c>
      <c r="F6147" s="27">
        <v>24.889999999999997</v>
      </c>
      <c r="G6147" s="30">
        <f t="shared" si="115"/>
        <v>4.9779999999999998</v>
      </c>
      <c r="H6147" s="31"/>
      <c r="I6147" s="27"/>
      <c r="J6147" s="141">
        <v>0</v>
      </c>
    </row>
    <row r="6148" spans="1:10" ht="15.75" hidden="1" thickBot="1" x14ac:dyDescent="0.3">
      <c r="A6148" s="240"/>
      <c r="B6148" s="237"/>
      <c r="C6148" s="32" t="s">
        <v>706</v>
      </c>
      <c r="D6148" s="32" t="s">
        <v>705</v>
      </c>
      <c r="E6148" s="33">
        <v>0.2</v>
      </c>
      <c r="F6148" s="30">
        <v>18.420500000000001</v>
      </c>
      <c r="G6148" s="27">
        <f t="shared" si="115"/>
        <v>3.6841000000000004</v>
      </c>
      <c r="H6148" s="31"/>
      <c r="I6148" s="27"/>
      <c r="J6148" s="141">
        <v>0</v>
      </c>
    </row>
    <row r="6149" spans="1:10" ht="15.75" hidden="1" thickBot="1" x14ac:dyDescent="0.3">
      <c r="A6149" s="240"/>
      <c r="B6149" s="237"/>
      <c r="C6149" s="32" t="s">
        <v>750</v>
      </c>
      <c r="D6149" s="32" t="s">
        <v>901</v>
      </c>
      <c r="E6149" s="33">
        <v>1.5</v>
      </c>
      <c r="F6149" s="27">
        <v>0.64600000000000002</v>
      </c>
      <c r="G6149" s="30">
        <f t="shared" si="115"/>
        <v>0.96900000000000008</v>
      </c>
      <c r="H6149" s="31"/>
      <c r="I6149" s="36"/>
      <c r="J6149" s="141">
        <v>0</v>
      </c>
    </row>
    <row r="6150" spans="1:10" ht="15.75" hidden="1" thickBot="1" x14ac:dyDescent="0.3">
      <c r="A6150" s="240"/>
      <c r="B6150" s="237"/>
      <c r="C6150" s="32" t="s">
        <v>1416</v>
      </c>
      <c r="D6150" s="32" t="s">
        <v>901</v>
      </c>
      <c r="E6150" s="33">
        <f>ROUND(E6149*0.1,2)</f>
        <v>0.15</v>
      </c>
      <c r="F6150" s="27" t="s">
        <v>523</v>
      </c>
      <c r="G6150" s="30" t="str">
        <f t="shared" si="115"/>
        <v/>
      </c>
      <c r="H6150" s="31"/>
      <c r="I6150" s="27"/>
      <c r="J6150" s="141">
        <v>0</v>
      </c>
    </row>
    <row r="6151" spans="1:10" ht="15.75" hidden="1" thickBot="1" x14ac:dyDescent="0.3">
      <c r="A6151" s="241"/>
      <c r="B6151" s="238"/>
      <c r="C6151" s="32"/>
      <c r="D6151" s="32"/>
      <c r="E6151" s="33"/>
      <c r="F6151" s="27" t="s">
        <v>523</v>
      </c>
      <c r="G6151" s="27" t="str">
        <f t="shared" si="115"/>
        <v/>
      </c>
      <c r="H6151" s="31"/>
      <c r="I6151" s="27"/>
      <c r="J6151" s="141">
        <v>0</v>
      </c>
    </row>
    <row r="6152" spans="1:10" ht="15.75" hidden="1" thickBot="1" x14ac:dyDescent="0.3">
      <c r="A6152" s="239" t="s">
        <v>6231</v>
      </c>
      <c r="B6152" s="236" t="str">
        <f>INDEX(Orçamentária!A:B,MATCH(Composições!A6152,Orçamentária!A:A,0),2)</f>
        <v>Carpete em rolo para o Bloco 2 (Interlegis) - fornecimento e instalação</v>
      </c>
      <c r="C6152" s="37"/>
      <c r="D6152" s="22" t="str">
        <f>TRIM(INDEX(Orçamentária!C:C,MATCH(Composições!A6152,Orçamentária!A:A,0),1))</f>
        <v>m2</v>
      </c>
      <c r="E6152" s="23"/>
      <c r="F6152" s="38" t="s">
        <v>523</v>
      </c>
      <c r="G6152" s="24" t="str">
        <f t="shared" si="115"/>
        <v/>
      </c>
      <c r="H6152" s="25"/>
      <c r="I6152" s="26"/>
      <c r="J6152" s="141">
        <v>0</v>
      </c>
    </row>
    <row r="6153" spans="1:10" ht="15.75" hidden="1" thickBot="1" x14ac:dyDescent="0.3">
      <c r="A6153" s="240"/>
      <c r="B6153" s="237"/>
      <c r="C6153" s="28"/>
      <c r="D6153" s="28"/>
      <c r="E6153" s="29"/>
      <c r="F6153" s="39" t="s">
        <v>523</v>
      </c>
      <c r="G6153" s="27" t="str">
        <f t="shared" si="115"/>
        <v/>
      </c>
      <c r="H6153" s="31"/>
      <c r="I6153" s="27"/>
      <c r="J6153" s="141">
        <v>0</v>
      </c>
    </row>
    <row r="6154" spans="1:10" ht="15.75" hidden="1" thickBot="1" x14ac:dyDescent="0.3">
      <c r="A6154" s="240"/>
      <c r="B6154" s="237"/>
      <c r="C6154" s="32" t="s">
        <v>713</v>
      </c>
      <c r="D6154" s="32" t="s">
        <v>705</v>
      </c>
      <c r="E6154" s="33">
        <v>0.1</v>
      </c>
      <c r="F6154" s="27">
        <v>24.889999999999997</v>
      </c>
      <c r="G6154" s="30">
        <f t="shared" si="115"/>
        <v>2.4889999999999999</v>
      </c>
      <c r="H6154" s="35">
        <f>SUM(G6154:G6161)</f>
        <v>13.962149999999999</v>
      </c>
      <c r="I6154" s="36"/>
      <c r="J6154" s="141">
        <v>0</v>
      </c>
    </row>
    <row r="6155" spans="1:10" ht="15.75" hidden="1" thickBot="1" x14ac:dyDescent="0.3">
      <c r="A6155" s="240"/>
      <c r="B6155" s="237"/>
      <c r="C6155" s="32" t="s">
        <v>706</v>
      </c>
      <c r="D6155" s="32" t="s">
        <v>705</v>
      </c>
      <c r="E6155" s="33">
        <v>0.1</v>
      </c>
      <c r="F6155" s="27">
        <v>18.420500000000001</v>
      </c>
      <c r="G6155" s="30">
        <f t="shared" si="115"/>
        <v>1.8420500000000002</v>
      </c>
      <c r="H6155" s="31"/>
      <c r="I6155" s="27"/>
      <c r="J6155" s="141">
        <v>0</v>
      </c>
    </row>
    <row r="6156" spans="1:10" ht="15.75" hidden="1" thickBot="1" x14ac:dyDescent="0.3">
      <c r="A6156" s="240"/>
      <c r="B6156" s="237"/>
      <c r="C6156" s="32" t="s">
        <v>6443</v>
      </c>
      <c r="D6156" s="32" t="s">
        <v>901</v>
      </c>
      <c r="E6156" s="33">
        <v>0.1</v>
      </c>
      <c r="F6156" s="30" t="s">
        <v>523</v>
      </c>
      <c r="G6156" s="27" t="str">
        <f t="shared" si="115"/>
        <v/>
      </c>
      <c r="H6156" s="31"/>
      <c r="I6156" s="27"/>
      <c r="J6156" s="141">
        <v>0</v>
      </c>
    </row>
    <row r="6157" spans="1:10" ht="26.25" hidden="1" thickBot="1" x14ac:dyDescent="0.3">
      <c r="A6157" s="240"/>
      <c r="B6157" s="237"/>
      <c r="C6157" s="32" t="s">
        <v>6445</v>
      </c>
      <c r="D6157" s="32" t="s">
        <v>95</v>
      </c>
      <c r="E6157" s="33">
        <v>1.1000000000000001</v>
      </c>
      <c r="F6157" s="27" t="s">
        <v>523</v>
      </c>
      <c r="G6157" s="30" t="str">
        <f t="shared" si="115"/>
        <v/>
      </c>
      <c r="H6157" s="31"/>
      <c r="I6157" s="36"/>
      <c r="J6157" s="141">
        <v>0</v>
      </c>
    </row>
    <row r="6158" spans="1:10" ht="15.75" hidden="1" thickBot="1" x14ac:dyDescent="0.3">
      <c r="A6158" s="240"/>
      <c r="B6158" s="237"/>
      <c r="C6158" s="32" t="s">
        <v>713</v>
      </c>
      <c r="D6158" s="32" t="s">
        <v>705</v>
      </c>
      <c r="E6158" s="33">
        <v>0.2</v>
      </c>
      <c r="F6158" s="27">
        <v>24.889999999999997</v>
      </c>
      <c r="G6158" s="30">
        <f t="shared" si="115"/>
        <v>4.9779999999999998</v>
      </c>
      <c r="H6158" s="31"/>
      <c r="I6158" s="27"/>
      <c r="J6158" s="141">
        <v>0</v>
      </c>
    </row>
    <row r="6159" spans="1:10" ht="15.75" hidden="1" thickBot="1" x14ac:dyDescent="0.3">
      <c r="A6159" s="240"/>
      <c r="B6159" s="237"/>
      <c r="C6159" s="32" t="s">
        <v>706</v>
      </c>
      <c r="D6159" s="32" t="s">
        <v>705</v>
      </c>
      <c r="E6159" s="33">
        <v>0.2</v>
      </c>
      <c r="F6159" s="30">
        <v>18.420500000000001</v>
      </c>
      <c r="G6159" s="27">
        <f t="shared" si="115"/>
        <v>3.6841000000000004</v>
      </c>
      <c r="H6159" s="31"/>
      <c r="I6159" s="27"/>
      <c r="J6159" s="141">
        <v>0</v>
      </c>
    </row>
    <row r="6160" spans="1:10" ht="15.75" hidden="1" thickBot="1" x14ac:dyDescent="0.3">
      <c r="A6160" s="240"/>
      <c r="B6160" s="237"/>
      <c r="C6160" s="32" t="s">
        <v>750</v>
      </c>
      <c r="D6160" s="32" t="s">
        <v>901</v>
      </c>
      <c r="E6160" s="33">
        <v>1.5</v>
      </c>
      <c r="F6160" s="27">
        <v>0.64600000000000002</v>
      </c>
      <c r="G6160" s="30">
        <f t="shared" si="115"/>
        <v>0.96900000000000008</v>
      </c>
      <c r="H6160" s="31"/>
      <c r="I6160" s="36"/>
      <c r="J6160" s="141">
        <v>0</v>
      </c>
    </row>
    <row r="6161" spans="1:10" ht="15.75" hidden="1" thickBot="1" x14ac:dyDescent="0.3">
      <c r="A6161" s="240"/>
      <c r="B6161" s="237"/>
      <c r="C6161" s="32" t="s">
        <v>1416</v>
      </c>
      <c r="D6161" s="32" t="s">
        <v>901</v>
      </c>
      <c r="E6161" s="33">
        <f>ROUND(E6160*0.1,2)</f>
        <v>0.15</v>
      </c>
      <c r="F6161" s="27" t="s">
        <v>523</v>
      </c>
      <c r="G6161" s="30" t="str">
        <f t="shared" si="115"/>
        <v/>
      </c>
      <c r="H6161" s="31"/>
      <c r="I6161" s="27"/>
      <c r="J6161" s="141">
        <v>0</v>
      </c>
    </row>
    <row r="6162" spans="1:10" ht="15.75" hidden="1" thickBot="1" x14ac:dyDescent="0.3">
      <c r="A6162" s="241"/>
      <c r="B6162" s="238"/>
      <c r="C6162" s="32"/>
      <c r="D6162" s="32"/>
      <c r="E6162" s="33"/>
      <c r="F6162" s="27" t="s">
        <v>523</v>
      </c>
      <c r="G6162" s="27" t="str">
        <f t="shared" si="115"/>
        <v/>
      </c>
      <c r="H6162" s="31"/>
      <c r="I6162" s="27"/>
      <c r="J6162" s="141">
        <v>0</v>
      </c>
    </row>
    <row r="6163" spans="1:10" ht="15.75" hidden="1" thickBot="1" x14ac:dyDescent="0.3">
      <c r="A6163" s="225" t="s">
        <v>6232</v>
      </c>
      <c r="B6163" s="228" t="str">
        <f>INDEX(Orçamentária!A:B,MATCH(Composições!A6163,Orçamentária!A:A,0),2)</f>
        <v>Corte em chapas metálicas</v>
      </c>
      <c r="C6163" s="37"/>
      <c r="D6163" s="22" t="str">
        <f>TRIM(INDEX(Orçamentária!C:C,MATCH(Composições!A6163,Orçamentária!A:A,0),1))</f>
        <v>m</v>
      </c>
      <c r="E6163" s="23"/>
      <c r="F6163" s="45" t="s">
        <v>523</v>
      </c>
      <c r="G6163" s="24" t="str">
        <f t="shared" si="115"/>
        <v/>
      </c>
      <c r="H6163" s="25"/>
      <c r="I6163" s="26"/>
      <c r="J6163" s="141">
        <v>0</v>
      </c>
    </row>
    <row r="6164" spans="1:10" ht="15.75" hidden="1" thickBot="1" x14ac:dyDescent="0.3">
      <c r="A6164" s="231"/>
      <c r="B6164" s="229"/>
      <c r="C6164" s="155"/>
      <c r="D6164" s="155"/>
      <c r="E6164" s="156"/>
      <c r="F6164" s="50" t="s">
        <v>523</v>
      </c>
      <c r="G6164" s="50" t="str">
        <f t="shared" si="115"/>
        <v/>
      </c>
      <c r="H6164" s="69"/>
      <c r="I6164" s="70"/>
      <c r="J6164" s="141">
        <v>0</v>
      </c>
    </row>
    <row r="6165" spans="1:10" ht="26.25" hidden="1" thickBot="1" x14ac:dyDescent="0.3">
      <c r="A6165" s="231"/>
      <c r="B6165" s="229"/>
      <c r="C6165" s="32" t="s">
        <v>133</v>
      </c>
      <c r="D6165" s="148" t="s">
        <v>109</v>
      </c>
      <c r="E6165" s="149">
        <v>0.23</v>
      </c>
      <c r="F6165" s="27">
        <v>11.7895</v>
      </c>
      <c r="G6165" s="50">
        <f t="shared" si="115"/>
        <v>2.7115850000000004</v>
      </c>
      <c r="H6165" s="35">
        <f>SUM(G6165:G6168)</f>
        <v>10.981650399999999</v>
      </c>
      <c r="I6165" s="36"/>
      <c r="J6165" s="141">
        <v>0</v>
      </c>
    </row>
    <row r="6166" spans="1:10" ht="39" hidden="1" thickBot="1" x14ac:dyDescent="0.3">
      <c r="A6166" s="231"/>
      <c r="B6166" s="229"/>
      <c r="C6166" s="32" t="s">
        <v>7716</v>
      </c>
      <c r="D6166" s="148" t="s">
        <v>42</v>
      </c>
      <c r="E6166" s="149">
        <v>3.2000000000000001E-2</v>
      </c>
      <c r="F6166" s="27">
        <v>53.798499999999997</v>
      </c>
      <c r="G6166" s="50">
        <f t="shared" si="115"/>
        <v>1.721552</v>
      </c>
      <c r="H6166" s="40"/>
      <c r="I6166" s="36"/>
      <c r="J6166" s="141">
        <v>0</v>
      </c>
    </row>
    <row r="6167" spans="1:10" ht="15.75" hidden="1" thickBot="1" x14ac:dyDescent="0.3">
      <c r="A6167" s="231"/>
      <c r="B6167" s="229"/>
      <c r="C6167" s="32" t="s">
        <v>619</v>
      </c>
      <c r="D6167" s="148" t="s">
        <v>705</v>
      </c>
      <c r="E6167" s="149">
        <v>9.2700000000000005E-2</v>
      </c>
      <c r="F6167" s="27">
        <v>19.588999999999999</v>
      </c>
      <c r="G6167" s="50">
        <f t="shared" si="115"/>
        <v>1.8159003</v>
      </c>
      <c r="H6167" s="40"/>
      <c r="I6167" s="36"/>
      <c r="J6167" s="141">
        <v>0</v>
      </c>
    </row>
    <row r="6168" spans="1:10" ht="15.75" hidden="1" thickBot="1" x14ac:dyDescent="0.3">
      <c r="A6168" s="231"/>
      <c r="B6168" s="229"/>
      <c r="C6168" s="32" t="s">
        <v>3243</v>
      </c>
      <c r="D6168" s="148" t="s">
        <v>705</v>
      </c>
      <c r="E6168" s="149">
        <v>0.18540000000000001</v>
      </c>
      <c r="F6168" s="27">
        <v>25.526499999999999</v>
      </c>
      <c r="G6168" s="50">
        <f t="shared" si="115"/>
        <v>4.7326131</v>
      </c>
      <c r="H6168" s="40"/>
      <c r="I6168" s="36"/>
      <c r="J6168" s="141">
        <v>0</v>
      </c>
    </row>
    <row r="6169" spans="1:10" ht="15.75" hidden="1" thickBot="1" x14ac:dyDescent="0.3">
      <c r="A6169" s="232"/>
      <c r="B6169" s="230"/>
      <c r="C6169" s="32"/>
      <c r="D6169" s="148"/>
      <c r="E6169" s="149"/>
      <c r="F6169" s="27" t="s">
        <v>523</v>
      </c>
      <c r="G6169" s="50"/>
      <c r="H6169" s="40"/>
      <c r="I6169" s="36"/>
      <c r="J6169" s="141">
        <v>0</v>
      </c>
    </row>
    <row r="6170" spans="1:10" ht="15.75" hidden="1" thickBot="1" x14ac:dyDescent="0.3">
      <c r="A6170" s="225" t="s">
        <v>6233</v>
      </c>
      <c r="B6170" s="228" t="str">
        <f>INDEX(Orçamentária!A:B,MATCH(Composições!A6170,Orçamentária!A:A,0),2)</f>
        <v>Remoção de revestimento em chapa de alumínio ACM para aproveitamento</v>
      </c>
      <c r="C6170" s="37"/>
      <c r="D6170" s="22" t="str">
        <f>TRIM(INDEX(Orçamentária!C:C,MATCH(Composições!A6170,Orçamentária!A:A,0),1))</f>
        <v>m2</v>
      </c>
      <c r="E6170" s="23"/>
      <c r="F6170" s="45" t="s">
        <v>523</v>
      </c>
      <c r="G6170" s="24" t="str">
        <f>IF(ISNUMBER(F6170),E6170*F6170,"")</f>
        <v/>
      </c>
      <c r="H6170" s="25"/>
      <c r="I6170" s="26"/>
      <c r="J6170" s="141">
        <v>0</v>
      </c>
    </row>
    <row r="6171" spans="1:10" ht="15.75" hidden="1" thickBot="1" x14ac:dyDescent="0.3">
      <c r="A6171" s="231"/>
      <c r="B6171" s="229"/>
      <c r="C6171" s="155"/>
      <c r="D6171" s="155"/>
      <c r="E6171" s="156"/>
      <c r="F6171" s="50" t="s">
        <v>523</v>
      </c>
      <c r="G6171" s="50" t="str">
        <f>IF(ISNUMBER(F6171),E6171*F6171,"")</f>
        <v/>
      </c>
      <c r="H6171" s="69"/>
      <c r="I6171" s="70"/>
      <c r="J6171" s="141">
        <v>0</v>
      </c>
    </row>
    <row r="6172" spans="1:10" ht="15.75" hidden="1" thickBot="1" x14ac:dyDescent="0.3">
      <c r="A6172" s="231"/>
      <c r="B6172" s="229"/>
      <c r="C6172" s="32" t="s">
        <v>713</v>
      </c>
      <c r="D6172" s="32" t="s">
        <v>705</v>
      </c>
      <c r="E6172" s="33">
        <v>0.5</v>
      </c>
      <c r="F6172" s="27">
        <v>24.889999999999997</v>
      </c>
      <c r="G6172" s="30">
        <f>IF(ISNUMBER(F6172),E6172*F6172,"")</f>
        <v>12.444999999999999</v>
      </c>
      <c r="H6172" s="35">
        <f>SUM(G6172:G6173)</f>
        <v>30.865499999999997</v>
      </c>
      <c r="I6172" s="36"/>
      <c r="J6172" s="141">
        <v>0</v>
      </c>
    </row>
    <row r="6173" spans="1:10" ht="15.75" hidden="1" thickBot="1" x14ac:dyDescent="0.3">
      <c r="A6173" s="231"/>
      <c r="B6173" s="229"/>
      <c r="C6173" s="32" t="s">
        <v>706</v>
      </c>
      <c r="D6173" s="32" t="s">
        <v>705</v>
      </c>
      <c r="E6173" s="33">
        <v>1</v>
      </c>
      <c r="F6173" s="30">
        <v>18.420500000000001</v>
      </c>
      <c r="G6173" s="27">
        <f>IF(ISNUMBER(F6173),E6173*F6173,"")</f>
        <v>18.420500000000001</v>
      </c>
      <c r="H6173" s="40"/>
      <c r="I6173" s="36"/>
      <c r="J6173" s="141">
        <v>0</v>
      </c>
    </row>
    <row r="6174" spans="1:10" ht="15.75" hidden="1" thickBot="1" x14ac:dyDescent="0.3">
      <c r="A6174" s="232"/>
      <c r="B6174" s="230"/>
      <c r="C6174" s="32"/>
      <c r="D6174" s="148"/>
      <c r="E6174" s="149"/>
      <c r="F6174" s="27" t="s">
        <v>523</v>
      </c>
      <c r="G6174" s="50"/>
      <c r="H6174" s="40"/>
      <c r="I6174" s="36"/>
      <c r="J6174" s="141">
        <v>0</v>
      </c>
    </row>
    <row r="6175" spans="1:10" ht="15.75" hidden="1" thickBot="1" x14ac:dyDescent="0.3">
      <c r="A6175" s="225" t="s">
        <v>6234</v>
      </c>
      <c r="B6175" s="228" t="str">
        <f>INDEX(Orçamentária!A:B,MATCH(Composições!A6175,Orçamentária!A:A,0),2)</f>
        <v>Instalação de revestimento em chapa de alumínio ACM reaproveitado</v>
      </c>
      <c r="C6175" s="37"/>
      <c r="D6175" s="22" t="str">
        <f>TRIM(INDEX(Orçamentária!C:C,MATCH(Composições!A6175,Orçamentária!A:A,0),1))</f>
        <v>m2</v>
      </c>
      <c r="E6175" s="23"/>
      <c r="F6175" s="45" t="s">
        <v>523</v>
      </c>
      <c r="G6175" s="24" t="str">
        <f>IF(ISNUMBER(F6175),E6175*F6175,"")</f>
        <v/>
      </c>
      <c r="H6175" s="25"/>
      <c r="I6175" s="26"/>
      <c r="J6175" s="141">
        <v>0</v>
      </c>
    </row>
    <row r="6176" spans="1:10" ht="15.75" hidden="1" thickBot="1" x14ac:dyDescent="0.3">
      <c r="A6176" s="231"/>
      <c r="B6176" s="229"/>
      <c r="C6176" s="155"/>
      <c r="D6176" s="155"/>
      <c r="E6176" s="156"/>
      <c r="F6176" s="50" t="s">
        <v>523</v>
      </c>
      <c r="G6176" s="50" t="str">
        <f>IF(ISNUMBER(F6176),E6176*F6176,"")</f>
        <v/>
      </c>
      <c r="H6176" s="69"/>
      <c r="I6176" s="70"/>
      <c r="J6176" s="141">
        <v>0</v>
      </c>
    </row>
    <row r="6177" spans="1:10" ht="15.75" hidden="1" thickBot="1" x14ac:dyDescent="0.3">
      <c r="A6177" s="231"/>
      <c r="B6177" s="229"/>
      <c r="C6177" s="32" t="s">
        <v>713</v>
      </c>
      <c r="D6177" s="32" t="s">
        <v>705</v>
      </c>
      <c r="E6177" s="33">
        <v>1.5</v>
      </c>
      <c r="F6177" s="27">
        <v>24.889999999999997</v>
      </c>
      <c r="G6177" s="30">
        <f>IF(ISNUMBER(F6177),E6177*F6177,"")</f>
        <v>37.334999999999994</v>
      </c>
      <c r="H6177" s="35">
        <f>SUM(G6177:G6178)</f>
        <v>55.755499999999998</v>
      </c>
      <c r="I6177" s="36"/>
      <c r="J6177" s="141">
        <v>0</v>
      </c>
    </row>
    <row r="6178" spans="1:10" ht="15.75" hidden="1" thickBot="1" x14ac:dyDescent="0.3">
      <c r="A6178" s="231"/>
      <c r="B6178" s="229"/>
      <c r="C6178" s="32" t="s">
        <v>706</v>
      </c>
      <c r="D6178" s="32" t="s">
        <v>705</v>
      </c>
      <c r="E6178" s="33">
        <v>1</v>
      </c>
      <c r="F6178" s="30">
        <v>18.420500000000001</v>
      </c>
      <c r="G6178" s="27">
        <f>IF(ISNUMBER(F6178),E6178*F6178,"")</f>
        <v>18.420500000000001</v>
      </c>
      <c r="H6178" s="40"/>
      <c r="I6178" s="36"/>
      <c r="J6178" s="141">
        <v>0</v>
      </c>
    </row>
    <row r="6179" spans="1:10" ht="15.75" hidden="1" thickBot="1" x14ac:dyDescent="0.3">
      <c r="A6179" s="232"/>
      <c r="B6179" s="230"/>
      <c r="C6179" s="32"/>
      <c r="D6179" s="148"/>
      <c r="E6179" s="149"/>
      <c r="F6179" s="27" t="s">
        <v>523</v>
      </c>
      <c r="G6179" s="50"/>
      <c r="H6179" s="40"/>
      <c r="I6179" s="36"/>
      <c r="J6179" s="141">
        <v>0</v>
      </c>
    </row>
    <row r="6180" spans="1:10" ht="15.75" hidden="1" thickBot="1" x14ac:dyDescent="0.3">
      <c r="A6180" s="225" t="s">
        <v>6235</v>
      </c>
      <c r="B6180" s="228" t="str">
        <f>INDEX(Orçamentária!A:B,MATCH(Composições!A6180,Orçamentária!A:A,0),2)</f>
        <v>Graute industrializado, fck ≥ 100MPa</v>
      </c>
      <c r="C6180" s="37"/>
      <c r="D6180" s="22" t="str">
        <f>TRIM(INDEX(Orçamentária!C:C,MATCH(Composições!A6180,Orçamentária!A:A,0),1))</f>
        <v>m3</v>
      </c>
      <c r="E6180" s="23"/>
      <c r="F6180" s="45" t="s">
        <v>523</v>
      </c>
      <c r="G6180" s="24" t="str">
        <f>IF(ISNUMBER(F6180),E6180*F6180,"")</f>
        <v/>
      </c>
      <c r="H6180" s="25"/>
      <c r="I6180" s="26"/>
      <c r="J6180" s="141">
        <v>0</v>
      </c>
    </row>
    <row r="6181" spans="1:10" ht="15.75" hidden="1" thickBot="1" x14ac:dyDescent="0.3">
      <c r="A6181" s="231"/>
      <c r="B6181" s="229"/>
      <c r="C6181" s="155"/>
      <c r="D6181" s="155"/>
      <c r="E6181" s="156"/>
      <c r="F6181" s="50" t="s">
        <v>523</v>
      </c>
      <c r="G6181" s="50" t="str">
        <f>IF(ISNUMBER(F6181),E6181*F6181,"")</f>
        <v/>
      </c>
      <c r="H6181" s="69"/>
      <c r="I6181" s="70"/>
      <c r="J6181" s="141">
        <v>0</v>
      </c>
    </row>
    <row r="6182" spans="1:10" ht="15.75" hidden="1" thickBot="1" x14ac:dyDescent="0.3">
      <c r="A6182" s="231"/>
      <c r="B6182" s="229"/>
      <c r="C6182" s="32" t="s">
        <v>713</v>
      </c>
      <c r="D6182" s="148" t="s">
        <v>705</v>
      </c>
      <c r="E6182" s="149">
        <v>0.74148000000000003</v>
      </c>
      <c r="F6182" s="27">
        <v>24.889999999999997</v>
      </c>
      <c r="G6182" s="50">
        <f>IF(ISNUMBER(F6182),E6182*F6182,"")</f>
        <v>18.455437199999999</v>
      </c>
      <c r="H6182" s="35">
        <f>SUM(G6182:G6184)</f>
        <v>109.51165280000001</v>
      </c>
      <c r="I6182" s="36"/>
      <c r="J6182" s="141">
        <v>0</v>
      </c>
    </row>
    <row r="6183" spans="1:10" ht="15.75" hidden="1" thickBot="1" x14ac:dyDescent="0.3">
      <c r="A6183" s="231"/>
      <c r="B6183" s="229"/>
      <c r="C6183" s="32" t="s">
        <v>706</v>
      </c>
      <c r="D6183" s="148" t="s">
        <v>705</v>
      </c>
      <c r="E6183" s="149">
        <v>4.9432</v>
      </c>
      <c r="F6183" s="27">
        <v>18.420500000000001</v>
      </c>
      <c r="G6183" s="50">
        <f>IF(ISNUMBER(F6183),E6183*F6183,"")</f>
        <v>91.056215600000002</v>
      </c>
      <c r="H6183" s="40"/>
      <c r="I6183" s="36"/>
      <c r="J6183" s="141">
        <v>0</v>
      </c>
    </row>
    <row r="6184" spans="1:10" ht="15.75" hidden="1" thickBot="1" x14ac:dyDescent="0.3">
      <c r="A6184" s="231"/>
      <c r="B6184" s="229"/>
      <c r="C6184" s="32" t="s">
        <v>6446</v>
      </c>
      <c r="D6184" s="148" t="s">
        <v>42</v>
      </c>
      <c r="E6184" s="149">
        <f>1.203*2000</f>
        <v>2406</v>
      </c>
      <c r="F6184" s="27" t="s">
        <v>523</v>
      </c>
      <c r="G6184" s="50" t="str">
        <f>IF(ISNUMBER(F6184),E6184*F6184,"")</f>
        <v/>
      </c>
      <c r="H6184" s="40"/>
      <c r="I6184" s="36"/>
      <c r="J6184" s="141">
        <v>0</v>
      </c>
    </row>
    <row r="6185" spans="1:10" ht="15.75" hidden="1" thickBot="1" x14ac:dyDescent="0.3">
      <c r="A6185" s="231"/>
      <c r="B6185" s="229"/>
      <c r="C6185" s="32"/>
      <c r="D6185" s="148"/>
      <c r="E6185" s="149"/>
      <c r="F6185" s="27" t="s">
        <v>523</v>
      </c>
      <c r="G6185" s="50"/>
      <c r="H6185" s="40"/>
      <c r="I6185" s="36"/>
      <c r="J6185" s="141">
        <v>0</v>
      </c>
    </row>
    <row r="6186" spans="1:10" ht="15.75" hidden="1" thickBot="1" x14ac:dyDescent="0.3">
      <c r="A6186" s="231"/>
      <c r="B6186" s="229"/>
      <c r="C6186" s="2" t="s">
        <v>6447</v>
      </c>
      <c r="D6186" s="148"/>
      <c r="E6186" s="149"/>
      <c r="F6186" s="27" t="s">
        <v>523</v>
      </c>
      <c r="G6186" s="50"/>
      <c r="H6186" s="40"/>
      <c r="I6186" s="36"/>
      <c r="J6186" s="141">
        <v>0</v>
      </c>
    </row>
    <row r="6187" spans="1:10" ht="15.75" hidden="1" thickBot="1" x14ac:dyDescent="0.3">
      <c r="A6187" s="232"/>
      <c r="B6187" s="230"/>
      <c r="C6187" s="32"/>
      <c r="D6187" s="148"/>
      <c r="E6187" s="149"/>
      <c r="F6187" s="27" t="s">
        <v>523</v>
      </c>
      <c r="G6187" s="50"/>
      <c r="H6187" s="40"/>
      <c r="I6187" s="36"/>
      <c r="J6187" s="141">
        <v>0</v>
      </c>
    </row>
    <row r="6188" spans="1:10" ht="15.75" hidden="1" thickBot="1" x14ac:dyDescent="0.3">
      <c r="A6188" s="225" t="s">
        <v>6236</v>
      </c>
      <c r="B6188" s="228" t="str">
        <f>INDEX(Orçamentária!A:B,MATCH(Composições!A6188,Orçamentária!A:A,0),2)</f>
        <v>Armação de aço CA-25 bitola de 16mm</v>
      </c>
      <c r="C6188" s="37"/>
      <c r="D6188" s="22" t="str">
        <f>TRIM(INDEX(Orçamentária!C:C,MATCH(Composições!A6188,Orçamentária!A:A,0),1))</f>
        <v>kg</v>
      </c>
      <c r="E6188" s="23"/>
      <c r="F6188" s="45" t="s">
        <v>523</v>
      </c>
      <c r="G6188" s="24" t="str">
        <f t="shared" ref="G6188:G6194" si="116">IF(ISNUMBER(F6188),E6188*F6188,"")</f>
        <v/>
      </c>
      <c r="H6188" s="25"/>
      <c r="I6188" s="26"/>
      <c r="J6188" s="141">
        <v>0</v>
      </c>
    </row>
    <row r="6189" spans="1:10" ht="15.75" hidden="1" thickBot="1" x14ac:dyDescent="0.3">
      <c r="A6189" s="231"/>
      <c r="B6189" s="229"/>
      <c r="C6189" s="155"/>
      <c r="D6189" s="155"/>
      <c r="E6189" s="156"/>
      <c r="F6189" s="50" t="s">
        <v>523</v>
      </c>
      <c r="G6189" s="50" t="str">
        <f t="shared" si="116"/>
        <v/>
      </c>
      <c r="H6189" s="69"/>
      <c r="I6189" s="70"/>
      <c r="J6189" s="141">
        <v>0</v>
      </c>
    </row>
    <row r="6190" spans="1:10" ht="39" hidden="1" thickBot="1" x14ac:dyDescent="0.3">
      <c r="A6190" s="231"/>
      <c r="B6190" s="229"/>
      <c r="C6190" s="32" t="s">
        <v>902</v>
      </c>
      <c r="D6190" s="148" t="s">
        <v>280</v>
      </c>
      <c r="E6190" s="149">
        <v>0.21199999999999999</v>
      </c>
      <c r="F6190" s="27">
        <v>0.20899999999999999</v>
      </c>
      <c r="G6190" s="50">
        <f t="shared" si="116"/>
        <v>4.4308E-2</v>
      </c>
      <c r="H6190" s="35">
        <f>SUM(G6190:G6194)</f>
        <v>13.552828250000001</v>
      </c>
      <c r="I6190" s="36"/>
      <c r="J6190" s="141">
        <v>0</v>
      </c>
    </row>
    <row r="6191" spans="1:10" ht="26.25" hidden="1" thickBot="1" x14ac:dyDescent="0.3">
      <c r="A6191" s="231"/>
      <c r="B6191" s="229"/>
      <c r="C6191" s="32" t="s">
        <v>3513</v>
      </c>
      <c r="D6191" s="148" t="s">
        <v>901</v>
      </c>
      <c r="E6191" s="149">
        <v>2.5000000000000001E-2</v>
      </c>
      <c r="F6191" s="27">
        <v>22.61</v>
      </c>
      <c r="G6191" s="50">
        <f t="shared" si="116"/>
        <v>0.56525000000000003</v>
      </c>
      <c r="H6191" s="40"/>
      <c r="I6191" s="36"/>
      <c r="J6191" s="141">
        <v>0</v>
      </c>
    </row>
    <row r="6192" spans="1:10" ht="15.75" hidden="1" thickBot="1" x14ac:dyDescent="0.3">
      <c r="A6192" s="231"/>
      <c r="B6192" s="229"/>
      <c r="C6192" s="32" t="s">
        <v>903</v>
      </c>
      <c r="D6192" s="148" t="s">
        <v>705</v>
      </c>
      <c r="E6192" s="149">
        <v>4.3E-3</v>
      </c>
      <c r="F6192" s="27">
        <v>18.3825</v>
      </c>
      <c r="G6192" s="50">
        <f t="shared" si="116"/>
        <v>7.9044749999999997E-2</v>
      </c>
      <c r="H6192" s="40"/>
      <c r="I6192" s="36"/>
      <c r="J6192" s="141">
        <v>0</v>
      </c>
    </row>
    <row r="6193" spans="1:10" ht="15.75" hidden="1" thickBot="1" x14ac:dyDescent="0.3">
      <c r="A6193" s="231"/>
      <c r="B6193" s="229"/>
      <c r="C6193" s="32" t="s">
        <v>904</v>
      </c>
      <c r="D6193" s="148" t="s">
        <v>705</v>
      </c>
      <c r="E6193" s="149">
        <v>2.6100000000000002E-2</v>
      </c>
      <c r="F6193" s="27">
        <v>24.747499999999999</v>
      </c>
      <c r="G6193" s="50">
        <f t="shared" si="116"/>
        <v>0.64590975000000006</v>
      </c>
      <c r="H6193" s="40"/>
      <c r="I6193" s="36"/>
      <c r="J6193" s="141">
        <v>0</v>
      </c>
    </row>
    <row r="6194" spans="1:10" ht="15.75" hidden="1" thickBot="1" x14ac:dyDescent="0.3">
      <c r="A6194" s="231"/>
      <c r="B6194" s="229"/>
      <c r="C6194" s="32" t="s">
        <v>3216</v>
      </c>
      <c r="D6194" s="148" t="s">
        <v>901</v>
      </c>
      <c r="E6194" s="149">
        <v>1</v>
      </c>
      <c r="F6194" s="27">
        <v>12.21831575</v>
      </c>
      <c r="G6194" s="50">
        <f t="shared" si="116"/>
        <v>12.21831575</v>
      </c>
      <c r="H6194" s="40"/>
      <c r="I6194" s="36"/>
      <c r="J6194" s="141">
        <v>0</v>
      </c>
    </row>
    <row r="6195" spans="1:10" ht="15.75" hidden="1" thickBot="1" x14ac:dyDescent="0.3">
      <c r="A6195" s="232"/>
      <c r="B6195" s="230"/>
      <c r="C6195" s="32"/>
      <c r="D6195" s="148"/>
      <c r="E6195" s="149"/>
      <c r="F6195" s="27" t="s">
        <v>523</v>
      </c>
      <c r="G6195" s="50"/>
      <c r="H6195" s="40"/>
      <c r="I6195" s="36"/>
      <c r="J6195" s="141">
        <v>0</v>
      </c>
    </row>
    <row r="6196" spans="1:10" ht="15.75" hidden="1" thickBot="1" x14ac:dyDescent="0.3">
      <c r="A6196" s="225" t="s">
        <v>6237</v>
      </c>
      <c r="B6196" s="228" t="str">
        <f>INDEX(Orçamentária!A:B,MATCH(Composições!A6196,Orçamentária!A:A,0),2)</f>
        <v>Concreto virado em betoneira, fck = 20MPa</v>
      </c>
      <c r="C6196" s="37"/>
      <c r="D6196" s="22" t="str">
        <f>TRIM(INDEX(Orçamentária!C:C,MATCH(Composições!A6196,Orçamentária!A:A,0),1))</f>
        <v>m3</v>
      </c>
      <c r="E6196" s="23"/>
      <c r="F6196" s="45" t="s">
        <v>523</v>
      </c>
      <c r="G6196" s="24" t="str">
        <f t="shared" ref="G6196:G6203" si="117">IF(ISNUMBER(F6196),E6196*F6196,"")</f>
        <v/>
      </c>
      <c r="H6196" s="25"/>
      <c r="I6196" s="26"/>
      <c r="J6196" s="141">
        <v>0</v>
      </c>
    </row>
    <row r="6197" spans="1:10" ht="15.75" hidden="1" thickBot="1" x14ac:dyDescent="0.3">
      <c r="A6197" s="231"/>
      <c r="B6197" s="229"/>
      <c r="C6197" s="155"/>
      <c r="D6197" s="155"/>
      <c r="E6197" s="156"/>
      <c r="F6197" s="50" t="s">
        <v>523</v>
      </c>
      <c r="G6197" s="50" t="str">
        <f t="shared" si="117"/>
        <v/>
      </c>
      <c r="H6197" s="69"/>
      <c r="I6197" s="70"/>
      <c r="J6197" s="141">
        <v>0</v>
      </c>
    </row>
    <row r="6198" spans="1:10" ht="26.25" hidden="1" thickBot="1" x14ac:dyDescent="0.3">
      <c r="A6198" s="231"/>
      <c r="B6198" s="229"/>
      <c r="C6198" s="32" t="s">
        <v>3217</v>
      </c>
      <c r="D6198" s="148" t="s">
        <v>120</v>
      </c>
      <c r="E6198" s="149">
        <v>1.103</v>
      </c>
      <c r="F6198" s="27">
        <v>565.33710490434999</v>
      </c>
      <c r="G6198" s="50">
        <f t="shared" si="117"/>
        <v>623.56682670949806</v>
      </c>
      <c r="H6198" s="35">
        <f>SUM(G6198:G6203)</f>
        <v>897.86616920949814</v>
      </c>
      <c r="I6198" s="36"/>
      <c r="J6198" s="141">
        <v>0</v>
      </c>
    </row>
    <row r="6199" spans="1:10" ht="15.75" hidden="1" thickBot="1" x14ac:dyDescent="0.3">
      <c r="A6199" s="231"/>
      <c r="B6199" s="229"/>
      <c r="C6199" s="32" t="s">
        <v>996</v>
      </c>
      <c r="D6199" s="148" t="s">
        <v>705</v>
      </c>
      <c r="E6199" s="149">
        <v>1.19</v>
      </c>
      <c r="F6199" s="27">
        <v>24.633499999999998</v>
      </c>
      <c r="G6199" s="50">
        <f t="shared" si="117"/>
        <v>29.313864999999996</v>
      </c>
      <c r="H6199" s="40"/>
      <c r="I6199" s="36"/>
      <c r="J6199" s="141">
        <v>0</v>
      </c>
    </row>
    <row r="6200" spans="1:10" ht="15.75" hidden="1" thickBot="1" x14ac:dyDescent="0.3">
      <c r="A6200" s="231"/>
      <c r="B6200" s="229"/>
      <c r="C6200" s="32" t="s">
        <v>713</v>
      </c>
      <c r="D6200" s="148" t="s">
        <v>705</v>
      </c>
      <c r="E6200" s="149">
        <v>3.5710000000000002</v>
      </c>
      <c r="F6200" s="27">
        <v>24.889999999999997</v>
      </c>
      <c r="G6200" s="50">
        <f t="shared" si="117"/>
        <v>88.882189999999994</v>
      </c>
      <c r="H6200" s="40"/>
      <c r="I6200" s="36"/>
      <c r="J6200" s="141">
        <v>0</v>
      </c>
    </row>
    <row r="6201" spans="1:10" ht="15.75" hidden="1" thickBot="1" x14ac:dyDescent="0.3">
      <c r="A6201" s="231"/>
      <c r="B6201" s="229"/>
      <c r="C6201" s="32" t="s">
        <v>706</v>
      </c>
      <c r="D6201" s="148" t="s">
        <v>705</v>
      </c>
      <c r="E6201" s="149">
        <v>8.407</v>
      </c>
      <c r="F6201" s="27">
        <v>18.420500000000001</v>
      </c>
      <c r="G6201" s="50">
        <f t="shared" si="117"/>
        <v>154.8611435</v>
      </c>
      <c r="H6201" s="40"/>
      <c r="I6201" s="36"/>
      <c r="J6201" s="141">
        <v>0</v>
      </c>
    </row>
    <row r="6202" spans="1:10" ht="26.25" hidden="1" thickBot="1" x14ac:dyDescent="0.3">
      <c r="A6202" s="231"/>
      <c r="B6202" s="229"/>
      <c r="C6202" s="32" t="s">
        <v>1157</v>
      </c>
      <c r="D6202" s="148" t="s">
        <v>945</v>
      </c>
      <c r="E6202" s="149">
        <v>0.94199999999999995</v>
      </c>
      <c r="F6202" s="27">
        <v>1.1779999999999999</v>
      </c>
      <c r="G6202" s="50">
        <f t="shared" si="117"/>
        <v>1.1096759999999999</v>
      </c>
      <c r="H6202" s="40"/>
      <c r="I6202" s="36"/>
      <c r="J6202" s="141">
        <v>0</v>
      </c>
    </row>
    <row r="6203" spans="1:10" ht="26.25" hidden="1" thickBot="1" x14ac:dyDescent="0.3">
      <c r="A6203" s="231"/>
      <c r="B6203" s="229"/>
      <c r="C6203" s="32" t="s">
        <v>1158</v>
      </c>
      <c r="D6203" s="148" t="s">
        <v>947</v>
      </c>
      <c r="E6203" s="149">
        <v>0.249</v>
      </c>
      <c r="F6203" s="27">
        <v>0.53200000000000003</v>
      </c>
      <c r="G6203" s="50">
        <f t="shared" si="117"/>
        <v>0.132468</v>
      </c>
      <c r="H6203" s="40"/>
      <c r="I6203" s="36"/>
      <c r="J6203" s="141">
        <v>0</v>
      </c>
    </row>
    <row r="6204" spans="1:10" ht="15.75" hidden="1" thickBot="1" x14ac:dyDescent="0.3">
      <c r="A6204" s="232"/>
      <c r="B6204" s="230"/>
      <c r="C6204" s="32"/>
      <c r="D6204" s="148"/>
      <c r="E6204" s="149"/>
      <c r="F6204" s="27" t="s">
        <v>523</v>
      </c>
      <c r="G6204" s="50"/>
      <c r="H6204" s="40"/>
      <c r="I6204" s="36"/>
      <c r="J6204" s="141">
        <v>0</v>
      </c>
    </row>
    <row r="6205" spans="1:10" ht="15.75" hidden="1" thickBot="1" x14ac:dyDescent="0.3">
      <c r="A6205" s="225" t="s">
        <v>6238</v>
      </c>
      <c r="B6205" s="228" t="str">
        <f>INDEX(Orçamentária!A:B,MATCH(Composições!A6205,Orçamentária!A:A,0),2)</f>
        <v>Furo em concreto de até 40mm de diâmetro</v>
      </c>
      <c r="C6205" s="37"/>
      <c r="D6205" s="22" t="str">
        <f>TRIM(INDEX(Orçamentária!C:C,MATCH(Composições!A6205,Orçamentária!A:A,0),1))</f>
        <v>un</v>
      </c>
      <c r="E6205" s="23"/>
      <c r="F6205" s="45" t="s">
        <v>523</v>
      </c>
      <c r="G6205" s="24" t="str">
        <f t="shared" ref="G6205:G6210" si="118">IF(ISNUMBER(F6205),E6205*F6205,"")</f>
        <v/>
      </c>
      <c r="H6205" s="25"/>
      <c r="I6205" s="26"/>
      <c r="J6205" s="141">
        <v>0</v>
      </c>
    </row>
    <row r="6206" spans="1:10" ht="15.75" hidden="1" thickBot="1" x14ac:dyDescent="0.3">
      <c r="A6206" s="231"/>
      <c r="B6206" s="229"/>
      <c r="C6206" s="155"/>
      <c r="D6206" s="155"/>
      <c r="E6206" s="156"/>
      <c r="F6206" s="50" t="s">
        <v>523</v>
      </c>
      <c r="G6206" s="50" t="str">
        <f t="shared" si="118"/>
        <v/>
      </c>
      <c r="H6206" s="69"/>
      <c r="I6206" s="70"/>
      <c r="J6206" s="141">
        <v>0</v>
      </c>
    </row>
    <row r="6207" spans="1:10" ht="26.25" hidden="1" thickBot="1" x14ac:dyDescent="0.3">
      <c r="A6207" s="231"/>
      <c r="B6207" s="229"/>
      <c r="C6207" s="32" t="s">
        <v>1112</v>
      </c>
      <c r="D6207" s="148" t="s">
        <v>945</v>
      </c>
      <c r="E6207" s="149">
        <v>0.36699999999999999</v>
      </c>
      <c r="F6207" s="27">
        <v>22.229999999999997</v>
      </c>
      <c r="G6207" s="50">
        <f t="shared" si="118"/>
        <v>8.1584099999999982</v>
      </c>
      <c r="H6207" s="35">
        <f>SUM(G6207:G6210)</f>
        <v>56.958066999999993</v>
      </c>
      <c r="I6207" s="36"/>
      <c r="J6207" s="141">
        <v>0</v>
      </c>
    </row>
    <row r="6208" spans="1:10" ht="26.25" hidden="1" thickBot="1" x14ac:dyDescent="0.3">
      <c r="A6208" s="231"/>
      <c r="B6208" s="229"/>
      <c r="C6208" s="32" t="s">
        <v>1113</v>
      </c>
      <c r="D6208" s="148" t="s">
        <v>947</v>
      </c>
      <c r="E6208" s="149">
        <v>0.80500000000000005</v>
      </c>
      <c r="F6208" s="27">
        <v>20.9</v>
      </c>
      <c r="G6208" s="50">
        <f t="shared" si="118"/>
        <v>16.8245</v>
      </c>
      <c r="H6208" s="40"/>
      <c r="I6208" s="36"/>
      <c r="J6208" s="141">
        <v>0</v>
      </c>
    </row>
    <row r="6209" spans="1:10" ht="26.25" hidden="1" thickBot="1" x14ac:dyDescent="0.3">
      <c r="A6209" s="231"/>
      <c r="B6209" s="229"/>
      <c r="C6209" s="32" t="s">
        <v>956</v>
      </c>
      <c r="D6209" s="148" t="s">
        <v>705</v>
      </c>
      <c r="E6209" s="149">
        <v>0.183</v>
      </c>
      <c r="F6209" s="27">
        <v>19.094999999999999</v>
      </c>
      <c r="G6209" s="50">
        <f t="shared" si="118"/>
        <v>3.4943849999999999</v>
      </c>
      <c r="H6209" s="40"/>
      <c r="I6209" s="36"/>
      <c r="J6209" s="141">
        <v>0</v>
      </c>
    </row>
    <row r="6210" spans="1:10" ht="26.25" hidden="1" thickBot="1" x14ac:dyDescent="0.3">
      <c r="A6210" s="231"/>
      <c r="B6210" s="229"/>
      <c r="C6210" s="32" t="s">
        <v>957</v>
      </c>
      <c r="D6210" s="148" t="s">
        <v>705</v>
      </c>
      <c r="E6210" s="149">
        <v>1.1719999999999999</v>
      </c>
      <c r="F6210" s="27">
        <v>24.300999999999998</v>
      </c>
      <c r="G6210" s="50">
        <f t="shared" si="118"/>
        <v>28.480771999999995</v>
      </c>
      <c r="H6210" s="40"/>
      <c r="I6210" s="36"/>
      <c r="J6210" s="141">
        <v>0</v>
      </c>
    </row>
    <row r="6211" spans="1:10" ht="15.75" hidden="1" thickBot="1" x14ac:dyDescent="0.3">
      <c r="A6211" s="232"/>
      <c r="B6211" s="230"/>
      <c r="C6211" s="32"/>
      <c r="D6211" s="148"/>
      <c r="E6211" s="149"/>
      <c r="F6211" s="27" t="s">
        <v>523</v>
      </c>
      <c r="G6211" s="50"/>
      <c r="H6211" s="40"/>
      <c r="I6211" s="36"/>
      <c r="J6211" s="141">
        <v>0</v>
      </c>
    </row>
    <row r="6212" spans="1:10" ht="15.75" hidden="1" thickBot="1" x14ac:dyDescent="0.3">
      <c r="A6212" s="225" t="s">
        <v>6239</v>
      </c>
      <c r="B6212" s="233" t="str">
        <f>INDEX(Orçamentária!A:B,MATCH(Composições!A6212,Orçamentária!A:A,0),2)</f>
        <v>Adesivo Estrutural Epóxi Bicomponente – fornecimento e aplicação</v>
      </c>
      <c r="C6212" s="37"/>
      <c r="D6212" s="22" t="str">
        <f>TRIM(INDEX(Orçamentária!C:C,MATCH(Composições!A6212,Orçamentária!A:A,0),1))</f>
        <v>m2</v>
      </c>
      <c r="E6212" s="23"/>
      <c r="F6212" s="45" t="s">
        <v>523</v>
      </c>
      <c r="G6212" s="24" t="str">
        <f>IF(ISNUMBER(F6212),E6212*F6212,"")</f>
        <v/>
      </c>
      <c r="H6212" s="25"/>
      <c r="I6212" s="26"/>
      <c r="J6212" s="141">
        <v>0</v>
      </c>
    </row>
    <row r="6213" spans="1:10" ht="15.75" hidden="1" thickBot="1" x14ac:dyDescent="0.3">
      <c r="A6213" s="231"/>
      <c r="B6213" s="234"/>
      <c r="C6213" s="155"/>
      <c r="D6213" s="155"/>
      <c r="E6213" s="156"/>
      <c r="F6213" s="50" t="s">
        <v>523</v>
      </c>
      <c r="G6213" s="50" t="str">
        <f>IF(ISNUMBER(F6213),E6213*F6213,"")</f>
        <v/>
      </c>
      <c r="H6213" s="69"/>
      <c r="I6213" s="70"/>
      <c r="J6213" s="141">
        <v>0</v>
      </c>
    </row>
    <row r="6214" spans="1:10" ht="15.75" hidden="1" thickBot="1" x14ac:dyDescent="0.3">
      <c r="A6214" s="231"/>
      <c r="B6214" s="234"/>
      <c r="C6214" s="32" t="s">
        <v>713</v>
      </c>
      <c r="D6214" s="148" t="s">
        <v>705</v>
      </c>
      <c r="E6214" s="149">
        <v>0.2</v>
      </c>
      <c r="F6214" s="27">
        <v>24.889999999999997</v>
      </c>
      <c r="G6214" s="50">
        <f>IF(ISNUMBER(F6214),E6214*F6214,"")</f>
        <v>4.9779999999999998</v>
      </c>
      <c r="H6214" s="35">
        <f>SUM(G6214:G6216)</f>
        <v>64.075599999999994</v>
      </c>
      <c r="I6214" s="36"/>
      <c r="J6214" s="141">
        <v>0</v>
      </c>
    </row>
    <row r="6215" spans="1:10" ht="15.75" hidden="1" thickBot="1" x14ac:dyDescent="0.3">
      <c r="A6215" s="231"/>
      <c r="B6215" s="234"/>
      <c r="C6215" s="32" t="s">
        <v>706</v>
      </c>
      <c r="D6215" s="148" t="s">
        <v>705</v>
      </c>
      <c r="E6215" s="149">
        <v>0.2</v>
      </c>
      <c r="F6215" s="27">
        <v>18.420500000000001</v>
      </c>
      <c r="G6215" s="50">
        <f>IF(ISNUMBER(F6215),E6215*F6215,"")</f>
        <v>3.6841000000000004</v>
      </c>
      <c r="H6215" s="40"/>
      <c r="I6215" s="36"/>
      <c r="J6215" s="141">
        <v>0</v>
      </c>
    </row>
    <row r="6216" spans="1:10" ht="26.25" hidden="1" thickBot="1" x14ac:dyDescent="0.3">
      <c r="A6216" s="231"/>
      <c r="B6216" s="234"/>
      <c r="C6216" s="32" t="s">
        <v>3252</v>
      </c>
      <c r="D6216" s="148" t="s">
        <v>42</v>
      </c>
      <c r="E6216" s="149">
        <v>1</v>
      </c>
      <c r="F6216" s="27">
        <v>55.413499999999999</v>
      </c>
      <c r="G6216" s="50">
        <f>IF(ISNUMBER(F6216),E6216*F6216,"")</f>
        <v>55.413499999999999</v>
      </c>
      <c r="H6216" s="40"/>
      <c r="I6216" s="36"/>
      <c r="J6216" s="141">
        <v>0</v>
      </c>
    </row>
    <row r="6217" spans="1:10" ht="15.75" hidden="1" thickBot="1" x14ac:dyDescent="0.3">
      <c r="A6217" s="232"/>
      <c r="B6217" s="235"/>
      <c r="C6217" s="32"/>
      <c r="D6217" s="148"/>
      <c r="E6217" s="149"/>
      <c r="F6217" s="27" t="s">
        <v>523</v>
      </c>
      <c r="G6217" s="50"/>
      <c r="H6217" s="40"/>
      <c r="I6217" s="36"/>
      <c r="J6217" s="141">
        <v>0</v>
      </c>
    </row>
    <row r="6218" spans="1:10" ht="15.75" hidden="1" thickBot="1" x14ac:dyDescent="0.3">
      <c r="A6218" s="225" t="s">
        <v>6240</v>
      </c>
      <c r="B6218" s="228" t="str">
        <f>INDEX(Orçamentária!A:B,MATCH(Composições!A6218,Orçamentária!A:A,0),2)</f>
        <v>Estaca escavada manualmente de diâmetro 30cm</v>
      </c>
      <c r="C6218" s="37"/>
      <c r="D6218" s="22" t="str">
        <f>TRIM(INDEX(Orçamentária!C:C,MATCH(Composições!A6218,Orçamentária!A:A,0),1))</f>
        <v>m</v>
      </c>
      <c r="E6218" s="23"/>
      <c r="F6218" s="45" t="s">
        <v>523</v>
      </c>
      <c r="G6218" s="24" t="str">
        <f t="shared" ref="G6218:G6223" si="119">IF(ISNUMBER(F6218),E6218*F6218,"")</f>
        <v/>
      </c>
      <c r="H6218" s="25"/>
      <c r="I6218" s="26"/>
      <c r="J6218" s="141">
        <v>0</v>
      </c>
    </row>
    <row r="6219" spans="1:10" ht="15.75" hidden="1" thickBot="1" x14ac:dyDescent="0.3">
      <c r="A6219" s="231"/>
      <c r="B6219" s="229"/>
      <c r="C6219" s="155"/>
      <c r="D6219" s="155"/>
      <c r="E6219" s="156"/>
      <c r="F6219" s="50" t="s">
        <v>523</v>
      </c>
      <c r="G6219" s="50" t="str">
        <f t="shared" si="119"/>
        <v/>
      </c>
      <c r="H6219" s="69"/>
      <c r="I6219" s="70"/>
      <c r="J6219" s="141">
        <v>0</v>
      </c>
    </row>
    <row r="6220" spans="1:10" ht="15.75" hidden="1" thickBot="1" x14ac:dyDescent="0.3">
      <c r="A6220" s="231"/>
      <c r="B6220" s="229"/>
      <c r="C6220" s="32" t="s">
        <v>713</v>
      </c>
      <c r="D6220" s="148" t="s">
        <v>705</v>
      </c>
      <c r="E6220" s="149">
        <v>1.103</v>
      </c>
      <c r="F6220" s="27">
        <v>24.889999999999997</v>
      </c>
      <c r="G6220" s="50">
        <f t="shared" si="119"/>
        <v>27.453669999999995</v>
      </c>
      <c r="H6220" s="35">
        <f>SUM(G6220:G6223)</f>
        <v>100.57192602177409</v>
      </c>
      <c r="I6220" s="36"/>
      <c r="J6220" s="141">
        <v>0</v>
      </c>
    </row>
    <row r="6221" spans="1:10" ht="15.75" hidden="1" thickBot="1" x14ac:dyDescent="0.3">
      <c r="A6221" s="231"/>
      <c r="B6221" s="229"/>
      <c r="C6221" s="32" t="s">
        <v>706</v>
      </c>
      <c r="D6221" s="148" t="s">
        <v>705</v>
      </c>
      <c r="E6221" s="149">
        <v>1.33</v>
      </c>
      <c r="F6221" s="27">
        <v>18.420500000000001</v>
      </c>
      <c r="G6221" s="50">
        <f t="shared" si="119"/>
        <v>24.499265000000001</v>
      </c>
      <c r="H6221" s="40"/>
      <c r="I6221" s="36"/>
      <c r="J6221" s="141">
        <v>0</v>
      </c>
    </row>
    <row r="6222" spans="1:10" ht="26.25" hidden="1" thickBot="1" x14ac:dyDescent="0.3">
      <c r="A6222" s="231"/>
      <c r="B6222" s="229"/>
      <c r="C6222" s="32" t="s">
        <v>938</v>
      </c>
      <c r="D6222" s="148" t="s">
        <v>901</v>
      </c>
      <c r="E6222" s="149">
        <v>2.1230000000000002</v>
      </c>
      <c r="F6222" s="27" t="s">
        <v>523</v>
      </c>
      <c r="G6222" s="50" t="str">
        <f t="shared" si="119"/>
        <v/>
      </c>
      <c r="H6222" s="40"/>
      <c r="I6222" s="36"/>
      <c r="J6222" s="141">
        <v>0</v>
      </c>
    </row>
    <row r="6223" spans="1:10" ht="39" hidden="1" thickBot="1" x14ac:dyDescent="0.3">
      <c r="A6223" s="231"/>
      <c r="B6223" s="229"/>
      <c r="C6223" s="32" t="s">
        <v>6618</v>
      </c>
      <c r="D6223" s="148" t="s">
        <v>120</v>
      </c>
      <c r="E6223" s="149">
        <v>8.5999999999999993E-2</v>
      </c>
      <c r="F6223" s="27">
        <v>565.33710490434999</v>
      </c>
      <c r="G6223" s="50">
        <f t="shared" si="119"/>
        <v>48.618991021774093</v>
      </c>
      <c r="H6223" s="40"/>
      <c r="I6223" s="36"/>
      <c r="J6223" s="141">
        <v>0</v>
      </c>
    </row>
    <row r="6224" spans="1:10" ht="15.75" hidden="1" thickBot="1" x14ac:dyDescent="0.3">
      <c r="A6224" s="232"/>
      <c r="B6224" s="230"/>
      <c r="C6224" s="32"/>
      <c r="D6224" s="148"/>
      <c r="E6224" s="149"/>
      <c r="F6224" s="27" t="s">
        <v>523</v>
      </c>
      <c r="G6224" s="50"/>
      <c r="H6224" s="40"/>
      <c r="I6224" s="36"/>
      <c r="J6224" s="141">
        <v>0</v>
      </c>
    </row>
    <row r="6225" spans="1:10" ht="15.75" hidden="1" thickBot="1" x14ac:dyDescent="0.3">
      <c r="A6225" s="225" t="s">
        <v>6241</v>
      </c>
      <c r="B6225" s="228" t="str">
        <f>INDEX(Orçamentária!A:B,MATCH(Composições!A6225,Orçamentária!A:A,0),2)</f>
        <v>Arrasamento mecânico de estacas de concreto armado com diâmetros de até 40cm</v>
      </c>
      <c r="C6225" s="37"/>
      <c r="D6225" s="22" t="str">
        <f>TRIM(INDEX(Orçamentária!C:C,MATCH(Composições!A6225,Orçamentária!A:A,0),1))</f>
        <v>un</v>
      </c>
      <c r="E6225" s="23"/>
      <c r="F6225" s="45" t="s">
        <v>523</v>
      </c>
      <c r="G6225" s="24" t="str">
        <f>IF(ISNUMBER(F6225),E6225*F6225,"")</f>
        <v/>
      </c>
      <c r="H6225" s="25"/>
      <c r="I6225" s="26"/>
      <c r="J6225" s="141">
        <v>0</v>
      </c>
    </row>
    <row r="6226" spans="1:10" ht="15.75" hidden="1" thickBot="1" x14ac:dyDescent="0.3">
      <c r="A6226" s="231"/>
      <c r="B6226" s="229"/>
      <c r="C6226" s="155"/>
      <c r="D6226" s="155"/>
      <c r="E6226" s="156"/>
      <c r="F6226" s="50" t="s">
        <v>523</v>
      </c>
      <c r="G6226" s="50" t="str">
        <f>IF(ISNUMBER(F6226),E6226*F6226,"")</f>
        <v/>
      </c>
      <c r="H6226" s="69"/>
      <c r="I6226" s="70"/>
      <c r="J6226" s="141">
        <v>0</v>
      </c>
    </row>
    <row r="6227" spans="1:10" ht="15.75" hidden="1" thickBot="1" x14ac:dyDescent="0.3">
      <c r="A6227" s="231"/>
      <c r="B6227" s="229"/>
      <c r="C6227" s="32" t="s">
        <v>706</v>
      </c>
      <c r="D6227" s="148" t="s">
        <v>705</v>
      </c>
      <c r="E6227" s="149">
        <v>0.36299999999999999</v>
      </c>
      <c r="F6227" s="27">
        <v>18.420500000000001</v>
      </c>
      <c r="G6227" s="50">
        <f>IF(ISNUMBER(F6227),E6227*F6227,"")</f>
        <v>6.6866415000000003</v>
      </c>
      <c r="H6227" s="35">
        <f>SUM(G6227:G6229)</f>
        <v>14.2696194</v>
      </c>
      <c r="I6227" s="36"/>
      <c r="J6227" s="141">
        <v>0</v>
      </c>
    </row>
    <row r="6228" spans="1:10" ht="26.25" hidden="1" thickBot="1" x14ac:dyDescent="0.3">
      <c r="A6228" s="231"/>
      <c r="B6228" s="229"/>
      <c r="C6228" s="32" t="s">
        <v>3766</v>
      </c>
      <c r="D6228" s="148" t="s">
        <v>947</v>
      </c>
      <c r="E6228" s="149">
        <v>0.20030000000000001</v>
      </c>
      <c r="F6228" s="27">
        <v>20.225499999999997</v>
      </c>
      <c r="G6228" s="50">
        <f>IF(ISNUMBER(F6228),E6228*F6228,"")</f>
        <v>4.0511676499999991</v>
      </c>
      <c r="H6228" s="40"/>
      <c r="I6228" s="36"/>
      <c r="J6228" s="141">
        <v>0</v>
      </c>
    </row>
    <row r="6229" spans="1:10" ht="26.25" hidden="1" thickBot="1" x14ac:dyDescent="0.3">
      <c r="A6229" s="231"/>
      <c r="B6229" s="229"/>
      <c r="C6229" s="32" t="s">
        <v>3765</v>
      </c>
      <c r="D6229" s="148" t="s">
        <v>945</v>
      </c>
      <c r="E6229" s="149">
        <v>0.16270000000000001</v>
      </c>
      <c r="F6229" s="27">
        <v>21.7075</v>
      </c>
      <c r="G6229" s="50">
        <f>IF(ISNUMBER(F6229),E6229*F6229,"")</f>
        <v>3.5318102500000004</v>
      </c>
      <c r="H6229" s="40"/>
      <c r="I6229" s="36"/>
      <c r="J6229" s="141">
        <v>0</v>
      </c>
    </row>
    <row r="6230" spans="1:10" ht="15.75" hidden="1" thickBot="1" x14ac:dyDescent="0.3">
      <c r="A6230" s="232"/>
      <c r="B6230" s="230"/>
      <c r="C6230" s="32"/>
      <c r="D6230" s="148"/>
      <c r="E6230" s="149"/>
      <c r="F6230" s="27" t="s">
        <v>523</v>
      </c>
      <c r="G6230" s="50"/>
      <c r="H6230" s="40"/>
      <c r="I6230" s="36"/>
      <c r="J6230" s="141">
        <v>0</v>
      </c>
    </row>
    <row r="6231" spans="1:10" ht="15.75" hidden="1" thickBot="1" x14ac:dyDescent="0.3">
      <c r="A6231" s="225" t="s">
        <v>6242</v>
      </c>
      <c r="B6231" s="228" t="str">
        <f>INDEX(Orçamentária!A:B,MATCH(Composições!A6231,Orçamentária!A:A,0),2)</f>
        <v>Quadro 400x300x200 mm – fornecimento e instalação</v>
      </c>
      <c r="C6231" s="37"/>
      <c r="D6231" s="22" t="str">
        <f>TRIM(INDEX(Orçamentária!C:C,MATCH(Composições!A6231,Orçamentária!A:A,0),1))</f>
        <v>un</v>
      </c>
      <c r="E6231" s="23"/>
      <c r="F6231" s="45" t="s">
        <v>523</v>
      </c>
      <c r="G6231" s="24" t="str">
        <f>IF(ISNUMBER(F6231),E6231*F6231,"")</f>
        <v/>
      </c>
      <c r="H6231" s="25"/>
      <c r="I6231" s="26"/>
      <c r="J6231" s="141">
        <v>0</v>
      </c>
    </row>
    <row r="6232" spans="1:10" ht="15.75" hidden="1" thickBot="1" x14ac:dyDescent="0.3">
      <c r="A6232" s="231"/>
      <c r="B6232" s="229"/>
      <c r="C6232" s="155"/>
      <c r="D6232" s="155"/>
      <c r="E6232" s="156"/>
      <c r="F6232" s="50" t="s">
        <v>523</v>
      </c>
      <c r="G6232" s="50" t="str">
        <f>IF(ISNUMBER(F6232),E6232*F6232,"")</f>
        <v/>
      </c>
      <c r="H6232" s="69"/>
      <c r="I6232" s="70"/>
      <c r="J6232" s="141">
        <v>0</v>
      </c>
    </row>
    <row r="6233" spans="1:10" ht="39" hidden="1" thickBot="1" x14ac:dyDescent="0.3">
      <c r="A6233" s="231"/>
      <c r="B6233" s="229"/>
      <c r="C6233" s="32" t="s">
        <v>3359</v>
      </c>
      <c r="D6233" s="148" t="s">
        <v>280</v>
      </c>
      <c r="E6233" s="149">
        <v>1</v>
      </c>
      <c r="F6233" s="27" t="s">
        <v>523</v>
      </c>
      <c r="G6233" s="50" t="str">
        <f>IF(ISNUMBER(F6233),E6233*F6233,"")</f>
        <v/>
      </c>
      <c r="H6233" s="35">
        <f>SUM(G6233:G6235)</f>
        <v>67.870631500000002</v>
      </c>
      <c r="I6233" s="36"/>
      <c r="J6233" s="141">
        <v>0</v>
      </c>
    </row>
    <row r="6234" spans="1:10" ht="15.75" hidden="1" thickBot="1" x14ac:dyDescent="0.3">
      <c r="A6234" s="231"/>
      <c r="B6234" s="229"/>
      <c r="C6234" s="32" t="s">
        <v>1164</v>
      </c>
      <c r="D6234" s="148" t="s">
        <v>705</v>
      </c>
      <c r="E6234" s="149">
        <v>1.5233000000000001</v>
      </c>
      <c r="F6234" s="27">
        <v>19.4085</v>
      </c>
      <c r="G6234" s="50">
        <f>IF(ISNUMBER(F6234),E6234*F6234,"")</f>
        <v>29.564968050000001</v>
      </c>
      <c r="H6234" s="40"/>
      <c r="I6234" s="36"/>
      <c r="J6234" s="141">
        <v>0</v>
      </c>
    </row>
    <row r="6235" spans="1:10" ht="15.75" hidden="1" thickBot="1" x14ac:dyDescent="0.3">
      <c r="A6235" s="231"/>
      <c r="B6235" s="229"/>
      <c r="C6235" s="32" t="s">
        <v>1165</v>
      </c>
      <c r="D6235" s="148" t="s">
        <v>705</v>
      </c>
      <c r="E6235" s="149">
        <v>1.5233000000000001</v>
      </c>
      <c r="F6235" s="27">
        <v>25.146499999999996</v>
      </c>
      <c r="G6235" s="50">
        <f>IF(ISNUMBER(F6235),E6235*F6235,"")</f>
        <v>38.305663449999997</v>
      </c>
      <c r="H6235" s="40"/>
      <c r="I6235" s="36"/>
      <c r="J6235" s="141">
        <v>0</v>
      </c>
    </row>
    <row r="6236" spans="1:10" ht="15.75" hidden="1" thickBot="1" x14ac:dyDescent="0.3">
      <c r="A6236" s="232"/>
      <c r="B6236" s="230"/>
      <c r="C6236" s="32"/>
      <c r="D6236" s="148"/>
      <c r="E6236" s="149"/>
      <c r="F6236" s="27" t="s">
        <v>523</v>
      </c>
      <c r="G6236" s="50"/>
      <c r="H6236" s="40"/>
      <c r="I6236" s="36"/>
      <c r="J6236" s="141">
        <v>0</v>
      </c>
    </row>
    <row r="6237" spans="1:10" ht="15.75" hidden="1" thickBot="1" x14ac:dyDescent="0.3">
      <c r="A6237" s="225" t="s">
        <v>6243</v>
      </c>
      <c r="B6237" s="228" t="str">
        <f>INDEX(Orçamentária!A:B,MATCH(Composições!A6237,Orçamentária!A:A,0),2)</f>
        <v>Concreto Usinado, fck = 25MPa</v>
      </c>
      <c r="C6237" s="37"/>
      <c r="D6237" s="22" t="str">
        <f>TRIM(INDEX(Orçamentária!C:C,MATCH(Composições!A6237,Orçamentária!A:A,0),1))</f>
        <v>m3</v>
      </c>
      <c r="E6237" s="23"/>
      <c r="F6237" s="45" t="s">
        <v>523</v>
      </c>
      <c r="G6237" s="24" t="str">
        <f t="shared" ref="G6237:G6244" si="120">IF(ISNUMBER(F6237),E6237*F6237,"")</f>
        <v/>
      </c>
      <c r="H6237" s="25"/>
      <c r="I6237" s="26"/>
      <c r="J6237" s="141">
        <v>0</v>
      </c>
    </row>
    <row r="6238" spans="1:10" ht="15.75" hidden="1" thickBot="1" x14ac:dyDescent="0.3">
      <c r="A6238" s="231"/>
      <c r="B6238" s="229"/>
      <c r="C6238" s="155"/>
      <c r="D6238" s="155"/>
      <c r="E6238" s="156"/>
      <c r="F6238" s="50" t="s">
        <v>523</v>
      </c>
      <c r="G6238" s="50" t="str">
        <f t="shared" si="120"/>
        <v/>
      </c>
      <c r="H6238" s="69"/>
      <c r="I6238" s="70"/>
      <c r="J6238" s="141">
        <v>0</v>
      </c>
    </row>
    <row r="6239" spans="1:10" ht="39" hidden="1" thickBot="1" x14ac:dyDescent="0.3">
      <c r="A6239" s="231"/>
      <c r="B6239" s="229"/>
      <c r="C6239" s="32" t="s">
        <v>3273</v>
      </c>
      <c r="D6239" s="148" t="s">
        <v>120</v>
      </c>
      <c r="E6239" s="149">
        <v>1.103</v>
      </c>
      <c r="F6239" s="27">
        <v>461.89</v>
      </c>
      <c r="G6239" s="50">
        <f t="shared" si="120"/>
        <v>509.46466999999996</v>
      </c>
      <c r="H6239" s="35">
        <f>SUM(G6239:G6244)</f>
        <v>546.71241249999991</v>
      </c>
      <c r="I6239" s="36"/>
      <c r="J6239" s="141">
        <v>0</v>
      </c>
    </row>
    <row r="6240" spans="1:10" ht="15.75" hidden="1" thickBot="1" x14ac:dyDescent="0.3">
      <c r="A6240" s="231"/>
      <c r="B6240" s="229"/>
      <c r="C6240" s="32" t="s">
        <v>996</v>
      </c>
      <c r="D6240" s="148" t="s">
        <v>705</v>
      </c>
      <c r="E6240" s="149">
        <v>0.125</v>
      </c>
      <c r="F6240" s="27">
        <v>24.633499999999998</v>
      </c>
      <c r="G6240" s="50">
        <f t="shared" si="120"/>
        <v>3.0791874999999997</v>
      </c>
      <c r="H6240" s="40"/>
      <c r="I6240" s="36"/>
      <c r="J6240" s="141">
        <v>0</v>
      </c>
    </row>
    <row r="6241" spans="1:10" ht="15.75" hidden="1" thickBot="1" x14ac:dyDescent="0.3">
      <c r="A6241" s="231"/>
      <c r="B6241" s="229"/>
      <c r="C6241" s="32" t="s">
        <v>713</v>
      </c>
      <c r="D6241" s="148" t="s">
        <v>705</v>
      </c>
      <c r="E6241" s="149">
        <v>0.753</v>
      </c>
      <c r="F6241" s="27">
        <v>24.889999999999997</v>
      </c>
      <c r="G6241" s="50">
        <f t="shared" si="120"/>
        <v>18.742169999999998</v>
      </c>
      <c r="H6241" s="40"/>
      <c r="I6241" s="36"/>
      <c r="J6241" s="141">
        <v>0</v>
      </c>
    </row>
    <row r="6242" spans="1:10" ht="15.75" hidden="1" thickBot="1" x14ac:dyDescent="0.3">
      <c r="A6242" s="231"/>
      <c r="B6242" s="229"/>
      <c r="C6242" s="32" t="s">
        <v>706</v>
      </c>
      <c r="D6242" s="148" t="s">
        <v>705</v>
      </c>
      <c r="E6242" s="149">
        <v>0.82599999999999996</v>
      </c>
      <c r="F6242" s="27">
        <v>18.420500000000001</v>
      </c>
      <c r="G6242" s="50">
        <f t="shared" si="120"/>
        <v>15.215332999999999</v>
      </c>
      <c r="H6242" s="40"/>
      <c r="I6242" s="36"/>
      <c r="J6242" s="141">
        <v>0</v>
      </c>
    </row>
    <row r="6243" spans="1:10" ht="26.25" hidden="1" thickBot="1" x14ac:dyDescent="0.3">
      <c r="A6243" s="231"/>
      <c r="B6243" s="229"/>
      <c r="C6243" s="32" t="s">
        <v>1157</v>
      </c>
      <c r="D6243" s="148" t="s">
        <v>945</v>
      </c>
      <c r="E6243" s="149">
        <v>0.12</v>
      </c>
      <c r="F6243" s="27">
        <v>1.1779999999999999</v>
      </c>
      <c r="G6243" s="50">
        <f t="shared" si="120"/>
        <v>0.14135999999999999</v>
      </c>
      <c r="H6243" s="40"/>
      <c r="I6243" s="36"/>
      <c r="J6243" s="141">
        <v>0</v>
      </c>
    </row>
    <row r="6244" spans="1:10" ht="26.25" hidden="1" thickBot="1" x14ac:dyDescent="0.3">
      <c r="A6244" s="231"/>
      <c r="B6244" s="229"/>
      <c r="C6244" s="32" t="s">
        <v>1158</v>
      </c>
      <c r="D6244" s="148" t="s">
        <v>947</v>
      </c>
      <c r="E6244" s="149">
        <v>0.13100000000000001</v>
      </c>
      <c r="F6244" s="27">
        <v>0.53200000000000003</v>
      </c>
      <c r="G6244" s="50">
        <f t="shared" si="120"/>
        <v>6.9692000000000004E-2</v>
      </c>
      <c r="H6244" s="40"/>
      <c r="I6244" s="36"/>
      <c r="J6244" s="141">
        <v>0</v>
      </c>
    </row>
    <row r="6245" spans="1:10" ht="15.75" hidden="1" thickBot="1" x14ac:dyDescent="0.3">
      <c r="A6245" s="232"/>
      <c r="B6245" s="230"/>
      <c r="C6245" s="32"/>
      <c r="D6245" s="148"/>
      <c r="E6245" s="149"/>
      <c r="F6245" s="27" t="s">
        <v>523</v>
      </c>
      <c r="G6245" s="50"/>
      <c r="H6245" s="40"/>
      <c r="I6245" s="36"/>
      <c r="J6245" s="141">
        <v>0</v>
      </c>
    </row>
    <row r="6246" spans="1:10" ht="15.75" hidden="1" thickBot="1" x14ac:dyDescent="0.3">
      <c r="A6246" s="225" t="s">
        <v>6244</v>
      </c>
      <c r="B6246" s="228" t="str">
        <f>INDEX(Orçamentária!A:B,MATCH(Composições!A6246,Orçamentária!A:A,0),2)</f>
        <v>Estaca escavada mecanicamente - 40cm de diâmetro</v>
      </c>
      <c r="C6246" s="37"/>
      <c r="D6246" s="22" t="str">
        <f>TRIM(INDEX(Orçamentária!C:C,MATCH(Composições!A6246,Orçamentária!A:A,0),1))</f>
        <v>m</v>
      </c>
      <c r="E6246" s="23"/>
      <c r="F6246" s="45" t="s">
        <v>523</v>
      </c>
      <c r="G6246" s="24" t="str">
        <f t="shared" ref="G6246:G6255" si="121">IF(ISNUMBER(F6246),E6246*F6246,"")</f>
        <v/>
      </c>
      <c r="H6246" s="25"/>
      <c r="I6246" s="26"/>
      <c r="J6246" s="141">
        <v>0</v>
      </c>
    </row>
    <row r="6247" spans="1:10" ht="15.75" hidden="1" thickBot="1" x14ac:dyDescent="0.3">
      <c r="A6247" s="231"/>
      <c r="B6247" s="229"/>
      <c r="C6247" s="155"/>
      <c r="D6247" s="155"/>
      <c r="E6247" s="156"/>
      <c r="F6247" s="50" t="s">
        <v>523</v>
      </c>
      <c r="G6247" s="50" t="str">
        <f t="shared" si="121"/>
        <v/>
      </c>
      <c r="H6247" s="69"/>
      <c r="I6247" s="70"/>
      <c r="J6247" s="141">
        <v>0</v>
      </c>
    </row>
    <row r="6248" spans="1:10" ht="39" hidden="1" thickBot="1" x14ac:dyDescent="0.3">
      <c r="A6248" s="231"/>
      <c r="B6248" s="229"/>
      <c r="C6248" s="32" t="s">
        <v>3274</v>
      </c>
      <c r="D6248" s="148" t="s">
        <v>120</v>
      </c>
      <c r="E6248" s="149">
        <v>0.1426</v>
      </c>
      <c r="F6248" s="27">
        <v>442.76649999999995</v>
      </c>
      <c r="G6248" s="50">
        <f t="shared" si="121"/>
        <v>63.138502899999992</v>
      </c>
      <c r="H6248" s="35">
        <f>SUM(G6248:G6255)</f>
        <v>93.266450456555006</v>
      </c>
      <c r="I6248" s="36"/>
      <c r="J6248" s="141">
        <v>0</v>
      </c>
    </row>
    <row r="6249" spans="1:10" ht="15.75" hidden="1" thickBot="1" x14ac:dyDescent="0.3">
      <c r="A6249" s="231"/>
      <c r="B6249" s="229"/>
      <c r="C6249" s="32" t="s">
        <v>706</v>
      </c>
      <c r="D6249" s="148" t="s">
        <v>705</v>
      </c>
      <c r="E6249" s="149">
        <v>0.27950000000000003</v>
      </c>
      <c r="F6249" s="27">
        <v>18.420500000000001</v>
      </c>
      <c r="G6249" s="50">
        <f t="shared" si="121"/>
        <v>5.1485297500000007</v>
      </c>
      <c r="H6249" s="40"/>
      <c r="I6249" s="36"/>
      <c r="J6249" s="141">
        <v>0</v>
      </c>
    </row>
    <row r="6250" spans="1:10" ht="51.75" hidden="1" thickBot="1" x14ac:dyDescent="0.3">
      <c r="A6250" s="231"/>
      <c r="B6250" s="229"/>
      <c r="C6250" s="32" t="s">
        <v>3201</v>
      </c>
      <c r="D6250" s="148" t="s">
        <v>945</v>
      </c>
      <c r="E6250" s="149">
        <v>3.4200000000000001E-2</v>
      </c>
      <c r="F6250" s="27">
        <v>383.154</v>
      </c>
      <c r="G6250" s="50">
        <f t="shared" si="121"/>
        <v>13.1038668</v>
      </c>
      <c r="H6250" s="40"/>
      <c r="I6250" s="36"/>
      <c r="J6250" s="141">
        <v>0</v>
      </c>
    </row>
    <row r="6251" spans="1:10" ht="51.75" hidden="1" thickBot="1" x14ac:dyDescent="0.3">
      <c r="A6251" s="231"/>
      <c r="B6251" s="229"/>
      <c r="C6251" s="32" t="s">
        <v>3207</v>
      </c>
      <c r="D6251" s="148" t="s">
        <v>947</v>
      </c>
      <c r="E6251" s="149">
        <v>6.1199999999999997E-2</v>
      </c>
      <c r="F6251" s="27">
        <v>144.34299999999999</v>
      </c>
      <c r="G6251" s="50">
        <f t="shared" si="121"/>
        <v>8.8337915999999996</v>
      </c>
      <c r="H6251" s="40"/>
      <c r="I6251" s="36"/>
      <c r="J6251" s="141">
        <v>0</v>
      </c>
    </row>
    <row r="6252" spans="1:10" ht="26.25" hidden="1" thickBot="1" x14ac:dyDescent="0.3">
      <c r="A6252" s="231"/>
      <c r="B6252" s="229"/>
      <c r="C6252" s="32" t="s">
        <v>782</v>
      </c>
      <c r="D6252" s="148" t="s">
        <v>705</v>
      </c>
      <c r="E6252" s="149">
        <v>6.4000000000000003E-3</v>
      </c>
      <c r="F6252" s="27">
        <v>99.17049999999999</v>
      </c>
      <c r="G6252" s="50">
        <f t="shared" si="121"/>
        <v>0.63469120000000001</v>
      </c>
      <c r="H6252" s="40"/>
      <c r="I6252" s="36"/>
      <c r="J6252" s="141">
        <v>0</v>
      </c>
    </row>
    <row r="6253" spans="1:10" ht="26.25" hidden="1" thickBot="1" x14ac:dyDescent="0.3">
      <c r="A6253" s="231"/>
      <c r="B6253" s="229"/>
      <c r="C6253" s="32" t="s">
        <v>6710</v>
      </c>
      <c r="D6253" s="148" t="s">
        <v>901</v>
      </c>
      <c r="E6253" s="149">
        <v>1.3913</v>
      </c>
      <c r="F6253" s="27">
        <v>0.75312675000000007</v>
      </c>
      <c r="G6253" s="50">
        <f t="shared" si="121"/>
        <v>1.047825247275</v>
      </c>
      <c r="H6253" s="40"/>
      <c r="I6253" s="36"/>
      <c r="J6253" s="141">
        <v>0</v>
      </c>
    </row>
    <row r="6254" spans="1:10" ht="39" hidden="1" thickBot="1" x14ac:dyDescent="0.3">
      <c r="A6254" s="231"/>
      <c r="B6254" s="229"/>
      <c r="C6254" s="32" t="s">
        <v>3528</v>
      </c>
      <c r="D6254" s="148" t="s">
        <v>1444</v>
      </c>
      <c r="E6254" s="149">
        <v>5.2400000000000002E-2</v>
      </c>
      <c r="F6254" s="27">
        <v>2.8592966999999994</v>
      </c>
      <c r="G6254" s="50">
        <f t="shared" si="121"/>
        <v>0.14982714707999997</v>
      </c>
      <c r="H6254" s="40"/>
      <c r="I6254" s="36"/>
      <c r="J6254" s="141">
        <v>0</v>
      </c>
    </row>
    <row r="6255" spans="1:10" ht="51.75" hidden="1" thickBot="1" x14ac:dyDescent="0.3">
      <c r="A6255" s="231"/>
      <c r="B6255" s="229"/>
      <c r="C6255" s="32" t="s">
        <v>3532</v>
      </c>
      <c r="D6255" s="148" t="s">
        <v>120</v>
      </c>
      <c r="E6255" s="149">
        <v>0.15709999999999999</v>
      </c>
      <c r="F6255" s="27">
        <v>7.6983819999999996</v>
      </c>
      <c r="G6255" s="50">
        <f t="shared" si="121"/>
        <v>1.2094158121999998</v>
      </c>
      <c r="H6255" s="40"/>
      <c r="I6255" s="36"/>
      <c r="J6255" s="141">
        <v>0</v>
      </c>
    </row>
    <row r="6256" spans="1:10" ht="15.75" hidden="1" thickBot="1" x14ac:dyDescent="0.3">
      <c r="A6256" s="232"/>
      <c r="B6256" s="230"/>
      <c r="C6256" s="32"/>
      <c r="D6256" s="148"/>
      <c r="E6256" s="149"/>
      <c r="F6256" s="27" t="s">
        <v>523</v>
      </c>
      <c r="G6256" s="50"/>
      <c r="H6256" s="40"/>
      <c r="I6256" s="36"/>
      <c r="J6256" s="141">
        <v>0</v>
      </c>
    </row>
    <row r="6257" spans="1:10" ht="15.75" hidden="1" thickBot="1" x14ac:dyDescent="0.3">
      <c r="A6257" s="225" t="s">
        <v>6246</v>
      </c>
      <c r="B6257" s="228" t="str">
        <f>INDEX(Orçamentária!A:B,MATCH(Composições!A6257,Orçamentária!A:A,0),2)</f>
        <v>Armação de aço CA-60 bitolas de 5,0mm a 8,00mm</v>
      </c>
      <c r="C6257" s="37"/>
      <c r="D6257" s="22" t="str">
        <f>TRIM(INDEX(Orçamentária!C:C,MATCH(Composições!A6257,Orçamentária!A:A,0),1))</f>
        <v>kg</v>
      </c>
      <c r="E6257" s="23"/>
      <c r="F6257" s="45" t="s">
        <v>523</v>
      </c>
      <c r="G6257" s="24" t="str">
        <f t="shared" ref="G6257:G6263" si="122">IF(ISNUMBER(F6257),E6257*F6257,"")</f>
        <v/>
      </c>
      <c r="H6257" s="25"/>
      <c r="I6257" s="26"/>
      <c r="J6257" s="141">
        <v>0</v>
      </c>
    </row>
    <row r="6258" spans="1:10" ht="15.75" hidden="1" thickBot="1" x14ac:dyDescent="0.3">
      <c r="A6258" s="231"/>
      <c r="B6258" s="229"/>
      <c r="C6258" s="155"/>
      <c r="D6258" s="155"/>
      <c r="E6258" s="156"/>
      <c r="F6258" s="50" t="s">
        <v>523</v>
      </c>
      <c r="G6258" s="50" t="str">
        <f t="shared" si="122"/>
        <v/>
      </c>
      <c r="H6258" s="69"/>
      <c r="I6258" s="70"/>
      <c r="J6258" s="141">
        <v>0</v>
      </c>
    </row>
    <row r="6259" spans="1:10" ht="39" hidden="1" thickBot="1" x14ac:dyDescent="0.3">
      <c r="A6259" s="231"/>
      <c r="B6259" s="229"/>
      <c r="C6259" s="32" t="s">
        <v>902</v>
      </c>
      <c r="D6259" s="148" t="s">
        <v>280</v>
      </c>
      <c r="E6259" s="149">
        <v>1.333</v>
      </c>
      <c r="F6259" s="27">
        <v>0.20899999999999999</v>
      </c>
      <c r="G6259" s="50">
        <f t="shared" si="122"/>
        <v>0.27859699999999998</v>
      </c>
      <c r="H6259" s="35">
        <f>SUM(G6259:G6263)</f>
        <v>4.0854607500000002</v>
      </c>
      <c r="I6259" s="36"/>
      <c r="J6259" s="141">
        <v>0</v>
      </c>
    </row>
    <row r="6260" spans="1:10" ht="26.25" hidden="1" thickBot="1" x14ac:dyDescent="0.3">
      <c r="A6260" s="231"/>
      <c r="B6260" s="229"/>
      <c r="C6260" s="32" t="s">
        <v>3513</v>
      </c>
      <c r="D6260" s="148" t="s">
        <v>901</v>
      </c>
      <c r="E6260" s="149">
        <v>2.5000000000000001E-2</v>
      </c>
      <c r="F6260" s="27">
        <v>22.61</v>
      </c>
      <c r="G6260" s="50">
        <f t="shared" si="122"/>
        <v>0.56525000000000003</v>
      </c>
      <c r="H6260" s="40"/>
      <c r="I6260" s="36"/>
      <c r="J6260" s="141">
        <v>0</v>
      </c>
    </row>
    <row r="6261" spans="1:10" ht="15.75" hidden="1" thickBot="1" x14ac:dyDescent="0.3">
      <c r="A6261" s="231"/>
      <c r="B6261" s="229"/>
      <c r="C6261" s="32" t="s">
        <v>903</v>
      </c>
      <c r="D6261" s="148" t="s">
        <v>705</v>
      </c>
      <c r="E6261" s="149">
        <v>1.9099999999999999E-2</v>
      </c>
      <c r="F6261" s="27">
        <v>18.3825</v>
      </c>
      <c r="G6261" s="50">
        <f t="shared" si="122"/>
        <v>0.35110574999999999</v>
      </c>
      <c r="H6261" s="40"/>
      <c r="I6261" s="36"/>
      <c r="J6261" s="141">
        <v>0</v>
      </c>
    </row>
    <row r="6262" spans="1:10" ht="15.75" hidden="1" thickBot="1" x14ac:dyDescent="0.3">
      <c r="A6262" s="231"/>
      <c r="B6262" s="229"/>
      <c r="C6262" s="32" t="s">
        <v>904</v>
      </c>
      <c r="D6262" s="148" t="s">
        <v>705</v>
      </c>
      <c r="E6262" s="149">
        <v>0.1168</v>
      </c>
      <c r="F6262" s="27">
        <v>24.747499999999999</v>
      </c>
      <c r="G6262" s="50">
        <f t="shared" si="122"/>
        <v>2.8905080000000001</v>
      </c>
      <c r="H6262" s="40"/>
      <c r="I6262" s="36"/>
      <c r="J6262" s="141">
        <v>0</v>
      </c>
    </row>
    <row r="6263" spans="1:10" ht="26.25" hidden="1" thickBot="1" x14ac:dyDescent="0.3">
      <c r="A6263" s="231"/>
      <c r="B6263" s="229"/>
      <c r="C6263" s="32" t="s">
        <v>3215</v>
      </c>
      <c r="D6263" s="148" t="s">
        <v>901</v>
      </c>
      <c r="E6263" s="149">
        <v>1</v>
      </c>
      <c r="F6263" s="27" t="s">
        <v>523</v>
      </c>
      <c r="G6263" s="50" t="str">
        <f t="shared" si="122"/>
        <v/>
      </c>
      <c r="H6263" s="40"/>
      <c r="I6263" s="36"/>
      <c r="J6263" s="141">
        <v>0</v>
      </c>
    </row>
    <row r="6264" spans="1:10" ht="15.75" hidden="1" thickBot="1" x14ac:dyDescent="0.3">
      <c r="A6264" s="232"/>
      <c r="B6264" s="230"/>
      <c r="C6264" s="32"/>
      <c r="D6264" s="148"/>
      <c r="E6264" s="149"/>
      <c r="F6264" s="27" t="s">
        <v>523</v>
      </c>
      <c r="G6264" s="50"/>
      <c r="H6264" s="40"/>
      <c r="I6264" s="36"/>
      <c r="J6264" s="141">
        <v>0</v>
      </c>
    </row>
    <row r="6265" spans="1:10" ht="15.75" hidden="1" thickBot="1" x14ac:dyDescent="0.3">
      <c r="A6265" s="225" t="s">
        <v>6247</v>
      </c>
      <c r="B6265" s="228" t="str">
        <f>INDEX(Orçamentária!A:B,MATCH(Composições!A6265,Orçamentária!A:A,0),2)</f>
        <v>Pavimentação em concreto simples</v>
      </c>
      <c r="C6265" s="37"/>
      <c r="D6265" s="22" t="str">
        <f>TRIM(INDEX(Orçamentária!C:C,MATCH(Composições!A6265,Orçamentária!A:A,0),1))</f>
        <v>m2</v>
      </c>
      <c r="E6265" s="23"/>
      <c r="F6265" s="45" t="s">
        <v>523</v>
      </c>
      <c r="G6265" s="24" t="str">
        <f t="shared" ref="G6265:G6271" si="123">IF(ISNUMBER(F6265),E6265*F6265,"")</f>
        <v/>
      </c>
      <c r="H6265" s="25"/>
      <c r="I6265" s="26"/>
      <c r="J6265" s="141">
        <v>0</v>
      </c>
    </row>
    <row r="6266" spans="1:10" ht="15.75" hidden="1" thickBot="1" x14ac:dyDescent="0.3">
      <c r="A6266" s="231"/>
      <c r="B6266" s="229"/>
      <c r="C6266" s="155"/>
      <c r="D6266" s="155"/>
      <c r="E6266" s="156"/>
      <c r="F6266" s="50" t="s">
        <v>523</v>
      </c>
      <c r="G6266" s="50" t="str">
        <f t="shared" si="123"/>
        <v/>
      </c>
      <c r="H6266" s="69"/>
      <c r="I6266" s="70"/>
      <c r="J6266" s="141">
        <v>0</v>
      </c>
    </row>
    <row r="6267" spans="1:10" ht="39" hidden="1" thickBot="1" x14ac:dyDescent="0.3">
      <c r="A6267" s="231"/>
      <c r="B6267" s="229"/>
      <c r="C6267" s="32" t="s">
        <v>3272</v>
      </c>
      <c r="D6267" s="148" t="s">
        <v>120</v>
      </c>
      <c r="E6267" s="149">
        <v>8.14E-2</v>
      </c>
      <c r="F6267" s="27">
        <v>414.67499999999995</v>
      </c>
      <c r="G6267" s="50">
        <f t="shared" si="123"/>
        <v>33.754544999999993</v>
      </c>
      <c r="H6267" s="35">
        <f>SUM(G6267:G6271)</f>
        <v>74.261332799999991</v>
      </c>
      <c r="I6267" s="36"/>
      <c r="J6267" s="141">
        <v>0</v>
      </c>
    </row>
    <row r="6268" spans="1:10" ht="26.25" hidden="1" thickBot="1" x14ac:dyDescent="0.3">
      <c r="A6268" s="231"/>
      <c r="B6268" s="229"/>
      <c r="C6268" s="32" t="s">
        <v>3325</v>
      </c>
      <c r="D6268" s="148" t="s">
        <v>901</v>
      </c>
      <c r="E6268" s="149">
        <v>4</v>
      </c>
      <c r="F6268" s="27">
        <v>9.1959999999999997</v>
      </c>
      <c r="G6268" s="50">
        <f t="shared" si="123"/>
        <v>36.783999999999999</v>
      </c>
      <c r="H6268" s="40"/>
      <c r="I6268" s="36"/>
      <c r="J6268" s="141">
        <v>0</v>
      </c>
    </row>
    <row r="6269" spans="1:10" ht="15.75" hidden="1" thickBot="1" x14ac:dyDescent="0.3">
      <c r="A6269" s="231"/>
      <c r="B6269" s="229"/>
      <c r="C6269" s="32" t="s">
        <v>713</v>
      </c>
      <c r="D6269" s="148" t="s">
        <v>705</v>
      </c>
      <c r="E6269" s="149">
        <v>0.1119</v>
      </c>
      <c r="F6269" s="27">
        <v>24.889999999999997</v>
      </c>
      <c r="G6269" s="50">
        <f t="shared" si="123"/>
        <v>2.7851909999999998</v>
      </c>
      <c r="H6269" s="40"/>
      <c r="I6269" s="36"/>
      <c r="J6269" s="141">
        <v>0</v>
      </c>
    </row>
    <row r="6270" spans="1:10" ht="15.75" hidden="1" thickBot="1" x14ac:dyDescent="0.3">
      <c r="A6270" s="231"/>
      <c r="B6270" s="229"/>
      <c r="C6270" s="32" t="s">
        <v>706</v>
      </c>
      <c r="D6270" s="148" t="s">
        <v>705</v>
      </c>
      <c r="E6270" s="149">
        <v>4.6600000000000003E-2</v>
      </c>
      <c r="F6270" s="27">
        <v>18.420500000000001</v>
      </c>
      <c r="G6270" s="50">
        <f t="shared" si="123"/>
        <v>0.85839530000000008</v>
      </c>
      <c r="H6270" s="40"/>
      <c r="I6270" s="36"/>
      <c r="J6270" s="141">
        <v>0</v>
      </c>
    </row>
    <row r="6271" spans="1:10" ht="26.25" hidden="1" thickBot="1" x14ac:dyDescent="0.3">
      <c r="A6271" s="231"/>
      <c r="B6271" s="229"/>
      <c r="C6271" s="32" t="s">
        <v>3202</v>
      </c>
      <c r="D6271" s="148" t="s">
        <v>945</v>
      </c>
      <c r="E6271" s="149">
        <v>7.0000000000000001E-3</v>
      </c>
      <c r="F6271" s="27">
        <v>11.314499999999999</v>
      </c>
      <c r="G6271" s="50">
        <f t="shared" si="123"/>
        <v>7.9201499999999994E-2</v>
      </c>
      <c r="H6271" s="40"/>
      <c r="I6271" s="36"/>
      <c r="J6271" s="141">
        <v>0</v>
      </c>
    </row>
    <row r="6272" spans="1:10" ht="15.75" hidden="1" thickBot="1" x14ac:dyDescent="0.3">
      <c r="A6272" s="232"/>
      <c r="B6272" s="230"/>
      <c r="C6272" s="32"/>
      <c r="D6272" s="148"/>
      <c r="E6272" s="149"/>
      <c r="F6272" s="27" t="s">
        <v>523</v>
      </c>
      <c r="G6272" s="50"/>
      <c r="H6272" s="40"/>
      <c r="I6272" s="36"/>
      <c r="J6272" s="141">
        <v>0</v>
      </c>
    </row>
    <row r="6273" spans="1:10" ht="15.75" hidden="1" thickBot="1" x14ac:dyDescent="0.3">
      <c r="A6273" s="225" t="s">
        <v>6248</v>
      </c>
      <c r="B6273" s="228" t="str">
        <f>INDEX(Orçamentária!A:B,MATCH(Composições!A6273,Orçamentária!A:A,0),2)</f>
        <v>Tubo PVC esgoto ou águas pluviais predial DN 150mm</v>
      </c>
      <c r="C6273" s="37"/>
      <c r="D6273" s="22" t="str">
        <f>TRIM(INDEX(Orçamentária!C:C,MATCH(Composições!A6273,Orçamentária!A:A,0),1))</f>
        <v>m</v>
      </c>
      <c r="E6273" s="23"/>
      <c r="F6273" s="45" t="s">
        <v>523</v>
      </c>
      <c r="G6273" s="24" t="str">
        <f t="shared" ref="G6273:G6280" si="124">IF(ISNUMBER(F6273),E6273*F6273,"")</f>
        <v/>
      </c>
      <c r="H6273" s="25"/>
      <c r="I6273" s="26"/>
      <c r="J6273" s="141">
        <v>0</v>
      </c>
    </row>
    <row r="6274" spans="1:10" ht="15.75" hidden="1" thickBot="1" x14ac:dyDescent="0.3">
      <c r="A6274" s="231"/>
      <c r="B6274" s="229"/>
      <c r="C6274" s="155"/>
      <c r="D6274" s="155"/>
      <c r="E6274" s="156"/>
      <c r="F6274" s="50" t="s">
        <v>523</v>
      </c>
      <c r="G6274" s="50" t="str">
        <f t="shared" si="124"/>
        <v/>
      </c>
      <c r="H6274" s="69"/>
      <c r="I6274" s="70"/>
      <c r="J6274" s="141">
        <v>0</v>
      </c>
    </row>
    <row r="6275" spans="1:10" ht="15.75" hidden="1" thickBot="1" x14ac:dyDescent="0.3">
      <c r="A6275" s="231"/>
      <c r="B6275" s="229"/>
      <c r="C6275" s="32" t="s">
        <v>6628</v>
      </c>
      <c r="D6275" s="148" t="s">
        <v>280</v>
      </c>
      <c r="E6275" s="149">
        <v>6.1999999999999998E-3</v>
      </c>
      <c r="F6275" s="27">
        <v>65.711500000000001</v>
      </c>
      <c r="G6275" s="50">
        <f t="shared" si="124"/>
        <v>0.40741129999999998</v>
      </c>
      <c r="H6275" s="35">
        <f>SUM(G6275:G6280)</f>
        <v>103.01141459999998</v>
      </c>
      <c r="I6275" s="36"/>
      <c r="J6275" s="141">
        <v>0</v>
      </c>
    </row>
    <row r="6276" spans="1:10" ht="26.25" hidden="1" thickBot="1" x14ac:dyDescent="0.3">
      <c r="A6276" s="231"/>
      <c r="B6276" s="229"/>
      <c r="C6276" s="32" t="s">
        <v>3761</v>
      </c>
      <c r="D6276" s="148" t="s">
        <v>480</v>
      </c>
      <c r="E6276" s="149">
        <v>1.04</v>
      </c>
      <c r="F6276" s="27">
        <v>90.344999999999985</v>
      </c>
      <c r="G6276" s="50">
        <f t="shared" si="124"/>
        <v>93.958799999999982</v>
      </c>
      <c r="H6276" s="40"/>
      <c r="I6276" s="36"/>
      <c r="J6276" s="141">
        <v>0</v>
      </c>
    </row>
    <row r="6277" spans="1:10" ht="26.25" hidden="1" thickBot="1" x14ac:dyDescent="0.3">
      <c r="A6277" s="231"/>
      <c r="B6277" s="229"/>
      <c r="C6277" s="32" t="s">
        <v>6629</v>
      </c>
      <c r="D6277" s="148" t="s">
        <v>280</v>
      </c>
      <c r="E6277" s="149">
        <v>1.0200000000000001E-2</v>
      </c>
      <c r="F6277" s="27">
        <v>74.451499999999996</v>
      </c>
      <c r="G6277" s="50">
        <f t="shared" si="124"/>
        <v>0.75940530000000006</v>
      </c>
      <c r="H6277" s="40"/>
      <c r="I6277" s="36"/>
      <c r="J6277" s="141">
        <v>0</v>
      </c>
    </row>
    <row r="6278" spans="1:10" ht="15.75" hidden="1" thickBot="1" x14ac:dyDescent="0.3">
      <c r="A6278" s="231"/>
      <c r="B6278" s="229"/>
      <c r="C6278" s="32" t="s">
        <v>1198</v>
      </c>
      <c r="D6278" s="148" t="s">
        <v>280</v>
      </c>
      <c r="E6278" s="149">
        <v>3.6999999999999998E-2</v>
      </c>
      <c r="F6278" s="27">
        <v>2.0139999999999998</v>
      </c>
      <c r="G6278" s="50">
        <f t="shared" si="124"/>
        <v>7.4517999999999987E-2</v>
      </c>
      <c r="H6278" s="40"/>
      <c r="I6278" s="36"/>
      <c r="J6278" s="141">
        <v>0</v>
      </c>
    </row>
    <row r="6279" spans="1:10" ht="26.25" hidden="1" thickBot="1" x14ac:dyDescent="0.3">
      <c r="A6279" s="231"/>
      <c r="B6279" s="229"/>
      <c r="C6279" s="32" t="s">
        <v>956</v>
      </c>
      <c r="D6279" s="148" t="s">
        <v>705</v>
      </c>
      <c r="E6279" s="149">
        <v>0.18</v>
      </c>
      <c r="F6279" s="27">
        <v>19.094999999999999</v>
      </c>
      <c r="G6279" s="50">
        <f t="shared" si="124"/>
        <v>3.4370999999999996</v>
      </c>
      <c r="H6279" s="40"/>
      <c r="I6279" s="36"/>
      <c r="J6279" s="141">
        <v>0</v>
      </c>
    </row>
    <row r="6280" spans="1:10" ht="26.25" hidden="1" thickBot="1" x14ac:dyDescent="0.3">
      <c r="A6280" s="231"/>
      <c r="B6280" s="229"/>
      <c r="C6280" s="32" t="s">
        <v>957</v>
      </c>
      <c r="D6280" s="148" t="s">
        <v>705</v>
      </c>
      <c r="E6280" s="149">
        <v>0.18</v>
      </c>
      <c r="F6280" s="27">
        <v>24.300999999999998</v>
      </c>
      <c r="G6280" s="50">
        <f t="shared" si="124"/>
        <v>4.37418</v>
      </c>
      <c r="H6280" s="40"/>
      <c r="I6280" s="36"/>
      <c r="J6280" s="141">
        <v>0</v>
      </c>
    </row>
    <row r="6281" spans="1:10" ht="15.75" hidden="1" thickBot="1" x14ac:dyDescent="0.3">
      <c r="A6281" s="232"/>
      <c r="B6281" s="230"/>
      <c r="C6281" s="32"/>
      <c r="D6281" s="148"/>
      <c r="E6281" s="149"/>
      <c r="F6281" s="27" t="s">
        <v>523</v>
      </c>
      <c r="G6281" s="50"/>
      <c r="H6281" s="40"/>
      <c r="I6281" s="36"/>
      <c r="J6281" s="141">
        <v>0</v>
      </c>
    </row>
    <row r="6282" spans="1:10" ht="15.75" hidden="1" thickBot="1" x14ac:dyDescent="0.3">
      <c r="A6282" s="225" t="s">
        <v>6249</v>
      </c>
      <c r="B6282" s="236" t="str">
        <f>INDEX(Orçamentária!A:B,MATCH(Composições!A6282,Orçamentária!A:A,0),2)</f>
        <v>Alvenaria Estrutural</v>
      </c>
      <c r="C6282" s="37"/>
      <c r="D6282" s="22" t="str">
        <f>TRIM(INDEX(Orçamentária!C:C,MATCH(Composições!A6282,Orçamentária!A:A,0),1))</f>
        <v>m2</v>
      </c>
      <c r="E6282" s="23"/>
      <c r="F6282" s="45" t="s">
        <v>523</v>
      </c>
      <c r="G6282" s="24" t="str">
        <f t="shared" ref="G6282:G6291" si="125">IF(ISNUMBER(F6282),E6282*F6282,"")</f>
        <v/>
      </c>
      <c r="H6282" s="25"/>
      <c r="I6282" s="26"/>
      <c r="J6282" s="141">
        <v>0</v>
      </c>
    </row>
    <row r="6283" spans="1:10" ht="15.75" hidden="1" thickBot="1" x14ac:dyDescent="0.3">
      <c r="A6283" s="231"/>
      <c r="B6283" s="237"/>
      <c r="C6283" s="155"/>
      <c r="D6283" s="155"/>
      <c r="E6283" s="156"/>
      <c r="F6283" s="50" t="s">
        <v>523</v>
      </c>
      <c r="G6283" s="50" t="str">
        <f t="shared" si="125"/>
        <v/>
      </c>
      <c r="H6283" s="69"/>
      <c r="I6283" s="70"/>
      <c r="J6283" s="141">
        <v>0</v>
      </c>
    </row>
    <row r="6284" spans="1:10" ht="26.25" hidden="1" thickBot="1" x14ac:dyDescent="0.3">
      <c r="A6284" s="231"/>
      <c r="B6284" s="237"/>
      <c r="C6284" s="32" t="s">
        <v>3516</v>
      </c>
      <c r="D6284" s="148" t="s">
        <v>280</v>
      </c>
      <c r="E6284" s="149">
        <v>10.220000000000001</v>
      </c>
      <c r="F6284" s="27">
        <v>3.8189999999999995</v>
      </c>
      <c r="G6284" s="50">
        <f t="shared" si="125"/>
        <v>39.030179999999994</v>
      </c>
      <c r="H6284" s="35">
        <f>SUM(G6284:G6291)</f>
        <v>81.590023767635998</v>
      </c>
      <c r="I6284" s="36"/>
      <c r="J6284" s="141">
        <v>0</v>
      </c>
    </row>
    <row r="6285" spans="1:10" ht="26.25" hidden="1" thickBot="1" x14ac:dyDescent="0.3">
      <c r="A6285" s="231"/>
      <c r="B6285" s="237"/>
      <c r="C6285" s="32" t="s">
        <v>6653</v>
      </c>
      <c r="D6285" s="148" t="s">
        <v>480</v>
      </c>
      <c r="E6285" s="149">
        <v>0.87</v>
      </c>
      <c r="F6285" s="27">
        <v>5.2534999999999998</v>
      </c>
      <c r="G6285" s="50">
        <f t="shared" si="125"/>
        <v>4.5705450000000001</v>
      </c>
      <c r="H6285" s="40"/>
      <c r="I6285" s="36"/>
      <c r="J6285" s="141">
        <v>0</v>
      </c>
    </row>
    <row r="6286" spans="1:10" ht="26.25" hidden="1" thickBot="1" x14ac:dyDescent="0.3">
      <c r="A6286" s="231"/>
      <c r="B6286" s="237"/>
      <c r="C6286" s="32" t="s">
        <v>3521</v>
      </c>
      <c r="D6286" s="148" t="s">
        <v>280</v>
      </c>
      <c r="E6286" s="149">
        <v>1.46</v>
      </c>
      <c r="F6286" s="27">
        <v>2.1849999999999996</v>
      </c>
      <c r="G6286" s="50">
        <f t="shared" si="125"/>
        <v>3.1900999999999993</v>
      </c>
      <c r="H6286" s="40"/>
      <c r="I6286" s="36"/>
      <c r="J6286" s="141">
        <v>0</v>
      </c>
    </row>
    <row r="6287" spans="1:10" ht="26.25" hidden="1" thickBot="1" x14ac:dyDescent="0.3">
      <c r="A6287" s="231"/>
      <c r="B6287" s="237"/>
      <c r="C6287" s="32" t="s">
        <v>3515</v>
      </c>
      <c r="D6287" s="148" t="s">
        <v>280</v>
      </c>
      <c r="E6287" s="149">
        <v>1.46</v>
      </c>
      <c r="F6287" s="27">
        <v>3.496</v>
      </c>
      <c r="G6287" s="50">
        <f t="shared" si="125"/>
        <v>5.1041600000000003</v>
      </c>
      <c r="H6287" s="40"/>
      <c r="I6287" s="36"/>
      <c r="J6287" s="141">
        <v>0</v>
      </c>
    </row>
    <row r="6288" spans="1:10" ht="26.25" hidden="1" thickBot="1" x14ac:dyDescent="0.3">
      <c r="A6288" s="231"/>
      <c r="B6288" s="237"/>
      <c r="C6288" s="32" t="s">
        <v>3519</v>
      </c>
      <c r="D6288" s="148" t="s">
        <v>280</v>
      </c>
      <c r="E6288" s="149">
        <v>0.97</v>
      </c>
      <c r="F6288" s="27">
        <v>4.3034999999999997</v>
      </c>
      <c r="G6288" s="50">
        <f t="shared" si="125"/>
        <v>4.1743949999999996</v>
      </c>
      <c r="H6288" s="40"/>
      <c r="I6288" s="36"/>
      <c r="J6288" s="141">
        <v>0</v>
      </c>
    </row>
    <row r="6289" spans="1:10" ht="15.75" hidden="1" thickBot="1" x14ac:dyDescent="0.3">
      <c r="A6289" s="231"/>
      <c r="B6289" s="237"/>
      <c r="C6289" s="32" t="s">
        <v>713</v>
      </c>
      <c r="D6289" s="148" t="s">
        <v>705</v>
      </c>
      <c r="E6289" s="149">
        <v>0.49</v>
      </c>
      <c r="F6289" s="27">
        <v>24.889999999999997</v>
      </c>
      <c r="G6289" s="50">
        <f t="shared" si="125"/>
        <v>12.196099999999998</v>
      </c>
      <c r="H6289" s="40"/>
      <c r="I6289" s="36"/>
      <c r="J6289" s="141">
        <v>0</v>
      </c>
    </row>
    <row r="6290" spans="1:10" ht="15.75" hidden="1" thickBot="1" x14ac:dyDescent="0.3">
      <c r="A6290" s="231"/>
      <c r="B6290" s="237"/>
      <c r="C6290" s="32" t="s">
        <v>706</v>
      </c>
      <c r="D6290" s="148" t="s">
        <v>705</v>
      </c>
      <c r="E6290" s="149">
        <v>0.37</v>
      </c>
      <c r="F6290" s="27">
        <v>18.420500000000001</v>
      </c>
      <c r="G6290" s="50">
        <f t="shared" si="125"/>
        <v>6.8155850000000004</v>
      </c>
      <c r="H6290" s="40"/>
      <c r="I6290" s="36"/>
      <c r="J6290" s="141">
        <v>0</v>
      </c>
    </row>
    <row r="6291" spans="1:10" ht="51.75" hidden="1" thickBot="1" x14ac:dyDescent="0.3">
      <c r="A6291" s="231"/>
      <c r="B6291" s="237"/>
      <c r="C6291" s="32" t="s">
        <v>3237</v>
      </c>
      <c r="D6291" s="148" t="s">
        <v>120</v>
      </c>
      <c r="E6291" s="149">
        <v>1.04E-2</v>
      </c>
      <c r="F6291" s="27">
        <v>625.86141996499987</v>
      </c>
      <c r="G6291" s="50">
        <f t="shared" si="125"/>
        <v>6.5089587676359981</v>
      </c>
      <c r="H6291" s="40"/>
      <c r="I6291" s="36"/>
      <c r="J6291" s="141">
        <v>0</v>
      </c>
    </row>
    <row r="6292" spans="1:10" ht="15.75" hidden="1" thickBot="1" x14ac:dyDescent="0.3">
      <c r="A6292" s="232"/>
      <c r="B6292" s="238"/>
      <c r="C6292" s="32"/>
      <c r="D6292" s="148"/>
      <c r="E6292" s="149"/>
      <c r="F6292" s="27" t="s">
        <v>523</v>
      </c>
      <c r="G6292" s="50"/>
      <c r="H6292" s="40"/>
      <c r="I6292" s="36"/>
      <c r="J6292" s="141">
        <v>0</v>
      </c>
    </row>
    <row r="6293" spans="1:10" ht="15.75" hidden="1" thickBot="1" x14ac:dyDescent="0.3">
      <c r="A6293" s="225" t="s">
        <v>6250</v>
      </c>
      <c r="B6293" s="228" t="str">
        <f>INDEX(Orçamentária!A:B,MATCH(Composições!A6293,Orçamentária!A:A,0),2)</f>
        <v>Boca de lobo simples em blocos de concreto, h=1,0 m</v>
      </c>
      <c r="C6293" s="37"/>
      <c r="D6293" s="22" t="str">
        <f>TRIM(INDEX(Orçamentária!C:C,MATCH(Composições!A6293,Orçamentária!A:A,0),1))</f>
        <v>un</v>
      </c>
      <c r="E6293" s="23"/>
      <c r="F6293" s="45" t="s">
        <v>523</v>
      </c>
      <c r="G6293" s="24" t="str">
        <f t="shared" ref="G6293:G6315" si="126">IF(ISNUMBER(F6293),E6293*F6293,"")</f>
        <v/>
      </c>
      <c r="H6293" s="25"/>
      <c r="I6293" s="26"/>
      <c r="J6293" s="141">
        <v>0</v>
      </c>
    </row>
    <row r="6294" spans="1:10" ht="15.75" hidden="1" thickBot="1" x14ac:dyDescent="0.3">
      <c r="A6294" s="231"/>
      <c r="B6294" s="229"/>
      <c r="C6294" s="155"/>
      <c r="D6294" s="155"/>
      <c r="E6294" s="156"/>
      <c r="F6294" s="50" t="s">
        <v>523</v>
      </c>
      <c r="G6294" s="50" t="str">
        <f t="shared" si="126"/>
        <v/>
      </c>
      <c r="H6294" s="69"/>
      <c r="I6294" s="70"/>
      <c r="J6294" s="141">
        <v>0</v>
      </c>
    </row>
    <row r="6295" spans="1:10" ht="15.75" hidden="1" thickBot="1" x14ac:dyDescent="0.3">
      <c r="A6295" s="231"/>
      <c r="B6295" s="229"/>
      <c r="C6295" s="32" t="s">
        <v>3520</v>
      </c>
      <c r="D6295" s="148" t="s">
        <v>280</v>
      </c>
      <c r="E6295" s="149">
        <v>21</v>
      </c>
      <c r="F6295" s="27">
        <v>2.964</v>
      </c>
      <c r="G6295" s="50">
        <f t="shared" si="126"/>
        <v>62.244</v>
      </c>
      <c r="H6295" s="35">
        <f>SUM(G6295:G6315)</f>
        <v>1417.4118866594499</v>
      </c>
      <c r="I6295" s="36"/>
      <c r="J6295" s="141">
        <v>0</v>
      </c>
    </row>
    <row r="6296" spans="1:10" ht="26.25" hidden="1" thickBot="1" x14ac:dyDescent="0.3">
      <c r="A6296" s="231"/>
      <c r="B6296" s="229"/>
      <c r="C6296" s="32" t="s">
        <v>1155</v>
      </c>
      <c r="D6296" s="148" t="s">
        <v>102</v>
      </c>
      <c r="E6296" s="149">
        <v>8.2000000000000007E-3</v>
      </c>
      <c r="F6296" s="27">
        <v>7.1819999999999995</v>
      </c>
      <c r="G6296" s="50">
        <f t="shared" si="126"/>
        <v>5.8892399999999998E-2</v>
      </c>
      <c r="H6296" s="40"/>
      <c r="I6296" s="36"/>
      <c r="J6296" s="141">
        <v>0</v>
      </c>
    </row>
    <row r="6297" spans="1:10" ht="26.25" hidden="1" thickBot="1" x14ac:dyDescent="0.3">
      <c r="A6297" s="231"/>
      <c r="B6297" s="229"/>
      <c r="C6297" s="32" t="s">
        <v>3709</v>
      </c>
      <c r="D6297" s="148" t="s">
        <v>480</v>
      </c>
      <c r="E6297" s="149">
        <v>0.17760000000000001</v>
      </c>
      <c r="F6297" s="27">
        <v>8.5879999999999992</v>
      </c>
      <c r="G6297" s="50">
        <f t="shared" si="126"/>
        <v>1.5252287999999998</v>
      </c>
      <c r="H6297" s="40"/>
      <c r="I6297" s="36"/>
      <c r="J6297" s="141">
        <v>0</v>
      </c>
    </row>
    <row r="6298" spans="1:10" ht="26.25" hidden="1" thickBot="1" x14ac:dyDescent="0.3">
      <c r="A6298" s="231"/>
      <c r="B6298" s="229"/>
      <c r="C6298" s="32" t="s">
        <v>3711</v>
      </c>
      <c r="D6298" s="148" t="s">
        <v>480</v>
      </c>
      <c r="E6298" s="149">
        <v>0.2112</v>
      </c>
      <c r="F6298" s="27">
        <v>3.0019999999999998</v>
      </c>
      <c r="G6298" s="50">
        <f t="shared" si="126"/>
        <v>0.63402239999999999</v>
      </c>
      <c r="H6298" s="40"/>
      <c r="I6298" s="36"/>
      <c r="J6298" s="141">
        <v>0</v>
      </c>
    </row>
    <row r="6299" spans="1:10" ht="15.75" hidden="1" thickBot="1" x14ac:dyDescent="0.3">
      <c r="A6299" s="231"/>
      <c r="B6299" s="229"/>
      <c r="C6299" s="32" t="s">
        <v>3355</v>
      </c>
      <c r="D6299" s="148" t="s">
        <v>901</v>
      </c>
      <c r="E6299" s="149">
        <v>0.187</v>
      </c>
      <c r="F6299" s="27">
        <v>22.505500000000001</v>
      </c>
      <c r="G6299" s="50">
        <f t="shared" si="126"/>
        <v>4.2085284999999999</v>
      </c>
      <c r="H6299" s="40"/>
      <c r="I6299" s="36"/>
      <c r="J6299" s="141">
        <v>0</v>
      </c>
    </row>
    <row r="6300" spans="1:10" ht="51.75" hidden="1" thickBot="1" x14ac:dyDescent="0.3">
      <c r="A6300" s="231"/>
      <c r="B6300" s="229"/>
      <c r="C6300" s="32" t="s">
        <v>3198</v>
      </c>
      <c r="D6300" s="148" t="s">
        <v>945</v>
      </c>
      <c r="E6300" s="149">
        <v>3.1300000000000001E-2</v>
      </c>
      <c r="F6300" s="27">
        <v>136.82849999999999</v>
      </c>
      <c r="G6300" s="50">
        <f t="shared" si="126"/>
        <v>4.2827320499999999</v>
      </c>
      <c r="H6300" s="40"/>
      <c r="I6300" s="36"/>
      <c r="J6300" s="141">
        <v>0</v>
      </c>
    </row>
    <row r="6301" spans="1:10" ht="51.75" hidden="1" thickBot="1" x14ac:dyDescent="0.3">
      <c r="A6301" s="231"/>
      <c r="B6301" s="229"/>
      <c r="C6301" s="32" t="s">
        <v>3204</v>
      </c>
      <c r="D6301" s="148" t="s">
        <v>947</v>
      </c>
      <c r="E6301" s="149">
        <v>6.3700000000000007E-2</v>
      </c>
      <c r="F6301" s="27">
        <v>49.875</v>
      </c>
      <c r="G6301" s="50">
        <f t="shared" si="126"/>
        <v>3.1770375000000004</v>
      </c>
      <c r="H6301" s="40"/>
      <c r="I6301" s="36"/>
      <c r="J6301" s="141">
        <v>0</v>
      </c>
    </row>
    <row r="6302" spans="1:10" ht="26.25" hidden="1" thickBot="1" x14ac:dyDescent="0.3">
      <c r="A6302" s="231"/>
      <c r="B6302" s="229"/>
      <c r="C6302" s="32" t="s">
        <v>6624</v>
      </c>
      <c r="D6302" s="148" t="s">
        <v>480</v>
      </c>
      <c r="E6302" s="149">
        <v>0.66239999999999999</v>
      </c>
      <c r="F6302" s="27">
        <v>21.213499999999996</v>
      </c>
      <c r="G6302" s="50">
        <f t="shared" si="126"/>
        <v>14.051822399999997</v>
      </c>
      <c r="H6302" s="40"/>
      <c r="I6302" s="36"/>
      <c r="J6302" s="141">
        <v>0</v>
      </c>
    </row>
    <row r="6303" spans="1:10" ht="26.25" hidden="1" thickBot="1" x14ac:dyDescent="0.3">
      <c r="A6303" s="231"/>
      <c r="B6303" s="229"/>
      <c r="C6303" s="32" t="s">
        <v>3517</v>
      </c>
      <c r="D6303" s="148" t="s">
        <v>280</v>
      </c>
      <c r="E6303" s="149">
        <v>47.175699999999999</v>
      </c>
      <c r="F6303" s="27">
        <v>4.7785000000000002</v>
      </c>
      <c r="G6303" s="50">
        <f t="shared" si="126"/>
        <v>225.42908245000001</v>
      </c>
      <c r="H6303" s="40"/>
      <c r="I6303" s="36"/>
      <c r="J6303" s="141">
        <v>0</v>
      </c>
    </row>
    <row r="6304" spans="1:10" ht="26.25" hidden="1" thickBot="1" x14ac:dyDescent="0.3">
      <c r="A6304" s="231"/>
      <c r="B6304" s="229"/>
      <c r="C6304" s="32" t="s">
        <v>6654</v>
      </c>
      <c r="D6304" s="148" t="s">
        <v>280</v>
      </c>
      <c r="E6304" s="149">
        <v>1</v>
      </c>
      <c r="F6304" s="27">
        <v>44.716499999999996</v>
      </c>
      <c r="G6304" s="50">
        <f t="shared" si="126"/>
        <v>44.716499999999996</v>
      </c>
      <c r="H6304" s="40"/>
      <c r="I6304" s="36"/>
      <c r="J6304" s="141">
        <v>0</v>
      </c>
    </row>
    <row r="6305" spans="1:10" ht="39" hidden="1" thickBot="1" x14ac:dyDescent="0.3">
      <c r="A6305" s="231"/>
      <c r="B6305" s="229"/>
      <c r="C6305" s="32" t="s">
        <v>1005</v>
      </c>
      <c r="D6305" s="148" t="s">
        <v>120</v>
      </c>
      <c r="E6305" s="149">
        <v>4.3E-3</v>
      </c>
      <c r="F6305" s="27">
        <v>538.03577996999991</v>
      </c>
      <c r="G6305" s="50">
        <f t="shared" si="126"/>
        <v>2.3135538538709994</v>
      </c>
      <c r="H6305" s="40"/>
      <c r="I6305" s="36"/>
      <c r="J6305" s="141">
        <v>0</v>
      </c>
    </row>
    <row r="6306" spans="1:10" ht="15.75" hidden="1" thickBot="1" x14ac:dyDescent="0.3">
      <c r="A6306" s="231"/>
      <c r="B6306" s="229"/>
      <c r="C6306" s="32" t="s">
        <v>713</v>
      </c>
      <c r="D6306" s="148" t="s">
        <v>705</v>
      </c>
      <c r="E6306" s="149">
        <v>9.5631000000000004</v>
      </c>
      <c r="F6306" s="27">
        <v>24.889999999999997</v>
      </c>
      <c r="G6306" s="50">
        <f t="shared" si="126"/>
        <v>238.02555899999999</v>
      </c>
      <c r="H6306" s="40"/>
      <c r="I6306" s="36"/>
      <c r="J6306" s="141">
        <v>0</v>
      </c>
    </row>
    <row r="6307" spans="1:10" ht="15.75" hidden="1" thickBot="1" x14ac:dyDescent="0.3">
      <c r="A6307" s="231"/>
      <c r="B6307" s="229"/>
      <c r="C6307" s="32" t="s">
        <v>706</v>
      </c>
      <c r="D6307" s="148" t="s">
        <v>705</v>
      </c>
      <c r="E6307" s="149">
        <v>7.5138999999999996</v>
      </c>
      <c r="F6307" s="27">
        <v>18.420500000000001</v>
      </c>
      <c r="G6307" s="50">
        <f t="shared" si="126"/>
        <v>138.40979494999999</v>
      </c>
      <c r="H6307" s="40"/>
      <c r="I6307" s="36"/>
      <c r="J6307" s="141">
        <v>0</v>
      </c>
    </row>
    <row r="6308" spans="1:10" ht="26.25" hidden="1" thickBot="1" x14ac:dyDescent="0.3">
      <c r="A6308" s="231"/>
      <c r="B6308" s="229"/>
      <c r="C6308" s="32" t="s">
        <v>3236</v>
      </c>
      <c r="D6308" s="148" t="s">
        <v>120</v>
      </c>
      <c r="E6308" s="149">
        <v>0.47460000000000002</v>
      </c>
      <c r="F6308" s="27">
        <v>614.14627114500001</v>
      </c>
      <c r="G6308" s="50">
        <f t="shared" si="126"/>
        <v>291.47382028541705</v>
      </c>
      <c r="H6308" s="40"/>
      <c r="I6308" s="36"/>
      <c r="J6308" s="141">
        <v>0</v>
      </c>
    </row>
    <row r="6309" spans="1:10" ht="26.25" hidden="1" thickBot="1" x14ac:dyDescent="0.3">
      <c r="A6309" s="231"/>
      <c r="B6309" s="229"/>
      <c r="C6309" s="32" t="s">
        <v>6711</v>
      </c>
      <c r="D6309" s="148" t="s">
        <v>120</v>
      </c>
      <c r="E6309" s="149">
        <v>2.9899999999999999E-2</v>
      </c>
      <c r="F6309" s="27">
        <v>1080.0305127285374</v>
      </c>
      <c r="G6309" s="50">
        <f t="shared" si="126"/>
        <v>32.292912330583263</v>
      </c>
      <c r="H6309" s="40"/>
      <c r="I6309" s="36"/>
      <c r="J6309" s="141">
        <v>0</v>
      </c>
    </row>
    <row r="6310" spans="1:10" ht="26.25" hidden="1" thickBot="1" x14ac:dyDescent="0.3">
      <c r="A6310" s="231"/>
      <c r="B6310" s="229"/>
      <c r="C6310" s="32" t="s">
        <v>6712</v>
      </c>
      <c r="D6310" s="148" t="s">
        <v>120</v>
      </c>
      <c r="E6310" s="149">
        <v>6.1499999999999999E-2</v>
      </c>
      <c r="F6310" s="27">
        <v>1047.2283075785374</v>
      </c>
      <c r="G6310" s="50">
        <f t="shared" si="126"/>
        <v>64.404540916080052</v>
      </c>
      <c r="H6310" s="40"/>
      <c r="I6310" s="36"/>
      <c r="J6310" s="141">
        <v>0</v>
      </c>
    </row>
    <row r="6311" spans="1:10" ht="26.25" hidden="1" thickBot="1" x14ac:dyDescent="0.3">
      <c r="A6311" s="231"/>
      <c r="B6311" s="229"/>
      <c r="C6311" s="32" t="s">
        <v>3210</v>
      </c>
      <c r="D6311" s="148" t="s">
        <v>901</v>
      </c>
      <c r="E6311" s="149">
        <v>0.98719999999999997</v>
      </c>
      <c r="F6311" s="27">
        <v>12.541631149999999</v>
      </c>
      <c r="G6311" s="50">
        <f t="shared" si="126"/>
        <v>12.381098271279999</v>
      </c>
      <c r="H6311" s="40"/>
      <c r="I6311" s="36"/>
      <c r="J6311" s="141">
        <v>0</v>
      </c>
    </row>
    <row r="6312" spans="1:10" ht="26.25" hidden="1" thickBot="1" x14ac:dyDescent="0.3">
      <c r="A6312" s="231"/>
      <c r="B6312" s="229"/>
      <c r="C6312" s="32" t="s">
        <v>3211</v>
      </c>
      <c r="D6312" s="148" t="s">
        <v>901</v>
      </c>
      <c r="E6312" s="149">
        <v>2.468</v>
      </c>
      <c r="F6312" s="27">
        <v>12.030621399999999</v>
      </c>
      <c r="G6312" s="50">
        <f t="shared" si="126"/>
        <v>29.691573615199999</v>
      </c>
      <c r="H6312" s="40"/>
      <c r="I6312" s="36"/>
      <c r="J6312" s="141">
        <v>0</v>
      </c>
    </row>
    <row r="6313" spans="1:10" ht="26.25" hidden="1" thickBot="1" x14ac:dyDescent="0.3">
      <c r="A6313" s="231"/>
      <c r="B6313" s="229"/>
      <c r="C6313" s="32" t="s">
        <v>1076</v>
      </c>
      <c r="D6313" s="148" t="s">
        <v>120</v>
      </c>
      <c r="E6313" s="149">
        <v>0.1628</v>
      </c>
      <c r="F6313" s="27">
        <v>565.33710490434999</v>
      </c>
      <c r="G6313" s="50">
        <f t="shared" si="126"/>
        <v>92.036880678428176</v>
      </c>
      <c r="H6313" s="40"/>
      <c r="I6313" s="36"/>
      <c r="J6313" s="141">
        <v>0</v>
      </c>
    </row>
    <row r="6314" spans="1:10" ht="26.25" hidden="1" thickBot="1" x14ac:dyDescent="0.3">
      <c r="A6314" s="231"/>
      <c r="B6314" s="229"/>
      <c r="C6314" s="32" t="s">
        <v>3221</v>
      </c>
      <c r="D6314" s="148" t="s">
        <v>120</v>
      </c>
      <c r="E6314" s="149">
        <v>6.1600000000000002E-2</v>
      </c>
      <c r="F6314" s="27">
        <v>2481.31396637322</v>
      </c>
      <c r="G6314" s="50">
        <f t="shared" si="126"/>
        <v>152.84894032859034</v>
      </c>
      <c r="H6314" s="40"/>
      <c r="I6314" s="36"/>
      <c r="J6314" s="141">
        <v>0</v>
      </c>
    </row>
    <row r="6315" spans="1:10" ht="26.25" hidden="1" thickBot="1" x14ac:dyDescent="0.3">
      <c r="A6315" s="231"/>
      <c r="B6315" s="229"/>
      <c r="C6315" s="32" t="s">
        <v>3696</v>
      </c>
      <c r="D6315" s="148" t="s">
        <v>995</v>
      </c>
      <c r="E6315" s="149">
        <v>1.17</v>
      </c>
      <c r="F6315" s="27">
        <v>2.7396289999999999</v>
      </c>
      <c r="G6315" s="50">
        <f t="shared" si="126"/>
        <v>3.2053659299999997</v>
      </c>
      <c r="H6315" s="40"/>
      <c r="I6315" s="36"/>
      <c r="J6315" s="141">
        <v>0</v>
      </c>
    </row>
    <row r="6316" spans="1:10" ht="15.75" hidden="1" thickBot="1" x14ac:dyDescent="0.3">
      <c r="A6316" s="232"/>
      <c r="B6316" s="230"/>
      <c r="C6316" s="32"/>
      <c r="D6316" s="148"/>
      <c r="E6316" s="149"/>
      <c r="F6316" s="27" t="s">
        <v>523</v>
      </c>
      <c r="G6316" s="50"/>
      <c r="H6316" s="40"/>
      <c r="I6316" s="36"/>
      <c r="J6316" s="141">
        <v>0</v>
      </c>
    </row>
    <row r="6317" spans="1:10" ht="15.75" hidden="1" thickBot="1" x14ac:dyDescent="0.3">
      <c r="A6317" s="225" t="s">
        <v>6251</v>
      </c>
      <c r="B6317" s="228" t="str">
        <f>INDEX(Orçamentária!A:B,MATCH(Composições!A6317,Orçamentária!A:A,0),2)</f>
        <v>Canaleta de concreto armado 30 cm x 30 cm com tampa</v>
      </c>
      <c r="C6317" s="37"/>
      <c r="D6317" s="22" t="str">
        <f>TRIM(INDEX(Orçamentária!C:C,MATCH(Composições!A6317,Orçamentária!A:A,0),1))</f>
        <v>m</v>
      </c>
      <c r="E6317" s="23"/>
      <c r="F6317" s="45" t="s">
        <v>523</v>
      </c>
      <c r="G6317" s="24" t="str">
        <f t="shared" ref="G6317:G6325" si="127">IF(ISNUMBER(F6317),E6317*F6317,"")</f>
        <v/>
      </c>
      <c r="H6317" s="25"/>
      <c r="I6317" s="26"/>
      <c r="J6317" s="141">
        <v>0</v>
      </c>
    </row>
    <row r="6318" spans="1:10" ht="15.75" hidden="1" thickBot="1" x14ac:dyDescent="0.3">
      <c r="A6318" s="231"/>
      <c r="B6318" s="229"/>
      <c r="C6318" s="155"/>
      <c r="D6318" s="155"/>
      <c r="E6318" s="156"/>
      <c r="F6318" s="50" t="s">
        <v>523</v>
      </c>
      <c r="G6318" s="50" t="str">
        <f t="shared" si="127"/>
        <v/>
      </c>
      <c r="H6318" s="69"/>
      <c r="I6318" s="70"/>
      <c r="J6318" s="141">
        <v>0</v>
      </c>
    </row>
    <row r="6319" spans="1:10" ht="15.75" hidden="1" thickBot="1" x14ac:dyDescent="0.3">
      <c r="A6319" s="231"/>
      <c r="B6319" s="229"/>
      <c r="C6319" s="32" t="s">
        <v>6434</v>
      </c>
      <c r="D6319" s="148" t="s">
        <v>95</v>
      </c>
      <c r="E6319" s="149">
        <v>3.12</v>
      </c>
      <c r="F6319" s="27">
        <v>0</v>
      </c>
      <c r="G6319" s="50">
        <f t="shared" si="127"/>
        <v>0</v>
      </c>
      <c r="H6319" s="35">
        <f>SUM(G6319:G6325)</f>
        <v>15.432749999999999</v>
      </c>
      <c r="I6319" s="36"/>
      <c r="J6319" s="141">
        <v>0</v>
      </c>
    </row>
    <row r="6320" spans="1:10" ht="15.75" hidden="1" thickBot="1" x14ac:dyDescent="0.3">
      <c r="A6320" s="231"/>
      <c r="B6320" s="229"/>
      <c r="C6320" s="32" t="s">
        <v>6435</v>
      </c>
      <c r="D6320" s="148" t="s">
        <v>120</v>
      </c>
      <c r="E6320" s="149">
        <v>0.17299999999999999</v>
      </c>
      <c r="F6320" s="27">
        <v>0</v>
      </c>
      <c r="G6320" s="50">
        <f t="shared" si="127"/>
        <v>0</v>
      </c>
      <c r="H6320" s="40"/>
      <c r="I6320" s="36"/>
      <c r="J6320" s="141">
        <v>0</v>
      </c>
    </row>
    <row r="6321" spans="1:10" ht="15.75" hidden="1" thickBot="1" x14ac:dyDescent="0.3">
      <c r="A6321" s="231"/>
      <c r="B6321" s="229"/>
      <c r="C6321" s="32" t="s">
        <v>6436</v>
      </c>
      <c r="D6321" s="148" t="s">
        <v>95</v>
      </c>
      <c r="E6321" s="149">
        <v>2.56</v>
      </c>
      <c r="F6321" s="27">
        <v>0</v>
      </c>
      <c r="G6321" s="50">
        <f t="shared" si="127"/>
        <v>0</v>
      </c>
      <c r="H6321" s="40"/>
      <c r="I6321" s="36"/>
      <c r="J6321" s="141">
        <v>0</v>
      </c>
    </row>
    <row r="6322" spans="1:10" ht="15.75" hidden="1" thickBot="1" x14ac:dyDescent="0.3">
      <c r="A6322" s="231"/>
      <c r="B6322" s="229"/>
      <c r="C6322" s="32" t="s">
        <v>6437</v>
      </c>
      <c r="D6322" s="148" t="s">
        <v>120</v>
      </c>
      <c r="E6322" s="149">
        <v>3.3000000000000002E-2</v>
      </c>
      <c r="F6322" s="27">
        <v>0</v>
      </c>
      <c r="G6322" s="50">
        <f t="shared" si="127"/>
        <v>0</v>
      </c>
      <c r="H6322" s="40"/>
      <c r="I6322" s="36"/>
      <c r="J6322" s="141">
        <v>0</v>
      </c>
    </row>
    <row r="6323" spans="1:10" ht="15.75" hidden="1" thickBot="1" x14ac:dyDescent="0.3">
      <c r="A6323" s="231"/>
      <c r="B6323" s="229"/>
      <c r="C6323" s="32" t="s">
        <v>713</v>
      </c>
      <c r="D6323" s="148" t="s">
        <v>705</v>
      </c>
      <c r="E6323" s="149">
        <v>0.25</v>
      </c>
      <c r="F6323" s="27">
        <v>24.889999999999997</v>
      </c>
      <c r="G6323" s="50">
        <f t="shared" si="127"/>
        <v>6.2224999999999993</v>
      </c>
      <c r="H6323" s="40"/>
      <c r="I6323" s="36"/>
      <c r="J6323" s="141">
        <v>0</v>
      </c>
    </row>
    <row r="6324" spans="1:10" ht="15.75" hidden="1" thickBot="1" x14ac:dyDescent="0.3">
      <c r="A6324" s="231"/>
      <c r="B6324" s="229"/>
      <c r="C6324" s="32" t="s">
        <v>706</v>
      </c>
      <c r="D6324" s="148" t="s">
        <v>705</v>
      </c>
      <c r="E6324" s="149">
        <v>0.5</v>
      </c>
      <c r="F6324" s="27">
        <v>18.420500000000001</v>
      </c>
      <c r="G6324" s="50">
        <f t="shared" si="127"/>
        <v>9.2102500000000003</v>
      </c>
      <c r="H6324" s="40"/>
      <c r="I6324" s="36"/>
      <c r="J6324" s="141">
        <v>0</v>
      </c>
    </row>
    <row r="6325" spans="1:10" ht="15.75" hidden="1" thickBot="1" x14ac:dyDescent="0.3">
      <c r="A6325" s="231"/>
      <c r="B6325" s="229"/>
      <c r="C6325" s="32" t="s">
        <v>6438</v>
      </c>
      <c r="D6325" s="148" t="s">
        <v>20</v>
      </c>
      <c r="E6325" s="149">
        <v>1.7</v>
      </c>
      <c r="F6325" s="27">
        <v>0</v>
      </c>
      <c r="G6325" s="50">
        <f t="shared" si="127"/>
        <v>0</v>
      </c>
      <c r="H6325" s="40"/>
      <c r="I6325" s="36"/>
      <c r="J6325" s="141">
        <v>0</v>
      </c>
    </row>
    <row r="6326" spans="1:10" ht="15.75" hidden="1" thickBot="1" x14ac:dyDescent="0.3">
      <c r="A6326" s="232"/>
      <c r="B6326" s="230"/>
      <c r="C6326" s="32"/>
      <c r="D6326" s="148"/>
      <c r="E6326" s="149"/>
      <c r="F6326" s="27" t="s">
        <v>523</v>
      </c>
      <c r="G6326" s="50"/>
      <c r="H6326" s="40"/>
      <c r="I6326" s="36"/>
      <c r="J6326" s="141">
        <v>0</v>
      </c>
    </row>
    <row r="6327" spans="1:10" ht="15.75" hidden="1" thickBot="1" x14ac:dyDescent="0.3">
      <c r="A6327" s="225" t="s">
        <v>6252</v>
      </c>
      <c r="B6327" s="228" t="str">
        <f>INDEX(Orçamentária!A:B,MATCH(Composições!A6327,Orçamentária!A:A,0),2)</f>
        <v>Remoção de árvore, inclusive raiz</v>
      </c>
      <c r="C6327" s="37"/>
      <c r="D6327" s="22" t="str">
        <f>TRIM(INDEX(Orçamentária!C:C,MATCH(Composições!A6327,Orçamentária!A:A,0),1))</f>
        <v>un</v>
      </c>
      <c r="E6327" s="23"/>
      <c r="F6327" s="45" t="s">
        <v>523</v>
      </c>
      <c r="G6327" s="24" t="str">
        <f t="shared" ref="G6327:G6334" si="128">IF(ISNUMBER(F6327),E6327*F6327,"")</f>
        <v/>
      </c>
      <c r="H6327" s="25"/>
      <c r="I6327" s="26"/>
      <c r="J6327" s="141">
        <v>0</v>
      </c>
    </row>
    <row r="6328" spans="1:10" ht="15.75" hidden="1" thickBot="1" x14ac:dyDescent="0.3">
      <c r="A6328" s="231"/>
      <c r="B6328" s="229"/>
      <c r="C6328" s="155"/>
      <c r="D6328" s="155"/>
      <c r="E6328" s="156"/>
      <c r="F6328" s="50" t="s">
        <v>523</v>
      </c>
      <c r="G6328" s="50" t="str">
        <f t="shared" si="128"/>
        <v/>
      </c>
      <c r="H6328" s="69"/>
      <c r="I6328" s="70"/>
      <c r="J6328" s="141">
        <v>0</v>
      </c>
    </row>
    <row r="6329" spans="1:10" ht="15.75" hidden="1" thickBot="1" x14ac:dyDescent="0.3">
      <c r="A6329" s="231"/>
      <c r="B6329" s="229"/>
      <c r="C6329" s="32" t="s">
        <v>706</v>
      </c>
      <c r="D6329" s="148" t="s">
        <v>705</v>
      </c>
      <c r="E6329" s="149">
        <v>1.5444</v>
      </c>
      <c r="F6329" s="27">
        <v>18.420500000000001</v>
      </c>
      <c r="G6329" s="50">
        <f t="shared" si="128"/>
        <v>28.448620200000001</v>
      </c>
      <c r="H6329" s="35">
        <f>SUM(G6329:G6334)</f>
        <v>129.72568724999999</v>
      </c>
      <c r="I6329" s="36"/>
      <c r="J6329" s="141">
        <v>0</v>
      </c>
    </row>
    <row r="6330" spans="1:10" ht="15.75" hidden="1" thickBot="1" x14ac:dyDescent="0.3">
      <c r="A6330" s="231"/>
      <c r="B6330" s="229"/>
      <c r="C6330" s="32" t="s">
        <v>1089</v>
      </c>
      <c r="D6330" s="148" t="s">
        <v>705</v>
      </c>
      <c r="E6330" s="149">
        <v>1.5444</v>
      </c>
      <c r="F6330" s="27">
        <v>19.522500000000001</v>
      </c>
      <c r="G6330" s="50">
        <f t="shared" si="128"/>
        <v>30.150549000000002</v>
      </c>
      <c r="H6330" s="40"/>
      <c r="I6330" s="36"/>
      <c r="J6330" s="141">
        <v>0</v>
      </c>
    </row>
    <row r="6331" spans="1:10" ht="51.75" hidden="1" thickBot="1" x14ac:dyDescent="0.3">
      <c r="A6331" s="231"/>
      <c r="B6331" s="229"/>
      <c r="C6331" s="32" t="s">
        <v>3198</v>
      </c>
      <c r="D6331" s="148" t="s">
        <v>945</v>
      </c>
      <c r="E6331" s="149">
        <v>0.1333</v>
      </c>
      <c r="F6331" s="27">
        <v>136.82849999999999</v>
      </c>
      <c r="G6331" s="50">
        <f t="shared" si="128"/>
        <v>18.239239049999998</v>
      </c>
      <c r="H6331" s="40"/>
      <c r="I6331" s="36"/>
      <c r="J6331" s="141">
        <v>0</v>
      </c>
    </row>
    <row r="6332" spans="1:10" ht="51.75" hidden="1" thickBot="1" x14ac:dyDescent="0.3">
      <c r="A6332" s="231"/>
      <c r="B6332" s="229"/>
      <c r="C6332" s="32" t="s">
        <v>3204</v>
      </c>
      <c r="D6332" s="148" t="s">
        <v>947</v>
      </c>
      <c r="E6332" s="149">
        <v>0.54459999999999997</v>
      </c>
      <c r="F6332" s="27">
        <v>49.875</v>
      </c>
      <c r="G6332" s="50">
        <f t="shared" si="128"/>
        <v>27.161925</v>
      </c>
      <c r="H6332" s="40"/>
      <c r="I6332" s="36"/>
      <c r="J6332" s="141">
        <v>0</v>
      </c>
    </row>
    <row r="6333" spans="1:10" ht="15.75" hidden="1" thickBot="1" x14ac:dyDescent="0.3">
      <c r="A6333" s="231"/>
      <c r="B6333" s="229"/>
      <c r="C6333" s="32" t="s">
        <v>706</v>
      </c>
      <c r="D6333" s="148" t="s">
        <v>705</v>
      </c>
      <c r="E6333" s="149">
        <v>0.67800000000000005</v>
      </c>
      <c r="F6333" s="27">
        <v>18.420500000000001</v>
      </c>
      <c r="G6333" s="50">
        <f t="shared" si="128"/>
        <v>12.489099000000001</v>
      </c>
      <c r="H6333" s="40"/>
      <c r="I6333" s="36"/>
      <c r="J6333" s="141">
        <v>0</v>
      </c>
    </row>
    <row r="6334" spans="1:10" ht="15.75" hidden="1" thickBot="1" x14ac:dyDescent="0.3">
      <c r="A6334" s="231"/>
      <c r="B6334" s="229"/>
      <c r="C6334" s="32" t="s">
        <v>1089</v>
      </c>
      <c r="D6334" s="148" t="s">
        <v>705</v>
      </c>
      <c r="E6334" s="149">
        <v>0.67800000000000005</v>
      </c>
      <c r="F6334" s="27">
        <v>19.522500000000001</v>
      </c>
      <c r="G6334" s="50">
        <f t="shared" si="128"/>
        <v>13.236255000000002</v>
      </c>
      <c r="H6334" s="40"/>
      <c r="I6334" s="36"/>
      <c r="J6334" s="141">
        <v>0</v>
      </c>
    </row>
    <row r="6335" spans="1:10" ht="15.75" hidden="1" thickBot="1" x14ac:dyDescent="0.3">
      <c r="A6335" s="232"/>
      <c r="B6335" s="230"/>
      <c r="C6335" s="32"/>
      <c r="D6335" s="148"/>
      <c r="E6335" s="149"/>
      <c r="F6335" s="27" t="s">
        <v>523</v>
      </c>
      <c r="G6335" s="50"/>
      <c r="H6335" s="40"/>
      <c r="I6335" s="36"/>
      <c r="J6335" s="141">
        <v>0</v>
      </c>
    </row>
    <row r="6336" spans="1:10" ht="15.75" hidden="1" thickBot="1" x14ac:dyDescent="0.3">
      <c r="A6336" s="225" t="s">
        <v>6253</v>
      </c>
      <c r="B6336" s="228" t="str">
        <f>INDEX(Orçamentária!A:B,MATCH(Composições!A6336,Orçamentária!A:A,0),2)</f>
        <v>Demolição de telhas</v>
      </c>
      <c r="C6336" s="37"/>
      <c r="D6336" s="22" t="str">
        <f>TRIM(INDEX(Orçamentária!C:C,MATCH(Composições!A6336,Orçamentária!A:A,0),1))</f>
        <v>m2</v>
      </c>
      <c r="E6336" s="23"/>
      <c r="F6336" s="45" t="s">
        <v>523</v>
      </c>
      <c r="G6336" s="24" t="str">
        <f>IF(ISNUMBER(F6336),E6336*F6336,"")</f>
        <v/>
      </c>
      <c r="H6336" s="25"/>
      <c r="I6336" s="26"/>
      <c r="J6336" s="141">
        <v>0</v>
      </c>
    </row>
    <row r="6337" spans="1:10" ht="15.75" hidden="1" thickBot="1" x14ac:dyDescent="0.3">
      <c r="A6337" s="231"/>
      <c r="B6337" s="229"/>
      <c r="C6337" s="155"/>
      <c r="D6337" s="155"/>
      <c r="E6337" s="156"/>
      <c r="F6337" s="50" t="s">
        <v>523</v>
      </c>
      <c r="G6337" s="50" t="str">
        <f>IF(ISNUMBER(F6337),E6337*F6337,"")</f>
        <v/>
      </c>
      <c r="H6337" s="69"/>
      <c r="I6337" s="70"/>
      <c r="J6337" s="141">
        <v>0</v>
      </c>
    </row>
    <row r="6338" spans="1:10" ht="15.75" hidden="1" thickBot="1" x14ac:dyDescent="0.3">
      <c r="A6338" s="231"/>
      <c r="B6338" s="229"/>
      <c r="C6338" s="32" t="s">
        <v>706</v>
      </c>
      <c r="D6338" s="148" t="s">
        <v>705</v>
      </c>
      <c r="E6338" s="149">
        <v>9.7100000000000006E-2</v>
      </c>
      <c r="F6338" s="27">
        <v>18.420500000000001</v>
      </c>
      <c r="G6338" s="50">
        <f>IF(ISNUMBER(F6338),E6338*F6338,"")</f>
        <v>1.7886305500000002</v>
      </c>
      <c r="H6338" s="35">
        <f>SUM(G6338:G6339)</f>
        <v>2.99473155</v>
      </c>
      <c r="I6338" s="36"/>
      <c r="J6338" s="141">
        <v>0</v>
      </c>
    </row>
    <row r="6339" spans="1:10" ht="15.75" hidden="1" thickBot="1" x14ac:dyDescent="0.3">
      <c r="A6339" s="231"/>
      <c r="B6339" s="229"/>
      <c r="C6339" s="32" t="s">
        <v>1308</v>
      </c>
      <c r="D6339" s="148" t="s">
        <v>705</v>
      </c>
      <c r="E6339" s="149">
        <v>4.9399999999999999E-2</v>
      </c>
      <c r="F6339" s="27">
        <v>24.414999999999999</v>
      </c>
      <c r="G6339" s="50">
        <f>IF(ISNUMBER(F6339),E6339*F6339,"")</f>
        <v>1.2061009999999999</v>
      </c>
      <c r="H6339" s="40"/>
      <c r="I6339" s="36"/>
      <c r="J6339" s="141">
        <v>0</v>
      </c>
    </row>
    <row r="6340" spans="1:10" ht="15.75" hidden="1" thickBot="1" x14ac:dyDescent="0.3">
      <c r="A6340" s="232"/>
      <c r="B6340" s="230"/>
      <c r="C6340" s="32"/>
      <c r="D6340" s="148"/>
      <c r="E6340" s="149"/>
      <c r="F6340" s="27" t="s">
        <v>523</v>
      </c>
      <c r="G6340" s="50"/>
      <c r="H6340" s="40"/>
      <c r="I6340" s="36"/>
      <c r="J6340" s="141">
        <v>0</v>
      </c>
    </row>
    <row r="6341" spans="1:10" ht="15.75" hidden="1" thickBot="1" x14ac:dyDescent="0.3">
      <c r="A6341" s="225" t="s">
        <v>6254</v>
      </c>
      <c r="B6341" s="228" t="str">
        <f>INDEX(Orçamentária!A:B,MATCH(Composições!A6341,Orçamentária!A:A,0),2)</f>
        <v>Locação de obra</v>
      </c>
      <c r="C6341" s="37"/>
      <c r="D6341" s="22" t="str">
        <f>TRIM(INDEX(Orçamentária!C:C,MATCH(Composições!A6341,Orçamentária!A:A,0),1))</f>
        <v>m</v>
      </c>
      <c r="E6341" s="23"/>
      <c r="F6341" s="45" t="s">
        <v>523</v>
      </c>
      <c r="G6341" s="24" t="str">
        <f t="shared" ref="G6341:G6353" si="129">IF(ISNUMBER(F6341),E6341*F6341,"")</f>
        <v/>
      </c>
      <c r="H6341" s="25"/>
      <c r="I6341" s="26"/>
      <c r="J6341" s="141">
        <v>0</v>
      </c>
    </row>
    <row r="6342" spans="1:10" ht="15.75" hidden="1" thickBot="1" x14ac:dyDescent="0.3">
      <c r="A6342" s="231"/>
      <c r="B6342" s="229"/>
      <c r="C6342" s="155"/>
      <c r="D6342" s="155"/>
      <c r="E6342" s="156"/>
      <c r="F6342" s="50" t="s">
        <v>523</v>
      </c>
      <c r="G6342" s="50" t="str">
        <f t="shared" si="129"/>
        <v/>
      </c>
      <c r="H6342" s="69"/>
      <c r="I6342" s="70"/>
      <c r="J6342" s="141">
        <v>0</v>
      </c>
    </row>
    <row r="6343" spans="1:10" ht="26.25" hidden="1" thickBot="1" x14ac:dyDescent="0.3">
      <c r="A6343" s="231"/>
      <c r="B6343" s="229"/>
      <c r="C6343" s="32" t="s">
        <v>6655</v>
      </c>
      <c r="D6343" s="148" t="s">
        <v>480</v>
      </c>
      <c r="E6343" s="149">
        <v>0.74450000000000005</v>
      </c>
      <c r="F6343" s="27">
        <v>8.17</v>
      </c>
      <c r="G6343" s="50">
        <f t="shared" si="129"/>
        <v>6.0825650000000007</v>
      </c>
      <c r="H6343" s="35">
        <f>SUM(G6343:G6353)</f>
        <v>57.586041309283821</v>
      </c>
      <c r="I6343" s="36"/>
      <c r="J6343" s="141">
        <v>0</v>
      </c>
    </row>
    <row r="6344" spans="1:10" ht="26.25" hidden="1" thickBot="1" x14ac:dyDescent="0.3">
      <c r="A6344" s="231"/>
      <c r="B6344" s="229"/>
      <c r="C6344" s="32" t="s">
        <v>6656</v>
      </c>
      <c r="D6344" s="148" t="s">
        <v>480</v>
      </c>
      <c r="E6344" s="149">
        <v>0.41249999999999998</v>
      </c>
      <c r="F6344" s="27">
        <v>29.345499999999998</v>
      </c>
      <c r="G6344" s="50">
        <f t="shared" si="129"/>
        <v>12.105018749999999</v>
      </c>
      <c r="H6344" s="40"/>
      <c r="I6344" s="36"/>
      <c r="J6344" s="141">
        <v>0</v>
      </c>
    </row>
    <row r="6345" spans="1:10" ht="15.75" hidden="1" thickBot="1" x14ac:dyDescent="0.3">
      <c r="A6345" s="231"/>
      <c r="B6345" s="229"/>
      <c r="C6345" s="32" t="s">
        <v>1371</v>
      </c>
      <c r="D6345" s="148" t="s">
        <v>901</v>
      </c>
      <c r="E6345" s="149">
        <v>0.111</v>
      </c>
      <c r="F6345" s="27">
        <v>22.077999999999996</v>
      </c>
      <c r="G6345" s="50">
        <f t="shared" si="129"/>
        <v>2.4506579999999998</v>
      </c>
      <c r="H6345" s="40"/>
      <c r="I6345" s="36"/>
      <c r="J6345" s="141">
        <v>0</v>
      </c>
    </row>
    <row r="6346" spans="1:10" ht="15.75" hidden="1" thickBot="1" x14ac:dyDescent="0.3">
      <c r="A6346" s="231"/>
      <c r="B6346" s="229"/>
      <c r="C6346" s="32" t="s">
        <v>6804</v>
      </c>
      <c r="D6346" s="148" t="s">
        <v>102</v>
      </c>
      <c r="E6346" s="149">
        <v>2.5600000000000001E-2</v>
      </c>
      <c r="F6346" s="27">
        <v>25.241499999999998</v>
      </c>
      <c r="G6346" s="50">
        <f t="shared" si="129"/>
        <v>0.64618240000000005</v>
      </c>
      <c r="H6346" s="40"/>
      <c r="I6346" s="36"/>
      <c r="J6346" s="141">
        <v>0</v>
      </c>
    </row>
    <row r="6347" spans="1:10" ht="26.25" hidden="1" thickBot="1" x14ac:dyDescent="0.3">
      <c r="A6347" s="231"/>
      <c r="B6347" s="229"/>
      <c r="C6347" s="32" t="s">
        <v>3712</v>
      </c>
      <c r="D6347" s="148" t="s">
        <v>480</v>
      </c>
      <c r="E6347" s="149">
        <v>0.55000000000000004</v>
      </c>
      <c r="F6347" s="27">
        <v>9.7089999999999996</v>
      </c>
      <c r="G6347" s="50">
        <f t="shared" si="129"/>
        <v>5.33995</v>
      </c>
      <c r="H6347" s="40"/>
      <c r="I6347" s="36"/>
      <c r="J6347" s="141">
        <v>0</v>
      </c>
    </row>
    <row r="6348" spans="1:10" ht="15.75" hidden="1" thickBot="1" x14ac:dyDescent="0.3">
      <c r="A6348" s="231"/>
      <c r="B6348" s="229"/>
      <c r="C6348" s="32" t="s">
        <v>788</v>
      </c>
      <c r="D6348" s="148" t="s">
        <v>705</v>
      </c>
      <c r="E6348" s="149">
        <v>0.35630000000000001</v>
      </c>
      <c r="F6348" s="27">
        <v>19.494</v>
      </c>
      <c r="G6348" s="50">
        <f t="shared" si="129"/>
        <v>6.9457122</v>
      </c>
      <c r="H6348" s="40"/>
      <c r="I6348" s="36"/>
      <c r="J6348" s="141">
        <v>0</v>
      </c>
    </row>
    <row r="6349" spans="1:10" ht="15.75" hidden="1" thickBot="1" x14ac:dyDescent="0.3">
      <c r="A6349" s="231"/>
      <c r="B6349" s="229"/>
      <c r="C6349" s="32" t="s">
        <v>996</v>
      </c>
      <c r="D6349" s="148" t="s">
        <v>705</v>
      </c>
      <c r="E6349" s="149">
        <v>0.71250000000000002</v>
      </c>
      <c r="F6349" s="27">
        <v>24.633499999999998</v>
      </c>
      <c r="G6349" s="50">
        <f t="shared" si="129"/>
        <v>17.551368749999998</v>
      </c>
      <c r="H6349" s="40"/>
      <c r="I6349" s="36"/>
      <c r="J6349" s="141">
        <v>0</v>
      </c>
    </row>
    <row r="6350" spans="1:10" ht="26.25" hidden="1" thickBot="1" x14ac:dyDescent="0.3">
      <c r="A6350" s="231"/>
      <c r="B6350" s="229"/>
      <c r="C6350" s="32" t="s">
        <v>1159</v>
      </c>
      <c r="D6350" s="148" t="s">
        <v>945</v>
      </c>
      <c r="E6350" s="149">
        <v>3.8999999999999998E-3</v>
      </c>
      <c r="F6350" s="27">
        <v>20.225499999999997</v>
      </c>
      <c r="G6350" s="50">
        <f t="shared" si="129"/>
        <v>7.887944999999999E-2</v>
      </c>
      <c r="H6350" s="40"/>
      <c r="I6350" s="36"/>
      <c r="J6350" s="141">
        <v>0</v>
      </c>
    </row>
    <row r="6351" spans="1:10" ht="26.25" hidden="1" thickBot="1" x14ac:dyDescent="0.3">
      <c r="A6351" s="231"/>
      <c r="B6351" s="229"/>
      <c r="C6351" s="32" t="s">
        <v>1160</v>
      </c>
      <c r="D6351" s="148" t="s">
        <v>947</v>
      </c>
      <c r="E6351" s="149">
        <v>1.6799999999999999E-2</v>
      </c>
      <c r="F6351" s="27">
        <v>19.446499999999997</v>
      </c>
      <c r="G6351" s="50">
        <f t="shared" si="129"/>
        <v>0.32670119999999991</v>
      </c>
      <c r="H6351" s="40"/>
      <c r="I6351" s="36"/>
      <c r="J6351" s="141">
        <v>0</v>
      </c>
    </row>
    <row r="6352" spans="1:10" ht="39" hidden="1" thickBot="1" x14ac:dyDescent="0.3">
      <c r="A6352" s="231"/>
      <c r="B6352" s="229"/>
      <c r="C6352" s="32" t="s">
        <v>6621</v>
      </c>
      <c r="D6352" s="148" t="s">
        <v>120</v>
      </c>
      <c r="E6352" s="149">
        <v>4.5999999999999999E-3</v>
      </c>
      <c r="F6352" s="27">
        <v>569.26789875734994</v>
      </c>
      <c r="G6352" s="50">
        <f t="shared" si="129"/>
        <v>2.6186323342838098</v>
      </c>
      <c r="H6352" s="40"/>
      <c r="I6352" s="36"/>
      <c r="J6352" s="141">
        <v>0</v>
      </c>
    </row>
    <row r="6353" spans="1:10" ht="15.75" hidden="1" thickBot="1" x14ac:dyDescent="0.3">
      <c r="A6353" s="231"/>
      <c r="B6353" s="229"/>
      <c r="C6353" s="32" t="s">
        <v>3238</v>
      </c>
      <c r="D6353" s="148" t="s">
        <v>280</v>
      </c>
      <c r="E6353" s="149">
        <v>1.5</v>
      </c>
      <c r="F6353" s="27">
        <v>2.2935821499999998</v>
      </c>
      <c r="G6353" s="50">
        <f t="shared" si="129"/>
        <v>3.4403732249999996</v>
      </c>
      <c r="H6353" s="40"/>
      <c r="I6353" s="36"/>
      <c r="J6353" s="141">
        <v>0</v>
      </c>
    </row>
    <row r="6354" spans="1:10" ht="15.75" hidden="1" thickBot="1" x14ac:dyDescent="0.3">
      <c r="A6354" s="232"/>
      <c r="B6354" s="230"/>
      <c r="C6354" s="32"/>
      <c r="D6354" s="148"/>
      <c r="E6354" s="149"/>
      <c r="F6354" s="27" t="s">
        <v>523</v>
      </c>
      <c r="G6354" s="50"/>
      <c r="H6354" s="40"/>
      <c r="I6354" s="36"/>
      <c r="J6354" s="141">
        <v>0</v>
      </c>
    </row>
    <row r="6355" spans="1:10" ht="15.75" hidden="1" thickBot="1" x14ac:dyDescent="0.3">
      <c r="A6355" s="225" t="s">
        <v>6255</v>
      </c>
      <c r="B6355" s="236" t="str">
        <f>INDEX(Orçamentária!A:B,MATCH(Composições!A6355,Orçamentária!A:A,0),2)</f>
        <v>Paraciclo metálico para bicicletas</v>
      </c>
      <c r="C6355" s="37"/>
      <c r="D6355" s="22" t="str">
        <f>TRIM(INDEX(Orçamentária!C:C,MATCH(Composições!A6355,Orçamentária!A:A,0),1))</f>
        <v>un</v>
      </c>
      <c r="E6355" s="23"/>
      <c r="F6355" s="45" t="s">
        <v>523</v>
      </c>
      <c r="G6355" s="24" t="str">
        <f t="shared" ref="G6355:G6366" si="130">IF(ISNUMBER(F6355),E6355*F6355,"")</f>
        <v/>
      </c>
      <c r="H6355" s="25"/>
      <c r="I6355" s="26"/>
      <c r="J6355" s="141">
        <v>0</v>
      </c>
    </row>
    <row r="6356" spans="1:10" ht="15.75" hidden="1" thickBot="1" x14ac:dyDescent="0.3">
      <c r="A6356" s="231"/>
      <c r="B6356" s="237"/>
      <c r="C6356" s="155"/>
      <c r="D6356" s="155"/>
      <c r="E6356" s="156"/>
      <c r="F6356" s="50" t="s">
        <v>523</v>
      </c>
      <c r="G6356" s="50" t="str">
        <f t="shared" si="130"/>
        <v/>
      </c>
      <c r="H6356" s="69"/>
      <c r="I6356" s="70"/>
      <c r="J6356" s="141">
        <v>0</v>
      </c>
    </row>
    <row r="6357" spans="1:10" ht="26.25" hidden="1" thickBot="1" x14ac:dyDescent="0.3">
      <c r="A6357" s="231"/>
      <c r="B6357" s="237"/>
      <c r="C6357" s="32" t="s">
        <v>6439</v>
      </c>
      <c r="D6357" s="148" t="s">
        <v>280</v>
      </c>
      <c r="E6357" s="149">
        <v>4</v>
      </c>
      <c r="F6357" s="27">
        <v>0</v>
      </c>
      <c r="G6357" s="50">
        <f t="shared" si="130"/>
        <v>0</v>
      </c>
      <c r="H6357" s="35">
        <f>SUM(G6357:G6366)</f>
        <v>391.77289257500001</v>
      </c>
      <c r="I6357" s="36"/>
      <c r="J6357" s="141">
        <v>0</v>
      </c>
    </row>
    <row r="6358" spans="1:10" ht="15.75" hidden="1" thickBot="1" x14ac:dyDescent="0.3">
      <c r="A6358" s="231"/>
      <c r="B6358" s="237"/>
      <c r="C6358" s="32" t="s">
        <v>713</v>
      </c>
      <c r="D6358" s="148" t="s">
        <v>705</v>
      </c>
      <c r="E6358" s="149">
        <v>0.4</v>
      </c>
      <c r="F6358" s="27">
        <v>24.889999999999997</v>
      </c>
      <c r="G6358" s="50">
        <f t="shared" si="130"/>
        <v>9.9559999999999995</v>
      </c>
      <c r="H6358" s="40"/>
      <c r="I6358" s="36"/>
      <c r="J6358" s="141">
        <v>0</v>
      </c>
    </row>
    <row r="6359" spans="1:10" ht="15.75" hidden="1" thickBot="1" x14ac:dyDescent="0.3">
      <c r="A6359" s="231"/>
      <c r="B6359" s="237"/>
      <c r="C6359" s="32" t="s">
        <v>618</v>
      </c>
      <c r="D6359" s="148" t="s">
        <v>705</v>
      </c>
      <c r="E6359" s="149">
        <v>1.5</v>
      </c>
      <c r="F6359" s="27">
        <v>24.747499999999999</v>
      </c>
      <c r="G6359" s="50">
        <f t="shared" si="130"/>
        <v>37.121249999999996</v>
      </c>
      <c r="H6359" s="40"/>
      <c r="I6359" s="36"/>
      <c r="J6359" s="141">
        <v>0</v>
      </c>
    </row>
    <row r="6360" spans="1:10" ht="15.75" hidden="1" thickBot="1" x14ac:dyDescent="0.3">
      <c r="A6360" s="231"/>
      <c r="B6360" s="237"/>
      <c r="C6360" s="32" t="s">
        <v>706</v>
      </c>
      <c r="D6360" s="148" t="s">
        <v>705</v>
      </c>
      <c r="E6360" s="149">
        <v>0.4</v>
      </c>
      <c r="F6360" s="27">
        <v>18.420500000000001</v>
      </c>
      <c r="G6360" s="50">
        <f t="shared" si="130"/>
        <v>7.3682000000000007</v>
      </c>
      <c r="H6360" s="40"/>
      <c r="I6360" s="36"/>
      <c r="J6360" s="141">
        <v>0</v>
      </c>
    </row>
    <row r="6361" spans="1:10" ht="15.75" hidden="1" thickBot="1" x14ac:dyDescent="0.3">
      <c r="A6361" s="231"/>
      <c r="B6361" s="237"/>
      <c r="C6361" s="32" t="s">
        <v>1183</v>
      </c>
      <c r="D6361" s="148" t="s">
        <v>42</v>
      </c>
      <c r="E6361" s="149">
        <f>0.023*74.69</f>
        <v>1.71787</v>
      </c>
      <c r="F6361" s="27">
        <v>11.7325</v>
      </c>
      <c r="G6361" s="50">
        <f t="shared" si="130"/>
        <v>20.154909775</v>
      </c>
      <c r="H6361" s="40"/>
      <c r="I6361" s="36"/>
      <c r="J6361" s="141">
        <v>0</v>
      </c>
    </row>
    <row r="6362" spans="1:10" ht="26.25" hidden="1" thickBot="1" x14ac:dyDescent="0.3">
      <c r="A6362" s="231"/>
      <c r="B6362" s="237"/>
      <c r="C6362" s="32" t="s">
        <v>3388</v>
      </c>
      <c r="D6362" s="148" t="s">
        <v>93</v>
      </c>
      <c r="E6362" s="149">
        <v>3.05</v>
      </c>
      <c r="F6362" s="27">
        <v>96.975999999999999</v>
      </c>
      <c r="G6362" s="50">
        <f t="shared" si="130"/>
        <v>295.77679999999998</v>
      </c>
      <c r="H6362" s="40"/>
      <c r="I6362" s="36"/>
      <c r="J6362" s="141">
        <v>0</v>
      </c>
    </row>
    <row r="6363" spans="1:10" ht="26.25" hidden="1" thickBot="1" x14ac:dyDescent="0.3">
      <c r="A6363" s="231"/>
      <c r="B6363" s="237"/>
      <c r="C6363" s="32" t="s">
        <v>1040</v>
      </c>
      <c r="D6363" s="148" t="s">
        <v>280</v>
      </c>
      <c r="E6363" s="149">
        <v>4</v>
      </c>
      <c r="F6363" s="27">
        <v>2.1945000000000001</v>
      </c>
      <c r="G6363" s="50">
        <f t="shared" si="130"/>
        <v>8.7780000000000005</v>
      </c>
      <c r="H6363" s="40"/>
      <c r="I6363" s="36"/>
      <c r="J6363" s="141">
        <v>0</v>
      </c>
    </row>
    <row r="6364" spans="1:10" ht="15.75" hidden="1" thickBot="1" x14ac:dyDescent="0.3">
      <c r="A6364" s="231"/>
      <c r="B6364" s="237"/>
      <c r="C6364" s="32" t="s">
        <v>1363</v>
      </c>
      <c r="D6364" s="148" t="s">
        <v>42</v>
      </c>
      <c r="E6364" s="149">
        <v>0.02</v>
      </c>
      <c r="F6364" s="27">
        <v>165.96499999999997</v>
      </c>
      <c r="G6364" s="50">
        <f t="shared" si="130"/>
        <v>3.3192999999999997</v>
      </c>
      <c r="H6364" s="40"/>
      <c r="I6364" s="36"/>
      <c r="J6364" s="141">
        <v>0</v>
      </c>
    </row>
    <row r="6365" spans="1:10" ht="15.75" hidden="1" thickBot="1" x14ac:dyDescent="0.3">
      <c r="A6365" s="231"/>
      <c r="B6365" s="237"/>
      <c r="C6365" s="32" t="s">
        <v>100</v>
      </c>
      <c r="D6365" s="43" t="s">
        <v>12</v>
      </c>
      <c r="E6365" s="33">
        <f>0.5708*0.48</f>
        <v>0.27398399999999995</v>
      </c>
      <c r="F6365" s="27">
        <v>25.887499999999999</v>
      </c>
      <c r="G6365" s="50">
        <f t="shared" si="130"/>
        <v>7.0927607999999989</v>
      </c>
      <c r="H6365" s="40"/>
      <c r="I6365" s="36"/>
      <c r="J6365" s="141">
        <v>0</v>
      </c>
    </row>
    <row r="6366" spans="1:10" ht="15.75" hidden="1" thickBot="1" x14ac:dyDescent="0.3">
      <c r="A6366" s="231"/>
      <c r="B6366" s="237"/>
      <c r="C6366" s="32" t="s">
        <v>205</v>
      </c>
      <c r="D6366" s="46" t="s">
        <v>102</v>
      </c>
      <c r="E6366" s="33">
        <f>ROUND(0.48*3*3.6/75,4)</f>
        <v>6.9099999999999995E-2</v>
      </c>
      <c r="F6366" s="27">
        <v>31.92</v>
      </c>
      <c r="G6366" s="50">
        <f t="shared" si="130"/>
        <v>2.2056719999999999</v>
      </c>
      <c r="H6366" s="40"/>
      <c r="I6366" s="36"/>
      <c r="J6366" s="141">
        <v>0</v>
      </c>
    </row>
    <row r="6367" spans="1:10" ht="15.75" hidden="1" thickBot="1" x14ac:dyDescent="0.3">
      <c r="A6367" s="231"/>
      <c r="B6367" s="237"/>
      <c r="C6367" s="32"/>
      <c r="D6367" s="148"/>
      <c r="E6367" s="149"/>
      <c r="F6367" s="27" t="s">
        <v>523</v>
      </c>
      <c r="G6367" s="50"/>
      <c r="H6367" s="40"/>
      <c r="I6367" s="36"/>
      <c r="J6367" s="141">
        <v>0</v>
      </c>
    </row>
    <row r="6368" spans="1:10" ht="39" hidden="1" thickBot="1" x14ac:dyDescent="0.3">
      <c r="A6368" s="231"/>
      <c r="B6368" s="237"/>
      <c r="C6368" s="48" t="s">
        <v>3395</v>
      </c>
      <c r="D6368" s="148"/>
      <c r="E6368" s="149"/>
      <c r="F6368" s="27" t="s">
        <v>523</v>
      </c>
      <c r="G6368" s="50"/>
      <c r="H6368" s="40"/>
      <c r="I6368" s="36"/>
      <c r="J6368" s="141">
        <v>0</v>
      </c>
    </row>
    <row r="6369" spans="1:10" ht="15.75" hidden="1" thickBot="1" x14ac:dyDescent="0.3">
      <c r="A6369" s="232"/>
      <c r="B6369" s="238"/>
      <c r="C6369" s="32"/>
      <c r="D6369" s="148"/>
      <c r="E6369" s="149"/>
      <c r="F6369" s="27" t="s">
        <v>523</v>
      </c>
      <c r="G6369" s="50"/>
      <c r="H6369" s="40"/>
      <c r="I6369" s="36"/>
      <c r="J6369" s="141">
        <v>0</v>
      </c>
    </row>
    <row r="6370" spans="1:10" ht="15.75" hidden="1" thickBot="1" x14ac:dyDescent="0.3">
      <c r="A6370" s="225" t="s">
        <v>6257</v>
      </c>
      <c r="B6370" s="228" t="str">
        <f>INDEX(Orçamentária!A:B,MATCH(Composições!A6370,Orçamentária!A:A,0),2)</f>
        <v>Poste reto 5 metros – fornecimento e instalação</v>
      </c>
      <c r="C6370" s="37"/>
      <c r="D6370" s="22" t="str">
        <f>TRIM(INDEX(Orçamentária!C:C,MATCH(Composições!A6370,Orçamentária!A:A,0),1))</f>
        <v>un</v>
      </c>
      <c r="E6370" s="23"/>
      <c r="F6370" s="38" t="s">
        <v>523</v>
      </c>
      <c r="G6370" s="24" t="str">
        <f t="shared" ref="G6370:G6433" si="131">IF(ISNUMBER(F6370),E6370*F6370,"")</f>
        <v/>
      </c>
      <c r="H6370" s="25"/>
      <c r="I6370" s="26"/>
      <c r="J6370" s="141">
        <v>0</v>
      </c>
    </row>
    <row r="6371" spans="1:10" ht="15.75" hidden="1" thickBot="1" x14ac:dyDescent="0.3">
      <c r="A6371" s="226"/>
      <c r="B6371" s="229"/>
      <c r="C6371" s="28"/>
      <c r="D6371" s="28"/>
      <c r="E6371" s="29"/>
      <c r="F6371" s="39" t="s">
        <v>523</v>
      </c>
      <c r="G6371" s="27" t="str">
        <f t="shared" si="131"/>
        <v/>
      </c>
      <c r="H6371" s="31"/>
      <c r="I6371" s="27"/>
      <c r="J6371" s="141">
        <v>0</v>
      </c>
    </row>
    <row r="6372" spans="1:10" ht="26.25" hidden="1" thickBot="1" x14ac:dyDescent="0.3">
      <c r="A6372" s="226"/>
      <c r="B6372" s="229"/>
      <c r="C6372" s="32" t="s">
        <v>6440</v>
      </c>
      <c r="D6372" s="32" t="s">
        <v>280</v>
      </c>
      <c r="E6372" s="33">
        <v>1</v>
      </c>
      <c r="F6372" s="30" t="s">
        <v>523</v>
      </c>
      <c r="G6372" s="27" t="str">
        <f t="shared" si="131"/>
        <v/>
      </c>
      <c r="H6372" s="35">
        <f>SUM(G6372:G6375)</f>
        <v>86.445910249999997</v>
      </c>
      <c r="I6372" s="36"/>
      <c r="J6372" s="141">
        <v>0</v>
      </c>
    </row>
    <row r="6373" spans="1:10" ht="51.75" hidden="1" thickBot="1" x14ac:dyDescent="0.3">
      <c r="A6373" s="226"/>
      <c r="B6373" s="229"/>
      <c r="C6373" s="32" t="s">
        <v>3199</v>
      </c>
      <c r="D6373" s="32" t="s">
        <v>945</v>
      </c>
      <c r="E6373" s="33">
        <v>0.111</v>
      </c>
      <c r="F6373" s="30">
        <v>266.74099999999999</v>
      </c>
      <c r="G6373" s="27">
        <f t="shared" si="131"/>
        <v>29.608250999999999</v>
      </c>
      <c r="H6373" s="41"/>
      <c r="I6373" s="42"/>
      <c r="J6373" s="141">
        <v>0</v>
      </c>
    </row>
    <row r="6374" spans="1:10" ht="15.75" hidden="1" thickBot="1" x14ac:dyDescent="0.3">
      <c r="A6374" s="226"/>
      <c r="B6374" s="229"/>
      <c r="C6374" s="32" t="s">
        <v>1164</v>
      </c>
      <c r="D6374" s="32" t="s">
        <v>705</v>
      </c>
      <c r="E6374" s="33">
        <f>1.124/2</f>
        <v>0.56200000000000006</v>
      </c>
      <c r="F6374" s="30">
        <v>19.4085</v>
      </c>
      <c r="G6374" s="27">
        <f t="shared" si="131"/>
        <v>10.907577000000002</v>
      </c>
      <c r="H6374" s="41"/>
      <c r="I6374" s="42"/>
      <c r="J6374" s="141">
        <v>0</v>
      </c>
    </row>
    <row r="6375" spans="1:10" ht="15.75" hidden="1" thickBot="1" x14ac:dyDescent="0.3">
      <c r="A6375" s="226"/>
      <c r="B6375" s="229"/>
      <c r="C6375" s="32" t="s">
        <v>1165</v>
      </c>
      <c r="D6375" s="32" t="s">
        <v>705</v>
      </c>
      <c r="E6375" s="33">
        <f>3.653/2</f>
        <v>1.8265</v>
      </c>
      <c r="F6375" s="27">
        <v>25.146499999999996</v>
      </c>
      <c r="G6375" s="27">
        <f t="shared" si="131"/>
        <v>45.930082249999991</v>
      </c>
      <c r="H6375" s="31"/>
      <c r="I6375" s="27"/>
      <c r="J6375" s="141">
        <v>0</v>
      </c>
    </row>
    <row r="6376" spans="1:10" ht="15.75" hidden="1" thickBot="1" x14ac:dyDescent="0.3">
      <c r="A6376" s="227"/>
      <c r="B6376" s="230"/>
      <c r="C6376" s="32"/>
      <c r="D6376" s="32"/>
      <c r="E6376" s="33"/>
      <c r="F6376" s="27" t="s">
        <v>523</v>
      </c>
      <c r="G6376" s="27" t="str">
        <f t="shared" si="131"/>
        <v/>
      </c>
      <c r="H6376" s="31"/>
      <c r="I6376" s="27"/>
      <c r="J6376" s="141">
        <v>0</v>
      </c>
    </row>
    <row r="6377" spans="1:10" ht="15.75" hidden="1" thickBot="1" x14ac:dyDescent="0.3">
      <c r="A6377" s="225" t="s">
        <v>6258</v>
      </c>
      <c r="B6377" s="228" t="str">
        <f>INDEX(Orçamentária!A:B,MATCH(Composições!A6377,Orçamentária!A:A,0),2)</f>
        <v>Suporte para luminária de poste simples – fornecimento e instalação</v>
      </c>
      <c r="C6377" s="37"/>
      <c r="D6377" s="22" t="str">
        <f>TRIM(INDEX(Orçamentária!C:C,MATCH(Composições!A6377,Orçamentária!A:A,0),1))</f>
        <v>un</v>
      </c>
      <c r="E6377" s="23"/>
      <c r="F6377" s="38" t="s">
        <v>523</v>
      </c>
      <c r="G6377" s="24" t="str">
        <f t="shared" si="131"/>
        <v/>
      </c>
      <c r="H6377" s="25"/>
      <c r="I6377" s="26"/>
      <c r="J6377" s="141">
        <v>0</v>
      </c>
    </row>
    <row r="6378" spans="1:10" ht="15.75" hidden="1" thickBot="1" x14ac:dyDescent="0.3">
      <c r="A6378" s="226"/>
      <c r="B6378" s="229"/>
      <c r="C6378" s="28"/>
      <c r="D6378" s="28"/>
      <c r="E6378" s="29"/>
      <c r="F6378" s="39" t="s">
        <v>523</v>
      </c>
      <c r="G6378" s="27" t="str">
        <f t="shared" si="131"/>
        <v/>
      </c>
      <c r="H6378" s="31"/>
      <c r="I6378" s="27"/>
      <c r="J6378" s="141">
        <v>0</v>
      </c>
    </row>
    <row r="6379" spans="1:10" ht="15.75" hidden="1" thickBot="1" x14ac:dyDescent="0.3">
      <c r="A6379" s="226"/>
      <c r="B6379" s="229"/>
      <c r="C6379" s="32" t="s">
        <v>6441</v>
      </c>
      <c r="D6379" s="32" t="s">
        <v>280</v>
      </c>
      <c r="E6379" s="33">
        <v>1</v>
      </c>
      <c r="F6379" s="30" t="s">
        <v>523</v>
      </c>
      <c r="G6379" s="27" t="str">
        <f t="shared" si="131"/>
        <v/>
      </c>
      <c r="H6379" s="35">
        <f>SUM(G6379:G6381)</f>
        <v>22.277499999999996</v>
      </c>
      <c r="I6379" s="36"/>
      <c r="J6379" s="141">
        <v>0</v>
      </c>
    </row>
    <row r="6380" spans="1:10" ht="15.75" hidden="1" thickBot="1" x14ac:dyDescent="0.3">
      <c r="A6380" s="226"/>
      <c r="B6380" s="229"/>
      <c r="C6380" s="32" t="s">
        <v>1164</v>
      </c>
      <c r="D6380" s="32" t="s">
        <v>705</v>
      </c>
      <c r="E6380" s="33">
        <v>0.5</v>
      </c>
      <c r="F6380" s="30">
        <v>19.4085</v>
      </c>
      <c r="G6380" s="27">
        <f t="shared" si="131"/>
        <v>9.70425</v>
      </c>
      <c r="H6380" s="41"/>
      <c r="I6380" s="42"/>
      <c r="J6380" s="141">
        <v>0</v>
      </c>
    </row>
    <row r="6381" spans="1:10" ht="15.75" hidden="1" thickBot="1" x14ac:dyDescent="0.3">
      <c r="A6381" s="226"/>
      <c r="B6381" s="229"/>
      <c r="C6381" s="32" t="s">
        <v>1165</v>
      </c>
      <c r="D6381" s="32" t="s">
        <v>705</v>
      </c>
      <c r="E6381" s="33">
        <v>0.5</v>
      </c>
      <c r="F6381" s="27">
        <v>25.146499999999996</v>
      </c>
      <c r="G6381" s="27">
        <f t="shared" si="131"/>
        <v>12.573249999999998</v>
      </c>
      <c r="H6381" s="31"/>
      <c r="I6381" s="27"/>
      <c r="J6381" s="141">
        <v>0</v>
      </c>
    </row>
    <row r="6382" spans="1:10" ht="15.75" hidden="1" thickBot="1" x14ac:dyDescent="0.3">
      <c r="A6382" s="227"/>
      <c r="B6382" s="230"/>
      <c r="C6382" s="51"/>
      <c r="D6382" s="51"/>
      <c r="E6382" s="62"/>
      <c r="F6382" s="63" t="s">
        <v>523</v>
      </c>
      <c r="G6382" s="63" t="str">
        <f t="shared" si="131"/>
        <v/>
      </c>
      <c r="H6382" s="65"/>
      <c r="I6382" s="27"/>
      <c r="J6382" s="141">
        <v>0</v>
      </c>
    </row>
    <row r="6383" spans="1:10" ht="15.75" hidden="1" thickBot="1" x14ac:dyDescent="0.3">
      <c r="A6383" s="225" t="s">
        <v>6671</v>
      </c>
      <c r="B6383" s="228" t="str">
        <f>INDEX(Orçamentária!A:B,MATCH(Composições!A6383,Orçamentária!A:A,0),2)</f>
        <v>Tubo de aço-carbono galvanizado 2 1/2”</v>
      </c>
      <c r="C6383" s="37"/>
      <c r="D6383" s="22" t="str">
        <f>TRIM(INDEX(Orçamentária!C:C,MATCH(Composições!A6383,Orçamentária!A:A,0),1))</f>
        <v>m</v>
      </c>
      <c r="E6383" s="23"/>
      <c r="F6383" s="38" t="s">
        <v>523</v>
      </c>
      <c r="G6383" s="24" t="str">
        <f t="shared" si="131"/>
        <v/>
      </c>
      <c r="H6383" s="25"/>
      <c r="I6383" s="26"/>
      <c r="J6383" s="141">
        <v>0</v>
      </c>
    </row>
    <row r="6384" spans="1:10" ht="15.75" hidden="1" thickBot="1" x14ac:dyDescent="0.3">
      <c r="A6384" s="226"/>
      <c r="B6384" s="229"/>
      <c r="C6384" s="28"/>
      <c r="D6384" s="28"/>
      <c r="E6384" s="29"/>
      <c r="F6384" s="39" t="s">
        <v>523</v>
      </c>
      <c r="G6384" s="27" t="str">
        <f t="shared" si="131"/>
        <v/>
      </c>
      <c r="H6384" s="31"/>
      <c r="I6384" s="27"/>
      <c r="J6384" s="141">
        <v>0</v>
      </c>
    </row>
    <row r="6385" spans="1:10" ht="15.75" hidden="1" thickBot="1" x14ac:dyDescent="0.3">
      <c r="A6385" s="226"/>
      <c r="B6385" s="229"/>
      <c r="C6385" s="32" t="s">
        <v>39</v>
      </c>
      <c r="D6385" s="32" t="s">
        <v>12</v>
      </c>
      <c r="E6385" s="33">
        <v>0.13</v>
      </c>
      <c r="F6385" s="30">
        <v>24.300999999999998</v>
      </c>
      <c r="G6385" s="27">
        <f t="shared" si="131"/>
        <v>3.1591299999999998</v>
      </c>
      <c r="H6385" s="35">
        <f>SUM(G6385:G6388)</f>
        <v>172.20812449999997</v>
      </c>
      <c r="I6385" s="36"/>
      <c r="J6385" s="141">
        <v>0</v>
      </c>
    </row>
    <row r="6386" spans="1:10" ht="26.25" hidden="1" thickBot="1" x14ac:dyDescent="0.3">
      <c r="A6386" s="226"/>
      <c r="B6386" s="229"/>
      <c r="C6386" s="32" t="s">
        <v>107</v>
      </c>
      <c r="D6386" s="32" t="s">
        <v>12</v>
      </c>
      <c r="E6386" s="33">
        <v>0.13</v>
      </c>
      <c r="F6386" s="30">
        <v>19.094999999999999</v>
      </c>
      <c r="G6386" s="27">
        <f t="shared" si="131"/>
        <v>2.4823499999999998</v>
      </c>
      <c r="H6386" s="41"/>
      <c r="I6386" s="42"/>
      <c r="J6386" s="141">
        <v>0</v>
      </c>
    </row>
    <row r="6387" spans="1:10" ht="15.75" hidden="1" thickBot="1" x14ac:dyDescent="0.3">
      <c r="A6387" s="226"/>
      <c r="B6387" s="229"/>
      <c r="C6387" s="32" t="s">
        <v>1084</v>
      </c>
      <c r="D6387" s="32" t="s">
        <v>12</v>
      </c>
      <c r="E6387" s="33">
        <v>0.13</v>
      </c>
      <c r="F6387" s="30">
        <v>25.526499999999999</v>
      </c>
      <c r="G6387" s="27">
        <f t="shared" si="131"/>
        <v>3.3184450000000001</v>
      </c>
      <c r="H6387" s="41"/>
      <c r="I6387" s="42"/>
      <c r="J6387" s="141">
        <v>0</v>
      </c>
    </row>
    <row r="6388" spans="1:10" ht="26.25" hidden="1" thickBot="1" x14ac:dyDescent="0.3">
      <c r="A6388" s="226"/>
      <c r="B6388" s="229"/>
      <c r="C6388" s="32" t="s">
        <v>6705</v>
      </c>
      <c r="D6388" s="32" t="s">
        <v>93</v>
      </c>
      <c r="E6388" s="33">
        <v>1.0389999999999999</v>
      </c>
      <c r="F6388" s="27">
        <v>157.12049999999999</v>
      </c>
      <c r="G6388" s="27">
        <f t="shared" si="131"/>
        <v>163.24819949999997</v>
      </c>
      <c r="H6388" s="31"/>
      <c r="I6388" s="27"/>
      <c r="J6388" s="141">
        <v>0</v>
      </c>
    </row>
    <row r="6389" spans="1:10" ht="15.75" hidden="1" thickBot="1" x14ac:dyDescent="0.3">
      <c r="A6389" s="227"/>
      <c r="B6389" s="230"/>
      <c r="C6389" s="32"/>
      <c r="D6389" s="32"/>
      <c r="E6389" s="33"/>
      <c r="F6389" s="27" t="s">
        <v>523</v>
      </c>
      <c r="G6389" s="27" t="str">
        <f t="shared" si="131"/>
        <v/>
      </c>
      <c r="H6389" s="31"/>
      <c r="I6389" s="27"/>
      <c r="J6389" s="141">
        <v>0</v>
      </c>
    </row>
    <row r="6390" spans="1:10" ht="15.75" hidden="1" thickBot="1" x14ac:dyDescent="0.3">
      <c r="A6390" s="225" t="s">
        <v>6672</v>
      </c>
      <c r="B6390" s="228" t="str">
        <f>INDEX(Orçamentária!A:B,MATCH(Composições!A6390,Orçamentária!A:A,0),2)</f>
        <v>Remoção de Caixa de Hidrante e acessórios para aproveitamento</v>
      </c>
      <c r="C6390" s="37"/>
      <c r="D6390" s="22" t="str">
        <f>TRIM(INDEX(Orçamentária!C:C,MATCH(Composições!A6390,Orçamentária!A:A,0),1))</f>
        <v>un</v>
      </c>
      <c r="E6390" s="23"/>
      <c r="F6390" s="38" t="s">
        <v>523</v>
      </c>
      <c r="G6390" s="24" t="str">
        <f t="shared" si="131"/>
        <v/>
      </c>
      <c r="H6390" s="25"/>
      <c r="I6390" s="26"/>
      <c r="J6390" s="141">
        <v>0</v>
      </c>
    </row>
    <row r="6391" spans="1:10" ht="15.75" hidden="1" thickBot="1" x14ac:dyDescent="0.3">
      <c r="A6391" s="226"/>
      <c r="B6391" s="229"/>
      <c r="C6391" s="28"/>
      <c r="D6391" s="28"/>
      <c r="E6391" s="29"/>
      <c r="F6391" s="39" t="s">
        <v>523</v>
      </c>
      <c r="G6391" s="27" t="str">
        <f t="shared" si="131"/>
        <v/>
      </c>
      <c r="H6391" s="31"/>
      <c r="I6391" s="27"/>
      <c r="J6391" s="141">
        <v>0</v>
      </c>
    </row>
    <row r="6392" spans="1:10" ht="15.75" hidden="1" thickBot="1" x14ac:dyDescent="0.3">
      <c r="A6392" s="226"/>
      <c r="B6392" s="229"/>
      <c r="C6392" s="148" t="s">
        <v>39</v>
      </c>
      <c r="D6392" s="150" t="s">
        <v>12</v>
      </c>
      <c r="E6392" s="149">
        <v>3</v>
      </c>
      <c r="F6392" s="27">
        <v>24.300999999999998</v>
      </c>
      <c r="G6392" s="27">
        <f t="shared" si="131"/>
        <v>72.902999999999992</v>
      </c>
      <c r="H6392" s="35">
        <f>SUM(G6392:G6392)</f>
        <v>72.902999999999992</v>
      </c>
      <c r="I6392" s="36"/>
      <c r="J6392" s="141">
        <v>0</v>
      </c>
    </row>
    <row r="6393" spans="1:10" ht="15.75" hidden="1" thickBot="1" x14ac:dyDescent="0.3">
      <c r="A6393" s="227"/>
      <c r="B6393" s="230"/>
      <c r="C6393" s="51"/>
      <c r="D6393" s="51"/>
      <c r="E6393" s="62"/>
      <c r="F6393" s="63" t="s">
        <v>523</v>
      </c>
      <c r="G6393" s="63" t="str">
        <f t="shared" si="131"/>
        <v/>
      </c>
      <c r="H6393" s="65"/>
      <c r="I6393" s="27"/>
      <c r="J6393" s="141">
        <v>0</v>
      </c>
    </row>
    <row r="6394" spans="1:10" ht="15.75" hidden="1" thickBot="1" x14ac:dyDescent="0.3">
      <c r="A6394" s="225" t="s">
        <v>6673</v>
      </c>
      <c r="B6394" s="228" t="str">
        <f>INDEX(Orçamentária!A:B,MATCH(Composições!A6394,Orçamentária!A:A,0),2)</f>
        <v>Instalação de Caixa de Hidrante e acessórios reaproveitados</v>
      </c>
      <c r="C6394" s="37"/>
      <c r="D6394" s="22" t="str">
        <f>TRIM(INDEX(Orçamentária!C:C,MATCH(Composições!A6394,Orçamentária!A:A,0),1))</f>
        <v>un</v>
      </c>
      <c r="E6394" s="23"/>
      <c r="F6394" s="38" t="s">
        <v>523</v>
      </c>
      <c r="G6394" s="24" t="str">
        <f t="shared" si="131"/>
        <v/>
      </c>
      <c r="H6394" s="25"/>
      <c r="I6394" s="26"/>
      <c r="J6394" s="141">
        <v>0</v>
      </c>
    </row>
    <row r="6395" spans="1:10" ht="15.75" hidden="1" thickBot="1" x14ac:dyDescent="0.3">
      <c r="A6395" s="226"/>
      <c r="B6395" s="229"/>
      <c r="C6395" s="28"/>
      <c r="D6395" s="28"/>
      <c r="E6395" s="29"/>
      <c r="F6395" s="39" t="s">
        <v>523</v>
      </c>
      <c r="G6395" s="27" t="str">
        <f t="shared" si="131"/>
        <v/>
      </c>
      <c r="H6395" s="31"/>
      <c r="I6395" s="27"/>
      <c r="J6395" s="141">
        <v>0</v>
      </c>
    </row>
    <row r="6396" spans="1:10" ht="15.75" hidden="1" thickBot="1" x14ac:dyDescent="0.3">
      <c r="A6396" s="226"/>
      <c r="B6396" s="229"/>
      <c r="C6396" s="148" t="s">
        <v>39</v>
      </c>
      <c r="D6396" s="150" t="s">
        <v>12</v>
      </c>
      <c r="E6396" s="149">
        <v>5.2</v>
      </c>
      <c r="F6396" s="30">
        <v>24.300999999999998</v>
      </c>
      <c r="G6396" s="27">
        <f t="shared" si="131"/>
        <v>126.3652</v>
      </c>
      <c r="H6396" s="35">
        <f>SUM(G6396:G6397)</f>
        <v>225.6592</v>
      </c>
      <c r="I6396" s="36"/>
      <c r="J6396" s="141">
        <v>0</v>
      </c>
    </row>
    <row r="6397" spans="1:10" ht="26.25" hidden="1" thickBot="1" x14ac:dyDescent="0.3">
      <c r="A6397" s="226"/>
      <c r="B6397" s="229"/>
      <c r="C6397" s="148" t="s">
        <v>107</v>
      </c>
      <c r="D6397" s="150" t="s">
        <v>12</v>
      </c>
      <c r="E6397" s="149">
        <v>5.2</v>
      </c>
      <c r="F6397" s="27">
        <v>19.094999999999999</v>
      </c>
      <c r="G6397" s="27">
        <f t="shared" si="131"/>
        <v>99.293999999999997</v>
      </c>
      <c r="H6397" s="31"/>
      <c r="I6397" s="27"/>
      <c r="J6397" s="141">
        <v>0</v>
      </c>
    </row>
    <row r="6398" spans="1:10" ht="15.75" hidden="1" thickBot="1" x14ac:dyDescent="0.3">
      <c r="A6398" s="227"/>
      <c r="B6398" s="230"/>
      <c r="C6398" s="51"/>
      <c r="D6398" s="51"/>
      <c r="E6398" s="62"/>
      <c r="F6398" s="63" t="s">
        <v>523</v>
      </c>
      <c r="G6398" s="63" t="str">
        <f t="shared" si="131"/>
        <v/>
      </c>
      <c r="H6398" s="65"/>
      <c r="I6398" s="27"/>
      <c r="J6398" s="141">
        <v>0</v>
      </c>
    </row>
    <row r="6399" spans="1:10" ht="15.75" hidden="1" thickBot="1" x14ac:dyDescent="0.3">
      <c r="A6399" s="225" t="s">
        <v>6674</v>
      </c>
      <c r="B6399" s="228" t="str">
        <f>INDEX(Orçamentária!A:B,MATCH(Composições!A6399,Orçamentária!A:A,0),2)</f>
        <v>Remoção de Mesa de Granito e acessórios para aproveitamento</v>
      </c>
      <c r="C6399" s="37"/>
      <c r="D6399" s="22" t="str">
        <f>TRIM(INDEX(Orçamentária!C:C,MATCH(Composições!A6399,Orçamentária!A:A,0),1))</f>
        <v>un</v>
      </c>
      <c r="E6399" s="23"/>
      <c r="F6399" s="38" t="s">
        <v>523</v>
      </c>
      <c r="G6399" s="24" t="str">
        <f t="shared" si="131"/>
        <v/>
      </c>
      <c r="H6399" s="25"/>
      <c r="I6399" s="26"/>
      <c r="J6399" s="141">
        <v>0</v>
      </c>
    </row>
    <row r="6400" spans="1:10" ht="15.75" hidden="1" thickBot="1" x14ac:dyDescent="0.3">
      <c r="A6400" s="226"/>
      <c r="B6400" s="229"/>
      <c r="C6400" s="28"/>
      <c r="D6400" s="28"/>
      <c r="E6400" s="29"/>
      <c r="F6400" s="39" t="s">
        <v>523</v>
      </c>
      <c r="G6400" s="27" t="str">
        <f t="shared" si="131"/>
        <v/>
      </c>
      <c r="H6400" s="31"/>
      <c r="I6400" s="27"/>
      <c r="J6400" s="141">
        <v>0</v>
      </c>
    </row>
    <row r="6401" spans="1:10" ht="15.75" hidden="1" thickBot="1" x14ac:dyDescent="0.3">
      <c r="A6401" s="226"/>
      <c r="B6401" s="229"/>
      <c r="C6401" s="161" t="s">
        <v>706</v>
      </c>
      <c r="D6401" s="150" t="s">
        <v>705</v>
      </c>
      <c r="E6401" s="149">
        <v>0.9</v>
      </c>
      <c r="F6401" s="27">
        <v>18.420500000000001</v>
      </c>
      <c r="G6401" s="27">
        <f t="shared" si="131"/>
        <v>16.57845</v>
      </c>
      <c r="H6401" s="35">
        <f>SUM(G6401:G6401)</f>
        <v>16.57845</v>
      </c>
      <c r="I6401" s="36"/>
      <c r="J6401" s="141">
        <v>0</v>
      </c>
    </row>
    <row r="6402" spans="1:10" ht="15.75" hidden="1" thickBot="1" x14ac:dyDescent="0.3">
      <c r="A6402" s="227"/>
      <c r="B6402" s="230"/>
      <c r="C6402" s="51"/>
      <c r="D6402" s="51"/>
      <c r="E6402" s="62"/>
      <c r="F6402" s="63" t="s">
        <v>523</v>
      </c>
      <c r="G6402" s="63" t="str">
        <f t="shared" si="131"/>
        <v/>
      </c>
      <c r="H6402" s="65"/>
      <c r="I6402" s="27"/>
      <c r="J6402" s="141">
        <v>0</v>
      </c>
    </row>
    <row r="6403" spans="1:10" ht="15.75" hidden="1" thickBot="1" x14ac:dyDescent="0.3">
      <c r="A6403" s="225" t="s">
        <v>6675</v>
      </c>
      <c r="B6403" s="228" t="str">
        <f>INDEX(Orçamentária!A:B,MATCH(Composições!A6403,Orçamentária!A:A,0),2)</f>
        <v>Instalação de Mesa de Granito e acessórios reaproveitados</v>
      </c>
      <c r="C6403" s="37"/>
      <c r="D6403" s="22" t="str">
        <f>TRIM(INDEX(Orçamentária!C:C,MATCH(Composições!A6403,Orçamentária!A:A,0),1))</f>
        <v>un</v>
      </c>
      <c r="E6403" s="23"/>
      <c r="F6403" s="38" t="s">
        <v>523</v>
      </c>
      <c r="G6403" s="24" t="str">
        <f t="shared" si="131"/>
        <v/>
      </c>
      <c r="H6403" s="25"/>
      <c r="I6403" s="26"/>
      <c r="J6403" s="141">
        <v>0</v>
      </c>
    </row>
    <row r="6404" spans="1:10" ht="15.75" hidden="1" thickBot="1" x14ac:dyDescent="0.3">
      <c r="A6404" s="226"/>
      <c r="B6404" s="229"/>
      <c r="C6404" s="28"/>
      <c r="D6404" s="28"/>
      <c r="E6404" s="29"/>
      <c r="F6404" s="39" t="s">
        <v>523</v>
      </c>
      <c r="G6404" s="27" t="str">
        <f t="shared" si="131"/>
        <v/>
      </c>
      <c r="H6404" s="31"/>
      <c r="I6404" s="27"/>
      <c r="J6404" s="141">
        <v>0</v>
      </c>
    </row>
    <row r="6405" spans="1:10" ht="15.75" hidden="1" thickBot="1" x14ac:dyDescent="0.3">
      <c r="A6405" s="226"/>
      <c r="B6405" s="229"/>
      <c r="C6405" s="161" t="s">
        <v>706</v>
      </c>
      <c r="D6405" s="150" t="s">
        <v>705</v>
      </c>
      <c r="E6405" s="149">
        <f>0.9*1.5</f>
        <v>1.35</v>
      </c>
      <c r="F6405" s="27">
        <v>18.420500000000001</v>
      </c>
      <c r="G6405" s="27">
        <f t="shared" si="131"/>
        <v>24.867675000000002</v>
      </c>
      <c r="H6405" s="35">
        <f>SUM(G6405:G6405)</f>
        <v>24.867675000000002</v>
      </c>
      <c r="I6405" s="36"/>
      <c r="J6405" s="141">
        <v>0</v>
      </c>
    </row>
    <row r="6406" spans="1:10" ht="15.75" hidden="1" thickBot="1" x14ac:dyDescent="0.3">
      <c r="A6406" s="227"/>
      <c r="B6406" s="230"/>
      <c r="C6406" s="51"/>
      <c r="D6406" s="51"/>
      <c r="E6406" s="62"/>
      <c r="F6406" s="63" t="s">
        <v>523</v>
      </c>
      <c r="G6406" s="63" t="str">
        <f t="shared" si="131"/>
        <v/>
      </c>
      <c r="H6406" s="65"/>
      <c r="I6406" s="27"/>
      <c r="J6406" s="141">
        <v>0</v>
      </c>
    </row>
    <row r="6407" spans="1:10" ht="15.75" hidden="1" thickBot="1" x14ac:dyDescent="0.3">
      <c r="A6407" s="225" t="s">
        <v>6682</v>
      </c>
      <c r="B6407" s="228" t="str">
        <f>INDEX(Orçamentária!A:B,MATCH(Composições!A6407,Orçamentária!A:A,0),2)</f>
        <v>Demolição de revestimento de piso vinílico</v>
      </c>
      <c r="C6407" s="37"/>
      <c r="D6407" s="22" t="str">
        <f>TRIM(INDEX(Orçamentária!C:C,MATCH(Composições!A6407,Orçamentária!A:A,0),1))</f>
        <v>m2</v>
      </c>
      <c r="E6407" s="23"/>
      <c r="F6407" s="38" t="s">
        <v>523</v>
      </c>
      <c r="G6407" s="24" t="str">
        <f t="shared" si="131"/>
        <v/>
      </c>
      <c r="H6407" s="25"/>
      <c r="I6407" s="26"/>
      <c r="J6407" s="141">
        <v>0</v>
      </c>
    </row>
    <row r="6408" spans="1:10" ht="15.75" hidden="1" thickBot="1" x14ac:dyDescent="0.3">
      <c r="A6408" s="226"/>
      <c r="B6408" s="229"/>
      <c r="C6408" s="28"/>
      <c r="D6408" s="28"/>
      <c r="E6408" s="29"/>
      <c r="F6408" s="39" t="s">
        <v>523</v>
      </c>
      <c r="G6408" s="27" t="str">
        <f t="shared" si="131"/>
        <v/>
      </c>
      <c r="H6408" s="31"/>
      <c r="I6408" s="27"/>
      <c r="J6408" s="141">
        <v>0</v>
      </c>
    </row>
    <row r="6409" spans="1:10" ht="15.75" hidden="1" thickBot="1" x14ac:dyDescent="0.3">
      <c r="A6409" s="226"/>
      <c r="B6409" s="229"/>
      <c r="C6409" s="32" t="s">
        <v>713</v>
      </c>
      <c r="D6409" s="148" t="s">
        <v>705</v>
      </c>
      <c r="E6409" s="149">
        <v>0.09</v>
      </c>
      <c r="F6409" s="30">
        <v>24.889999999999997</v>
      </c>
      <c r="G6409" s="27">
        <f t="shared" si="131"/>
        <v>2.2400999999999995</v>
      </c>
      <c r="H6409" s="35">
        <f>SUM(G6409:G6410)</f>
        <v>18.818549999999998</v>
      </c>
      <c r="I6409" s="36"/>
      <c r="J6409" s="141">
        <v>0</v>
      </c>
    </row>
    <row r="6410" spans="1:10" ht="15.75" hidden="1" thickBot="1" x14ac:dyDescent="0.3">
      <c r="A6410" s="226"/>
      <c r="B6410" s="229"/>
      <c r="C6410" s="32" t="s">
        <v>706</v>
      </c>
      <c r="D6410" s="148" t="s">
        <v>705</v>
      </c>
      <c r="E6410" s="149">
        <v>0.9</v>
      </c>
      <c r="F6410" s="27">
        <v>18.420500000000001</v>
      </c>
      <c r="G6410" s="27">
        <f t="shared" si="131"/>
        <v>16.57845</v>
      </c>
      <c r="H6410" s="31"/>
      <c r="I6410" s="27"/>
      <c r="J6410" s="141">
        <v>0</v>
      </c>
    </row>
    <row r="6411" spans="1:10" ht="15.75" hidden="1" thickBot="1" x14ac:dyDescent="0.3">
      <c r="A6411" s="227"/>
      <c r="B6411" s="230"/>
      <c r="C6411" s="51"/>
      <c r="D6411" s="51"/>
      <c r="E6411" s="62"/>
      <c r="F6411" s="63" t="s">
        <v>523</v>
      </c>
      <c r="G6411" s="63" t="str">
        <f t="shared" si="131"/>
        <v/>
      </c>
      <c r="H6411" s="65"/>
      <c r="I6411" s="27"/>
      <c r="J6411" s="141">
        <v>0</v>
      </c>
    </row>
    <row r="6412" spans="1:10" ht="15.75" hidden="1" thickBot="1" x14ac:dyDescent="0.3">
      <c r="A6412" s="225" t="s">
        <v>6683</v>
      </c>
      <c r="B6412" s="228" t="str">
        <f>INDEX(Orçamentária!A:B,MATCH(Composições!A6412,Orçamentária!A:A,0),2)</f>
        <v>Remoção de telhas de fibrocimento, metálica ou cerâmica</v>
      </c>
      <c r="C6412" s="37"/>
      <c r="D6412" s="22" t="str">
        <f>TRIM(INDEX(Orçamentária!C:C,MATCH(Composições!A6412,Orçamentária!A:A,0),1))</f>
        <v>m2</v>
      </c>
      <c r="E6412" s="23"/>
      <c r="F6412" s="38" t="s">
        <v>523</v>
      </c>
      <c r="G6412" s="24" t="str">
        <f t="shared" si="131"/>
        <v/>
      </c>
      <c r="H6412" s="25"/>
      <c r="I6412" s="26"/>
      <c r="J6412" s="141">
        <v>0</v>
      </c>
    </row>
    <row r="6413" spans="1:10" ht="15.75" hidden="1" thickBot="1" x14ac:dyDescent="0.3">
      <c r="A6413" s="226"/>
      <c r="B6413" s="229"/>
      <c r="C6413" s="28"/>
      <c r="D6413" s="28"/>
      <c r="E6413" s="29"/>
      <c r="F6413" s="39" t="s">
        <v>523</v>
      </c>
      <c r="G6413" s="27" t="str">
        <f t="shared" si="131"/>
        <v/>
      </c>
      <c r="H6413" s="31"/>
      <c r="I6413" s="27"/>
      <c r="J6413" s="141">
        <v>0</v>
      </c>
    </row>
    <row r="6414" spans="1:10" ht="15.75" hidden="1" thickBot="1" x14ac:dyDescent="0.3">
      <c r="A6414" s="226"/>
      <c r="B6414" s="229"/>
      <c r="C6414" s="32" t="s">
        <v>706</v>
      </c>
      <c r="D6414" s="32" t="s">
        <v>705</v>
      </c>
      <c r="E6414" s="33">
        <v>9.7100000000000006E-2</v>
      </c>
      <c r="F6414" s="30">
        <v>18.420500000000001</v>
      </c>
      <c r="G6414" s="27">
        <f t="shared" si="131"/>
        <v>1.7886305500000002</v>
      </c>
      <c r="H6414" s="35">
        <f>SUM(G6414:G6415)</f>
        <v>2.99473155</v>
      </c>
      <c r="I6414" s="36"/>
      <c r="J6414" s="141">
        <v>0</v>
      </c>
    </row>
    <row r="6415" spans="1:10" ht="15.75" hidden="1" thickBot="1" x14ac:dyDescent="0.3">
      <c r="A6415" s="226"/>
      <c r="B6415" s="229"/>
      <c r="C6415" s="32" t="s">
        <v>1308</v>
      </c>
      <c r="D6415" s="32" t="s">
        <v>705</v>
      </c>
      <c r="E6415" s="33">
        <v>4.9399999999999999E-2</v>
      </c>
      <c r="F6415" s="27">
        <v>24.414999999999999</v>
      </c>
      <c r="G6415" s="27">
        <f t="shared" si="131"/>
        <v>1.2061009999999999</v>
      </c>
      <c r="H6415" s="31"/>
      <c r="I6415" s="27"/>
      <c r="J6415" s="141">
        <v>0</v>
      </c>
    </row>
    <row r="6416" spans="1:10" ht="15.75" hidden="1" thickBot="1" x14ac:dyDescent="0.3">
      <c r="A6416" s="227"/>
      <c r="B6416" s="230"/>
      <c r="C6416" s="51"/>
      <c r="D6416" s="51"/>
      <c r="E6416" s="62"/>
      <c r="F6416" s="63" t="s">
        <v>523</v>
      </c>
      <c r="G6416" s="63" t="str">
        <f t="shared" si="131"/>
        <v/>
      </c>
      <c r="H6416" s="65"/>
      <c r="I6416" s="27"/>
      <c r="J6416" s="141">
        <v>0</v>
      </c>
    </row>
    <row r="6417" spans="1:10" ht="15.75" thickBot="1" x14ac:dyDescent="0.3">
      <c r="A6417" s="225" t="s">
        <v>6725</v>
      </c>
      <c r="B6417" s="228" t="str">
        <f>INDEX(Orçamentária!A:B,MATCH(Composições!A6417,Orçamentária!A:A,0),2)</f>
        <v>Instalação de forro metálico reaproveitado</v>
      </c>
      <c r="C6417" s="37"/>
      <c r="D6417" s="22" t="str">
        <f>TRIM(INDEX(Orçamentária!C:C,MATCH(Composições!A6417,Orçamentária!A:A,0),1))</f>
        <v>m2</v>
      </c>
      <c r="E6417" s="23"/>
      <c r="F6417" s="38" t="s">
        <v>523</v>
      </c>
      <c r="G6417" s="24" t="str">
        <f t="shared" si="131"/>
        <v/>
      </c>
      <c r="H6417" s="25"/>
      <c r="I6417" s="26"/>
      <c r="J6417" s="141">
        <v>1040.2</v>
      </c>
    </row>
    <row r="6418" spans="1:10" x14ac:dyDescent="0.25">
      <c r="A6418" s="226"/>
      <c r="B6418" s="229"/>
      <c r="C6418" s="28"/>
      <c r="D6418" s="28"/>
      <c r="E6418" s="29"/>
      <c r="F6418" s="39" t="s">
        <v>523</v>
      </c>
      <c r="G6418" s="27" t="str">
        <f t="shared" si="131"/>
        <v/>
      </c>
      <c r="H6418" s="31"/>
      <c r="I6418" s="27"/>
      <c r="J6418" s="141">
        <v>1040.2</v>
      </c>
    </row>
    <row r="6419" spans="1:10" x14ac:dyDescent="0.25">
      <c r="A6419" s="226"/>
      <c r="B6419" s="229"/>
      <c r="C6419" s="32" t="s">
        <v>52</v>
      </c>
      <c r="D6419" s="32" t="s">
        <v>705</v>
      </c>
      <c r="E6419" s="33">
        <v>0.5</v>
      </c>
      <c r="F6419" s="30">
        <v>21.184999999999999</v>
      </c>
      <c r="G6419" s="27">
        <f t="shared" si="131"/>
        <v>10.592499999999999</v>
      </c>
      <c r="H6419" s="35">
        <f>SUM(G6419:G6420)</f>
        <v>20.059249999999999</v>
      </c>
      <c r="I6419" s="36"/>
      <c r="J6419" s="141">
        <v>1040.2</v>
      </c>
    </row>
    <row r="6420" spans="1:10" x14ac:dyDescent="0.25">
      <c r="A6420" s="226"/>
      <c r="B6420" s="229"/>
      <c r="C6420" s="32" t="s">
        <v>27</v>
      </c>
      <c r="D6420" s="32" t="s">
        <v>705</v>
      </c>
      <c r="E6420" s="33">
        <v>0.5</v>
      </c>
      <c r="F6420" s="27">
        <v>18.933499999999999</v>
      </c>
      <c r="G6420" s="27">
        <f t="shared" si="131"/>
        <v>9.4667499999999993</v>
      </c>
      <c r="H6420" s="31"/>
      <c r="I6420" s="27"/>
      <c r="J6420" s="141">
        <v>1040.2</v>
      </c>
    </row>
    <row r="6421" spans="1:10" ht="15.75" thickBot="1" x14ac:dyDescent="0.3">
      <c r="A6421" s="227"/>
      <c r="B6421" s="230"/>
      <c r="C6421" s="51"/>
      <c r="D6421" s="51"/>
      <c r="E6421" s="62"/>
      <c r="F6421" s="63" t="s">
        <v>523</v>
      </c>
      <c r="G6421" s="63" t="str">
        <f t="shared" si="131"/>
        <v/>
      </c>
      <c r="H6421" s="65"/>
      <c r="I6421" s="27"/>
      <c r="J6421" s="141">
        <v>1040.2</v>
      </c>
    </row>
    <row r="6422" spans="1:10" ht="15.75" thickBot="1" x14ac:dyDescent="0.3">
      <c r="A6422" s="225" t="s">
        <v>6726</v>
      </c>
      <c r="B6422" s="228" t="str">
        <f>INDEX(Orçamentária!A:B,MATCH(Composições!A6422,Orçamentária!A:A,0),2)</f>
        <v>Condulete de alumínio de 1 1/2”</v>
      </c>
      <c r="C6422" s="37"/>
      <c r="D6422" s="22" t="str">
        <f>TRIM(INDEX(Orçamentária!C:C,MATCH(Composições!A6422,Orçamentária!A:A,0),1))</f>
        <v>un</v>
      </c>
      <c r="E6422" s="23"/>
      <c r="F6422" s="38" t="s">
        <v>523</v>
      </c>
      <c r="G6422" s="24" t="str">
        <f t="shared" si="131"/>
        <v/>
      </c>
      <c r="H6422" s="25"/>
      <c r="I6422" s="26"/>
      <c r="J6422" s="141">
        <v>326</v>
      </c>
    </row>
    <row r="6423" spans="1:10" x14ac:dyDescent="0.25">
      <c r="A6423" s="226"/>
      <c r="B6423" s="229"/>
      <c r="C6423" s="28"/>
      <c r="D6423" s="28"/>
      <c r="E6423" s="29"/>
      <c r="F6423" s="39" t="s">
        <v>523</v>
      </c>
      <c r="G6423" s="27" t="str">
        <f t="shared" si="131"/>
        <v/>
      </c>
      <c r="H6423" s="31"/>
      <c r="I6423" s="27"/>
      <c r="J6423" s="141">
        <v>326</v>
      </c>
    </row>
    <row r="6424" spans="1:10" ht="25.5" x14ac:dyDescent="0.25">
      <c r="A6424" s="226"/>
      <c r="B6424" s="229"/>
      <c r="C6424" s="32" t="s">
        <v>7591</v>
      </c>
      <c r="D6424" s="43" t="s">
        <v>280</v>
      </c>
      <c r="E6424" s="33">
        <v>1</v>
      </c>
      <c r="F6424" s="30">
        <v>33.857999999999997</v>
      </c>
      <c r="G6424" s="27">
        <f t="shared" si="131"/>
        <v>33.857999999999997</v>
      </c>
      <c r="H6424" s="35">
        <f>SUM(G6424:G6427)</f>
        <v>53.666440499999993</v>
      </c>
      <c r="I6424" s="36"/>
      <c r="J6424" s="141">
        <v>326</v>
      </c>
    </row>
    <row r="6425" spans="1:10" ht="38.25" x14ac:dyDescent="0.25">
      <c r="A6425" s="226"/>
      <c r="B6425" s="229"/>
      <c r="C6425" s="32" t="s">
        <v>3257</v>
      </c>
      <c r="D6425" s="43" t="s">
        <v>280</v>
      </c>
      <c r="E6425" s="33">
        <v>2</v>
      </c>
      <c r="F6425" s="27">
        <v>0.38949999999999996</v>
      </c>
      <c r="G6425" s="27">
        <f t="shared" si="131"/>
        <v>0.77899999999999991</v>
      </c>
      <c r="H6425" s="31"/>
      <c r="I6425" s="27"/>
      <c r="J6425" s="141">
        <v>326</v>
      </c>
    </row>
    <row r="6426" spans="1:10" x14ac:dyDescent="0.25">
      <c r="A6426" s="226"/>
      <c r="B6426" s="229"/>
      <c r="C6426" s="32" t="s">
        <v>1164</v>
      </c>
      <c r="D6426" s="43" t="s">
        <v>705</v>
      </c>
      <c r="E6426" s="33">
        <v>0.42709999999999998</v>
      </c>
      <c r="F6426" s="27">
        <v>19.4085</v>
      </c>
      <c r="G6426" s="27">
        <f t="shared" si="131"/>
        <v>8.2893703500000004</v>
      </c>
      <c r="H6426" s="31"/>
      <c r="I6426" s="27"/>
      <c r="J6426" s="141">
        <v>326</v>
      </c>
    </row>
    <row r="6427" spans="1:10" x14ac:dyDescent="0.25">
      <c r="A6427" s="226"/>
      <c r="B6427" s="229"/>
      <c r="C6427" s="32" t="s">
        <v>1165</v>
      </c>
      <c r="D6427" s="43" t="s">
        <v>705</v>
      </c>
      <c r="E6427" s="33">
        <v>0.42709999999999998</v>
      </c>
      <c r="F6427" s="27">
        <v>25.146499999999996</v>
      </c>
      <c r="G6427" s="27">
        <f t="shared" si="131"/>
        <v>10.740070149999998</v>
      </c>
      <c r="H6427" s="31"/>
      <c r="I6427" s="27"/>
      <c r="J6427" s="141">
        <v>326</v>
      </c>
    </row>
    <row r="6428" spans="1:10" ht="15.75" thickBot="1" x14ac:dyDescent="0.3">
      <c r="A6428" s="227"/>
      <c r="B6428" s="230"/>
      <c r="C6428" s="51"/>
      <c r="D6428" s="51"/>
      <c r="E6428" s="62"/>
      <c r="F6428" s="63" t="s">
        <v>523</v>
      </c>
      <c r="G6428" s="63" t="str">
        <f t="shared" si="131"/>
        <v/>
      </c>
      <c r="H6428" s="65"/>
      <c r="I6428" s="27"/>
      <c r="J6428" s="141">
        <v>326</v>
      </c>
    </row>
    <row r="6429" spans="1:10" ht="15.75" hidden="1" thickBot="1" x14ac:dyDescent="0.3">
      <c r="A6429" s="225" t="s">
        <v>6735</v>
      </c>
      <c r="B6429" s="228" t="str">
        <f>INDEX(Orçamentária!A:B,MATCH(Composições!A6429,Orçamentária!A:A,0),2)</f>
        <v>Remoção de pavimento em elementos intertravados de concreto</v>
      </c>
      <c r="C6429" s="37"/>
      <c r="D6429" s="22" t="str">
        <f>TRIM(INDEX(Orçamentária!C:C,MATCH(Composições!A6429,Orçamentária!A:A,0),1))</f>
        <v>m2</v>
      </c>
      <c r="E6429" s="23"/>
      <c r="F6429" s="38" t="s">
        <v>523</v>
      </c>
      <c r="G6429" s="24" t="str">
        <f t="shared" si="131"/>
        <v/>
      </c>
      <c r="H6429" s="25"/>
      <c r="I6429" s="26"/>
      <c r="J6429" s="141">
        <v>0</v>
      </c>
    </row>
    <row r="6430" spans="1:10" ht="15.75" hidden="1" thickBot="1" x14ac:dyDescent="0.3">
      <c r="A6430" s="226"/>
      <c r="B6430" s="229"/>
      <c r="C6430" s="28"/>
      <c r="D6430" s="28"/>
      <c r="E6430" s="29"/>
      <c r="F6430" s="39" t="s">
        <v>523</v>
      </c>
      <c r="G6430" s="27" t="str">
        <f t="shared" si="131"/>
        <v/>
      </c>
      <c r="H6430" s="31"/>
      <c r="I6430" s="27"/>
      <c r="J6430" s="141">
        <v>0</v>
      </c>
    </row>
    <row r="6431" spans="1:10" ht="15.75" hidden="1" thickBot="1" x14ac:dyDescent="0.3">
      <c r="A6431" s="226"/>
      <c r="B6431" s="229"/>
      <c r="C6431" s="32" t="s">
        <v>1275</v>
      </c>
      <c r="D6431" s="43" t="s">
        <v>705</v>
      </c>
      <c r="E6431" s="33">
        <v>0.45910000000000001</v>
      </c>
      <c r="F6431" s="30">
        <v>23.0185</v>
      </c>
      <c r="G6431" s="27">
        <f t="shared" si="131"/>
        <v>10.567793350000001</v>
      </c>
      <c r="H6431" s="35">
        <f>SUM(G6431:G6432)</f>
        <v>13.48191645</v>
      </c>
      <c r="I6431" s="36"/>
      <c r="J6431" s="141">
        <v>0</v>
      </c>
    </row>
    <row r="6432" spans="1:10" ht="15.75" hidden="1" thickBot="1" x14ac:dyDescent="0.3">
      <c r="A6432" s="226"/>
      <c r="B6432" s="229"/>
      <c r="C6432" s="32" t="s">
        <v>706</v>
      </c>
      <c r="D6432" s="32" t="s">
        <v>705</v>
      </c>
      <c r="E6432" s="33">
        <v>0.15820000000000001</v>
      </c>
      <c r="F6432" s="27">
        <v>18.420500000000001</v>
      </c>
      <c r="G6432" s="27">
        <f t="shared" si="131"/>
        <v>2.9141231000000003</v>
      </c>
      <c r="H6432" s="31"/>
      <c r="I6432" s="27"/>
      <c r="J6432" s="141">
        <v>0</v>
      </c>
    </row>
    <row r="6433" spans="1:10" ht="15.75" hidden="1" thickBot="1" x14ac:dyDescent="0.3">
      <c r="A6433" s="227"/>
      <c r="B6433" s="230"/>
      <c r="C6433" s="51"/>
      <c r="D6433" s="51"/>
      <c r="E6433" s="62"/>
      <c r="F6433" s="63" t="s">
        <v>523</v>
      </c>
      <c r="G6433" s="63" t="str">
        <f t="shared" si="131"/>
        <v/>
      </c>
      <c r="H6433" s="65"/>
      <c r="I6433" s="27"/>
      <c r="J6433" s="141">
        <v>0</v>
      </c>
    </row>
    <row r="6434" spans="1:10" ht="15.75" hidden="1" thickBot="1" x14ac:dyDescent="0.3">
      <c r="A6434" s="225" t="s">
        <v>6736</v>
      </c>
      <c r="B6434" s="228" t="str">
        <f>INDEX(Orçamentária!A:B,MATCH(Composições!A6434,Orçamentária!A:A,0),2)</f>
        <v>Instalação de pavimentação em elementos intertravados de concreto reaproveitados</v>
      </c>
      <c r="C6434" s="37"/>
      <c r="D6434" s="22" t="str">
        <f>TRIM(INDEX(Orçamentária!C:C,MATCH(Composições!A6434,Orçamentária!A:A,0),1))</f>
        <v>m2</v>
      </c>
      <c r="E6434" s="23"/>
      <c r="F6434" s="38" t="s">
        <v>523</v>
      </c>
      <c r="G6434" s="24" t="str">
        <f t="shared" ref="G6434:G6497" si="132">IF(ISNUMBER(F6434),E6434*F6434,"")</f>
        <v/>
      </c>
      <c r="H6434" s="25"/>
      <c r="I6434" s="26"/>
      <c r="J6434" s="141">
        <v>0</v>
      </c>
    </row>
    <row r="6435" spans="1:10" ht="15.75" hidden="1" thickBot="1" x14ac:dyDescent="0.3">
      <c r="A6435" s="226"/>
      <c r="B6435" s="229"/>
      <c r="C6435" s="28"/>
      <c r="D6435" s="28"/>
      <c r="E6435" s="29"/>
      <c r="F6435" s="39" t="s">
        <v>523</v>
      </c>
      <c r="G6435" s="27" t="str">
        <f t="shared" si="132"/>
        <v/>
      </c>
      <c r="H6435" s="31"/>
      <c r="I6435" s="27"/>
      <c r="J6435" s="141">
        <v>0</v>
      </c>
    </row>
    <row r="6436" spans="1:10" ht="26.25" hidden="1" thickBot="1" x14ac:dyDescent="0.3">
      <c r="A6436" s="226"/>
      <c r="B6436" s="229"/>
      <c r="C6436" s="32" t="s">
        <v>754</v>
      </c>
      <c r="D6436" s="32" t="s">
        <v>120</v>
      </c>
      <c r="E6436" s="33">
        <v>5.6800000000000003E-2</v>
      </c>
      <c r="F6436" s="30">
        <v>160.53099999999998</v>
      </c>
      <c r="G6436" s="27">
        <f t="shared" si="132"/>
        <v>9.1181608000000001</v>
      </c>
      <c r="H6436" s="35">
        <f>SUM(G6436:G6441)</f>
        <v>18.580691850000001</v>
      </c>
      <c r="I6436" s="36"/>
      <c r="J6436" s="141">
        <v>0</v>
      </c>
    </row>
    <row r="6437" spans="1:10" ht="15.75" hidden="1" thickBot="1" x14ac:dyDescent="0.3">
      <c r="A6437" s="226"/>
      <c r="B6437" s="229"/>
      <c r="C6437" s="32" t="s">
        <v>1273</v>
      </c>
      <c r="D6437" s="32" t="s">
        <v>120</v>
      </c>
      <c r="E6437" s="33">
        <v>6.4000000000000003E-3</v>
      </c>
      <c r="F6437" s="27">
        <v>138.89949999999999</v>
      </c>
      <c r="G6437" s="27">
        <f t="shared" si="132"/>
        <v>0.88895679999999999</v>
      </c>
      <c r="H6437" s="31"/>
      <c r="I6437" s="27"/>
      <c r="J6437" s="141">
        <v>0</v>
      </c>
    </row>
    <row r="6438" spans="1:10" ht="15.75" hidden="1" thickBot="1" x14ac:dyDescent="0.3">
      <c r="A6438" s="226"/>
      <c r="B6438" s="229"/>
      <c r="C6438" s="32" t="s">
        <v>1275</v>
      </c>
      <c r="D6438" s="32" t="s">
        <v>705</v>
      </c>
      <c r="E6438" s="33">
        <v>0.2041</v>
      </c>
      <c r="F6438" s="27">
        <v>23.0185</v>
      </c>
      <c r="G6438" s="27">
        <f t="shared" si="132"/>
        <v>4.6980758500000004</v>
      </c>
      <c r="H6438" s="31"/>
      <c r="I6438" s="27"/>
      <c r="J6438" s="141">
        <v>0</v>
      </c>
    </row>
    <row r="6439" spans="1:10" ht="15.75" hidden="1" thickBot="1" x14ac:dyDescent="0.3">
      <c r="A6439" s="226"/>
      <c r="B6439" s="229"/>
      <c r="C6439" s="32" t="s">
        <v>706</v>
      </c>
      <c r="D6439" s="32" t="s">
        <v>705</v>
      </c>
      <c r="E6439" s="33">
        <v>0.2041</v>
      </c>
      <c r="F6439" s="27">
        <v>18.420500000000001</v>
      </c>
      <c r="G6439" s="27">
        <f t="shared" si="132"/>
        <v>3.7596240500000002</v>
      </c>
      <c r="H6439" s="31"/>
      <c r="I6439" s="27"/>
      <c r="J6439" s="141">
        <v>0</v>
      </c>
    </row>
    <row r="6440" spans="1:10" ht="39" hidden="1" thickBot="1" x14ac:dyDescent="0.3">
      <c r="A6440" s="226"/>
      <c r="B6440" s="229"/>
      <c r="C6440" s="32" t="s">
        <v>1106</v>
      </c>
      <c r="D6440" s="32" t="s">
        <v>945</v>
      </c>
      <c r="E6440" s="33">
        <v>5.4999999999999997E-3</v>
      </c>
      <c r="F6440" s="27">
        <v>11.390499999999999</v>
      </c>
      <c r="G6440" s="27">
        <f t="shared" si="132"/>
        <v>6.2647749999999988E-2</v>
      </c>
      <c r="H6440" s="31"/>
      <c r="I6440" s="27"/>
      <c r="J6440" s="141">
        <v>0</v>
      </c>
    </row>
    <row r="6441" spans="1:10" ht="39" hidden="1" thickBot="1" x14ac:dyDescent="0.3">
      <c r="A6441" s="226"/>
      <c r="B6441" s="229"/>
      <c r="C6441" s="32" t="s">
        <v>1276</v>
      </c>
      <c r="D6441" s="32" t="s">
        <v>947</v>
      </c>
      <c r="E6441" s="33">
        <v>9.6600000000000005E-2</v>
      </c>
      <c r="F6441" s="27">
        <v>0.55099999999999993</v>
      </c>
      <c r="G6441" s="27">
        <f t="shared" si="132"/>
        <v>5.3226599999999999E-2</v>
      </c>
      <c r="H6441" s="31"/>
      <c r="I6441" s="27"/>
      <c r="J6441" s="141">
        <v>0</v>
      </c>
    </row>
    <row r="6442" spans="1:10" ht="15.75" hidden="1" thickBot="1" x14ac:dyDescent="0.3">
      <c r="A6442" s="227"/>
      <c r="B6442" s="230"/>
      <c r="C6442" s="51"/>
      <c r="D6442" s="51"/>
      <c r="E6442" s="62"/>
      <c r="F6442" s="63" t="s">
        <v>523</v>
      </c>
      <c r="G6442" s="63" t="str">
        <f t="shared" si="132"/>
        <v/>
      </c>
      <c r="H6442" s="65"/>
      <c r="I6442" s="27"/>
      <c r="J6442" s="141">
        <v>0</v>
      </c>
    </row>
    <row r="6443" spans="1:10" ht="15.75" thickBot="1" x14ac:dyDescent="0.3">
      <c r="A6443" s="225" t="s">
        <v>6737</v>
      </c>
      <c r="B6443" s="228" t="str">
        <f>INDEX(Orçamentária!A:B,MATCH(Composições!A6443,Orçamentária!A:A,0),2)</f>
        <v>Disjuntor tripolar trilho DIN até 40A</v>
      </c>
      <c r="C6443" s="37"/>
      <c r="D6443" s="22" t="str">
        <f>TRIM(INDEX(Orçamentária!C:C,MATCH(Composições!A6443,Orçamentária!A:A,0),1))</f>
        <v>un</v>
      </c>
      <c r="E6443" s="23"/>
      <c r="F6443" s="38" t="s">
        <v>523</v>
      </c>
      <c r="G6443" s="24" t="str">
        <f t="shared" si="132"/>
        <v/>
      </c>
      <c r="H6443" s="25"/>
      <c r="I6443" s="26"/>
      <c r="J6443" s="141">
        <v>59</v>
      </c>
    </row>
    <row r="6444" spans="1:10" x14ac:dyDescent="0.25">
      <c r="A6444" s="226"/>
      <c r="B6444" s="229"/>
      <c r="C6444" s="28"/>
      <c r="D6444" s="28"/>
      <c r="E6444" s="29"/>
      <c r="F6444" s="39" t="s">
        <v>523</v>
      </c>
      <c r="G6444" s="27" t="str">
        <f t="shared" si="132"/>
        <v/>
      </c>
      <c r="H6444" s="31"/>
      <c r="I6444" s="27"/>
      <c r="J6444" s="141">
        <v>59</v>
      </c>
    </row>
    <row r="6445" spans="1:10" ht="25.5" x14ac:dyDescent="0.25">
      <c r="A6445" s="226"/>
      <c r="B6445" s="229"/>
      <c r="C6445" s="32" t="s">
        <v>6704</v>
      </c>
      <c r="D6445" s="32" t="s">
        <v>280</v>
      </c>
      <c r="E6445" s="33">
        <v>3</v>
      </c>
      <c r="F6445" s="30">
        <v>1.3299999999999998</v>
      </c>
      <c r="G6445" s="27">
        <f t="shared" si="132"/>
        <v>3.9899999999999993</v>
      </c>
      <c r="H6445" s="35">
        <f>SUM(G6445:G6448)</f>
        <v>93.667463499999997</v>
      </c>
      <c r="I6445" s="36"/>
      <c r="J6445" s="141">
        <v>59</v>
      </c>
    </row>
    <row r="6446" spans="1:10" x14ac:dyDescent="0.25">
      <c r="A6446" s="226"/>
      <c r="B6446" s="229"/>
      <c r="C6446" s="32" t="s">
        <v>6701</v>
      </c>
      <c r="D6446" s="32" t="s">
        <v>280</v>
      </c>
      <c r="E6446" s="33">
        <v>1</v>
      </c>
      <c r="F6446" s="30">
        <v>71.601500000000001</v>
      </c>
      <c r="G6446" s="27">
        <f t="shared" si="132"/>
        <v>71.601500000000001</v>
      </c>
      <c r="H6446" s="41"/>
      <c r="I6446" s="42"/>
      <c r="J6446" s="141">
        <v>59</v>
      </c>
    </row>
    <row r="6447" spans="1:10" x14ac:dyDescent="0.25">
      <c r="A6447" s="226"/>
      <c r="B6447" s="229"/>
      <c r="C6447" s="32" t="s">
        <v>1164</v>
      </c>
      <c r="D6447" s="32" t="s">
        <v>705</v>
      </c>
      <c r="E6447" s="33">
        <v>0.40570000000000001</v>
      </c>
      <c r="F6447" s="30">
        <v>19.4085</v>
      </c>
      <c r="G6447" s="27">
        <f t="shared" si="132"/>
        <v>7.87402845</v>
      </c>
      <c r="H6447" s="41"/>
      <c r="I6447" s="42"/>
      <c r="J6447" s="141">
        <v>59</v>
      </c>
    </row>
    <row r="6448" spans="1:10" x14ac:dyDescent="0.25">
      <c r="A6448" s="226"/>
      <c r="B6448" s="229"/>
      <c r="C6448" s="32" t="s">
        <v>1165</v>
      </c>
      <c r="D6448" s="32" t="s">
        <v>705</v>
      </c>
      <c r="E6448" s="33">
        <v>0.40570000000000001</v>
      </c>
      <c r="F6448" s="27">
        <v>25.146499999999996</v>
      </c>
      <c r="G6448" s="27">
        <f t="shared" si="132"/>
        <v>10.201935049999998</v>
      </c>
      <c r="H6448" s="31"/>
      <c r="I6448" s="27"/>
      <c r="J6448" s="141">
        <v>59</v>
      </c>
    </row>
    <row r="6449" spans="1:10" ht="15.75" thickBot="1" x14ac:dyDescent="0.3">
      <c r="A6449" s="227"/>
      <c r="B6449" s="230"/>
      <c r="C6449" s="32"/>
      <c r="D6449" s="32"/>
      <c r="E6449" s="33"/>
      <c r="F6449" s="27" t="s">
        <v>523</v>
      </c>
      <c r="G6449" s="27" t="str">
        <f t="shared" si="132"/>
        <v/>
      </c>
      <c r="H6449" s="31"/>
      <c r="I6449" s="27"/>
      <c r="J6449" s="141">
        <v>59</v>
      </c>
    </row>
    <row r="6450" spans="1:10" ht="15.75" hidden="1" thickBot="1" x14ac:dyDescent="0.3">
      <c r="A6450" s="225" t="s">
        <v>6748</v>
      </c>
      <c r="B6450" s="228" t="str">
        <f>INDEX(Orçamentária!A:B,MATCH(Composições!A6450,Orçamentária!A:A,0),2)</f>
        <v>Poste reto 4m para câmera de CFTV</v>
      </c>
      <c r="C6450" s="37"/>
      <c r="D6450" s="22" t="str">
        <f>TRIM(INDEX(Orçamentária!C:C,MATCH(Composições!A6450,Orçamentária!A:A,0),1))</f>
        <v>un</v>
      </c>
      <c r="E6450" s="23"/>
      <c r="F6450" s="38" t="s">
        <v>523</v>
      </c>
      <c r="G6450" s="24" t="str">
        <f t="shared" si="132"/>
        <v/>
      </c>
      <c r="H6450" s="25"/>
      <c r="I6450" s="26"/>
      <c r="J6450" s="141">
        <v>0</v>
      </c>
    </row>
    <row r="6451" spans="1:10" ht="15.75" hidden="1" thickBot="1" x14ac:dyDescent="0.3">
      <c r="A6451" s="226"/>
      <c r="B6451" s="229"/>
      <c r="C6451" s="28"/>
      <c r="D6451" s="28"/>
      <c r="E6451" s="29"/>
      <c r="F6451" s="39" t="s">
        <v>523</v>
      </c>
      <c r="G6451" s="27" t="str">
        <f t="shared" si="132"/>
        <v/>
      </c>
      <c r="H6451" s="31"/>
      <c r="I6451" s="27"/>
      <c r="J6451" s="141">
        <v>0</v>
      </c>
    </row>
    <row r="6452" spans="1:10" ht="26.25" hidden="1" thickBot="1" x14ac:dyDescent="0.3">
      <c r="A6452" s="226"/>
      <c r="B6452" s="229"/>
      <c r="C6452" s="32" t="s">
        <v>6699</v>
      </c>
      <c r="D6452" s="32" t="s">
        <v>280</v>
      </c>
      <c r="E6452" s="33">
        <v>4</v>
      </c>
      <c r="F6452" s="30">
        <v>21.66</v>
      </c>
      <c r="G6452" s="27">
        <f t="shared" si="132"/>
        <v>86.64</v>
      </c>
      <c r="H6452" s="35">
        <f>SUM(G6452:G6455)</f>
        <v>193.60271349999999</v>
      </c>
      <c r="I6452" s="36"/>
      <c r="J6452" s="141">
        <v>0</v>
      </c>
    </row>
    <row r="6453" spans="1:10" ht="15.75" hidden="1" thickBot="1" x14ac:dyDescent="0.3">
      <c r="A6453" s="226"/>
      <c r="B6453" s="229"/>
      <c r="C6453" s="32" t="s">
        <v>6814</v>
      </c>
      <c r="D6453" s="32" t="s">
        <v>280</v>
      </c>
      <c r="E6453" s="33">
        <v>1</v>
      </c>
      <c r="F6453" s="30" t="s">
        <v>523</v>
      </c>
      <c r="G6453" s="27" t="str">
        <f t="shared" si="132"/>
        <v/>
      </c>
      <c r="H6453" s="41"/>
      <c r="I6453" s="42"/>
      <c r="J6453" s="141">
        <v>0</v>
      </c>
    </row>
    <row r="6454" spans="1:10" ht="15.75" hidden="1" thickBot="1" x14ac:dyDescent="0.3">
      <c r="A6454" s="226"/>
      <c r="B6454" s="229"/>
      <c r="C6454" s="32" t="s">
        <v>1164</v>
      </c>
      <c r="D6454" s="32" t="s">
        <v>705</v>
      </c>
      <c r="E6454" s="33">
        <v>1.0580000000000001</v>
      </c>
      <c r="F6454" s="30">
        <v>19.4085</v>
      </c>
      <c r="G6454" s="27">
        <f t="shared" si="132"/>
        <v>20.534193000000002</v>
      </c>
      <c r="H6454" s="41"/>
      <c r="I6454" s="42"/>
      <c r="J6454" s="141">
        <v>0</v>
      </c>
    </row>
    <row r="6455" spans="1:10" ht="15.75" hidden="1" thickBot="1" x14ac:dyDescent="0.3">
      <c r="A6455" s="226"/>
      <c r="B6455" s="229"/>
      <c r="C6455" s="32" t="s">
        <v>1165</v>
      </c>
      <c r="D6455" s="32" t="s">
        <v>705</v>
      </c>
      <c r="E6455" s="33">
        <v>3.4369999999999998</v>
      </c>
      <c r="F6455" s="27">
        <v>25.146499999999996</v>
      </c>
      <c r="G6455" s="27">
        <f t="shared" si="132"/>
        <v>86.428520499999976</v>
      </c>
      <c r="H6455" s="31"/>
      <c r="I6455" s="27"/>
      <c r="J6455" s="141">
        <v>0</v>
      </c>
    </row>
    <row r="6456" spans="1:10" ht="15.75" hidden="1" thickBot="1" x14ac:dyDescent="0.3">
      <c r="A6456" s="227"/>
      <c r="B6456" s="230"/>
      <c r="C6456" s="32"/>
      <c r="D6456" s="32"/>
      <c r="E6456" s="33"/>
      <c r="F6456" s="27" t="s">
        <v>523</v>
      </c>
      <c r="G6456" s="27" t="str">
        <f t="shared" si="132"/>
        <v/>
      </c>
      <c r="H6456" s="31"/>
      <c r="I6456" s="27"/>
      <c r="J6456" s="141">
        <v>0</v>
      </c>
    </row>
    <row r="6457" spans="1:10" ht="15.75" hidden="1" thickBot="1" x14ac:dyDescent="0.3">
      <c r="A6457" s="225" t="s">
        <v>6749</v>
      </c>
      <c r="B6457" s="228" t="str">
        <f>INDEX(Orçamentária!A:B,MATCH(Composições!A6457,Orçamentária!A:A,0),2)</f>
        <v>Caixa hermética para CFTV</v>
      </c>
      <c r="C6457" s="37"/>
      <c r="D6457" s="22" t="str">
        <f>TRIM(INDEX(Orçamentária!C:C,MATCH(Composições!A6457,Orçamentária!A:A,0),1))</f>
        <v>un</v>
      </c>
      <c r="E6457" s="23"/>
      <c r="F6457" s="38" t="s">
        <v>523</v>
      </c>
      <c r="G6457" s="24" t="str">
        <f t="shared" si="132"/>
        <v/>
      </c>
      <c r="H6457" s="25"/>
      <c r="I6457" s="26"/>
      <c r="J6457" s="141">
        <v>0</v>
      </c>
    </row>
    <row r="6458" spans="1:10" ht="15.75" hidden="1" thickBot="1" x14ac:dyDescent="0.3">
      <c r="A6458" s="226"/>
      <c r="B6458" s="229"/>
      <c r="C6458" s="28"/>
      <c r="D6458" s="28"/>
      <c r="E6458" s="29"/>
      <c r="F6458" s="39" t="s">
        <v>523</v>
      </c>
      <c r="G6458" s="27" t="str">
        <f t="shared" si="132"/>
        <v/>
      </c>
      <c r="H6458" s="31"/>
      <c r="I6458" s="27"/>
      <c r="J6458" s="141">
        <v>0</v>
      </c>
    </row>
    <row r="6459" spans="1:10" ht="15.75" hidden="1" thickBot="1" x14ac:dyDescent="0.3">
      <c r="A6459" s="226"/>
      <c r="B6459" s="229"/>
      <c r="C6459" s="32" t="s">
        <v>6813</v>
      </c>
      <c r="D6459" s="43" t="s">
        <v>20</v>
      </c>
      <c r="E6459" s="33">
        <v>1</v>
      </c>
      <c r="F6459" s="30" t="s">
        <v>523</v>
      </c>
      <c r="G6459" s="27" t="str">
        <f t="shared" si="132"/>
        <v/>
      </c>
      <c r="H6459" s="35">
        <f>SUM(G6459:G6462)</f>
        <v>42.706477200991998</v>
      </c>
      <c r="I6459" s="36"/>
      <c r="J6459" s="141">
        <v>0</v>
      </c>
    </row>
    <row r="6460" spans="1:10" ht="39" hidden="1" thickBot="1" x14ac:dyDescent="0.3">
      <c r="A6460" s="226"/>
      <c r="B6460" s="229"/>
      <c r="C6460" s="32" t="s">
        <v>3235</v>
      </c>
      <c r="D6460" s="43" t="s">
        <v>120</v>
      </c>
      <c r="E6460" s="33">
        <v>1.9199999999999998E-2</v>
      </c>
      <c r="F6460" s="30">
        <v>753.7486302599998</v>
      </c>
      <c r="G6460" s="27">
        <f t="shared" si="132"/>
        <v>14.471973700991995</v>
      </c>
      <c r="H6460" s="41"/>
      <c r="I6460" s="42"/>
      <c r="J6460" s="141">
        <v>0</v>
      </c>
    </row>
    <row r="6461" spans="1:10" ht="15.75" hidden="1" thickBot="1" x14ac:dyDescent="0.3">
      <c r="A6461" s="226"/>
      <c r="B6461" s="229"/>
      <c r="C6461" s="32" t="s">
        <v>74</v>
      </c>
      <c r="D6461" s="43" t="s">
        <v>12</v>
      </c>
      <c r="E6461" s="33">
        <v>0.63370000000000004</v>
      </c>
      <c r="F6461" s="30">
        <v>19.4085</v>
      </c>
      <c r="G6461" s="27">
        <f t="shared" si="132"/>
        <v>12.299166450000001</v>
      </c>
      <c r="H6461" s="41"/>
      <c r="I6461" s="42"/>
      <c r="J6461" s="141">
        <v>0</v>
      </c>
    </row>
    <row r="6462" spans="1:10" ht="15.75" hidden="1" thickBot="1" x14ac:dyDescent="0.3">
      <c r="A6462" s="226"/>
      <c r="B6462" s="229"/>
      <c r="C6462" s="32" t="s">
        <v>30</v>
      </c>
      <c r="D6462" s="43" t="s">
        <v>12</v>
      </c>
      <c r="E6462" s="33">
        <v>0.63370000000000004</v>
      </c>
      <c r="F6462" s="27">
        <v>25.146499999999996</v>
      </c>
      <c r="G6462" s="27">
        <f t="shared" si="132"/>
        <v>15.935337049999999</v>
      </c>
      <c r="H6462" s="31"/>
      <c r="I6462" s="27"/>
      <c r="J6462" s="141">
        <v>0</v>
      </c>
    </row>
    <row r="6463" spans="1:10" ht="15.75" hidden="1" thickBot="1" x14ac:dyDescent="0.3">
      <c r="A6463" s="227"/>
      <c r="B6463" s="230"/>
      <c r="C6463" s="51"/>
      <c r="D6463" s="51"/>
      <c r="E6463" s="62"/>
      <c r="F6463" s="63" t="s">
        <v>523</v>
      </c>
      <c r="G6463" s="63" t="str">
        <f t="shared" si="132"/>
        <v/>
      </c>
      <c r="H6463" s="65"/>
      <c r="I6463" s="27"/>
      <c r="J6463" s="141">
        <v>0</v>
      </c>
    </row>
    <row r="6464" spans="1:10" ht="15.75" hidden="1" thickBot="1" x14ac:dyDescent="0.3">
      <c r="A6464" s="225" t="s">
        <v>6761</v>
      </c>
      <c r="B6464" s="228" t="str">
        <f>INDEX(Orçamentária!A:B,MATCH(Composições!A6464,Orçamentária!A:A,0),2)</f>
        <v>Anel de borracha para vedação na interligação de tubos de esgoto</v>
      </c>
      <c r="C6464" s="37"/>
      <c r="D6464" s="22" t="str">
        <f>TRIM(INDEX(Orçamentária!C:C,MATCH(Composições!A6464,Orçamentária!A:A,0),1))</f>
        <v>un</v>
      </c>
      <c r="E6464" s="23"/>
      <c r="F6464" s="38" t="s">
        <v>523</v>
      </c>
      <c r="G6464" s="24" t="str">
        <f t="shared" si="132"/>
        <v/>
      </c>
      <c r="H6464" s="25"/>
      <c r="I6464" s="26"/>
      <c r="J6464" s="141">
        <v>0</v>
      </c>
    </row>
    <row r="6465" spans="1:10" ht="15.75" hidden="1" thickBot="1" x14ac:dyDescent="0.3">
      <c r="A6465" s="226"/>
      <c r="B6465" s="229"/>
      <c r="C6465" s="28"/>
      <c r="D6465" s="28"/>
      <c r="E6465" s="29"/>
      <c r="F6465" s="39" t="s">
        <v>523</v>
      </c>
      <c r="G6465" s="27" t="str">
        <f t="shared" si="132"/>
        <v/>
      </c>
      <c r="H6465" s="31"/>
      <c r="I6465" s="27"/>
      <c r="J6465" s="141">
        <v>0</v>
      </c>
    </row>
    <row r="6466" spans="1:10" ht="26.25" hidden="1" thickBot="1" x14ac:dyDescent="0.3">
      <c r="A6466" s="226"/>
      <c r="B6466" s="229"/>
      <c r="C6466" s="161" t="s">
        <v>6627</v>
      </c>
      <c r="D6466" s="43" t="s">
        <v>20</v>
      </c>
      <c r="E6466" s="149">
        <v>1</v>
      </c>
      <c r="F6466" s="27">
        <v>13.2905</v>
      </c>
      <c r="G6466" s="27">
        <f t="shared" si="132"/>
        <v>13.2905</v>
      </c>
      <c r="H6466" s="35">
        <f>SUM(G6466:G6466)</f>
        <v>13.2905</v>
      </c>
      <c r="I6466" s="36"/>
      <c r="J6466" s="141">
        <v>0</v>
      </c>
    </row>
    <row r="6467" spans="1:10" ht="15.75" hidden="1" thickBot="1" x14ac:dyDescent="0.3">
      <c r="A6467" s="227"/>
      <c r="B6467" s="230"/>
      <c r="C6467" s="51"/>
      <c r="D6467" s="51"/>
      <c r="E6467" s="62"/>
      <c r="F6467" s="63" t="s">
        <v>523</v>
      </c>
      <c r="G6467" s="63" t="str">
        <f t="shared" si="132"/>
        <v/>
      </c>
      <c r="H6467" s="65"/>
      <c r="I6467" s="27"/>
      <c r="J6467" s="141">
        <v>0</v>
      </c>
    </row>
    <row r="6468" spans="1:10" ht="15.75" hidden="1" thickBot="1" x14ac:dyDescent="0.3">
      <c r="A6468" s="225" t="s">
        <v>6763</v>
      </c>
      <c r="B6468" s="228" t="str">
        <f>INDEX(Orçamentária!A:B,MATCH(Composições!A6468,Orçamentária!A:A,0),2)</f>
        <v>Anel de Vedação para bacia sanitária</v>
      </c>
      <c r="C6468" s="37"/>
      <c r="D6468" s="22" t="str">
        <f>TRIM(INDEX(Orçamentária!C:C,MATCH(Composições!A6468,Orçamentária!A:A,0),1))</f>
        <v>un</v>
      </c>
      <c r="E6468" s="23"/>
      <c r="F6468" s="38" t="s">
        <v>523</v>
      </c>
      <c r="G6468" s="24" t="str">
        <f t="shared" si="132"/>
        <v/>
      </c>
      <c r="H6468" s="25"/>
      <c r="I6468" s="26"/>
      <c r="J6468" s="141">
        <v>0</v>
      </c>
    </row>
    <row r="6469" spans="1:10" ht="15.75" hidden="1" thickBot="1" x14ac:dyDescent="0.3">
      <c r="A6469" s="226"/>
      <c r="B6469" s="229"/>
      <c r="C6469" s="28"/>
      <c r="D6469" s="28"/>
      <c r="E6469" s="29"/>
      <c r="F6469" s="39" t="s">
        <v>523</v>
      </c>
      <c r="G6469" s="27" t="str">
        <f t="shared" si="132"/>
        <v/>
      </c>
      <c r="H6469" s="31"/>
      <c r="I6469" s="27"/>
      <c r="J6469" s="141">
        <v>0</v>
      </c>
    </row>
    <row r="6470" spans="1:10" ht="26.25" hidden="1" thickBot="1" x14ac:dyDescent="0.3">
      <c r="A6470" s="226"/>
      <c r="B6470" s="229"/>
      <c r="C6470" s="161" t="s">
        <v>7572</v>
      </c>
      <c r="D6470" s="43" t="s">
        <v>20</v>
      </c>
      <c r="E6470" s="149">
        <v>1</v>
      </c>
      <c r="F6470" s="27">
        <v>3.306</v>
      </c>
      <c r="G6470" s="27">
        <f t="shared" si="132"/>
        <v>3.306</v>
      </c>
      <c r="H6470" s="35">
        <f>SUM(G6470:G6470)</f>
        <v>3.306</v>
      </c>
      <c r="I6470" s="36"/>
      <c r="J6470" s="141">
        <v>0</v>
      </c>
    </row>
    <row r="6471" spans="1:10" ht="15.75" hidden="1" thickBot="1" x14ac:dyDescent="0.3">
      <c r="A6471" s="227"/>
      <c r="B6471" s="230"/>
      <c r="C6471" s="51"/>
      <c r="D6471" s="51"/>
      <c r="E6471" s="62"/>
      <c r="F6471" s="63" t="s">
        <v>523</v>
      </c>
      <c r="G6471" s="63" t="str">
        <f t="shared" si="132"/>
        <v/>
      </c>
      <c r="H6471" s="65"/>
      <c r="I6471" s="27"/>
      <c r="J6471" s="141">
        <v>0</v>
      </c>
    </row>
    <row r="6472" spans="1:10" ht="15.75" hidden="1" thickBot="1" x14ac:dyDescent="0.3">
      <c r="A6472" s="225" t="s">
        <v>6764</v>
      </c>
      <c r="B6472" s="228" t="str">
        <f>INDEX(Orçamentária!A:B,MATCH(Composições!A6472,Orçamentária!A:A,0),2)</f>
        <v>Rejunte cimentício flexível</v>
      </c>
      <c r="C6472" s="37"/>
      <c r="D6472" s="22" t="str">
        <f>TRIM(INDEX(Orçamentária!C:C,MATCH(Composições!A6472,Orçamentária!A:A,0),1))</f>
        <v>kg</v>
      </c>
      <c r="E6472" s="23"/>
      <c r="F6472" s="38" t="s">
        <v>523</v>
      </c>
      <c r="G6472" s="24" t="str">
        <f t="shared" si="132"/>
        <v/>
      </c>
      <c r="H6472" s="25"/>
      <c r="I6472" s="26"/>
      <c r="J6472" s="141">
        <v>0</v>
      </c>
    </row>
    <row r="6473" spans="1:10" ht="15.75" hidden="1" thickBot="1" x14ac:dyDescent="0.3">
      <c r="A6473" s="226"/>
      <c r="B6473" s="229"/>
      <c r="C6473" s="28"/>
      <c r="D6473" s="28"/>
      <c r="E6473" s="29"/>
      <c r="F6473" s="39" t="s">
        <v>523</v>
      </c>
      <c r="G6473" s="27" t="str">
        <f t="shared" si="132"/>
        <v/>
      </c>
      <c r="H6473" s="31"/>
      <c r="I6473" s="27"/>
      <c r="J6473" s="141">
        <v>0</v>
      </c>
    </row>
    <row r="6474" spans="1:10" ht="15.75" hidden="1" thickBot="1" x14ac:dyDescent="0.3">
      <c r="A6474" s="226"/>
      <c r="B6474" s="229"/>
      <c r="C6474" s="161" t="s">
        <v>7650</v>
      </c>
      <c r="D6474" s="43" t="s">
        <v>42</v>
      </c>
      <c r="E6474" s="149">
        <v>1</v>
      </c>
      <c r="F6474" s="27">
        <v>3.0590000000000002</v>
      </c>
      <c r="G6474" s="27">
        <f t="shared" si="132"/>
        <v>3.0590000000000002</v>
      </c>
      <c r="H6474" s="35">
        <f>SUM(G6474:G6474)</f>
        <v>3.0590000000000002</v>
      </c>
      <c r="I6474" s="36"/>
      <c r="J6474" s="141">
        <v>0</v>
      </c>
    </row>
    <row r="6475" spans="1:10" ht="15.75" hidden="1" thickBot="1" x14ac:dyDescent="0.3">
      <c r="A6475" s="227"/>
      <c r="B6475" s="230"/>
      <c r="C6475" s="51"/>
      <c r="D6475" s="51"/>
      <c r="E6475" s="62"/>
      <c r="F6475" s="63" t="s">
        <v>523</v>
      </c>
      <c r="G6475" s="63" t="str">
        <f t="shared" si="132"/>
        <v/>
      </c>
      <c r="H6475" s="65"/>
      <c r="I6475" s="27"/>
      <c r="J6475" s="141">
        <v>0</v>
      </c>
    </row>
    <row r="6476" spans="1:10" ht="15.75" hidden="1" thickBot="1" x14ac:dyDescent="0.3">
      <c r="A6476" s="225" t="s">
        <v>6768</v>
      </c>
      <c r="B6476" s="228" t="str">
        <f>INDEX(Orçamentária!A:B,MATCH(Composições!A6476,Orçamentária!A:A,0),2)</f>
        <v>Assento para bacia convencional</v>
      </c>
      <c r="C6476" s="37"/>
      <c r="D6476" s="22" t="str">
        <f>TRIM(INDEX(Orçamentária!C:C,MATCH(Composições!A6476,Orçamentária!A:A,0),1))</f>
        <v>un</v>
      </c>
      <c r="E6476" s="23"/>
      <c r="F6476" s="38" t="s">
        <v>523</v>
      </c>
      <c r="G6476" s="24" t="str">
        <f t="shared" si="132"/>
        <v/>
      </c>
      <c r="H6476" s="25"/>
      <c r="I6476" s="26"/>
      <c r="J6476" s="141">
        <v>0</v>
      </c>
    </row>
    <row r="6477" spans="1:10" ht="15.75" hidden="1" thickBot="1" x14ac:dyDescent="0.3">
      <c r="A6477" s="226"/>
      <c r="B6477" s="229"/>
      <c r="C6477" s="28"/>
      <c r="D6477" s="28"/>
      <c r="E6477" s="29"/>
      <c r="F6477" s="39" t="s">
        <v>523</v>
      </c>
      <c r="G6477" s="27" t="str">
        <f t="shared" si="132"/>
        <v/>
      </c>
      <c r="H6477" s="31"/>
      <c r="I6477" s="27"/>
      <c r="J6477" s="141">
        <v>0</v>
      </c>
    </row>
    <row r="6478" spans="1:10" ht="15.75" hidden="1" thickBot="1" x14ac:dyDescent="0.3">
      <c r="A6478" s="226"/>
      <c r="B6478" s="229"/>
      <c r="C6478" s="161" t="s">
        <v>7575</v>
      </c>
      <c r="D6478" s="43" t="s">
        <v>20</v>
      </c>
      <c r="E6478" s="149">
        <v>1</v>
      </c>
      <c r="F6478" s="27">
        <v>38.76</v>
      </c>
      <c r="G6478" s="27">
        <f t="shared" si="132"/>
        <v>38.76</v>
      </c>
      <c r="H6478" s="35">
        <f>SUM(G6478:G6478)</f>
        <v>38.76</v>
      </c>
      <c r="I6478" s="36"/>
      <c r="J6478" s="141">
        <v>0</v>
      </c>
    </row>
    <row r="6479" spans="1:10" ht="15.75" hidden="1" thickBot="1" x14ac:dyDescent="0.3">
      <c r="A6479" s="227"/>
      <c r="B6479" s="230"/>
      <c r="C6479" s="51"/>
      <c r="D6479" s="51"/>
      <c r="E6479" s="62"/>
      <c r="F6479" s="63" t="s">
        <v>523</v>
      </c>
      <c r="G6479" s="63" t="str">
        <f t="shared" si="132"/>
        <v/>
      </c>
      <c r="H6479" s="65"/>
      <c r="I6479" s="27"/>
      <c r="J6479" s="141">
        <v>0</v>
      </c>
    </row>
    <row r="6480" spans="1:10" ht="15.75" hidden="1" thickBot="1" x14ac:dyDescent="0.3">
      <c r="A6480" s="225" t="s">
        <v>6774</v>
      </c>
      <c r="B6480" s="228" t="str">
        <f>INDEX(Orçamentária!A:B,MATCH(Composições!A6480,Orçamentária!A:A,0),2)</f>
        <v>Barra de apoio 70 cm - Linha Acessibilidade</v>
      </c>
      <c r="C6480" s="37"/>
      <c r="D6480" s="22" t="str">
        <f>TRIM(INDEX(Orçamentária!C:C,MATCH(Composições!A6480,Orçamentária!A:A,0),1))</f>
        <v>un</v>
      </c>
      <c r="E6480" s="23"/>
      <c r="F6480" s="38" t="s">
        <v>523</v>
      </c>
      <c r="G6480" s="24" t="str">
        <f t="shared" si="132"/>
        <v/>
      </c>
      <c r="H6480" s="25"/>
      <c r="I6480" s="26"/>
      <c r="J6480" s="141">
        <v>0</v>
      </c>
    </row>
    <row r="6481" spans="1:10" ht="15.75" hidden="1" thickBot="1" x14ac:dyDescent="0.3">
      <c r="A6481" s="226"/>
      <c r="B6481" s="229"/>
      <c r="C6481" s="28"/>
      <c r="D6481" s="28"/>
      <c r="E6481" s="29"/>
      <c r="F6481" s="39" t="s">
        <v>523</v>
      </c>
      <c r="G6481" s="27" t="str">
        <f t="shared" si="132"/>
        <v/>
      </c>
      <c r="H6481" s="31"/>
      <c r="I6481" s="27"/>
      <c r="J6481" s="141">
        <v>0</v>
      </c>
    </row>
    <row r="6482" spans="1:10" ht="26.25" hidden="1" thickBot="1" x14ac:dyDescent="0.3">
      <c r="A6482" s="226"/>
      <c r="B6482" s="229"/>
      <c r="C6482" s="161" t="s">
        <v>7576</v>
      </c>
      <c r="D6482" s="43" t="s">
        <v>20</v>
      </c>
      <c r="E6482" s="149">
        <v>1</v>
      </c>
      <c r="F6482" s="27">
        <v>134.53899999999999</v>
      </c>
      <c r="G6482" s="27">
        <f t="shared" si="132"/>
        <v>134.53899999999999</v>
      </c>
      <c r="H6482" s="35">
        <f>SUM(G6482:G6482)</f>
        <v>134.53899999999999</v>
      </c>
      <c r="I6482" s="36"/>
      <c r="J6482" s="141">
        <v>0</v>
      </c>
    </row>
    <row r="6483" spans="1:10" ht="15.75" hidden="1" thickBot="1" x14ac:dyDescent="0.3">
      <c r="A6483" s="227"/>
      <c r="B6483" s="230"/>
      <c r="C6483" s="51"/>
      <c r="D6483" s="51"/>
      <c r="E6483" s="62"/>
      <c r="F6483" s="63" t="s">
        <v>523</v>
      </c>
      <c r="G6483" s="63" t="str">
        <f t="shared" si="132"/>
        <v/>
      </c>
      <c r="H6483" s="65"/>
      <c r="I6483" s="27"/>
      <c r="J6483" s="141">
        <v>0</v>
      </c>
    </row>
    <row r="6484" spans="1:10" ht="15.75" hidden="1" thickBot="1" x14ac:dyDescent="0.3">
      <c r="A6484" s="225" t="s">
        <v>6775</v>
      </c>
      <c r="B6484" s="228" t="str">
        <f>INDEX(Orçamentária!A:B,MATCH(Composições!A6484,Orçamentária!A:A,0),2)</f>
        <v>Barra de apoio 80 cm - Linha Acessibilidade</v>
      </c>
      <c r="C6484" s="37"/>
      <c r="D6484" s="22" t="str">
        <f>TRIM(INDEX(Orçamentária!C:C,MATCH(Composições!A6484,Orçamentária!A:A,0),1))</f>
        <v>un</v>
      </c>
      <c r="E6484" s="23"/>
      <c r="F6484" s="38" t="s">
        <v>523</v>
      </c>
      <c r="G6484" s="24" t="str">
        <f t="shared" si="132"/>
        <v/>
      </c>
      <c r="H6484" s="25"/>
      <c r="I6484" s="26"/>
      <c r="J6484" s="141">
        <v>0</v>
      </c>
    </row>
    <row r="6485" spans="1:10" ht="15.75" hidden="1" thickBot="1" x14ac:dyDescent="0.3">
      <c r="A6485" s="226"/>
      <c r="B6485" s="229"/>
      <c r="C6485" s="28"/>
      <c r="D6485" s="28"/>
      <c r="E6485" s="29"/>
      <c r="F6485" s="39" t="s">
        <v>523</v>
      </c>
      <c r="G6485" s="27" t="str">
        <f t="shared" si="132"/>
        <v/>
      </c>
      <c r="H6485" s="31"/>
      <c r="I6485" s="27"/>
      <c r="J6485" s="141">
        <v>0</v>
      </c>
    </row>
    <row r="6486" spans="1:10" ht="26.25" hidden="1" thickBot="1" x14ac:dyDescent="0.3">
      <c r="A6486" s="226"/>
      <c r="B6486" s="229"/>
      <c r="C6486" s="161" t="s">
        <v>7577</v>
      </c>
      <c r="D6486" s="43" t="s">
        <v>20</v>
      </c>
      <c r="E6486" s="149">
        <v>1</v>
      </c>
      <c r="F6486" s="27">
        <v>143.44999999999999</v>
      </c>
      <c r="G6486" s="27">
        <f t="shared" si="132"/>
        <v>143.44999999999999</v>
      </c>
      <c r="H6486" s="35">
        <f>SUM(G6486:G6486)</f>
        <v>143.44999999999999</v>
      </c>
      <c r="I6486" s="36"/>
      <c r="J6486" s="141">
        <v>0</v>
      </c>
    </row>
    <row r="6487" spans="1:10" ht="15.75" hidden="1" thickBot="1" x14ac:dyDescent="0.3">
      <c r="A6487" s="227"/>
      <c r="B6487" s="230"/>
      <c r="C6487" s="51"/>
      <c r="D6487" s="51"/>
      <c r="E6487" s="62"/>
      <c r="F6487" s="63" t="s">
        <v>523</v>
      </c>
      <c r="G6487" s="63" t="str">
        <f t="shared" si="132"/>
        <v/>
      </c>
      <c r="H6487" s="65"/>
      <c r="I6487" s="27"/>
      <c r="J6487" s="141">
        <v>0</v>
      </c>
    </row>
    <row r="6488" spans="1:10" ht="15.75" hidden="1" thickBot="1" x14ac:dyDescent="0.3">
      <c r="A6488" s="225" t="s">
        <v>6779</v>
      </c>
      <c r="B6488" s="228" t="str">
        <f>INDEX(Orçamentária!A:B,MATCH(Composições!A6488,Orçamentária!A:A,0),2)</f>
        <v>Bolsa de ligação Branca para Vaso Sanitário</v>
      </c>
      <c r="C6488" s="37"/>
      <c r="D6488" s="22" t="str">
        <f>TRIM(INDEX(Orçamentária!C:C,MATCH(Composições!A6488,Orçamentária!A:A,0),1))</f>
        <v>un</v>
      </c>
      <c r="E6488" s="23"/>
      <c r="F6488" s="38" t="s">
        <v>523</v>
      </c>
      <c r="G6488" s="24" t="str">
        <f t="shared" si="132"/>
        <v/>
      </c>
      <c r="H6488" s="25"/>
      <c r="I6488" s="26"/>
      <c r="J6488" s="141">
        <v>0</v>
      </c>
    </row>
    <row r="6489" spans="1:10" ht="15.75" hidden="1" thickBot="1" x14ac:dyDescent="0.3">
      <c r="A6489" s="226"/>
      <c r="B6489" s="229"/>
      <c r="C6489" s="28"/>
      <c r="D6489" s="28"/>
      <c r="E6489" s="29"/>
      <c r="F6489" s="39" t="s">
        <v>523</v>
      </c>
      <c r="G6489" s="27" t="str">
        <f t="shared" si="132"/>
        <v/>
      </c>
      <c r="H6489" s="31"/>
      <c r="I6489" s="27"/>
      <c r="J6489" s="141">
        <v>0</v>
      </c>
    </row>
    <row r="6490" spans="1:10" ht="26.25" hidden="1" thickBot="1" x14ac:dyDescent="0.3">
      <c r="A6490" s="226"/>
      <c r="B6490" s="229"/>
      <c r="C6490" s="161" t="s">
        <v>7578</v>
      </c>
      <c r="D6490" s="43" t="s">
        <v>20</v>
      </c>
      <c r="E6490" s="149">
        <v>1</v>
      </c>
      <c r="F6490" s="27">
        <v>3.2204999999999999</v>
      </c>
      <c r="G6490" s="27">
        <f t="shared" si="132"/>
        <v>3.2204999999999999</v>
      </c>
      <c r="H6490" s="35">
        <f>SUM(G6490:G6490)</f>
        <v>3.2204999999999999</v>
      </c>
      <c r="I6490" s="36"/>
      <c r="J6490" s="141">
        <v>0</v>
      </c>
    </row>
    <row r="6491" spans="1:10" ht="15.75" hidden="1" thickBot="1" x14ac:dyDescent="0.3">
      <c r="A6491" s="227"/>
      <c r="B6491" s="230"/>
      <c r="C6491" s="51"/>
      <c r="D6491" s="51"/>
      <c r="E6491" s="62"/>
      <c r="F6491" s="63" t="s">
        <v>523</v>
      </c>
      <c r="G6491" s="63" t="str">
        <f t="shared" si="132"/>
        <v/>
      </c>
      <c r="H6491" s="65"/>
      <c r="I6491" s="27"/>
      <c r="J6491" s="141">
        <v>0</v>
      </c>
    </row>
    <row r="6492" spans="1:10" ht="15.75" hidden="1" thickBot="1" x14ac:dyDescent="0.3">
      <c r="A6492" s="225" t="s">
        <v>6781</v>
      </c>
      <c r="B6492" s="228" t="str">
        <f>INDEX(Orçamentária!A:B,MATCH(Composições!A6492,Orçamentária!A:A,0),2)</f>
        <v>Botão de Acionamento para Mictório</v>
      </c>
      <c r="C6492" s="37"/>
      <c r="D6492" s="22" t="str">
        <f>TRIM(INDEX(Orçamentária!C:C,MATCH(Composições!A6492,Orçamentária!A:A,0),1))</f>
        <v>un</v>
      </c>
      <c r="E6492" s="23"/>
      <c r="F6492" s="38" t="s">
        <v>523</v>
      </c>
      <c r="G6492" s="24" t="str">
        <f t="shared" si="132"/>
        <v/>
      </c>
      <c r="H6492" s="25"/>
      <c r="I6492" s="26"/>
      <c r="J6492" s="141">
        <v>0</v>
      </c>
    </row>
    <row r="6493" spans="1:10" ht="15.75" hidden="1" thickBot="1" x14ac:dyDescent="0.3">
      <c r="A6493" s="226"/>
      <c r="B6493" s="229"/>
      <c r="C6493" s="28"/>
      <c r="D6493" s="28"/>
      <c r="E6493" s="29"/>
      <c r="F6493" s="39" t="s">
        <v>523</v>
      </c>
      <c r="G6493" s="27" t="str">
        <f t="shared" si="132"/>
        <v/>
      </c>
      <c r="H6493" s="31"/>
      <c r="I6493" s="27"/>
      <c r="J6493" s="141">
        <v>0</v>
      </c>
    </row>
    <row r="6494" spans="1:10" ht="26.25" hidden="1" thickBot="1" x14ac:dyDescent="0.3">
      <c r="A6494" s="226"/>
      <c r="B6494" s="229"/>
      <c r="C6494" s="161" t="s">
        <v>7703</v>
      </c>
      <c r="D6494" s="43" t="s">
        <v>20</v>
      </c>
      <c r="E6494" s="149">
        <v>1</v>
      </c>
      <c r="F6494" s="27">
        <v>224.5515</v>
      </c>
      <c r="G6494" s="27">
        <f t="shared" si="132"/>
        <v>224.5515</v>
      </c>
      <c r="H6494" s="35">
        <f>SUM(G6494:G6494)</f>
        <v>224.5515</v>
      </c>
      <c r="I6494" s="36"/>
      <c r="J6494" s="141">
        <v>0</v>
      </c>
    </row>
    <row r="6495" spans="1:10" ht="15.75" hidden="1" thickBot="1" x14ac:dyDescent="0.3">
      <c r="A6495" s="227"/>
      <c r="B6495" s="230"/>
      <c r="C6495" s="51"/>
      <c r="D6495" s="51"/>
      <c r="E6495" s="62"/>
      <c r="F6495" s="63" t="s">
        <v>523</v>
      </c>
      <c r="G6495" s="63" t="str">
        <f t="shared" si="132"/>
        <v/>
      </c>
      <c r="H6495" s="65"/>
      <c r="I6495" s="27"/>
      <c r="J6495" s="141">
        <v>0</v>
      </c>
    </row>
    <row r="6496" spans="1:10" ht="15.75" hidden="1" thickBot="1" x14ac:dyDescent="0.3">
      <c r="A6496" s="225" t="s">
        <v>6783</v>
      </c>
      <c r="B6496" s="228" t="str">
        <f>INDEX(Orçamentária!A:B,MATCH(Composições!A6496,Orçamentária!A:A,0),2)</f>
        <v>Braço de metal para Chuveiro</v>
      </c>
      <c r="C6496" s="37"/>
      <c r="D6496" s="22" t="str">
        <f>TRIM(INDEX(Orçamentária!C:C,MATCH(Composições!A6496,Orçamentária!A:A,0),1))</f>
        <v>un</v>
      </c>
      <c r="E6496" s="23"/>
      <c r="F6496" s="38" t="s">
        <v>523</v>
      </c>
      <c r="G6496" s="24" t="str">
        <f t="shared" si="132"/>
        <v/>
      </c>
      <c r="H6496" s="25"/>
      <c r="I6496" s="26"/>
      <c r="J6496" s="141">
        <v>0</v>
      </c>
    </row>
    <row r="6497" spans="1:10" ht="15.75" hidden="1" thickBot="1" x14ac:dyDescent="0.3">
      <c r="A6497" s="226"/>
      <c r="B6497" s="229"/>
      <c r="C6497" s="28"/>
      <c r="D6497" s="28"/>
      <c r="E6497" s="29"/>
      <c r="F6497" s="39" t="s">
        <v>523</v>
      </c>
      <c r="G6497" s="27" t="str">
        <f t="shared" si="132"/>
        <v/>
      </c>
      <c r="H6497" s="31"/>
      <c r="I6497" s="27"/>
      <c r="J6497" s="141">
        <v>0</v>
      </c>
    </row>
    <row r="6498" spans="1:10" ht="26.25" hidden="1" thickBot="1" x14ac:dyDescent="0.3">
      <c r="A6498" s="226"/>
      <c r="B6498" s="229"/>
      <c r="C6498" s="161" t="s">
        <v>7580</v>
      </c>
      <c r="D6498" s="43" t="s">
        <v>20</v>
      </c>
      <c r="E6498" s="149">
        <v>1</v>
      </c>
      <c r="F6498" s="27">
        <v>26.22</v>
      </c>
      <c r="G6498" s="27">
        <f t="shared" ref="G6498:G6561" si="133">IF(ISNUMBER(F6498),E6498*F6498,"")</f>
        <v>26.22</v>
      </c>
      <c r="H6498" s="35">
        <f>SUM(G6498:G6498)</f>
        <v>26.22</v>
      </c>
      <c r="I6498" s="36"/>
      <c r="J6498" s="141">
        <v>0</v>
      </c>
    </row>
    <row r="6499" spans="1:10" ht="15.75" hidden="1" thickBot="1" x14ac:dyDescent="0.3">
      <c r="A6499" s="227"/>
      <c r="B6499" s="230"/>
      <c r="C6499" s="51"/>
      <c r="D6499" s="51"/>
      <c r="E6499" s="62"/>
      <c r="F6499" s="63" t="s">
        <v>523</v>
      </c>
      <c r="G6499" s="63" t="str">
        <f t="shared" si="133"/>
        <v/>
      </c>
      <c r="H6499" s="65"/>
      <c r="I6499" s="27"/>
      <c r="J6499" s="141">
        <v>0</v>
      </c>
    </row>
    <row r="6500" spans="1:10" ht="15.75" hidden="1" thickBot="1" x14ac:dyDescent="0.3">
      <c r="A6500" s="225" t="s">
        <v>6786</v>
      </c>
      <c r="B6500" s="228" t="str">
        <f>INDEX(Orçamentária!A:B,MATCH(Composições!A6500,Orçamentária!A:A,0),2)</f>
        <v>Caixa de descarga alta/elevada</v>
      </c>
      <c r="C6500" s="37"/>
      <c r="D6500" s="22" t="str">
        <f>TRIM(INDEX(Orçamentária!C:C,MATCH(Composições!A6500,Orçamentária!A:A,0),1))</f>
        <v>un</v>
      </c>
      <c r="E6500" s="23"/>
      <c r="F6500" s="38" t="s">
        <v>523</v>
      </c>
      <c r="G6500" s="24" t="str">
        <f t="shared" si="133"/>
        <v/>
      </c>
      <c r="H6500" s="25"/>
      <c r="I6500" s="26"/>
      <c r="J6500" s="141">
        <v>0</v>
      </c>
    </row>
    <row r="6501" spans="1:10" ht="15.75" hidden="1" thickBot="1" x14ac:dyDescent="0.3">
      <c r="A6501" s="226"/>
      <c r="B6501" s="229"/>
      <c r="C6501" s="28"/>
      <c r="D6501" s="28"/>
      <c r="E6501" s="29"/>
      <c r="F6501" s="39" t="s">
        <v>523</v>
      </c>
      <c r="G6501" s="27" t="str">
        <f t="shared" si="133"/>
        <v/>
      </c>
      <c r="H6501" s="31"/>
      <c r="I6501" s="27"/>
      <c r="J6501" s="141">
        <v>0</v>
      </c>
    </row>
    <row r="6502" spans="1:10" ht="26.25" hidden="1" thickBot="1" x14ac:dyDescent="0.3">
      <c r="A6502" s="226"/>
      <c r="B6502" s="229"/>
      <c r="C6502" s="161" t="s">
        <v>7584</v>
      </c>
      <c r="D6502" s="43" t="s">
        <v>20</v>
      </c>
      <c r="E6502" s="149">
        <v>1</v>
      </c>
      <c r="F6502" s="27">
        <v>37.049999999999997</v>
      </c>
      <c r="G6502" s="27">
        <f t="shared" si="133"/>
        <v>37.049999999999997</v>
      </c>
      <c r="H6502" s="35">
        <f>SUM(G6502:G6502)</f>
        <v>37.049999999999997</v>
      </c>
      <c r="I6502" s="36"/>
      <c r="J6502" s="141">
        <v>0</v>
      </c>
    </row>
    <row r="6503" spans="1:10" ht="15.75" hidden="1" thickBot="1" x14ac:dyDescent="0.3">
      <c r="A6503" s="227"/>
      <c r="B6503" s="230"/>
      <c r="C6503" s="51"/>
      <c r="D6503" s="51"/>
      <c r="E6503" s="62"/>
      <c r="F6503" s="63" t="s">
        <v>523</v>
      </c>
      <c r="G6503" s="63" t="str">
        <f t="shared" si="133"/>
        <v/>
      </c>
      <c r="H6503" s="65"/>
      <c r="I6503" s="27"/>
      <c r="J6503" s="141">
        <v>0</v>
      </c>
    </row>
    <row r="6504" spans="1:10" ht="15.75" hidden="1" thickBot="1" x14ac:dyDescent="0.3">
      <c r="A6504" s="225" t="s">
        <v>6787</v>
      </c>
      <c r="B6504" s="228" t="str">
        <f>INDEX(Orçamentária!A:B,MATCH(Composições!A6504,Orçamentária!A:A,0),2)</f>
        <v>Caixa de gordura grande com cesta</v>
      </c>
      <c r="C6504" s="37"/>
      <c r="D6504" s="22" t="str">
        <f>TRIM(INDEX(Orçamentária!C:C,MATCH(Composições!A6504,Orçamentária!A:A,0),1))</f>
        <v>un</v>
      </c>
      <c r="E6504" s="23"/>
      <c r="F6504" s="38" t="s">
        <v>523</v>
      </c>
      <c r="G6504" s="24" t="str">
        <f t="shared" si="133"/>
        <v/>
      </c>
      <c r="H6504" s="25"/>
      <c r="I6504" s="26"/>
      <c r="J6504" s="141">
        <v>0</v>
      </c>
    </row>
    <row r="6505" spans="1:10" ht="15.75" hidden="1" thickBot="1" x14ac:dyDescent="0.3">
      <c r="A6505" s="226"/>
      <c r="B6505" s="229"/>
      <c r="C6505" s="28"/>
      <c r="D6505" s="28"/>
      <c r="E6505" s="29"/>
      <c r="F6505" s="39" t="s">
        <v>523</v>
      </c>
      <c r="G6505" s="27" t="str">
        <f t="shared" si="133"/>
        <v/>
      </c>
      <c r="H6505" s="31"/>
      <c r="I6505" s="27"/>
      <c r="J6505" s="141">
        <v>0</v>
      </c>
    </row>
    <row r="6506" spans="1:10" ht="39" hidden="1" thickBot="1" x14ac:dyDescent="0.3">
      <c r="A6506" s="226"/>
      <c r="B6506" s="229"/>
      <c r="C6506" s="161" t="s">
        <v>7724</v>
      </c>
      <c r="D6506" s="43" t="s">
        <v>20</v>
      </c>
      <c r="E6506" s="149">
        <v>1</v>
      </c>
      <c r="F6506" s="27">
        <v>436.29699999999997</v>
      </c>
      <c r="G6506" s="27">
        <f t="shared" si="133"/>
        <v>436.29699999999997</v>
      </c>
      <c r="H6506" s="35">
        <f>SUM(G6506:G6506)</f>
        <v>436.29699999999997</v>
      </c>
      <c r="I6506" s="36"/>
      <c r="J6506" s="141">
        <v>0</v>
      </c>
    </row>
    <row r="6507" spans="1:10" ht="15.75" hidden="1" thickBot="1" x14ac:dyDescent="0.3">
      <c r="A6507" s="227"/>
      <c r="B6507" s="230"/>
      <c r="C6507" s="51"/>
      <c r="D6507" s="51"/>
      <c r="E6507" s="62"/>
      <c r="F6507" s="63" t="s">
        <v>523</v>
      </c>
      <c r="G6507" s="63" t="str">
        <f t="shared" si="133"/>
        <v/>
      </c>
      <c r="H6507" s="65"/>
      <c r="I6507" s="27"/>
      <c r="J6507" s="141">
        <v>0</v>
      </c>
    </row>
    <row r="6508" spans="1:10" ht="15.75" hidden="1" thickBot="1" x14ac:dyDescent="0.3">
      <c r="A6508" s="225" t="s">
        <v>6789</v>
      </c>
      <c r="B6508" s="228" t="str">
        <f>INDEX(Orçamentária!A:B,MATCH(Composições!A6508,Orçamentária!A:A,0),2)</f>
        <v>Caixa de hidrante de parede com vidro - 70x50 cm</v>
      </c>
      <c r="C6508" s="37"/>
      <c r="D6508" s="22" t="str">
        <f>TRIM(INDEX(Orçamentária!C:C,MATCH(Composições!A6508,Orçamentária!A:A,0),1))</f>
        <v>un</v>
      </c>
      <c r="E6508" s="23"/>
      <c r="F6508" s="38" t="s">
        <v>523</v>
      </c>
      <c r="G6508" s="24" t="str">
        <f t="shared" si="133"/>
        <v/>
      </c>
      <c r="H6508" s="25"/>
      <c r="I6508" s="26"/>
      <c r="J6508" s="141">
        <v>0</v>
      </c>
    </row>
    <row r="6509" spans="1:10" ht="15.75" hidden="1" thickBot="1" x14ac:dyDescent="0.3">
      <c r="A6509" s="226"/>
      <c r="B6509" s="229"/>
      <c r="C6509" s="28"/>
      <c r="D6509" s="28"/>
      <c r="E6509" s="29"/>
      <c r="F6509" s="39" t="s">
        <v>523</v>
      </c>
      <c r="G6509" s="27" t="str">
        <f t="shared" si="133"/>
        <v/>
      </c>
      <c r="H6509" s="31"/>
      <c r="I6509" s="27"/>
      <c r="J6509" s="141">
        <v>0</v>
      </c>
    </row>
    <row r="6510" spans="1:10" ht="64.5" hidden="1" thickBot="1" x14ac:dyDescent="0.3">
      <c r="A6510" s="226"/>
      <c r="B6510" s="229"/>
      <c r="C6510" s="161" t="s">
        <v>7585</v>
      </c>
      <c r="D6510" s="43" t="s">
        <v>20</v>
      </c>
      <c r="E6510" s="149">
        <v>1</v>
      </c>
      <c r="F6510" s="27">
        <v>332.63299999999998</v>
      </c>
      <c r="G6510" s="27">
        <f t="shared" si="133"/>
        <v>332.63299999999998</v>
      </c>
      <c r="H6510" s="35">
        <f>SUM(G6510:G6510)</f>
        <v>332.63299999999998</v>
      </c>
      <c r="I6510" s="36"/>
      <c r="J6510" s="141">
        <v>0</v>
      </c>
    </row>
    <row r="6511" spans="1:10" ht="15.75" hidden="1" thickBot="1" x14ac:dyDescent="0.3">
      <c r="A6511" s="227"/>
      <c r="B6511" s="230"/>
      <c r="C6511" s="51"/>
      <c r="D6511" s="51"/>
      <c r="E6511" s="62"/>
      <c r="F6511" s="63" t="s">
        <v>523</v>
      </c>
      <c r="G6511" s="63" t="str">
        <f t="shared" si="133"/>
        <v/>
      </c>
      <c r="H6511" s="65"/>
      <c r="I6511" s="27"/>
      <c r="J6511" s="141">
        <v>0</v>
      </c>
    </row>
    <row r="6512" spans="1:10" ht="15.75" hidden="1" thickBot="1" x14ac:dyDescent="0.3">
      <c r="A6512" s="225" t="s">
        <v>6791</v>
      </c>
      <c r="B6512" s="228" t="str">
        <f>INDEX(Orçamentária!A:B,MATCH(Composições!A6512,Orçamentária!A:A,0),2)</f>
        <v>Caixa sifonada de PVC DN 150 mm</v>
      </c>
      <c r="C6512" s="37"/>
      <c r="D6512" s="22" t="str">
        <f>TRIM(INDEX(Orçamentária!C:C,MATCH(Composições!A6512,Orçamentária!A:A,0),1))</f>
        <v>un</v>
      </c>
      <c r="E6512" s="23"/>
      <c r="F6512" s="38" t="s">
        <v>523</v>
      </c>
      <c r="G6512" s="24" t="str">
        <f t="shared" si="133"/>
        <v/>
      </c>
      <c r="H6512" s="25"/>
      <c r="I6512" s="26"/>
      <c r="J6512" s="141">
        <v>0</v>
      </c>
    </row>
    <row r="6513" spans="1:10" ht="15.75" hidden="1" thickBot="1" x14ac:dyDescent="0.3">
      <c r="A6513" s="226"/>
      <c r="B6513" s="229"/>
      <c r="C6513" s="28"/>
      <c r="D6513" s="28"/>
      <c r="E6513" s="29"/>
      <c r="F6513" s="39" t="s">
        <v>523</v>
      </c>
      <c r="G6513" s="27" t="str">
        <f t="shared" si="133"/>
        <v/>
      </c>
      <c r="H6513" s="31"/>
      <c r="I6513" s="27"/>
      <c r="J6513" s="141">
        <v>0</v>
      </c>
    </row>
    <row r="6514" spans="1:10" ht="26.25" hidden="1" thickBot="1" x14ac:dyDescent="0.3">
      <c r="A6514" s="226"/>
      <c r="B6514" s="229"/>
      <c r="C6514" s="161" t="s">
        <v>7586</v>
      </c>
      <c r="D6514" s="43" t="s">
        <v>20</v>
      </c>
      <c r="E6514" s="149">
        <v>1</v>
      </c>
      <c r="F6514" s="27">
        <v>62.300999999999995</v>
      </c>
      <c r="G6514" s="27">
        <f t="shared" si="133"/>
        <v>62.300999999999995</v>
      </c>
      <c r="H6514" s="35">
        <f>SUM(G6514:G6514)</f>
        <v>62.300999999999995</v>
      </c>
      <c r="I6514" s="36"/>
      <c r="J6514" s="141">
        <v>0</v>
      </c>
    </row>
    <row r="6515" spans="1:10" ht="15.75" hidden="1" thickBot="1" x14ac:dyDescent="0.3">
      <c r="A6515" s="227"/>
      <c r="B6515" s="230"/>
      <c r="C6515" s="51"/>
      <c r="D6515" s="51"/>
      <c r="E6515" s="62"/>
      <c r="F6515" s="63" t="s">
        <v>523</v>
      </c>
      <c r="G6515" s="63" t="str">
        <f t="shared" si="133"/>
        <v/>
      </c>
      <c r="H6515" s="65"/>
      <c r="I6515" s="27"/>
      <c r="J6515" s="141">
        <v>0</v>
      </c>
    </row>
    <row r="6516" spans="1:10" ht="15.75" hidden="1" thickBot="1" x14ac:dyDescent="0.3">
      <c r="A6516" s="225" t="s">
        <v>6792</v>
      </c>
      <c r="B6516" s="228" t="str">
        <f>INDEX(Orçamentária!A:B,MATCH(Composições!A6516,Orçamentária!A:A,0),2)</f>
        <v>Caixa sifonada de PVC DN 250 mm</v>
      </c>
      <c r="C6516" s="37"/>
      <c r="D6516" s="22" t="str">
        <f>TRIM(INDEX(Orçamentária!C:C,MATCH(Composições!A6516,Orçamentária!A:A,0),1))</f>
        <v>un</v>
      </c>
      <c r="E6516" s="23"/>
      <c r="F6516" s="38" t="s">
        <v>523</v>
      </c>
      <c r="G6516" s="24" t="str">
        <f t="shared" si="133"/>
        <v/>
      </c>
      <c r="H6516" s="25"/>
      <c r="I6516" s="26"/>
      <c r="J6516" s="141">
        <v>0</v>
      </c>
    </row>
    <row r="6517" spans="1:10" ht="15.75" hidden="1" thickBot="1" x14ac:dyDescent="0.3">
      <c r="A6517" s="226"/>
      <c r="B6517" s="229"/>
      <c r="C6517" s="28"/>
      <c r="D6517" s="28"/>
      <c r="E6517" s="29"/>
      <c r="F6517" s="39" t="s">
        <v>523</v>
      </c>
      <c r="G6517" s="27" t="str">
        <f t="shared" si="133"/>
        <v/>
      </c>
      <c r="H6517" s="31"/>
      <c r="I6517" s="27"/>
      <c r="J6517" s="141">
        <v>0</v>
      </c>
    </row>
    <row r="6518" spans="1:10" ht="26.25" hidden="1" thickBot="1" x14ac:dyDescent="0.3">
      <c r="A6518" s="226"/>
      <c r="B6518" s="229"/>
      <c r="C6518" s="161" t="s">
        <v>6632</v>
      </c>
      <c r="D6518" s="43" t="s">
        <v>20</v>
      </c>
      <c r="E6518" s="149">
        <v>1</v>
      </c>
      <c r="F6518" s="27">
        <v>116.1755</v>
      </c>
      <c r="G6518" s="27">
        <f t="shared" si="133"/>
        <v>116.1755</v>
      </c>
      <c r="H6518" s="35">
        <f>SUM(G6518:G6518)</f>
        <v>116.1755</v>
      </c>
      <c r="I6518" s="36"/>
      <c r="J6518" s="141">
        <v>0</v>
      </c>
    </row>
    <row r="6519" spans="1:10" ht="15.75" hidden="1" thickBot="1" x14ac:dyDescent="0.3">
      <c r="A6519" s="227"/>
      <c r="B6519" s="230"/>
      <c r="C6519" s="51"/>
      <c r="D6519" s="51"/>
      <c r="E6519" s="62"/>
      <c r="F6519" s="63" t="s">
        <v>523</v>
      </c>
      <c r="G6519" s="63" t="str">
        <f t="shared" si="133"/>
        <v/>
      </c>
      <c r="H6519" s="65"/>
      <c r="I6519" s="27"/>
      <c r="J6519" s="141">
        <v>0</v>
      </c>
    </row>
    <row r="6520" spans="1:10" ht="15.75" hidden="1" thickBot="1" x14ac:dyDescent="0.3">
      <c r="A6520" s="225" t="s">
        <v>6858</v>
      </c>
      <c r="B6520" s="228" t="str">
        <f>INDEX(Orçamentária!A:B,MATCH(Composições!A6520,Orçamentária!A:A,0),2)</f>
        <v>Chuveiro Elétrico</v>
      </c>
      <c r="C6520" s="37"/>
      <c r="D6520" s="22" t="str">
        <f>TRIM(INDEX(Orçamentária!C:C,MATCH(Composições!A6520,Orçamentária!A:A,0),1))</f>
        <v>un</v>
      </c>
      <c r="E6520" s="23"/>
      <c r="F6520" s="38" t="s">
        <v>523</v>
      </c>
      <c r="G6520" s="24" t="str">
        <f t="shared" si="133"/>
        <v/>
      </c>
      <c r="H6520" s="25"/>
      <c r="I6520" s="26"/>
      <c r="J6520" s="141">
        <v>0</v>
      </c>
    </row>
    <row r="6521" spans="1:10" ht="15.75" hidden="1" thickBot="1" x14ac:dyDescent="0.3">
      <c r="A6521" s="226"/>
      <c r="B6521" s="229"/>
      <c r="C6521" s="28"/>
      <c r="D6521" s="28"/>
      <c r="E6521" s="29"/>
      <c r="F6521" s="39" t="s">
        <v>523</v>
      </c>
      <c r="G6521" s="27" t="str">
        <f t="shared" si="133"/>
        <v/>
      </c>
      <c r="H6521" s="31"/>
      <c r="I6521" s="27"/>
      <c r="J6521" s="141">
        <v>0</v>
      </c>
    </row>
    <row r="6522" spans="1:10" ht="26.25" hidden="1" thickBot="1" x14ac:dyDescent="0.3">
      <c r="A6522" s="226"/>
      <c r="B6522" s="229"/>
      <c r="C6522" s="161" t="s">
        <v>1070</v>
      </c>
      <c r="D6522" s="43" t="s">
        <v>20</v>
      </c>
      <c r="E6522" s="149">
        <v>1</v>
      </c>
      <c r="F6522" s="27">
        <v>67.183999999999997</v>
      </c>
      <c r="G6522" s="27">
        <f t="shared" si="133"/>
        <v>67.183999999999997</v>
      </c>
      <c r="H6522" s="35">
        <f>SUM(G6522:G6522)</f>
        <v>67.183999999999997</v>
      </c>
      <c r="I6522" s="36"/>
      <c r="J6522" s="141">
        <v>0</v>
      </c>
    </row>
    <row r="6523" spans="1:10" ht="15.75" hidden="1" thickBot="1" x14ac:dyDescent="0.3">
      <c r="A6523" s="227"/>
      <c r="B6523" s="230"/>
      <c r="C6523" s="51"/>
      <c r="D6523" s="51"/>
      <c r="E6523" s="62"/>
      <c r="F6523" s="63" t="s">
        <v>523</v>
      </c>
      <c r="G6523" s="63" t="str">
        <f t="shared" si="133"/>
        <v/>
      </c>
      <c r="H6523" s="65"/>
      <c r="I6523" s="27"/>
      <c r="J6523" s="141">
        <v>0</v>
      </c>
    </row>
    <row r="6524" spans="1:10" ht="15.75" hidden="1" thickBot="1" x14ac:dyDescent="0.3">
      <c r="A6524" s="225" t="s">
        <v>6872</v>
      </c>
      <c r="B6524" s="228" t="str">
        <f>INDEX(Orçamentária!A:B,MATCH(Composições!A6524,Orçamentária!A:A,0),2)</f>
        <v>Cuba retangular em aço inox</v>
      </c>
      <c r="C6524" s="37"/>
      <c r="D6524" s="22" t="str">
        <f>TRIM(INDEX(Orçamentária!C:C,MATCH(Composições!A6524,Orçamentária!A:A,0),1))</f>
        <v>un</v>
      </c>
      <c r="E6524" s="23"/>
      <c r="F6524" s="38" t="s">
        <v>523</v>
      </c>
      <c r="G6524" s="24" t="str">
        <f t="shared" si="133"/>
        <v/>
      </c>
      <c r="H6524" s="25"/>
      <c r="I6524" s="26"/>
      <c r="J6524" s="141">
        <v>0</v>
      </c>
    </row>
    <row r="6525" spans="1:10" ht="15.75" hidden="1" thickBot="1" x14ac:dyDescent="0.3">
      <c r="A6525" s="226"/>
      <c r="B6525" s="229"/>
      <c r="C6525" s="28"/>
      <c r="D6525" s="28"/>
      <c r="E6525" s="29"/>
      <c r="F6525" s="39" t="s">
        <v>523</v>
      </c>
      <c r="G6525" s="27" t="str">
        <f t="shared" si="133"/>
        <v/>
      </c>
      <c r="H6525" s="31"/>
      <c r="I6525" s="27"/>
      <c r="J6525" s="141">
        <v>0</v>
      </c>
    </row>
    <row r="6526" spans="1:10" ht="26.25" hidden="1" thickBot="1" x14ac:dyDescent="0.3">
      <c r="A6526" s="226"/>
      <c r="B6526" s="229"/>
      <c r="C6526" s="161" t="s">
        <v>7594</v>
      </c>
      <c r="D6526" s="43" t="s">
        <v>20</v>
      </c>
      <c r="E6526" s="149">
        <v>1</v>
      </c>
      <c r="F6526" s="27">
        <v>102.9515</v>
      </c>
      <c r="G6526" s="27">
        <f t="shared" si="133"/>
        <v>102.9515</v>
      </c>
      <c r="H6526" s="35">
        <f>SUM(G6526:G6526)</f>
        <v>102.9515</v>
      </c>
      <c r="I6526" s="36"/>
      <c r="J6526" s="141">
        <v>0</v>
      </c>
    </row>
    <row r="6527" spans="1:10" ht="15.75" hidden="1" thickBot="1" x14ac:dyDescent="0.3">
      <c r="A6527" s="227"/>
      <c r="B6527" s="230"/>
      <c r="C6527" s="51"/>
      <c r="D6527" s="51"/>
      <c r="E6527" s="62"/>
      <c r="F6527" s="63" t="s">
        <v>523</v>
      </c>
      <c r="G6527" s="63" t="str">
        <f t="shared" si="133"/>
        <v/>
      </c>
      <c r="H6527" s="65"/>
      <c r="I6527" s="27"/>
      <c r="J6527" s="141">
        <v>0</v>
      </c>
    </row>
    <row r="6528" spans="1:10" ht="15.75" hidden="1" thickBot="1" x14ac:dyDescent="0.3">
      <c r="A6528" s="225" t="s">
        <v>6901</v>
      </c>
      <c r="B6528" s="228" t="str">
        <f>INDEX(Orçamentária!A:B,MATCH(Composições!A6528,Orçamentária!A:A,0),2)</f>
        <v>Manômetro DN63 (2 1/2”) até 150psi - Seco</v>
      </c>
      <c r="C6528" s="37"/>
      <c r="D6528" s="22" t="str">
        <f>TRIM(INDEX(Orçamentária!C:C,MATCH(Composições!A6528,Orçamentária!A:A,0),1))</f>
        <v>un</v>
      </c>
      <c r="E6528" s="23"/>
      <c r="F6528" s="38" t="s">
        <v>523</v>
      </c>
      <c r="G6528" s="24" t="str">
        <f t="shared" si="133"/>
        <v/>
      </c>
      <c r="H6528" s="25"/>
      <c r="I6528" s="26"/>
      <c r="J6528" s="141">
        <v>0</v>
      </c>
    </row>
    <row r="6529" spans="1:10" ht="15.75" hidden="1" thickBot="1" x14ac:dyDescent="0.3">
      <c r="A6529" s="226"/>
      <c r="B6529" s="229"/>
      <c r="C6529" s="28"/>
      <c r="D6529" s="28"/>
      <c r="E6529" s="29"/>
      <c r="F6529" s="39" t="s">
        <v>523</v>
      </c>
      <c r="G6529" s="27" t="str">
        <f t="shared" si="133"/>
        <v/>
      </c>
      <c r="H6529" s="31"/>
      <c r="I6529" s="27"/>
      <c r="J6529" s="141">
        <v>0</v>
      </c>
    </row>
    <row r="6530" spans="1:10" ht="26.25" hidden="1" thickBot="1" x14ac:dyDescent="0.3">
      <c r="A6530" s="226"/>
      <c r="B6530" s="229"/>
      <c r="C6530" s="161" t="s">
        <v>7622</v>
      </c>
      <c r="D6530" s="43" t="s">
        <v>20</v>
      </c>
      <c r="E6530" s="149">
        <v>1</v>
      </c>
      <c r="F6530" s="27">
        <v>101.77349999999998</v>
      </c>
      <c r="G6530" s="27">
        <f t="shared" si="133"/>
        <v>101.77349999999998</v>
      </c>
      <c r="H6530" s="35">
        <f>SUM(G6530:G6530)</f>
        <v>101.77349999999998</v>
      </c>
      <c r="I6530" s="36"/>
      <c r="J6530" s="141">
        <v>0</v>
      </c>
    </row>
    <row r="6531" spans="1:10" ht="15.75" hidden="1" thickBot="1" x14ac:dyDescent="0.3">
      <c r="A6531" s="227"/>
      <c r="B6531" s="230"/>
      <c r="C6531" s="51"/>
      <c r="D6531" s="51"/>
      <c r="E6531" s="62"/>
      <c r="F6531" s="63" t="s">
        <v>523</v>
      </c>
      <c r="G6531" s="63" t="str">
        <f t="shared" si="133"/>
        <v/>
      </c>
      <c r="H6531" s="65"/>
      <c r="I6531" s="27"/>
      <c r="J6531" s="141">
        <v>0</v>
      </c>
    </row>
    <row r="6532" spans="1:10" ht="15.75" hidden="1" thickBot="1" x14ac:dyDescent="0.3">
      <c r="A6532" s="225" t="s">
        <v>6913</v>
      </c>
      <c r="B6532" s="228" t="str">
        <f>INDEX(Orçamentária!A:B,MATCH(Composições!A6532,Orçamentária!A:A,0),2)</f>
        <v>Tê misturador de transição 1/2” ou 3/4” – Linha Residencial</v>
      </c>
      <c r="C6532" s="37"/>
      <c r="D6532" s="22" t="str">
        <f>TRIM(INDEX(Orçamentária!C:C,MATCH(Composições!A6532,Orçamentária!A:A,0),1))</f>
        <v>un</v>
      </c>
      <c r="E6532" s="23"/>
      <c r="F6532" s="38" t="s">
        <v>523</v>
      </c>
      <c r="G6532" s="24" t="str">
        <f t="shared" si="133"/>
        <v/>
      </c>
      <c r="H6532" s="25"/>
      <c r="I6532" s="26"/>
      <c r="J6532" s="141">
        <v>0</v>
      </c>
    </row>
    <row r="6533" spans="1:10" ht="15.75" hidden="1" thickBot="1" x14ac:dyDescent="0.3">
      <c r="A6533" s="226"/>
      <c r="B6533" s="229"/>
      <c r="C6533" s="28"/>
      <c r="D6533" s="28"/>
      <c r="E6533" s="29"/>
      <c r="F6533" s="39" t="s">
        <v>523</v>
      </c>
      <c r="G6533" s="27" t="str">
        <f t="shared" si="133"/>
        <v/>
      </c>
      <c r="H6533" s="31"/>
      <c r="I6533" s="27"/>
      <c r="J6533" s="141">
        <v>0</v>
      </c>
    </row>
    <row r="6534" spans="1:10" ht="26.25" hidden="1" thickBot="1" x14ac:dyDescent="0.3">
      <c r="A6534" s="226"/>
      <c r="B6534" s="229"/>
      <c r="C6534" s="161" t="s">
        <v>7624</v>
      </c>
      <c r="D6534" s="43" t="s">
        <v>20</v>
      </c>
      <c r="E6534" s="149">
        <v>1</v>
      </c>
      <c r="F6534" s="27">
        <v>172.672</v>
      </c>
      <c r="G6534" s="27">
        <f t="shared" si="133"/>
        <v>172.672</v>
      </c>
      <c r="H6534" s="35">
        <f>SUM(G6534:G6534)</f>
        <v>172.672</v>
      </c>
      <c r="I6534" s="36"/>
      <c r="J6534" s="141">
        <v>0</v>
      </c>
    </row>
    <row r="6535" spans="1:10" ht="15.75" hidden="1" thickBot="1" x14ac:dyDescent="0.3">
      <c r="A6535" s="227"/>
      <c r="B6535" s="230"/>
      <c r="C6535" s="51"/>
      <c r="D6535" s="51"/>
      <c r="E6535" s="62"/>
      <c r="F6535" s="63" t="s">
        <v>523</v>
      </c>
      <c r="G6535" s="63" t="str">
        <f t="shared" si="133"/>
        <v/>
      </c>
      <c r="H6535" s="65"/>
      <c r="I6535" s="27"/>
      <c r="J6535" s="141">
        <v>0</v>
      </c>
    </row>
    <row r="6536" spans="1:10" ht="15.75" hidden="1" thickBot="1" x14ac:dyDescent="0.3">
      <c r="A6536" s="225" t="s">
        <v>6938</v>
      </c>
      <c r="B6536" s="228" t="str">
        <f>INDEX(Orçamentária!A:B,MATCH(Composições!A6536,Orçamentária!A:A,0),2)</f>
        <v>Ralo semi esférico, tipo Abacaxi - 4”</v>
      </c>
      <c r="C6536" s="37"/>
      <c r="D6536" s="22" t="str">
        <f>TRIM(INDEX(Orçamentária!C:C,MATCH(Composições!A6536,Orçamentária!A:A,0),1))</f>
        <v>un</v>
      </c>
      <c r="E6536" s="23"/>
      <c r="F6536" s="38" t="s">
        <v>523</v>
      </c>
      <c r="G6536" s="24" t="str">
        <f t="shared" si="133"/>
        <v/>
      </c>
      <c r="H6536" s="25"/>
      <c r="I6536" s="26"/>
      <c r="J6536" s="141">
        <v>0</v>
      </c>
    </row>
    <row r="6537" spans="1:10" ht="15.75" hidden="1" thickBot="1" x14ac:dyDescent="0.3">
      <c r="A6537" s="226"/>
      <c r="B6537" s="229"/>
      <c r="C6537" s="28"/>
      <c r="D6537" s="28"/>
      <c r="E6537" s="29"/>
      <c r="F6537" s="39" t="s">
        <v>523</v>
      </c>
      <c r="G6537" s="27" t="str">
        <f t="shared" si="133"/>
        <v/>
      </c>
      <c r="H6537" s="31"/>
      <c r="I6537" s="27"/>
      <c r="J6537" s="141">
        <v>0</v>
      </c>
    </row>
    <row r="6538" spans="1:10" ht="15.75" hidden="1" thickBot="1" x14ac:dyDescent="0.3">
      <c r="A6538" s="226"/>
      <c r="B6538" s="229"/>
      <c r="C6538" s="161" t="s">
        <v>7633</v>
      </c>
      <c r="D6538" s="43" t="s">
        <v>20</v>
      </c>
      <c r="E6538" s="149">
        <v>1</v>
      </c>
      <c r="F6538" s="27">
        <v>20.244499999999999</v>
      </c>
      <c r="G6538" s="27">
        <f t="shared" si="133"/>
        <v>20.244499999999999</v>
      </c>
      <c r="H6538" s="35">
        <f>SUM(G6538:G6538)</f>
        <v>20.244499999999999</v>
      </c>
      <c r="I6538" s="36"/>
      <c r="J6538" s="141">
        <v>0</v>
      </c>
    </row>
    <row r="6539" spans="1:10" ht="15.75" hidden="1" thickBot="1" x14ac:dyDescent="0.3">
      <c r="A6539" s="227"/>
      <c r="B6539" s="230"/>
      <c r="C6539" s="51"/>
      <c r="D6539" s="51"/>
      <c r="E6539" s="62"/>
      <c r="F6539" s="63" t="s">
        <v>523</v>
      </c>
      <c r="G6539" s="63" t="str">
        <f t="shared" si="133"/>
        <v/>
      </c>
      <c r="H6539" s="65"/>
      <c r="I6539" s="27"/>
      <c r="J6539" s="141">
        <v>0</v>
      </c>
    </row>
    <row r="6540" spans="1:10" ht="15.75" hidden="1" thickBot="1" x14ac:dyDescent="0.3">
      <c r="A6540" s="225" t="s">
        <v>6950</v>
      </c>
      <c r="B6540" s="228" t="str">
        <f>INDEX(Orçamentária!A:B,MATCH(Composições!A6540,Orçamentária!A:A,0),2)</f>
        <v>Válvula de esfera em bronze 1/2”</v>
      </c>
      <c r="C6540" s="37"/>
      <c r="D6540" s="22" t="str">
        <f>TRIM(INDEX(Orçamentária!C:C,MATCH(Composições!A6540,Orçamentária!A:A,0),1))</f>
        <v>un</v>
      </c>
      <c r="E6540" s="23"/>
      <c r="F6540" s="38" t="s">
        <v>523</v>
      </c>
      <c r="G6540" s="24" t="str">
        <f t="shared" si="133"/>
        <v/>
      </c>
      <c r="H6540" s="25"/>
      <c r="I6540" s="26"/>
      <c r="J6540" s="141">
        <v>0</v>
      </c>
    </row>
    <row r="6541" spans="1:10" ht="15.75" hidden="1" thickBot="1" x14ac:dyDescent="0.3">
      <c r="A6541" s="226"/>
      <c r="B6541" s="229"/>
      <c r="C6541" s="28"/>
      <c r="D6541" s="28"/>
      <c r="E6541" s="29"/>
      <c r="F6541" s="39" t="s">
        <v>523</v>
      </c>
      <c r="G6541" s="27" t="str">
        <f t="shared" si="133"/>
        <v/>
      </c>
      <c r="H6541" s="31"/>
      <c r="I6541" s="27"/>
      <c r="J6541" s="141">
        <v>0</v>
      </c>
    </row>
    <row r="6542" spans="1:10" ht="15.75" hidden="1" thickBot="1" x14ac:dyDescent="0.3">
      <c r="A6542" s="226"/>
      <c r="B6542" s="229"/>
      <c r="C6542" s="161" t="s">
        <v>1149</v>
      </c>
      <c r="D6542" s="43" t="s">
        <v>20</v>
      </c>
      <c r="E6542" s="149">
        <v>1</v>
      </c>
      <c r="F6542" s="27">
        <v>46.730499999999992</v>
      </c>
      <c r="G6542" s="27">
        <f t="shared" si="133"/>
        <v>46.730499999999992</v>
      </c>
      <c r="H6542" s="35">
        <f>SUM(G6542:G6542)</f>
        <v>46.730499999999992</v>
      </c>
      <c r="I6542" s="36"/>
      <c r="J6542" s="141">
        <v>0</v>
      </c>
    </row>
    <row r="6543" spans="1:10" ht="15.75" hidden="1" thickBot="1" x14ac:dyDescent="0.3">
      <c r="A6543" s="227"/>
      <c r="B6543" s="230"/>
      <c r="C6543" s="51"/>
      <c r="D6543" s="51"/>
      <c r="E6543" s="62"/>
      <c r="F6543" s="63" t="s">
        <v>523</v>
      </c>
      <c r="G6543" s="63" t="str">
        <f t="shared" si="133"/>
        <v/>
      </c>
      <c r="H6543" s="65"/>
      <c r="I6543" s="27"/>
      <c r="J6543" s="141">
        <v>0</v>
      </c>
    </row>
    <row r="6544" spans="1:10" ht="15.75" hidden="1" thickBot="1" x14ac:dyDescent="0.3">
      <c r="A6544" s="225" t="s">
        <v>6951</v>
      </c>
      <c r="B6544" s="228" t="str">
        <f>INDEX(Orçamentária!A:B,MATCH(Composições!A6544,Orçamentária!A:A,0),2)</f>
        <v>Válvula de esfera em bronze 3/4”</v>
      </c>
      <c r="C6544" s="37"/>
      <c r="D6544" s="22" t="str">
        <f>TRIM(INDEX(Orçamentária!C:C,MATCH(Composições!A6544,Orçamentária!A:A,0),1))</f>
        <v>un</v>
      </c>
      <c r="E6544" s="23"/>
      <c r="F6544" s="38" t="s">
        <v>523</v>
      </c>
      <c r="G6544" s="24" t="str">
        <f t="shared" si="133"/>
        <v/>
      </c>
      <c r="H6544" s="25"/>
      <c r="I6544" s="26"/>
      <c r="J6544" s="141">
        <v>0</v>
      </c>
    </row>
    <row r="6545" spans="1:10" ht="15.75" hidden="1" thickBot="1" x14ac:dyDescent="0.3">
      <c r="A6545" s="226"/>
      <c r="B6545" s="229"/>
      <c r="C6545" s="28"/>
      <c r="D6545" s="28"/>
      <c r="E6545" s="29"/>
      <c r="F6545" s="39" t="s">
        <v>523</v>
      </c>
      <c r="G6545" s="27" t="str">
        <f t="shared" si="133"/>
        <v/>
      </c>
      <c r="H6545" s="31"/>
      <c r="I6545" s="27"/>
      <c r="J6545" s="141">
        <v>0</v>
      </c>
    </row>
    <row r="6546" spans="1:10" ht="15.75" hidden="1" thickBot="1" x14ac:dyDescent="0.3">
      <c r="A6546" s="226"/>
      <c r="B6546" s="229"/>
      <c r="C6546" s="161" t="s">
        <v>7705</v>
      </c>
      <c r="D6546" s="43" t="s">
        <v>20</v>
      </c>
      <c r="E6546" s="149">
        <v>1</v>
      </c>
      <c r="F6546" s="27">
        <v>53.940999999999995</v>
      </c>
      <c r="G6546" s="27">
        <f t="shared" si="133"/>
        <v>53.940999999999995</v>
      </c>
      <c r="H6546" s="35">
        <f>SUM(G6546:G6546)</f>
        <v>53.940999999999995</v>
      </c>
      <c r="I6546" s="36"/>
      <c r="J6546" s="141">
        <v>0</v>
      </c>
    </row>
    <row r="6547" spans="1:10" ht="15.75" hidden="1" thickBot="1" x14ac:dyDescent="0.3">
      <c r="A6547" s="227"/>
      <c r="B6547" s="230"/>
      <c r="C6547" s="51"/>
      <c r="D6547" s="51"/>
      <c r="E6547" s="62"/>
      <c r="F6547" s="63" t="s">
        <v>523</v>
      </c>
      <c r="G6547" s="63" t="str">
        <f t="shared" si="133"/>
        <v/>
      </c>
      <c r="H6547" s="65"/>
      <c r="I6547" s="27"/>
      <c r="J6547" s="141">
        <v>0</v>
      </c>
    </row>
    <row r="6548" spans="1:10" ht="15.75" hidden="1" thickBot="1" x14ac:dyDescent="0.3">
      <c r="A6548" s="225" t="s">
        <v>6953</v>
      </c>
      <c r="B6548" s="228" t="str">
        <f>INDEX(Orçamentária!A:B,MATCH(Composições!A6548,Orçamentária!A:A,0),2)</f>
        <v>Válvula de esfera em bronze 1 1/2”</v>
      </c>
      <c r="C6548" s="37"/>
      <c r="D6548" s="22" t="str">
        <f>TRIM(INDEX(Orçamentária!C:C,MATCH(Composições!A6548,Orçamentária!A:A,0),1))</f>
        <v>un</v>
      </c>
      <c r="E6548" s="23"/>
      <c r="F6548" s="38" t="s">
        <v>523</v>
      </c>
      <c r="G6548" s="24" t="str">
        <f t="shared" si="133"/>
        <v/>
      </c>
      <c r="H6548" s="25"/>
      <c r="I6548" s="26"/>
      <c r="J6548" s="141">
        <v>0</v>
      </c>
    </row>
    <row r="6549" spans="1:10" ht="15.75" hidden="1" thickBot="1" x14ac:dyDescent="0.3">
      <c r="A6549" s="226"/>
      <c r="B6549" s="229"/>
      <c r="C6549" s="28"/>
      <c r="D6549" s="28"/>
      <c r="E6549" s="29"/>
      <c r="F6549" s="39" t="s">
        <v>523</v>
      </c>
      <c r="G6549" s="27" t="str">
        <f t="shared" si="133"/>
        <v/>
      </c>
      <c r="H6549" s="31"/>
      <c r="I6549" s="27"/>
      <c r="J6549" s="141">
        <v>0</v>
      </c>
    </row>
    <row r="6550" spans="1:10" ht="26.25" hidden="1" thickBot="1" x14ac:dyDescent="0.3">
      <c r="A6550" s="226"/>
      <c r="B6550" s="229"/>
      <c r="C6550" s="161" t="s">
        <v>633</v>
      </c>
      <c r="D6550" s="43" t="s">
        <v>20</v>
      </c>
      <c r="E6550" s="149">
        <v>1</v>
      </c>
      <c r="F6550" s="27">
        <v>130.79599999999999</v>
      </c>
      <c r="G6550" s="27">
        <f t="shared" si="133"/>
        <v>130.79599999999999</v>
      </c>
      <c r="H6550" s="35">
        <f>SUM(G6550:G6550)</f>
        <v>130.79599999999999</v>
      </c>
      <c r="I6550" s="36"/>
      <c r="J6550" s="141">
        <v>0</v>
      </c>
    </row>
    <row r="6551" spans="1:10" ht="15.75" hidden="1" thickBot="1" x14ac:dyDescent="0.3">
      <c r="A6551" s="227"/>
      <c r="B6551" s="230"/>
      <c r="C6551" s="51"/>
      <c r="D6551" s="51"/>
      <c r="E6551" s="62"/>
      <c r="F6551" s="63" t="s">
        <v>523</v>
      </c>
      <c r="G6551" s="63" t="str">
        <f t="shared" si="133"/>
        <v/>
      </c>
      <c r="H6551" s="65"/>
      <c r="I6551" s="27"/>
      <c r="J6551" s="141">
        <v>0</v>
      </c>
    </row>
    <row r="6552" spans="1:10" ht="15.75" hidden="1" thickBot="1" x14ac:dyDescent="0.3">
      <c r="A6552" s="225" t="s">
        <v>6955</v>
      </c>
      <c r="B6552" s="228" t="str">
        <f>INDEX(Orçamentária!A:B,MATCH(Composições!A6552,Orçamentária!A:A,0),2)</f>
        <v>Válvula de esfera em bronze 2”</v>
      </c>
      <c r="C6552" s="37"/>
      <c r="D6552" s="22" t="str">
        <f>TRIM(INDEX(Orçamentária!C:C,MATCH(Composições!A6552,Orçamentária!A:A,0),1))</f>
        <v>un</v>
      </c>
      <c r="E6552" s="23"/>
      <c r="F6552" s="38" t="s">
        <v>523</v>
      </c>
      <c r="G6552" s="24" t="str">
        <f t="shared" si="133"/>
        <v/>
      </c>
      <c r="H6552" s="25"/>
      <c r="I6552" s="26"/>
      <c r="J6552" s="141">
        <v>0</v>
      </c>
    </row>
    <row r="6553" spans="1:10" ht="15.75" hidden="1" thickBot="1" x14ac:dyDescent="0.3">
      <c r="A6553" s="226"/>
      <c r="B6553" s="229"/>
      <c r="C6553" s="28"/>
      <c r="D6553" s="28"/>
      <c r="E6553" s="29"/>
      <c r="F6553" s="39" t="s">
        <v>523</v>
      </c>
      <c r="G6553" s="27" t="str">
        <f t="shared" si="133"/>
        <v/>
      </c>
      <c r="H6553" s="31"/>
      <c r="I6553" s="27"/>
      <c r="J6553" s="141">
        <v>0</v>
      </c>
    </row>
    <row r="6554" spans="1:10" ht="15.75" hidden="1" thickBot="1" x14ac:dyDescent="0.3">
      <c r="A6554" s="226"/>
      <c r="B6554" s="229"/>
      <c r="C6554" s="161" t="s">
        <v>7704</v>
      </c>
      <c r="D6554" s="43" t="s">
        <v>20</v>
      </c>
      <c r="E6554" s="149">
        <v>1</v>
      </c>
      <c r="F6554" s="27">
        <v>201.69450000000001</v>
      </c>
      <c r="G6554" s="27">
        <f t="shared" si="133"/>
        <v>201.69450000000001</v>
      </c>
      <c r="H6554" s="35">
        <f>SUM(G6554:G6554)</f>
        <v>201.69450000000001</v>
      </c>
      <c r="I6554" s="36"/>
      <c r="J6554" s="141">
        <v>0</v>
      </c>
    </row>
    <row r="6555" spans="1:10" ht="15.75" hidden="1" thickBot="1" x14ac:dyDescent="0.3">
      <c r="A6555" s="227"/>
      <c r="B6555" s="230"/>
      <c r="C6555" s="51"/>
      <c r="D6555" s="51"/>
      <c r="E6555" s="62"/>
      <c r="F6555" s="63" t="s">
        <v>523</v>
      </c>
      <c r="G6555" s="63" t="str">
        <f t="shared" si="133"/>
        <v/>
      </c>
      <c r="H6555" s="65"/>
      <c r="I6555" s="27"/>
      <c r="J6555" s="141">
        <v>0</v>
      </c>
    </row>
    <row r="6556" spans="1:10" ht="15.75" hidden="1" thickBot="1" x14ac:dyDescent="0.3">
      <c r="A6556" s="225" t="s">
        <v>6957</v>
      </c>
      <c r="B6556" s="228" t="str">
        <f>INDEX(Orçamentária!A:B,MATCH(Composições!A6556,Orçamentária!A:A,0),2)</f>
        <v>Válvula de esfera metálica 1/2” para gás</v>
      </c>
      <c r="C6556" s="37"/>
      <c r="D6556" s="22" t="str">
        <f>TRIM(INDEX(Orçamentária!C:C,MATCH(Composições!A6556,Orçamentária!A:A,0),1))</f>
        <v>un</v>
      </c>
      <c r="E6556" s="23"/>
      <c r="F6556" s="38" t="s">
        <v>523</v>
      </c>
      <c r="G6556" s="24" t="str">
        <f t="shared" si="133"/>
        <v/>
      </c>
      <c r="H6556" s="25"/>
      <c r="I6556" s="26"/>
      <c r="J6556" s="141">
        <v>0</v>
      </c>
    </row>
    <row r="6557" spans="1:10" ht="15.75" hidden="1" thickBot="1" x14ac:dyDescent="0.3">
      <c r="A6557" s="226"/>
      <c r="B6557" s="229"/>
      <c r="C6557" s="28"/>
      <c r="D6557" s="28"/>
      <c r="E6557" s="29"/>
      <c r="F6557" s="39" t="s">
        <v>523</v>
      </c>
      <c r="G6557" s="27" t="str">
        <f t="shared" si="133"/>
        <v/>
      </c>
      <c r="H6557" s="31"/>
      <c r="I6557" s="27"/>
      <c r="J6557" s="141">
        <v>0</v>
      </c>
    </row>
    <row r="6558" spans="1:10" ht="15.75" hidden="1" thickBot="1" x14ac:dyDescent="0.3">
      <c r="A6558" s="226"/>
      <c r="B6558" s="229"/>
      <c r="C6558" s="161" t="s">
        <v>1149</v>
      </c>
      <c r="D6558" s="43" t="s">
        <v>20</v>
      </c>
      <c r="E6558" s="149">
        <v>1</v>
      </c>
      <c r="F6558" s="27">
        <v>46.730499999999992</v>
      </c>
      <c r="G6558" s="27">
        <f t="shared" si="133"/>
        <v>46.730499999999992</v>
      </c>
      <c r="H6558" s="35">
        <f>SUM(G6558:G6558)</f>
        <v>46.730499999999992</v>
      </c>
      <c r="I6558" s="36"/>
      <c r="J6558" s="141">
        <v>0</v>
      </c>
    </row>
    <row r="6559" spans="1:10" ht="15.75" hidden="1" thickBot="1" x14ac:dyDescent="0.3">
      <c r="A6559" s="227"/>
      <c r="B6559" s="230"/>
      <c r="C6559" s="51"/>
      <c r="D6559" s="51"/>
      <c r="E6559" s="62"/>
      <c r="F6559" s="63" t="s">
        <v>523</v>
      </c>
      <c r="G6559" s="63" t="str">
        <f t="shared" si="133"/>
        <v/>
      </c>
      <c r="H6559" s="65"/>
      <c r="I6559" s="27"/>
      <c r="J6559" s="141">
        <v>0</v>
      </c>
    </row>
    <row r="6560" spans="1:10" ht="15.75" hidden="1" thickBot="1" x14ac:dyDescent="0.3">
      <c r="A6560" s="225" t="s">
        <v>6959</v>
      </c>
      <c r="B6560" s="228" t="str">
        <f>INDEX(Orçamentária!A:B,MATCH(Composições!A6560,Orçamentária!A:A,0),2)</f>
        <v>Registro de Gaveta Bruto 1 1/2”</v>
      </c>
      <c r="C6560" s="37"/>
      <c r="D6560" s="22" t="str">
        <f>TRIM(INDEX(Orçamentária!C:C,MATCH(Composições!A6560,Orçamentária!A:A,0),1))</f>
        <v>un</v>
      </c>
      <c r="E6560" s="23"/>
      <c r="F6560" s="38" t="s">
        <v>523</v>
      </c>
      <c r="G6560" s="24" t="str">
        <f t="shared" si="133"/>
        <v/>
      </c>
      <c r="H6560" s="25"/>
      <c r="I6560" s="26"/>
      <c r="J6560" s="141">
        <v>0</v>
      </c>
    </row>
    <row r="6561" spans="1:10" ht="15.75" hidden="1" thickBot="1" x14ac:dyDescent="0.3">
      <c r="A6561" s="226"/>
      <c r="B6561" s="229"/>
      <c r="C6561" s="28"/>
      <c r="D6561" s="28"/>
      <c r="E6561" s="29"/>
      <c r="F6561" s="39" t="s">
        <v>523</v>
      </c>
      <c r="G6561" s="27" t="str">
        <f t="shared" si="133"/>
        <v/>
      </c>
      <c r="H6561" s="31"/>
      <c r="I6561" s="27"/>
      <c r="J6561" s="141">
        <v>0</v>
      </c>
    </row>
    <row r="6562" spans="1:10" ht="26.25" hidden="1" thickBot="1" x14ac:dyDescent="0.3">
      <c r="A6562" s="226"/>
      <c r="B6562" s="229"/>
      <c r="C6562" s="161" t="s">
        <v>7638</v>
      </c>
      <c r="D6562" s="43" t="s">
        <v>20</v>
      </c>
      <c r="E6562" s="149">
        <v>1</v>
      </c>
      <c r="F6562" s="27">
        <v>89.3095</v>
      </c>
      <c r="G6562" s="27">
        <f t="shared" ref="G6562:G6625" si="134">IF(ISNUMBER(F6562),E6562*F6562,"")</f>
        <v>89.3095</v>
      </c>
      <c r="H6562" s="35">
        <f>SUM(G6562:G6562)</f>
        <v>89.3095</v>
      </c>
      <c r="I6562" s="36"/>
      <c r="J6562" s="141">
        <v>0</v>
      </c>
    </row>
    <row r="6563" spans="1:10" ht="15.75" hidden="1" thickBot="1" x14ac:dyDescent="0.3">
      <c r="A6563" s="227"/>
      <c r="B6563" s="230"/>
      <c r="C6563" s="51"/>
      <c r="D6563" s="51"/>
      <c r="E6563" s="62"/>
      <c r="F6563" s="63" t="s">
        <v>523</v>
      </c>
      <c r="G6563" s="63" t="str">
        <f t="shared" si="134"/>
        <v/>
      </c>
      <c r="H6563" s="65"/>
      <c r="I6563" s="27"/>
      <c r="J6563" s="141">
        <v>0</v>
      </c>
    </row>
    <row r="6564" spans="1:10" ht="15.75" hidden="1" thickBot="1" x14ac:dyDescent="0.3">
      <c r="A6564" s="225" t="s">
        <v>6961</v>
      </c>
      <c r="B6564" s="228" t="str">
        <f>INDEX(Orçamentária!A:B,MATCH(Composições!A6564,Orçamentária!A:A,0),2)</f>
        <v>Registro de Gaveta Bruto 1 1/4”</v>
      </c>
      <c r="C6564" s="37"/>
      <c r="D6564" s="22" t="str">
        <f>TRIM(INDEX(Orçamentária!C:C,MATCH(Composições!A6564,Orçamentária!A:A,0),1))</f>
        <v>un</v>
      </c>
      <c r="E6564" s="23"/>
      <c r="F6564" s="38" t="s">
        <v>523</v>
      </c>
      <c r="G6564" s="24" t="str">
        <f t="shared" si="134"/>
        <v/>
      </c>
      <c r="H6564" s="25"/>
      <c r="I6564" s="26"/>
      <c r="J6564" s="141">
        <v>0</v>
      </c>
    </row>
    <row r="6565" spans="1:10" ht="15.75" hidden="1" thickBot="1" x14ac:dyDescent="0.3">
      <c r="A6565" s="226"/>
      <c r="B6565" s="229"/>
      <c r="C6565" s="28"/>
      <c r="D6565" s="28"/>
      <c r="E6565" s="29"/>
      <c r="F6565" s="39" t="s">
        <v>523</v>
      </c>
      <c r="G6565" s="27" t="str">
        <f t="shared" si="134"/>
        <v/>
      </c>
      <c r="H6565" s="31"/>
      <c r="I6565" s="27"/>
      <c r="J6565" s="141">
        <v>0</v>
      </c>
    </row>
    <row r="6566" spans="1:10" ht="26.25" hidden="1" thickBot="1" x14ac:dyDescent="0.3">
      <c r="A6566" s="226"/>
      <c r="B6566" s="229"/>
      <c r="C6566" s="161" t="s">
        <v>7639</v>
      </c>
      <c r="D6566" s="43" t="s">
        <v>20</v>
      </c>
      <c r="E6566" s="149">
        <v>1</v>
      </c>
      <c r="F6566" s="27">
        <v>70.746499999999997</v>
      </c>
      <c r="G6566" s="27">
        <f t="shared" si="134"/>
        <v>70.746499999999997</v>
      </c>
      <c r="H6566" s="35">
        <f>SUM(G6566:G6566)</f>
        <v>70.746499999999997</v>
      </c>
      <c r="I6566" s="36"/>
      <c r="J6566" s="141">
        <v>0</v>
      </c>
    </row>
    <row r="6567" spans="1:10" ht="15.75" hidden="1" thickBot="1" x14ac:dyDescent="0.3">
      <c r="A6567" s="227"/>
      <c r="B6567" s="230"/>
      <c r="C6567" s="51"/>
      <c r="D6567" s="51"/>
      <c r="E6567" s="62"/>
      <c r="F6567" s="63" t="s">
        <v>523</v>
      </c>
      <c r="G6567" s="63" t="str">
        <f t="shared" si="134"/>
        <v/>
      </c>
      <c r="H6567" s="65"/>
      <c r="I6567" s="27"/>
      <c r="J6567" s="141">
        <v>0</v>
      </c>
    </row>
    <row r="6568" spans="1:10" ht="15.75" hidden="1" thickBot="1" x14ac:dyDescent="0.3">
      <c r="A6568" s="225" t="s">
        <v>6963</v>
      </c>
      <c r="B6568" s="228" t="str">
        <f>INDEX(Orçamentária!A:B,MATCH(Composições!A6568,Orçamentária!A:A,0),2)</f>
        <v>Registro de Gaveta Bruto 1”</v>
      </c>
      <c r="C6568" s="37"/>
      <c r="D6568" s="22" t="str">
        <f>TRIM(INDEX(Orçamentária!C:C,MATCH(Composições!A6568,Orçamentária!A:A,0),1))</f>
        <v>un</v>
      </c>
      <c r="E6568" s="23"/>
      <c r="F6568" s="38" t="s">
        <v>523</v>
      </c>
      <c r="G6568" s="24" t="str">
        <f t="shared" si="134"/>
        <v/>
      </c>
      <c r="H6568" s="25"/>
      <c r="I6568" s="26"/>
      <c r="J6568" s="141">
        <v>0</v>
      </c>
    </row>
    <row r="6569" spans="1:10" ht="15.75" hidden="1" thickBot="1" x14ac:dyDescent="0.3">
      <c r="A6569" s="226"/>
      <c r="B6569" s="229"/>
      <c r="C6569" s="28"/>
      <c r="D6569" s="28"/>
      <c r="E6569" s="29"/>
      <c r="F6569" s="39" t="s">
        <v>523</v>
      </c>
      <c r="G6569" s="27" t="str">
        <f t="shared" si="134"/>
        <v/>
      </c>
      <c r="H6569" s="31"/>
      <c r="I6569" s="27"/>
      <c r="J6569" s="141">
        <v>0</v>
      </c>
    </row>
    <row r="6570" spans="1:10" ht="26.25" hidden="1" thickBot="1" x14ac:dyDescent="0.3">
      <c r="A6570" s="226"/>
      <c r="B6570" s="229"/>
      <c r="C6570" s="161" t="s">
        <v>7637</v>
      </c>
      <c r="D6570" s="43" t="s">
        <v>20</v>
      </c>
      <c r="E6570" s="149">
        <v>1</v>
      </c>
      <c r="F6570" s="27">
        <v>51.908000000000001</v>
      </c>
      <c r="G6570" s="27">
        <f t="shared" si="134"/>
        <v>51.908000000000001</v>
      </c>
      <c r="H6570" s="35">
        <f>SUM(G6570:G6570)</f>
        <v>51.908000000000001</v>
      </c>
      <c r="I6570" s="36"/>
      <c r="J6570" s="141">
        <v>0</v>
      </c>
    </row>
    <row r="6571" spans="1:10" ht="15.75" hidden="1" thickBot="1" x14ac:dyDescent="0.3">
      <c r="A6571" s="227"/>
      <c r="B6571" s="230"/>
      <c r="C6571" s="51"/>
      <c r="D6571" s="51"/>
      <c r="E6571" s="62"/>
      <c r="F6571" s="63" t="s">
        <v>523</v>
      </c>
      <c r="G6571" s="63" t="str">
        <f t="shared" si="134"/>
        <v/>
      </c>
      <c r="H6571" s="65"/>
      <c r="I6571" s="27"/>
      <c r="J6571" s="141">
        <v>0</v>
      </c>
    </row>
    <row r="6572" spans="1:10" ht="15.75" hidden="1" thickBot="1" x14ac:dyDescent="0.3">
      <c r="A6572" s="225" t="s">
        <v>6965</v>
      </c>
      <c r="B6572" s="228" t="str">
        <f>INDEX(Orçamentária!A:B,MATCH(Composições!A6572,Orçamentária!A:A,0),2)</f>
        <v>Registro de Gaveta Bruto 1/2”</v>
      </c>
      <c r="C6572" s="37"/>
      <c r="D6572" s="22" t="str">
        <f>TRIM(INDEX(Orçamentária!C:C,MATCH(Composições!A6572,Orçamentária!A:A,0),1))</f>
        <v>un</v>
      </c>
      <c r="E6572" s="23"/>
      <c r="F6572" s="38" t="s">
        <v>523</v>
      </c>
      <c r="G6572" s="24" t="str">
        <f t="shared" si="134"/>
        <v/>
      </c>
      <c r="H6572" s="25"/>
      <c r="I6572" s="26"/>
      <c r="J6572" s="141">
        <v>0</v>
      </c>
    </row>
    <row r="6573" spans="1:10" ht="15.75" hidden="1" thickBot="1" x14ac:dyDescent="0.3">
      <c r="A6573" s="226"/>
      <c r="B6573" s="229"/>
      <c r="C6573" s="28"/>
      <c r="D6573" s="28"/>
      <c r="E6573" s="29"/>
      <c r="F6573" s="39" t="s">
        <v>523</v>
      </c>
      <c r="G6573" s="27" t="str">
        <f t="shared" si="134"/>
        <v/>
      </c>
      <c r="H6573" s="31"/>
      <c r="I6573" s="27"/>
      <c r="J6573" s="141">
        <v>0</v>
      </c>
    </row>
    <row r="6574" spans="1:10" ht="26.25" hidden="1" thickBot="1" x14ac:dyDescent="0.3">
      <c r="A6574" s="226"/>
      <c r="B6574" s="229"/>
      <c r="C6574" s="161" t="s">
        <v>7640</v>
      </c>
      <c r="D6574" s="43" t="s">
        <v>20</v>
      </c>
      <c r="E6574" s="149">
        <v>1</v>
      </c>
      <c r="F6574" s="27">
        <v>31.178999999999998</v>
      </c>
      <c r="G6574" s="27">
        <f t="shared" si="134"/>
        <v>31.178999999999998</v>
      </c>
      <c r="H6574" s="35">
        <f>SUM(G6574:G6574)</f>
        <v>31.178999999999998</v>
      </c>
      <c r="I6574" s="36"/>
      <c r="J6574" s="141">
        <v>0</v>
      </c>
    </row>
    <row r="6575" spans="1:10" ht="15.75" hidden="1" thickBot="1" x14ac:dyDescent="0.3">
      <c r="A6575" s="227"/>
      <c r="B6575" s="230"/>
      <c r="C6575" s="51"/>
      <c r="D6575" s="51"/>
      <c r="E6575" s="62"/>
      <c r="F6575" s="63" t="s">
        <v>523</v>
      </c>
      <c r="G6575" s="63" t="str">
        <f t="shared" si="134"/>
        <v/>
      </c>
      <c r="H6575" s="65"/>
      <c r="I6575" s="27"/>
      <c r="J6575" s="141">
        <v>0</v>
      </c>
    </row>
    <row r="6576" spans="1:10" ht="15.75" hidden="1" thickBot="1" x14ac:dyDescent="0.3">
      <c r="A6576" s="225" t="s">
        <v>6967</v>
      </c>
      <c r="B6576" s="228" t="str">
        <f>INDEX(Orçamentária!A:B,MATCH(Composições!A6576,Orçamentária!A:A,0),2)</f>
        <v>Registro de Gaveta Bruto 2 1/2”</v>
      </c>
      <c r="C6576" s="37"/>
      <c r="D6576" s="22" t="str">
        <f>TRIM(INDEX(Orçamentária!C:C,MATCH(Composições!A6576,Orçamentária!A:A,0),1))</f>
        <v>un</v>
      </c>
      <c r="E6576" s="23"/>
      <c r="F6576" s="38" t="s">
        <v>523</v>
      </c>
      <c r="G6576" s="24" t="str">
        <f t="shared" si="134"/>
        <v/>
      </c>
      <c r="H6576" s="25"/>
      <c r="I6576" s="26"/>
      <c r="J6576" s="141">
        <v>0</v>
      </c>
    </row>
    <row r="6577" spans="1:10" ht="15.75" hidden="1" thickBot="1" x14ac:dyDescent="0.3">
      <c r="A6577" s="226"/>
      <c r="B6577" s="229"/>
      <c r="C6577" s="28"/>
      <c r="D6577" s="28"/>
      <c r="E6577" s="29"/>
      <c r="F6577" s="39" t="s">
        <v>523</v>
      </c>
      <c r="G6577" s="27" t="str">
        <f t="shared" si="134"/>
        <v/>
      </c>
      <c r="H6577" s="31"/>
      <c r="I6577" s="27"/>
      <c r="J6577" s="141">
        <v>0</v>
      </c>
    </row>
    <row r="6578" spans="1:10" ht="26.25" hidden="1" thickBot="1" x14ac:dyDescent="0.3">
      <c r="A6578" s="226"/>
      <c r="B6578" s="229"/>
      <c r="C6578" s="161" t="s">
        <v>7642</v>
      </c>
      <c r="D6578" s="43" t="s">
        <v>20</v>
      </c>
      <c r="E6578" s="149">
        <v>1</v>
      </c>
      <c r="F6578" s="27">
        <v>258.00099999999998</v>
      </c>
      <c r="G6578" s="27">
        <f t="shared" si="134"/>
        <v>258.00099999999998</v>
      </c>
      <c r="H6578" s="35">
        <f>SUM(G6578:G6578)</f>
        <v>258.00099999999998</v>
      </c>
      <c r="I6578" s="36"/>
      <c r="J6578" s="141">
        <v>0</v>
      </c>
    </row>
    <row r="6579" spans="1:10" ht="15.75" hidden="1" thickBot="1" x14ac:dyDescent="0.3">
      <c r="A6579" s="227"/>
      <c r="B6579" s="230"/>
      <c r="C6579" s="51"/>
      <c r="D6579" s="51"/>
      <c r="E6579" s="62"/>
      <c r="F6579" s="63" t="s">
        <v>523</v>
      </c>
      <c r="G6579" s="63" t="str">
        <f t="shared" si="134"/>
        <v/>
      </c>
      <c r="H6579" s="65"/>
      <c r="I6579" s="27"/>
      <c r="J6579" s="141">
        <v>0</v>
      </c>
    </row>
    <row r="6580" spans="1:10" ht="15.75" hidden="1" thickBot="1" x14ac:dyDescent="0.3">
      <c r="A6580" s="225" t="s">
        <v>6969</v>
      </c>
      <c r="B6580" s="228" t="str">
        <f>INDEX(Orçamentária!A:B,MATCH(Composições!A6580,Orçamentária!A:A,0),2)</f>
        <v>Registro de Gaveta Bruto 2”</v>
      </c>
      <c r="C6580" s="37"/>
      <c r="D6580" s="22" t="str">
        <f>TRIM(INDEX(Orçamentária!C:C,MATCH(Composições!A6580,Orçamentária!A:A,0),1))</f>
        <v>un</v>
      </c>
      <c r="E6580" s="23"/>
      <c r="F6580" s="38" t="s">
        <v>523</v>
      </c>
      <c r="G6580" s="24" t="str">
        <f t="shared" si="134"/>
        <v/>
      </c>
      <c r="H6580" s="25"/>
      <c r="I6580" s="26"/>
      <c r="J6580" s="141">
        <v>0</v>
      </c>
    </row>
    <row r="6581" spans="1:10" ht="15.75" hidden="1" thickBot="1" x14ac:dyDescent="0.3">
      <c r="A6581" s="226"/>
      <c r="B6581" s="229"/>
      <c r="C6581" s="28"/>
      <c r="D6581" s="28"/>
      <c r="E6581" s="29"/>
      <c r="F6581" s="39" t="s">
        <v>523</v>
      </c>
      <c r="G6581" s="27" t="str">
        <f t="shared" si="134"/>
        <v/>
      </c>
      <c r="H6581" s="31"/>
      <c r="I6581" s="27"/>
      <c r="J6581" s="141">
        <v>0</v>
      </c>
    </row>
    <row r="6582" spans="1:10" ht="26.25" hidden="1" thickBot="1" x14ac:dyDescent="0.3">
      <c r="A6582" s="226"/>
      <c r="B6582" s="229"/>
      <c r="C6582" s="161" t="s">
        <v>7641</v>
      </c>
      <c r="D6582" s="43" t="s">
        <v>20</v>
      </c>
      <c r="E6582" s="149">
        <v>1</v>
      </c>
      <c r="F6582" s="27">
        <v>124.40249999999999</v>
      </c>
      <c r="G6582" s="27">
        <f t="shared" si="134"/>
        <v>124.40249999999999</v>
      </c>
      <c r="H6582" s="35">
        <f>SUM(G6582:G6582)</f>
        <v>124.40249999999999</v>
      </c>
      <c r="I6582" s="36"/>
      <c r="J6582" s="141">
        <v>0</v>
      </c>
    </row>
    <row r="6583" spans="1:10" ht="15.75" hidden="1" thickBot="1" x14ac:dyDescent="0.3">
      <c r="A6583" s="227"/>
      <c r="B6583" s="230"/>
      <c r="C6583" s="51"/>
      <c r="D6583" s="51"/>
      <c r="E6583" s="62"/>
      <c r="F6583" s="63" t="s">
        <v>523</v>
      </c>
      <c r="G6583" s="63" t="str">
        <f t="shared" si="134"/>
        <v/>
      </c>
      <c r="H6583" s="65"/>
      <c r="I6583" s="27"/>
      <c r="J6583" s="141">
        <v>0</v>
      </c>
    </row>
    <row r="6584" spans="1:10" ht="15.75" hidden="1" thickBot="1" x14ac:dyDescent="0.3">
      <c r="A6584" s="225" t="s">
        <v>6971</v>
      </c>
      <c r="B6584" s="228" t="str">
        <f>INDEX(Orçamentária!A:B,MATCH(Composições!A6584,Orçamentária!A:A,0),2)</f>
        <v>Registro de Gaveta Bruto 3”</v>
      </c>
      <c r="C6584" s="37"/>
      <c r="D6584" s="22" t="str">
        <f>TRIM(INDEX(Orçamentária!C:C,MATCH(Composições!A6584,Orçamentária!A:A,0),1))</f>
        <v>un</v>
      </c>
      <c r="E6584" s="23"/>
      <c r="F6584" s="38" t="s">
        <v>523</v>
      </c>
      <c r="G6584" s="24" t="str">
        <f t="shared" si="134"/>
        <v/>
      </c>
      <c r="H6584" s="25"/>
      <c r="I6584" s="26"/>
      <c r="J6584" s="141">
        <v>0</v>
      </c>
    </row>
    <row r="6585" spans="1:10" ht="15.75" hidden="1" thickBot="1" x14ac:dyDescent="0.3">
      <c r="A6585" s="226"/>
      <c r="B6585" s="229"/>
      <c r="C6585" s="28"/>
      <c r="D6585" s="28"/>
      <c r="E6585" s="29"/>
      <c r="F6585" s="39" t="s">
        <v>523</v>
      </c>
      <c r="G6585" s="27" t="str">
        <f t="shared" si="134"/>
        <v/>
      </c>
      <c r="H6585" s="31"/>
      <c r="I6585" s="27"/>
      <c r="J6585" s="141">
        <v>0</v>
      </c>
    </row>
    <row r="6586" spans="1:10" ht="26.25" hidden="1" thickBot="1" x14ac:dyDescent="0.3">
      <c r="A6586" s="226"/>
      <c r="B6586" s="229"/>
      <c r="C6586" s="161" t="s">
        <v>7643</v>
      </c>
      <c r="D6586" s="43" t="s">
        <v>20</v>
      </c>
      <c r="E6586" s="149">
        <v>1</v>
      </c>
      <c r="F6586" s="27">
        <v>312.35050000000001</v>
      </c>
      <c r="G6586" s="27">
        <f t="shared" si="134"/>
        <v>312.35050000000001</v>
      </c>
      <c r="H6586" s="35">
        <f>SUM(G6586:G6586)</f>
        <v>312.35050000000001</v>
      </c>
      <c r="I6586" s="36"/>
      <c r="J6586" s="141">
        <v>0</v>
      </c>
    </row>
    <row r="6587" spans="1:10" ht="15.75" hidden="1" thickBot="1" x14ac:dyDescent="0.3">
      <c r="A6587" s="227"/>
      <c r="B6587" s="230"/>
      <c r="C6587" s="51"/>
      <c r="D6587" s="51"/>
      <c r="E6587" s="62"/>
      <c r="F6587" s="63" t="s">
        <v>523</v>
      </c>
      <c r="G6587" s="63" t="str">
        <f t="shared" si="134"/>
        <v/>
      </c>
      <c r="H6587" s="65"/>
      <c r="I6587" s="27"/>
      <c r="J6587" s="141">
        <v>0</v>
      </c>
    </row>
    <row r="6588" spans="1:10" ht="15.75" hidden="1" thickBot="1" x14ac:dyDescent="0.3">
      <c r="A6588" s="225" t="s">
        <v>6973</v>
      </c>
      <c r="B6588" s="228" t="str">
        <f>INDEX(Orçamentária!A:B,MATCH(Composições!A6588,Orçamentária!A:A,0),2)</f>
        <v>Registro de Gaveta Bruto 3/4”</v>
      </c>
      <c r="C6588" s="37"/>
      <c r="D6588" s="22" t="str">
        <f>TRIM(INDEX(Orçamentária!C:C,MATCH(Composições!A6588,Orçamentária!A:A,0),1))</f>
        <v>un</v>
      </c>
      <c r="E6588" s="23"/>
      <c r="F6588" s="38" t="s">
        <v>523</v>
      </c>
      <c r="G6588" s="24" t="str">
        <f t="shared" si="134"/>
        <v/>
      </c>
      <c r="H6588" s="25"/>
      <c r="I6588" s="26"/>
      <c r="J6588" s="141">
        <v>0</v>
      </c>
    </row>
    <row r="6589" spans="1:10" ht="15.75" hidden="1" thickBot="1" x14ac:dyDescent="0.3">
      <c r="A6589" s="226"/>
      <c r="B6589" s="229"/>
      <c r="C6589" s="28"/>
      <c r="D6589" s="28"/>
      <c r="E6589" s="29"/>
      <c r="F6589" s="39" t="s">
        <v>523</v>
      </c>
      <c r="G6589" s="27" t="str">
        <f t="shared" si="134"/>
        <v/>
      </c>
      <c r="H6589" s="31"/>
      <c r="I6589" s="27"/>
      <c r="J6589" s="141">
        <v>0</v>
      </c>
    </row>
    <row r="6590" spans="1:10" ht="26.25" hidden="1" thickBot="1" x14ac:dyDescent="0.3">
      <c r="A6590" s="226"/>
      <c r="B6590" s="229"/>
      <c r="C6590" s="161" t="s">
        <v>7644</v>
      </c>
      <c r="D6590" s="43" t="s">
        <v>20</v>
      </c>
      <c r="E6590" s="149">
        <v>1</v>
      </c>
      <c r="F6590" s="27">
        <v>32.8795</v>
      </c>
      <c r="G6590" s="27">
        <f t="shared" si="134"/>
        <v>32.8795</v>
      </c>
      <c r="H6590" s="35">
        <f>SUM(G6590:G6590)</f>
        <v>32.8795</v>
      </c>
      <c r="I6590" s="36"/>
      <c r="J6590" s="141">
        <v>0</v>
      </c>
    </row>
    <row r="6591" spans="1:10" ht="15.75" hidden="1" thickBot="1" x14ac:dyDescent="0.3">
      <c r="A6591" s="227"/>
      <c r="B6591" s="230"/>
      <c r="C6591" s="51"/>
      <c r="D6591" s="51"/>
      <c r="E6591" s="62"/>
      <c r="F6591" s="63" t="s">
        <v>523</v>
      </c>
      <c r="G6591" s="63" t="str">
        <f t="shared" si="134"/>
        <v/>
      </c>
      <c r="H6591" s="65"/>
      <c r="I6591" s="27"/>
      <c r="J6591" s="141">
        <v>0</v>
      </c>
    </row>
    <row r="6592" spans="1:10" ht="15.75" hidden="1" thickBot="1" x14ac:dyDescent="0.3">
      <c r="A6592" s="225" t="s">
        <v>6975</v>
      </c>
      <c r="B6592" s="228" t="str">
        <f>INDEX(Orçamentária!A:B,MATCH(Composições!A6592,Orçamentária!A:A,0),2)</f>
        <v>Registro de Gaveta Bruto 4”</v>
      </c>
      <c r="C6592" s="37"/>
      <c r="D6592" s="22" t="str">
        <f>TRIM(INDEX(Orçamentária!C:C,MATCH(Composições!A6592,Orçamentária!A:A,0),1))</f>
        <v>un</v>
      </c>
      <c r="E6592" s="23"/>
      <c r="F6592" s="38" t="s">
        <v>523</v>
      </c>
      <c r="G6592" s="24" t="str">
        <f t="shared" si="134"/>
        <v/>
      </c>
      <c r="H6592" s="25"/>
      <c r="I6592" s="26"/>
      <c r="J6592" s="141">
        <v>0</v>
      </c>
    </row>
    <row r="6593" spans="1:10" ht="15.75" hidden="1" thickBot="1" x14ac:dyDescent="0.3">
      <c r="A6593" s="226"/>
      <c r="B6593" s="229"/>
      <c r="C6593" s="28"/>
      <c r="D6593" s="28"/>
      <c r="E6593" s="29"/>
      <c r="F6593" s="39" t="s">
        <v>523</v>
      </c>
      <c r="G6593" s="27" t="str">
        <f t="shared" si="134"/>
        <v/>
      </c>
      <c r="H6593" s="31"/>
      <c r="I6593" s="27"/>
      <c r="J6593" s="141">
        <v>0</v>
      </c>
    </row>
    <row r="6594" spans="1:10" ht="26.25" hidden="1" thickBot="1" x14ac:dyDescent="0.3">
      <c r="A6594" s="226"/>
      <c r="B6594" s="229"/>
      <c r="C6594" s="161" t="s">
        <v>7645</v>
      </c>
      <c r="D6594" s="43" t="s">
        <v>20</v>
      </c>
      <c r="E6594" s="149">
        <v>1</v>
      </c>
      <c r="F6594" s="27">
        <v>650.83550000000002</v>
      </c>
      <c r="G6594" s="27">
        <f t="shared" si="134"/>
        <v>650.83550000000002</v>
      </c>
      <c r="H6594" s="35">
        <f>SUM(G6594:G6594)</f>
        <v>650.83550000000002</v>
      </c>
      <c r="I6594" s="36"/>
      <c r="J6594" s="141">
        <v>0</v>
      </c>
    </row>
    <row r="6595" spans="1:10" ht="15.75" hidden="1" thickBot="1" x14ac:dyDescent="0.3">
      <c r="A6595" s="227"/>
      <c r="B6595" s="230"/>
      <c r="C6595" s="51"/>
      <c r="D6595" s="51"/>
      <c r="E6595" s="62"/>
      <c r="F6595" s="63" t="s">
        <v>523</v>
      </c>
      <c r="G6595" s="63" t="str">
        <f t="shared" si="134"/>
        <v/>
      </c>
      <c r="H6595" s="65"/>
      <c r="I6595" s="27"/>
      <c r="J6595" s="141">
        <v>0</v>
      </c>
    </row>
    <row r="6596" spans="1:10" ht="15.75" hidden="1" thickBot="1" x14ac:dyDescent="0.3">
      <c r="A6596" s="225" t="s">
        <v>6981</v>
      </c>
      <c r="B6596" s="228" t="str">
        <f>INDEX(Orçamentária!A:B,MATCH(Composições!A6596,Orçamentária!A:A,0),2)</f>
        <v>Registro de Pressão Bruto 1/2”</v>
      </c>
      <c r="C6596" s="37"/>
      <c r="D6596" s="22" t="str">
        <f>TRIM(INDEX(Orçamentária!C:C,MATCH(Composições!A6596,Orçamentária!A:A,0),1))</f>
        <v>un</v>
      </c>
      <c r="E6596" s="23"/>
      <c r="F6596" s="38" t="s">
        <v>523</v>
      </c>
      <c r="G6596" s="24" t="str">
        <f t="shared" si="134"/>
        <v/>
      </c>
      <c r="H6596" s="25"/>
      <c r="I6596" s="26"/>
      <c r="J6596" s="141">
        <v>0</v>
      </c>
    </row>
    <row r="6597" spans="1:10" ht="15.75" hidden="1" thickBot="1" x14ac:dyDescent="0.3">
      <c r="A6597" s="226"/>
      <c r="B6597" s="229"/>
      <c r="C6597" s="28"/>
      <c r="D6597" s="28"/>
      <c r="E6597" s="29"/>
      <c r="F6597" s="39" t="s">
        <v>523</v>
      </c>
      <c r="G6597" s="27" t="str">
        <f t="shared" si="134"/>
        <v/>
      </c>
      <c r="H6597" s="31"/>
      <c r="I6597" s="27"/>
      <c r="J6597" s="141">
        <v>0</v>
      </c>
    </row>
    <row r="6598" spans="1:10" ht="26.25" hidden="1" thickBot="1" x14ac:dyDescent="0.3">
      <c r="A6598" s="226"/>
      <c r="B6598" s="229"/>
      <c r="C6598" s="161" t="s">
        <v>7647</v>
      </c>
      <c r="D6598" s="43" t="s">
        <v>20</v>
      </c>
      <c r="E6598" s="149">
        <v>1</v>
      </c>
      <c r="F6598" s="27">
        <v>22.097000000000001</v>
      </c>
      <c r="G6598" s="27">
        <f t="shared" si="134"/>
        <v>22.097000000000001</v>
      </c>
      <c r="H6598" s="35">
        <f>SUM(G6598:G6598)</f>
        <v>22.097000000000001</v>
      </c>
      <c r="I6598" s="36"/>
      <c r="J6598" s="141">
        <v>0</v>
      </c>
    </row>
    <row r="6599" spans="1:10" ht="15.75" hidden="1" thickBot="1" x14ac:dyDescent="0.3">
      <c r="A6599" s="227"/>
      <c r="B6599" s="230"/>
      <c r="C6599" s="51"/>
      <c r="D6599" s="51"/>
      <c r="E6599" s="62"/>
      <c r="F6599" s="63" t="s">
        <v>523</v>
      </c>
      <c r="G6599" s="63" t="str">
        <f t="shared" si="134"/>
        <v/>
      </c>
      <c r="H6599" s="65"/>
      <c r="I6599" s="27"/>
      <c r="J6599" s="141">
        <v>0</v>
      </c>
    </row>
    <row r="6600" spans="1:10" ht="15.75" hidden="1" thickBot="1" x14ac:dyDescent="0.3">
      <c r="A6600" s="225" t="s">
        <v>6983</v>
      </c>
      <c r="B6600" s="228" t="str">
        <f>INDEX(Orçamentária!A:B,MATCH(Composições!A6600,Orçamentária!A:A,0),2)</f>
        <v>Registro de Pressão Bruto 3/4”</v>
      </c>
      <c r="C6600" s="37"/>
      <c r="D6600" s="22" t="str">
        <f>TRIM(INDEX(Orçamentária!C:C,MATCH(Composições!A6600,Orçamentária!A:A,0),1))</f>
        <v>un</v>
      </c>
      <c r="E6600" s="23"/>
      <c r="F6600" s="38" t="s">
        <v>523</v>
      </c>
      <c r="G6600" s="24" t="str">
        <f t="shared" si="134"/>
        <v/>
      </c>
      <c r="H6600" s="25"/>
      <c r="I6600" s="26"/>
      <c r="J6600" s="141">
        <v>0</v>
      </c>
    </row>
    <row r="6601" spans="1:10" ht="15.75" hidden="1" thickBot="1" x14ac:dyDescent="0.3">
      <c r="A6601" s="226"/>
      <c r="B6601" s="229"/>
      <c r="C6601" s="28"/>
      <c r="D6601" s="28"/>
      <c r="E6601" s="29"/>
      <c r="F6601" s="39" t="s">
        <v>523</v>
      </c>
      <c r="G6601" s="27" t="str">
        <f t="shared" si="134"/>
        <v/>
      </c>
      <c r="H6601" s="31"/>
      <c r="I6601" s="27"/>
      <c r="J6601" s="141">
        <v>0</v>
      </c>
    </row>
    <row r="6602" spans="1:10" ht="26.25" hidden="1" thickBot="1" x14ac:dyDescent="0.3">
      <c r="A6602" s="226"/>
      <c r="B6602" s="229"/>
      <c r="C6602" s="161" t="s">
        <v>7648</v>
      </c>
      <c r="D6602" s="43" t="s">
        <v>20</v>
      </c>
      <c r="E6602" s="149">
        <v>1</v>
      </c>
      <c r="F6602" s="27">
        <v>26.372</v>
      </c>
      <c r="G6602" s="27">
        <f t="shared" si="134"/>
        <v>26.372</v>
      </c>
      <c r="H6602" s="35">
        <f>SUM(G6602:G6602)</f>
        <v>26.372</v>
      </c>
      <c r="I6602" s="36"/>
      <c r="J6602" s="141">
        <v>0</v>
      </c>
    </row>
    <row r="6603" spans="1:10" ht="15.75" hidden="1" thickBot="1" x14ac:dyDescent="0.3">
      <c r="A6603" s="227"/>
      <c r="B6603" s="230"/>
      <c r="C6603" s="51"/>
      <c r="D6603" s="51"/>
      <c r="E6603" s="62"/>
      <c r="F6603" s="63" t="s">
        <v>523</v>
      </c>
      <c r="G6603" s="63" t="str">
        <f t="shared" si="134"/>
        <v/>
      </c>
      <c r="H6603" s="65"/>
      <c r="I6603" s="27"/>
      <c r="J6603" s="141">
        <v>0</v>
      </c>
    </row>
    <row r="6604" spans="1:10" ht="15.75" hidden="1" thickBot="1" x14ac:dyDescent="0.3">
      <c r="A6604" s="225" t="s">
        <v>6985</v>
      </c>
      <c r="B6604" s="228" t="str">
        <f>INDEX(Orçamentária!A:B,MATCH(Composições!A6604,Orçamentária!A:A,0),2)</f>
        <v>Registro Esfera PVC VS Roscável 1/2”</v>
      </c>
      <c r="C6604" s="37"/>
      <c r="D6604" s="22" t="str">
        <f>TRIM(INDEX(Orçamentária!C:C,MATCH(Composições!A6604,Orçamentária!A:A,0),1))</f>
        <v>un</v>
      </c>
      <c r="E6604" s="23"/>
      <c r="F6604" s="38" t="s">
        <v>523</v>
      </c>
      <c r="G6604" s="24" t="str">
        <f t="shared" si="134"/>
        <v/>
      </c>
      <c r="H6604" s="25"/>
      <c r="I6604" s="26"/>
      <c r="J6604" s="141">
        <v>0</v>
      </c>
    </row>
    <row r="6605" spans="1:10" ht="15.75" hidden="1" thickBot="1" x14ac:dyDescent="0.3">
      <c r="A6605" s="226"/>
      <c r="B6605" s="229"/>
      <c r="C6605" s="28"/>
      <c r="D6605" s="28"/>
      <c r="E6605" s="29"/>
      <c r="F6605" s="39" t="s">
        <v>523</v>
      </c>
      <c r="G6605" s="27" t="str">
        <f t="shared" si="134"/>
        <v/>
      </c>
      <c r="H6605" s="31"/>
      <c r="I6605" s="27"/>
      <c r="J6605" s="141">
        <v>0</v>
      </c>
    </row>
    <row r="6606" spans="1:10" ht="26.25" hidden="1" thickBot="1" x14ac:dyDescent="0.3">
      <c r="A6606" s="226"/>
      <c r="B6606" s="229"/>
      <c r="C6606" s="161" t="s">
        <v>7635</v>
      </c>
      <c r="D6606" s="43" t="s">
        <v>20</v>
      </c>
      <c r="E6606" s="149">
        <v>1</v>
      </c>
      <c r="F6606" s="27">
        <v>32.166999999999994</v>
      </c>
      <c r="G6606" s="27">
        <f t="shared" si="134"/>
        <v>32.166999999999994</v>
      </c>
      <c r="H6606" s="35">
        <f>SUM(G6606:G6606)</f>
        <v>32.166999999999994</v>
      </c>
      <c r="I6606" s="36"/>
      <c r="J6606" s="141">
        <v>0</v>
      </c>
    </row>
    <row r="6607" spans="1:10" ht="15.75" hidden="1" thickBot="1" x14ac:dyDescent="0.3">
      <c r="A6607" s="227"/>
      <c r="B6607" s="230"/>
      <c r="C6607" s="51"/>
      <c r="D6607" s="51"/>
      <c r="E6607" s="62"/>
      <c r="F6607" s="63" t="s">
        <v>523</v>
      </c>
      <c r="G6607" s="63" t="str">
        <f t="shared" si="134"/>
        <v/>
      </c>
      <c r="H6607" s="65"/>
      <c r="I6607" s="27"/>
      <c r="J6607" s="141">
        <v>0</v>
      </c>
    </row>
    <row r="6608" spans="1:10" ht="15.75" hidden="1" thickBot="1" x14ac:dyDescent="0.3">
      <c r="A6608" s="225" t="s">
        <v>6987</v>
      </c>
      <c r="B6608" s="228" t="str">
        <f>INDEX(Orçamentária!A:B,MATCH(Composições!A6608,Orçamentária!A:A,0),2)</f>
        <v>Registro Esfera PVC VS Roscável 1 1/2”</v>
      </c>
      <c r="C6608" s="37"/>
      <c r="D6608" s="22" t="str">
        <f>TRIM(INDEX(Orçamentária!C:C,MATCH(Composições!A6608,Orçamentária!A:A,0),1))</f>
        <v>un</v>
      </c>
      <c r="E6608" s="23"/>
      <c r="F6608" s="38" t="s">
        <v>523</v>
      </c>
      <c r="G6608" s="24" t="str">
        <f t="shared" si="134"/>
        <v/>
      </c>
      <c r="H6608" s="25"/>
      <c r="I6608" s="26"/>
      <c r="J6608" s="141">
        <v>0</v>
      </c>
    </row>
    <row r="6609" spans="1:10" ht="15.75" hidden="1" thickBot="1" x14ac:dyDescent="0.3">
      <c r="A6609" s="226"/>
      <c r="B6609" s="229"/>
      <c r="C6609" s="28"/>
      <c r="D6609" s="28"/>
      <c r="E6609" s="29"/>
      <c r="F6609" s="39" t="s">
        <v>523</v>
      </c>
      <c r="G6609" s="27" t="str">
        <f t="shared" si="134"/>
        <v/>
      </c>
      <c r="H6609" s="31"/>
      <c r="I6609" s="27"/>
      <c r="J6609" s="141">
        <v>0</v>
      </c>
    </row>
    <row r="6610" spans="1:10" ht="26.25" hidden="1" thickBot="1" x14ac:dyDescent="0.3">
      <c r="A6610" s="226"/>
      <c r="B6610" s="229"/>
      <c r="C6610" s="161" t="s">
        <v>7634</v>
      </c>
      <c r="D6610" s="43" t="s">
        <v>20</v>
      </c>
      <c r="E6610" s="149">
        <v>1</v>
      </c>
      <c r="F6610" s="27">
        <v>88.169499999999999</v>
      </c>
      <c r="G6610" s="27">
        <f t="shared" si="134"/>
        <v>88.169499999999999</v>
      </c>
      <c r="H6610" s="35">
        <f>SUM(G6610:G6610)</f>
        <v>88.169499999999999</v>
      </c>
      <c r="I6610" s="36"/>
      <c r="J6610" s="141">
        <v>0</v>
      </c>
    </row>
    <row r="6611" spans="1:10" ht="15.75" hidden="1" thickBot="1" x14ac:dyDescent="0.3">
      <c r="A6611" s="227"/>
      <c r="B6611" s="230"/>
      <c r="C6611" s="51"/>
      <c r="D6611" s="51"/>
      <c r="E6611" s="62"/>
      <c r="F6611" s="63" t="s">
        <v>523</v>
      </c>
      <c r="G6611" s="63" t="str">
        <f t="shared" si="134"/>
        <v/>
      </c>
      <c r="H6611" s="65"/>
      <c r="I6611" s="27"/>
      <c r="J6611" s="141">
        <v>0</v>
      </c>
    </row>
    <row r="6612" spans="1:10" ht="15.75" hidden="1" thickBot="1" x14ac:dyDescent="0.3">
      <c r="A6612" s="225" t="s">
        <v>6989</v>
      </c>
      <c r="B6612" s="228" t="str">
        <f>INDEX(Orçamentária!A:B,MATCH(Composições!A6612,Orçamentária!A:A,0),2)</f>
        <v>Registro Esfera PVC VS Soldável 60mm</v>
      </c>
      <c r="C6612" s="37"/>
      <c r="D6612" s="22" t="str">
        <f>TRIM(INDEX(Orçamentária!C:C,MATCH(Composições!A6612,Orçamentária!A:A,0),1))</f>
        <v>un</v>
      </c>
      <c r="E6612" s="23"/>
      <c r="F6612" s="38" t="s">
        <v>523</v>
      </c>
      <c r="G6612" s="24" t="str">
        <f t="shared" si="134"/>
        <v/>
      </c>
      <c r="H6612" s="25"/>
      <c r="I6612" s="26"/>
      <c r="J6612" s="141">
        <v>0</v>
      </c>
    </row>
    <row r="6613" spans="1:10" ht="15.75" hidden="1" thickBot="1" x14ac:dyDescent="0.3">
      <c r="A6613" s="226"/>
      <c r="B6613" s="229"/>
      <c r="C6613" s="28"/>
      <c r="D6613" s="28"/>
      <c r="E6613" s="29"/>
      <c r="F6613" s="39" t="s">
        <v>523</v>
      </c>
      <c r="G6613" s="27" t="str">
        <f t="shared" si="134"/>
        <v/>
      </c>
      <c r="H6613" s="31"/>
      <c r="I6613" s="27"/>
      <c r="J6613" s="141">
        <v>0</v>
      </c>
    </row>
    <row r="6614" spans="1:10" ht="26.25" hidden="1" thickBot="1" x14ac:dyDescent="0.3">
      <c r="A6614" s="226"/>
      <c r="B6614" s="229"/>
      <c r="C6614" s="161" t="s">
        <v>7636</v>
      </c>
      <c r="D6614" s="43" t="s">
        <v>20</v>
      </c>
      <c r="E6614" s="149">
        <v>1</v>
      </c>
      <c r="F6614" s="27">
        <v>156.959</v>
      </c>
      <c r="G6614" s="27">
        <f t="shared" si="134"/>
        <v>156.959</v>
      </c>
      <c r="H6614" s="35">
        <f>SUM(G6614:G6614)</f>
        <v>156.959</v>
      </c>
      <c r="I6614" s="36"/>
      <c r="J6614" s="141">
        <v>0</v>
      </c>
    </row>
    <row r="6615" spans="1:10" ht="15.75" hidden="1" thickBot="1" x14ac:dyDescent="0.3">
      <c r="A6615" s="227"/>
      <c r="B6615" s="230"/>
      <c r="C6615" s="51"/>
      <c r="D6615" s="51"/>
      <c r="E6615" s="62"/>
      <c r="F6615" s="63" t="s">
        <v>523</v>
      </c>
      <c r="G6615" s="63" t="str">
        <f t="shared" si="134"/>
        <v/>
      </c>
      <c r="H6615" s="65"/>
      <c r="I6615" s="27"/>
      <c r="J6615" s="141">
        <v>0</v>
      </c>
    </row>
    <row r="6616" spans="1:10" ht="15.75" hidden="1" thickBot="1" x14ac:dyDescent="0.3">
      <c r="A6616" s="225" t="s">
        <v>6991</v>
      </c>
      <c r="B6616" s="228" t="str">
        <f>INDEX(Orçamentária!A:B,MATCH(Composições!A6616,Orçamentária!A:A,0),2)</f>
        <v>Registro para Hidrante 2 1/2”</v>
      </c>
      <c r="C6616" s="37"/>
      <c r="D6616" s="22" t="str">
        <f>TRIM(INDEX(Orçamentária!C:C,MATCH(Composições!A6616,Orçamentária!A:A,0),1))</f>
        <v>un</v>
      </c>
      <c r="E6616" s="23"/>
      <c r="F6616" s="38" t="s">
        <v>523</v>
      </c>
      <c r="G6616" s="24" t="str">
        <f t="shared" si="134"/>
        <v/>
      </c>
      <c r="H6616" s="25"/>
      <c r="I6616" s="26"/>
      <c r="J6616" s="141">
        <v>0</v>
      </c>
    </row>
    <row r="6617" spans="1:10" ht="15.75" hidden="1" thickBot="1" x14ac:dyDescent="0.3">
      <c r="A6617" s="226"/>
      <c r="B6617" s="229"/>
      <c r="C6617" s="28"/>
      <c r="D6617" s="28"/>
      <c r="E6617" s="29"/>
      <c r="F6617" s="39" t="s">
        <v>523</v>
      </c>
      <c r="G6617" s="27" t="str">
        <f t="shared" si="134"/>
        <v/>
      </c>
      <c r="H6617" s="31"/>
      <c r="I6617" s="27"/>
      <c r="J6617" s="141">
        <v>0</v>
      </c>
    </row>
    <row r="6618" spans="1:10" ht="51.75" hidden="1" thickBot="1" x14ac:dyDescent="0.3">
      <c r="A6618" s="226"/>
      <c r="B6618" s="229"/>
      <c r="C6618" s="161" t="s">
        <v>7646</v>
      </c>
      <c r="D6618" s="43" t="s">
        <v>20</v>
      </c>
      <c r="E6618" s="149">
        <v>1</v>
      </c>
      <c r="F6618" s="27">
        <v>152</v>
      </c>
      <c r="G6618" s="27">
        <f t="shared" si="134"/>
        <v>152</v>
      </c>
      <c r="H6618" s="35">
        <f>SUM(G6618:G6618)</f>
        <v>152</v>
      </c>
      <c r="I6618" s="36"/>
      <c r="J6618" s="141">
        <v>0</v>
      </c>
    </row>
    <row r="6619" spans="1:10" ht="15.75" hidden="1" thickBot="1" x14ac:dyDescent="0.3">
      <c r="A6619" s="227"/>
      <c r="B6619" s="230"/>
      <c r="C6619" s="51"/>
      <c r="D6619" s="51"/>
      <c r="E6619" s="62"/>
      <c r="F6619" s="63" t="s">
        <v>523</v>
      </c>
      <c r="G6619" s="63" t="str">
        <f t="shared" si="134"/>
        <v/>
      </c>
      <c r="H6619" s="65"/>
      <c r="I6619" s="27"/>
      <c r="J6619" s="141">
        <v>0</v>
      </c>
    </row>
    <row r="6620" spans="1:10" ht="15.75" hidden="1" thickBot="1" x14ac:dyDescent="0.3">
      <c r="A6620" s="225" t="s">
        <v>7028</v>
      </c>
      <c r="B6620" s="228" t="str">
        <f>INDEX(Orçamentária!A:B,MATCH(Composições!A6620,Orçamentária!A:A,0),2)</f>
        <v>Terminal de Ventilação PVC - 100 mm</v>
      </c>
      <c r="C6620" s="37"/>
      <c r="D6620" s="22" t="str">
        <f>TRIM(INDEX(Orçamentária!C:C,MATCH(Composições!A6620,Orçamentária!A:A,0),1))</f>
        <v>un</v>
      </c>
      <c r="E6620" s="23"/>
      <c r="F6620" s="38" t="s">
        <v>523</v>
      </c>
      <c r="G6620" s="24" t="str">
        <f t="shared" si="134"/>
        <v/>
      </c>
      <c r="H6620" s="25"/>
      <c r="I6620" s="26"/>
      <c r="J6620" s="141">
        <v>0</v>
      </c>
    </row>
    <row r="6621" spans="1:10" ht="15.75" hidden="1" thickBot="1" x14ac:dyDescent="0.3">
      <c r="A6621" s="226"/>
      <c r="B6621" s="229"/>
      <c r="C6621" s="28"/>
      <c r="D6621" s="28"/>
      <c r="E6621" s="29"/>
      <c r="F6621" s="39" t="s">
        <v>523</v>
      </c>
      <c r="G6621" s="27" t="str">
        <f t="shared" si="134"/>
        <v/>
      </c>
      <c r="H6621" s="31"/>
      <c r="I6621" s="27"/>
      <c r="J6621" s="141">
        <v>0</v>
      </c>
    </row>
    <row r="6622" spans="1:10" ht="26.25" hidden="1" thickBot="1" x14ac:dyDescent="0.3">
      <c r="A6622" s="226"/>
      <c r="B6622" s="229"/>
      <c r="C6622" s="161" t="s">
        <v>7667</v>
      </c>
      <c r="D6622" s="43" t="s">
        <v>20</v>
      </c>
      <c r="E6622" s="149">
        <v>1</v>
      </c>
      <c r="F6622" s="27">
        <v>21.650499999999997</v>
      </c>
      <c r="G6622" s="27">
        <f t="shared" si="134"/>
        <v>21.650499999999997</v>
      </c>
      <c r="H6622" s="35">
        <f>SUM(G6622:G6622)</f>
        <v>21.650499999999997</v>
      </c>
      <c r="I6622" s="36"/>
      <c r="J6622" s="141">
        <v>0</v>
      </c>
    </row>
    <row r="6623" spans="1:10" ht="15.75" hidden="1" thickBot="1" x14ac:dyDescent="0.3">
      <c r="A6623" s="227"/>
      <c r="B6623" s="230"/>
      <c r="C6623" s="51"/>
      <c r="D6623" s="51"/>
      <c r="E6623" s="62"/>
      <c r="F6623" s="63" t="s">
        <v>523</v>
      </c>
      <c r="G6623" s="63" t="str">
        <f t="shared" si="134"/>
        <v/>
      </c>
      <c r="H6623" s="65"/>
      <c r="I6623" s="27"/>
      <c r="J6623" s="141">
        <v>0</v>
      </c>
    </row>
    <row r="6624" spans="1:10" ht="15.75" hidden="1" thickBot="1" x14ac:dyDescent="0.3">
      <c r="A6624" s="225" t="s">
        <v>7030</v>
      </c>
      <c r="B6624" s="228" t="str">
        <f>INDEX(Orçamentária!A:B,MATCH(Composições!A6624,Orçamentária!A:A,0),2)</f>
        <v>Terminal de Ventilação PVC - 50 mm</v>
      </c>
      <c r="C6624" s="37"/>
      <c r="D6624" s="22" t="str">
        <f>TRIM(INDEX(Orçamentária!C:C,MATCH(Composições!A6624,Orçamentária!A:A,0),1))</f>
        <v>un</v>
      </c>
      <c r="E6624" s="23"/>
      <c r="F6624" s="38" t="s">
        <v>523</v>
      </c>
      <c r="G6624" s="24" t="str">
        <f t="shared" si="134"/>
        <v/>
      </c>
      <c r="H6624" s="25"/>
      <c r="I6624" s="26"/>
      <c r="J6624" s="141">
        <v>0</v>
      </c>
    </row>
    <row r="6625" spans="1:10" ht="15.75" hidden="1" thickBot="1" x14ac:dyDescent="0.3">
      <c r="A6625" s="226"/>
      <c r="B6625" s="229"/>
      <c r="C6625" s="28"/>
      <c r="D6625" s="28"/>
      <c r="E6625" s="29"/>
      <c r="F6625" s="39" t="s">
        <v>523</v>
      </c>
      <c r="G6625" s="27" t="str">
        <f t="shared" si="134"/>
        <v/>
      </c>
      <c r="H6625" s="31"/>
      <c r="I6625" s="27"/>
      <c r="J6625" s="141">
        <v>0</v>
      </c>
    </row>
    <row r="6626" spans="1:10" ht="26.25" hidden="1" thickBot="1" x14ac:dyDescent="0.3">
      <c r="A6626" s="226"/>
      <c r="B6626" s="229"/>
      <c r="C6626" s="161" t="s">
        <v>7668</v>
      </c>
      <c r="D6626" s="43" t="s">
        <v>20</v>
      </c>
      <c r="E6626" s="149">
        <v>1</v>
      </c>
      <c r="F6626" s="27">
        <v>8.4550000000000001</v>
      </c>
      <c r="G6626" s="27">
        <f t="shared" ref="G6626:G6689" si="135">IF(ISNUMBER(F6626),E6626*F6626,"")</f>
        <v>8.4550000000000001</v>
      </c>
      <c r="H6626" s="35">
        <f>SUM(G6626:G6626)</f>
        <v>8.4550000000000001</v>
      </c>
      <c r="I6626" s="36"/>
      <c r="J6626" s="141">
        <v>0</v>
      </c>
    </row>
    <row r="6627" spans="1:10" ht="15.75" hidden="1" thickBot="1" x14ac:dyDescent="0.3">
      <c r="A6627" s="227"/>
      <c r="B6627" s="230"/>
      <c r="C6627" s="51"/>
      <c r="D6627" s="51"/>
      <c r="E6627" s="62"/>
      <c r="F6627" s="63" t="s">
        <v>523</v>
      </c>
      <c r="G6627" s="63" t="str">
        <f t="shared" si="135"/>
        <v/>
      </c>
      <c r="H6627" s="65"/>
      <c r="I6627" s="27"/>
      <c r="J6627" s="141">
        <v>0</v>
      </c>
    </row>
    <row r="6628" spans="1:10" ht="15.75" hidden="1" thickBot="1" x14ac:dyDescent="0.3">
      <c r="A6628" s="225" t="s">
        <v>7032</v>
      </c>
      <c r="B6628" s="228" t="str">
        <f>INDEX(Orçamentária!A:B,MATCH(Composições!A6628,Orçamentária!A:A,0),2)</f>
        <v>Terminal de Ventilação PVC - 75 mm</v>
      </c>
      <c r="C6628" s="37"/>
      <c r="D6628" s="22" t="str">
        <f>TRIM(INDEX(Orçamentária!C:C,MATCH(Composições!A6628,Orçamentária!A:A,0),1))</f>
        <v>un</v>
      </c>
      <c r="E6628" s="23"/>
      <c r="F6628" s="38" t="s">
        <v>523</v>
      </c>
      <c r="G6628" s="24" t="str">
        <f t="shared" si="135"/>
        <v/>
      </c>
      <c r="H6628" s="25"/>
      <c r="I6628" s="26"/>
      <c r="J6628" s="141">
        <v>0</v>
      </c>
    </row>
    <row r="6629" spans="1:10" ht="15.75" hidden="1" thickBot="1" x14ac:dyDescent="0.3">
      <c r="A6629" s="226"/>
      <c r="B6629" s="229"/>
      <c r="C6629" s="28"/>
      <c r="D6629" s="28"/>
      <c r="E6629" s="29"/>
      <c r="F6629" s="39" t="s">
        <v>523</v>
      </c>
      <c r="G6629" s="27" t="str">
        <f t="shared" si="135"/>
        <v/>
      </c>
      <c r="H6629" s="31"/>
      <c r="I6629" s="27"/>
      <c r="J6629" s="141">
        <v>0</v>
      </c>
    </row>
    <row r="6630" spans="1:10" ht="26.25" hidden="1" thickBot="1" x14ac:dyDescent="0.3">
      <c r="A6630" s="226"/>
      <c r="B6630" s="229"/>
      <c r="C6630" s="161" t="s">
        <v>7669</v>
      </c>
      <c r="D6630" s="43" t="s">
        <v>20</v>
      </c>
      <c r="E6630" s="149">
        <v>1</v>
      </c>
      <c r="F6630" s="27">
        <v>14.050499999999998</v>
      </c>
      <c r="G6630" s="27">
        <f t="shared" si="135"/>
        <v>14.050499999999998</v>
      </c>
      <c r="H6630" s="35">
        <f>SUM(G6630:G6630)</f>
        <v>14.050499999999998</v>
      </c>
      <c r="I6630" s="36"/>
      <c r="J6630" s="141">
        <v>0</v>
      </c>
    </row>
    <row r="6631" spans="1:10" ht="15.75" hidden="1" thickBot="1" x14ac:dyDescent="0.3">
      <c r="A6631" s="227"/>
      <c r="B6631" s="230"/>
      <c r="C6631" s="51"/>
      <c r="D6631" s="51"/>
      <c r="E6631" s="62"/>
      <c r="F6631" s="63" t="s">
        <v>523</v>
      </c>
      <c r="G6631" s="63" t="str">
        <f t="shared" si="135"/>
        <v/>
      </c>
      <c r="H6631" s="65"/>
      <c r="I6631" s="27"/>
      <c r="J6631" s="141">
        <v>0</v>
      </c>
    </row>
    <row r="6632" spans="1:10" ht="15.75" hidden="1" thickBot="1" x14ac:dyDescent="0.3">
      <c r="A6632" s="225" t="s">
        <v>7036</v>
      </c>
      <c r="B6632" s="228" t="str">
        <f>INDEX(Orçamentária!A:B,MATCH(Composições!A6632,Orçamentária!A:A,0),2)</f>
        <v>Torneira de Bóia Com Balão Plástico 1 1/2”</v>
      </c>
      <c r="C6632" s="37"/>
      <c r="D6632" s="22" t="str">
        <f>TRIM(INDEX(Orçamentária!C:C,MATCH(Composições!A6632,Orçamentária!A:A,0),1))</f>
        <v>un</v>
      </c>
      <c r="E6632" s="23"/>
      <c r="F6632" s="38" t="s">
        <v>523</v>
      </c>
      <c r="G6632" s="24" t="str">
        <f t="shared" si="135"/>
        <v/>
      </c>
      <c r="H6632" s="25"/>
      <c r="I6632" s="26"/>
      <c r="J6632" s="141">
        <v>0</v>
      </c>
    </row>
    <row r="6633" spans="1:10" ht="15.75" hidden="1" thickBot="1" x14ac:dyDescent="0.3">
      <c r="A6633" s="226"/>
      <c r="B6633" s="229"/>
      <c r="C6633" s="28"/>
      <c r="D6633" s="28"/>
      <c r="E6633" s="29"/>
      <c r="F6633" s="39" t="s">
        <v>523</v>
      </c>
      <c r="G6633" s="27" t="str">
        <f t="shared" si="135"/>
        <v/>
      </c>
      <c r="H6633" s="31"/>
      <c r="I6633" s="27"/>
      <c r="J6633" s="141">
        <v>0</v>
      </c>
    </row>
    <row r="6634" spans="1:10" ht="39" hidden="1" thickBot="1" x14ac:dyDescent="0.3">
      <c r="A6634" s="226"/>
      <c r="B6634" s="229"/>
      <c r="C6634" s="161" t="s">
        <v>7670</v>
      </c>
      <c r="D6634" s="43" t="s">
        <v>20</v>
      </c>
      <c r="E6634" s="149">
        <v>1</v>
      </c>
      <c r="F6634" s="27">
        <v>409.32650000000001</v>
      </c>
      <c r="G6634" s="27">
        <f t="shared" si="135"/>
        <v>409.32650000000001</v>
      </c>
      <c r="H6634" s="35">
        <f>SUM(G6634:G6634)</f>
        <v>409.32650000000001</v>
      </c>
      <c r="I6634" s="36"/>
      <c r="J6634" s="141">
        <v>0</v>
      </c>
    </row>
    <row r="6635" spans="1:10" ht="15.75" hidden="1" thickBot="1" x14ac:dyDescent="0.3">
      <c r="A6635" s="227"/>
      <c r="B6635" s="230"/>
      <c r="C6635" s="51"/>
      <c r="D6635" s="51"/>
      <c r="E6635" s="62"/>
      <c r="F6635" s="63" t="s">
        <v>523</v>
      </c>
      <c r="G6635" s="63" t="str">
        <f t="shared" si="135"/>
        <v/>
      </c>
      <c r="H6635" s="65"/>
      <c r="I6635" s="27"/>
      <c r="J6635" s="141">
        <v>0</v>
      </c>
    </row>
    <row r="6636" spans="1:10" ht="15.75" hidden="1" thickBot="1" x14ac:dyDescent="0.3">
      <c r="A6636" s="225" t="s">
        <v>7038</v>
      </c>
      <c r="B6636" s="228" t="str">
        <f>INDEX(Orçamentária!A:B,MATCH(Composições!A6636,Orçamentária!A:A,0),2)</f>
        <v>Torneira de Bóia Com Balão Plástico 1 1/4”</v>
      </c>
      <c r="C6636" s="37"/>
      <c r="D6636" s="22" t="str">
        <f>TRIM(INDEX(Orçamentária!C:C,MATCH(Composições!A6636,Orçamentária!A:A,0),1))</f>
        <v>un</v>
      </c>
      <c r="E6636" s="23"/>
      <c r="F6636" s="38" t="s">
        <v>523</v>
      </c>
      <c r="G6636" s="24" t="str">
        <f t="shared" si="135"/>
        <v/>
      </c>
      <c r="H6636" s="25"/>
      <c r="I6636" s="26"/>
      <c r="J6636" s="141">
        <v>0</v>
      </c>
    </row>
    <row r="6637" spans="1:10" ht="15.75" hidden="1" thickBot="1" x14ac:dyDescent="0.3">
      <c r="A6637" s="226"/>
      <c r="B6637" s="229"/>
      <c r="C6637" s="28"/>
      <c r="D6637" s="28"/>
      <c r="E6637" s="29"/>
      <c r="F6637" s="39" t="s">
        <v>523</v>
      </c>
      <c r="G6637" s="27" t="str">
        <f t="shared" si="135"/>
        <v/>
      </c>
      <c r="H6637" s="31"/>
      <c r="I6637" s="27"/>
      <c r="J6637" s="141">
        <v>0</v>
      </c>
    </row>
    <row r="6638" spans="1:10" ht="39" hidden="1" thickBot="1" x14ac:dyDescent="0.3">
      <c r="A6638" s="226"/>
      <c r="B6638" s="229"/>
      <c r="C6638" s="161" t="s">
        <v>7671</v>
      </c>
      <c r="D6638" s="43" t="s">
        <v>20</v>
      </c>
      <c r="E6638" s="149">
        <v>1</v>
      </c>
      <c r="F6638" s="27">
        <v>335.83449999999999</v>
      </c>
      <c r="G6638" s="27">
        <f t="shared" si="135"/>
        <v>335.83449999999999</v>
      </c>
      <c r="H6638" s="35">
        <f>SUM(G6638:G6638)</f>
        <v>335.83449999999999</v>
      </c>
      <c r="I6638" s="36"/>
      <c r="J6638" s="141">
        <v>0</v>
      </c>
    </row>
    <row r="6639" spans="1:10" ht="15.75" hidden="1" thickBot="1" x14ac:dyDescent="0.3">
      <c r="A6639" s="227"/>
      <c r="B6639" s="230"/>
      <c r="C6639" s="51"/>
      <c r="D6639" s="51"/>
      <c r="E6639" s="62"/>
      <c r="F6639" s="63" t="s">
        <v>523</v>
      </c>
      <c r="G6639" s="63" t="str">
        <f t="shared" si="135"/>
        <v/>
      </c>
      <c r="H6639" s="65"/>
      <c r="I6639" s="27"/>
      <c r="J6639" s="141">
        <v>0</v>
      </c>
    </row>
    <row r="6640" spans="1:10" ht="15.75" hidden="1" thickBot="1" x14ac:dyDescent="0.3">
      <c r="A6640" s="225" t="s">
        <v>7040</v>
      </c>
      <c r="B6640" s="228" t="str">
        <f>INDEX(Orçamentária!A:B,MATCH(Composições!A6640,Orçamentária!A:A,0),2)</f>
        <v>Torneira de Bóia Com Balão Plástico 1”</v>
      </c>
      <c r="C6640" s="37"/>
      <c r="D6640" s="22" t="str">
        <f>TRIM(INDEX(Orçamentária!C:C,MATCH(Composições!A6640,Orçamentária!A:A,0),1))</f>
        <v>un</v>
      </c>
      <c r="E6640" s="23"/>
      <c r="F6640" s="38" t="s">
        <v>523</v>
      </c>
      <c r="G6640" s="24" t="str">
        <f t="shared" si="135"/>
        <v/>
      </c>
      <c r="H6640" s="25"/>
      <c r="I6640" s="26"/>
      <c r="J6640" s="141">
        <v>0</v>
      </c>
    </row>
    <row r="6641" spans="1:10" ht="15.75" hidden="1" thickBot="1" x14ac:dyDescent="0.3">
      <c r="A6641" s="226"/>
      <c r="B6641" s="229"/>
      <c r="C6641" s="28"/>
      <c r="D6641" s="28"/>
      <c r="E6641" s="29"/>
      <c r="F6641" s="39" t="s">
        <v>523</v>
      </c>
      <c r="G6641" s="27" t="str">
        <f t="shared" si="135"/>
        <v/>
      </c>
      <c r="H6641" s="31"/>
      <c r="I6641" s="27"/>
      <c r="J6641" s="141">
        <v>0</v>
      </c>
    </row>
    <row r="6642" spans="1:10" ht="26.25" hidden="1" thickBot="1" x14ac:dyDescent="0.3">
      <c r="A6642" s="226"/>
      <c r="B6642" s="229"/>
      <c r="C6642" s="161" t="s">
        <v>7673</v>
      </c>
      <c r="D6642" s="43" t="s">
        <v>20</v>
      </c>
      <c r="E6642" s="149">
        <v>1</v>
      </c>
      <c r="F6642" s="27">
        <v>197.18199999999999</v>
      </c>
      <c r="G6642" s="27">
        <f t="shared" si="135"/>
        <v>197.18199999999999</v>
      </c>
      <c r="H6642" s="35">
        <f>SUM(G6642:G6642)</f>
        <v>197.18199999999999</v>
      </c>
      <c r="I6642" s="36"/>
      <c r="J6642" s="141">
        <v>0</v>
      </c>
    </row>
    <row r="6643" spans="1:10" ht="15.75" hidden="1" thickBot="1" x14ac:dyDescent="0.3">
      <c r="A6643" s="227"/>
      <c r="B6643" s="230"/>
      <c r="C6643" s="51"/>
      <c r="D6643" s="51"/>
      <c r="E6643" s="62"/>
      <c r="F6643" s="63" t="s">
        <v>523</v>
      </c>
      <c r="G6643" s="63" t="str">
        <f t="shared" si="135"/>
        <v/>
      </c>
      <c r="H6643" s="65"/>
      <c r="I6643" s="27"/>
      <c r="J6643" s="141">
        <v>0</v>
      </c>
    </row>
    <row r="6644" spans="1:10" ht="15.75" hidden="1" thickBot="1" x14ac:dyDescent="0.3">
      <c r="A6644" s="225" t="s">
        <v>7042</v>
      </c>
      <c r="B6644" s="228" t="str">
        <f>INDEX(Orçamentária!A:B,MATCH(Composições!A6644,Orçamentária!A:A,0),2)</f>
        <v>Torneira de Bóia Com Balão Plástico 2”</v>
      </c>
      <c r="C6644" s="37"/>
      <c r="D6644" s="22" t="str">
        <f>TRIM(INDEX(Orçamentária!C:C,MATCH(Composições!A6644,Orçamentária!A:A,0),1))</f>
        <v>un</v>
      </c>
      <c r="E6644" s="23"/>
      <c r="F6644" s="38" t="s">
        <v>523</v>
      </c>
      <c r="G6644" s="24" t="str">
        <f t="shared" si="135"/>
        <v/>
      </c>
      <c r="H6644" s="25"/>
      <c r="I6644" s="26"/>
      <c r="J6644" s="141">
        <v>0</v>
      </c>
    </row>
    <row r="6645" spans="1:10" ht="15.75" hidden="1" thickBot="1" x14ac:dyDescent="0.3">
      <c r="A6645" s="226"/>
      <c r="B6645" s="229"/>
      <c r="C6645" s="28"/>
      <c r="D6645" s="28"/>
      <c r="E6645" s="29"/>
      <c r="F6645" s="39" t="s">
        <v>523</v>
      </c>
      <c r="G6645" s="27" t="str">
        <f t="shared" si="135"/>
        <v/>
      </c>
      <c r="H6645" s="31"/>
      <c r="I6645" s="27"/>
      <c r="J6645" s="141">
        <v>0</v>
      </c>
    </row>
    <row r="6646" spans="1:10" ht="26.25" hidden="1" thickBot="1" x14ac:dyDescent="0.3">
      <c r="A6646" s="226"/>
      <c r="B6646" s="229"/>
      <c r="C6646" s="161" t="s">
        <v>7674</v>
      </c>
      <c r="D6646" s="43" t="s">
        <v>20</v>
      </c>
      <c r="E6646" s="149">
        <v>1</v>
      </c>
      <c r="F6646" s="27">
        <v>525.18849999999998</v>
      </c>
      <c r="G6646" s="27">
        <f t="shared" si="135"/>
        <v>525.18849999999998</v>
      </c>
      <c r="H6646" s="35">
        <f>SUM(G6646:G6646)</f>
        <v>525.18849999999998</v>
      </c>
      <c r="I6646" s="36"/>
      <c r="J6646" s="141">
        <v>0</v>
      </c>
    </row>
    <row r="6647" spans="1:10" ht="15.75" hidden="1" thickBot="1" x14ac:dyDescent="0.3">
      <c r="A6647" s="227"/>
      <c r="B6647" s="230"/>
      <c r="C6647" s="51"/>
      <c r="D6647" s="51"/>
      <c r="E6647" s="62"/>
      <c r="F6647" s="63" t="s">
        <v>523</v>
      </c>
      <c r="G6647" s="63" t="str">
        <f t="shared" si="135"/>
        <v/>
      </c>
      <c r="H6647" s="65"/>
      <c r="I6647" s="27"/>
      <c r="J6647" s="141">
        <v>0</v>
      </c>
    </row>
    <row r="6648" spans="1:10" ht="15.75" hidden="1" thickBot="1" x14ac:dyDescent="0.3">
      <c r="A6648" s="225" t="s">
        <v>7044</v>
      </c>
      <c r="B6648" s="228" t="str">
        <f>INDEX(Orçamentária!A:B,MATCH(Composições!A6648,Orçamentária!A:A,0),2)</f>
        <v>Torneira de Bóia Com Balão Plástico 3/4”</v>
      </c>
      <c r="C6648" s="37"/>
      <c r="D6648" s="22" t="str">
        <f>TRIM(INDEX(Orçamentária!C:C,MATCH(Composições!A6648,Orçamentária!A:A,0),1))</f>
        <v>un</v>
      </c>
      <c r="E6648" s="23"/>
      <c r="F6648" s="38" t="s">
        <v>523</v>
      </c>
      <c r="G6648" s="24" t="str">
        <f t="shared" si="135"/>
        <v/>
      </c>
      <c r="H6648" s="25"/>
      <c r="I6648" s="26"/>
      <c r="J6648" s="141">
        <v>0</v>
      </c>
    </row>
    <row r="6649" spans="1:10" ht="15.75" hidden="1" thickBot="1" x14ac:dyDescent="0.3">
      <c r="A6649" s="226"/>
      <c r="B6649" s="229"/>
      <c r="C6649" s="28"/>
      <c r="D6649" s="28"/>
      <c r="E6649" s="29"/>
      <c r="F6649" s="39" t="s">
        <v>523</v>
      </c>
      <c r="G6649" s="27" t="str">
        <f t="shared" si="135"/>
        <v/>
      </c>
      <c r="H6649" s="31"/>
      <c r="I6649" s="27"/>
      <c r="J6649" s="141">
        <v>0</v>
      </c>
    </row>
    <row r="6650" spans="1:10" ht="26.25" hidden="1" thickBot="1" x14ac:dyDescent="0.3">
      <c r="A6650" s="226"/>
      <c r="B6650" s="229"/>
      <c r="C6650" s="161" t="s">
        <v>7672</v>
      </c>
      <c r="D6650" s="43" t="s">
        <v>20</v>
      </c>
      <c r="E6650" s="149">
        <v>1</v>
      </c>
      <c r="F6650" s="27">
        <v>87.647000000000006</v>
      </c>
      <c r="G6650" s="27">
        <f t="shared" si="135"/>
        <v>87.647000000000006</v>
      </c>
      <c r="H6650" s="35">
        <f>SUM(G6650:G6650)</f>
        <v>87.647000000000006</v>
      </c>
      <c r="I6650" s="36"/>
      <c r="J6650" s="141">
        <v>0</v>
      </c>
    </row>
    <row r="6651" spans="1:10" ht="15.75" hidden="1" thickBot="1" x14ac:dyDescent="0.3">
      <c r="A6651" s="227"/>
      <c r="B6651" s="230"/>
      <c r="C6651" s="51"/>
      <c r="D6651" s="51"/>
      <c r="E6651" s="62"/>
      <c r="F6651" s="63" t="s">
        <v>523</v>
      </c>
      <c r="G6651" s="63" t="str">
        <f t="shared" si="135"/>
        <v/>
      </c>
      <c r="H6651" s="65"/>
      <c r="I6651" s="27"/>
      <c r="J6651" s="141">
        <v>0</v>
      </c>
    </row>
    <row r="6652" spans="1:10" ht="15.75" hidden="1" thickBot="1" x14ac:dyDescent="0.3">
      <c r="A6652" s="225" t="s">
        <v>7052</v>
      </c>
      <c r="B6652" s="228" t="str">
        <f>INDEX(Orçamentária!A:B,MATCH(Composições!A6652,Orçamentária!A:A,0),2)</f>
        <v>Tubo de cobre classe “E” 22mm</v>
      </c>
      <c r="C6652" s="37"/>
      <c r="D6652" s="22" t="str">
        <f>TRIM(INDEX(Orçamentária!C:C,MATCH(Composições!A6652,Orçamentária!A:A,0),1))</f>
        <v>m</v>
      </c>
      <c r="E6652" s="23"/>
      <c r="F6652" s="38" t="s">
        <v>523</v>
      </c>
      <c r="G6652" s="24" t="str">
        <f t="shared" si="135"/>
        <v/>
      </c>
      <c r="H6652" s="25"/>
      <c r="I6652" s="26"/>
      <c r="J6652" s="141">
        <v>0</v>
      </c>
    </row>
    <row r="6653" spans="1:10" ht="15.75" hidden="1" thickBot="1" x14ac:dyDescent="0.3">
      <c r="A6653" s="226"/>
      <c r="B6653" s="229"/>
      <c r="C6653" s="28"/>
      <c r="D6653" s="28"/>
      <c r="E6653" s="29"/>
      <c r="F6653" s="39" t="s">
        <v>523</v>
      </c>
      <c r="G6653" s="27" t="str">
        <f t="shared" si="135"/>
        <v/>
      </c>
      <c r="H6653" s="31"/>
      <c r="I6653" s="27"/>
      <c r="J6653" s="141">
        <v>0</v>
      </c>
    </row>
    <row r="6654" spans="1:10" ht="26.25" hidden="1" thickBot="1" x14ac:dyDescent="0.3">
      <c r="A6654" s="226"/>
      <c r="B6654" s="229"/>
      <c r="C6654" s="161" t="s">
        <v>955</v>
      </c>
      <c r="D6654" s="43" t="s">
        <v>93</v>
      </c>
      <c r="E6654" s="149">
        <v>1</v>
      </c>
      <c r="F6654" s="27">
        <v>53.7605</v>
      </c>
      <c r="G6654" s="27">
        <f t="shared" si="135"/>
        <v>53.7605</v>
      </c>
      <c r="H6654" s="35">
        <f t="shared" ref="H6654" si="136">SUM(G6654:G6654)</f>
        <v>53.7605</v>
      </c>
      <c r="I6654" s="36"/>
      <c r="J6654" s="141">
        <v>0</v>
      </c>
    </row>
    <row r="6655" spans="1:10" ht="15.75" hidden="1" thickBot="1" x14ac:dyDescent="0.3">
      <c r="A6655" s="227"/>
      <c r="B6655" s="230"/>
      <c r="C6655" s="51"/>
      <c r="D6655" s="51"/>
      <c r="E6655" s="62"/>
      <c r="F6655" s="63" t="s">
        <v>523</v>
      </c>
      <c r="G6655" s="63" t="str">
        <f t="shared" si="135"/>
        <v/>
      </c>
      <c r="H6655" s="65"/>
      <c r="I6655" s="27"/>
      <c r="J6655" s="141">
        <v>0</v>
      </c>
    </row>
    <row r="6656" spans="1:10" ht="15.75" hidden="1" thickBot="1" x14ac:dyDescent="0.3">
      <c r="A6656" s="225" t="s">
        <v>7054</v>
      </c>
      <c r="B6656" s="228" t="str">
        <f>INDEX(Orçamentária!A:B,MATCH(Composições!A6656,Orçamentária!A:A,0),2)</f>
        <v>Tubo de cobre classe “E” 28 mm</v>
      </c>
      <c r="C6656" s="37"/>
      <c r="D6656" s="22" t="str">
        <f>TRIM(INDEX(Orçamentária!C:C,MATCH(Composições!A6656,Orçamentária!A:A,0),1))</f>
        <v>m</v>
      </c>
      <c r="E6656" s="23"/>
      <c r="F6656" s="38" t="s">
        <v>523</v>
      </c>
      <c r="G6656" s="24" t="str">
        <f t="shared" si="135"/>
        <v/>
      </c>
      <c r="H6656" s="25"/>
      <c r="I6656" s="26"/>
      <c r="J6656" s="141">
        <v>0</v>
      </c>
    </row>
    <row r="6657" spans="1:10" ht="15.75" hidden="1" thickBot="1" x14ac:dyDescent="0.3">
      <c r="A6657" s="226"/>
      <c r="B6657" s="229"/>
      <c r="C6657" s="28"/>
      <c r="D6657" s="28"/>
      <c r="E6657" s="29"/>
      <c r="F6657" s="39" t="s">
        <v>523</v>
      </c>
      <c r="G6657" s="27" t="str">
        <f t="shared" si="135"/>
        <v/>
      </c>
      <c r="H6657" s="31"/>
      <c r="I6657" s="27"/>
      <c r="J6657" s="141">
        <v>0</v>
      </c>
    </row>
    <row r="6658" spans="1:10" ht="26.25" hidden="1" thickBot="1" x14ac:dyDescent="0.3">
      <c r="A6658" s="226"/>
      <c r="B6658" s="229"/>
      <c r="C6658" s="161" t="s">
        <v>959</v>
      </c>
      <c r="D6658" s="43" t="s">
        <v>93</v>
      </c>
      <c r="E6658" s="149">
        <v>1</v>
      </c>
      <c r="F6658" s="27">
        <v>68.238500000000002</v>
      </c>
      <c r="G6658" s="27">
        <f t="shared" si="135"/>
        <v>68.238500000000002</v>
      </c>
      <c r="H6658" s="35">
        <f t="shared" ref="H6658" si="137">SUM(G6658:G6658)</f>
        <v>68.238500000000002</v>
      </c>
      <c r="I6658" s="36"/>
      <c r="J6658" s="141">
        <v>0</v>
      </c>
    </row>
    <row r="6659" spans="1:10" ht="15.75" hidden="1" thickBot="1" x14ac:dyDescent="0.3">
      <c r="A6659" s="227"/>
      <c r="B6659" s="230"/>
      <c r="C6659" s="51"/>
      <c r="D6659" s="51"/>
      <c r="E6659" s="62"/>
      <c r="F6659" s="63" t="s">
        <v>523</v>
      </c>
      <c r="G6659" s="63" t="str">
        <f t="shared" si="135"/>
        <v/>
      </c>
      <c r="H6659" s="65"/>
      <c r="I6659" s="27"/>
      <c r="J6659" s="141">
        <v>0</v>
      </c>
    </row>
    <row r="6660" spans="1:10" ht="15.75" hidden="1" thickBot="1" x14ac:dyDescent="0.3">
      <c r="A6660" s="225" t="s">
        <v>7056</v>
      </c>
      <c r="B6660" s="228" t="str">
        <f>INDEX(Orçamentária!A:B,MATCH(Composições!A6660,Orçamentária!A:A,0),2)</f>
        <v>Tubo de cobre classe “E” 42mm</v>
      </c>
      <c r="C6660" s="37"/>
      <c r="D6660" s="22" t="str">
        <f>TRIM(INDEX(Orçamentária!C:C,MATCH(Composições!A6660,Orçamentária!A:A,0),1))</f>
        <v>m</v>
      </c>
      <c r="E6660" s="23"/>
      <c r="F6660" s="38" t="s">
        <v>523</v>
      </c>
      <c r="G6660" s="24" t="str">
        <f t="shared" si="135"/>
        <v/>
      </c>
      <c r="H6660" s="25"/>
      <c r="I6660" s="26"/>
      <c r="J6660" s="141">
        <v>0</v>
      </c>
    </row>
    <row r="6661" spans="1:10" ht="15.75" hidden="1" thickBot="1" x14ac:dyDescent="0.3">
      <c r="A6661" s="226"/>
      <c r="B6661" s="229"/>
      <c r="C6661" s="28"/>
      <c r="D6661" s="28"/>
      <c r="E6661" s="29"/>
      <c r="F6661" s="39" t="s">
        <v>523</v>
      </c>
      <c r="G6661" s="27" t="str">
        <f t="shared" si="135"/>
        <v/>
      </c>
      <c r="H6661" s="31"/>
      <c r="I6661" s="27"/>
      <c r="J6661" s="141">
        <v>0</v>
      </c>
    </row>
    <row r="6662" spans="1:10" ht="26.25" hidden="1" thickBot="1" x14ac:dyDescent="0.3">
      <c r="A6662" s="226"/>
      <c r="B6662" s="229"/>
      <c r="C6662" s="161" t="s">
        <v>961</v>
      </c>
      <c r="D6662" s="43" t="s">
        <v>93</v>
      </c>
      <c r="E6662" s="149">
        <v>1</v>
      </c>
      <c r="F6662" s="27">
        <v>133.80749999999998</v>
      </c>
      <c r="G6662" s="27">
        <f t="shared" si="135"/>
        <v>133.80749999999998</v>
      </c>
      <c r="H6662" s="35">
        <f t="shared" ref="H6662" si="138">SUM(G6662:G6662)</f>
        <v>133.80749999999998</v>
      </c>
      <c r="I6662" s="36"/>
      <c r="J6662" s="141">
        <v>0</v>
      </c>
    </row>
    <row r="6663" spans="1:10" ht="15.75" hidden="1" thickBot="1" x14ac:dyDescent="0.3">
      <c r="A6663" s="227"/>
      <c r="B6663" s="230"/>
      <c r="C6663" s="51"/>
      <c r="D6663" s="51"/>
      <c r="E6663" s="62"/>
      <c r="F6663" s="63" t="s">
        <v>523</v>
      </c>
      <c r="G6663" s="63" t="str">
        <f t="shared" si="135"/>
        <v/>
      </c>
      <c r="H6663" s="65"/>
      <c r="I6663" s="27"/>
      <c r="J6663" s="141">
        <v>0</v>
      </c>
    </row>
    <row r="6664" spans="1:10" ht="15.75" hidden="1" thickBot="1" x14ac:dyDescent="0.3">
      <c r="A6664" s="225" t="s">
        <v>7058</v>
      </c>
      <c r="B6664" s="228" t="str">
        <f>INDEX(Orçamentária!A:B,MATCH(Composições!A6664,Orçamentária!A:A,0),2)</f>
        <v>Tubo de cobre classe “E” 35mm</v>
      </c>
      <c r="C6664" s="37"/>
      <c r="D6664" s="22" t="str">
        <f>TRIM(INDEX(Orçamentária!C:C,MATCH(Composições!A6664,Orçamentária!A:A,0),1))</f>
        <v>m</v>
      </c>
      <c r="E6664" s="23"/>
      <c r="F6664" s="38" t="s">
        <v>523</v>
      </c>
      <c r="G6664" s="24" t="str">
        <f t="shared" si="135"/>
        <v/>
      </c>
      <c r="H6664" s="25"/>
      <c r="I6664" s="26"/>
      <c r="J6664" s="141">
        <v>0</v>
      </c>
    </row>
    <row r="6665" spans="1:10" ht="15.75" hidden="1" thickBot="1" x14ac:dyDescent="0.3">
      <c r="A6665" s="226"/>
      <c r="B6665" s="229"/>
      <c r="C6665" s="28"/>
      <c r="D6665" s="28"/>
      <c r="E6665" s="29"/>
      <c r="F6665" s="39" t="s">
        <v>523</v>
      </c>
      <c r="G6665" s="27" t="str">
        <f t="shared" si="135"/>
        <v/>
      </c>
      <c r="H6665" s="31"/>
      <c r="I6665" s="27"/>
      <c r="J6665" s="141">
        <v>0</v>
      </c>
    </row>
    <row r="6666" spans="1:10" ht="26.25" hidden="1" thickBot="1" x14ac:dyDescent="0.3">
      <c r="A6666" s="226"/>
      <c r="B6666" s="229"/>
      <c r="C6666" s="161" t="s">
        <v>7679</v>
      </c>
      <c r="D6666" s="43" t="s">
        <v>93</v>
      </c>
      <c r="E6666" s="149">
        <v>1</v>
      </c>
      <c r="F6666" s="27">
        <v>99.094499999999996</v>
      </c>
      <c r="G6666" s="27">
        <f t="shared" si="135"/>
        <v>99.094499999999996</v>
      </c>
      <c r="H6666" s="35">
        <f t="shared" ref="H6666" si="139">SUM(G6666:G6666)</f>
        <v>99.094499999999996</v>
      </c>
      <c r="I6666" s="36"/>
      <c r="J6666" s="141">
        <v>0</v>
      </c>
    </row>
    <row r="6667" spans="1:10" ht="15.75" hidden="1" thickBot="1" x14ac:dyDescent="0.3">
      <c r="A6667" s="227"/>
      <c r="B6667" s="230"/>
      <c r="C6667" s="51"/>
      <c r="D6667" s="51"/>
      <c r="E6667" s="62"/>
      <c r="F6667" s="63" t="s">
        <v>523</v>
      </c>
      <c r="G6667" s="63" t="str">
        <f t="shared" si="135"/>
        <v/>
      </c>
      <c r="H6667" s="65"/>
      <c r="I6667" s="27"/>
      <c r="J6667" s="141">
        <v>0</v>
      </c>
    </row>
    <row r="6668" spans="1:10" ht="15.75" hidden="1" thickBot="1" x14ac:dyDescent="0.3">
      <c r="A6668" s="225" t="s">
        <v>7060</v>
      </c>
      <c r="B6668" s="228" t="str">
        <f>INDEX(Orçamentária!A:B,MATCH(Composições!A6668,Orçamentária!A:A,0),2)</f>
        <v>Tubo de cobre classe “E” 54mm</v>
      </c>
      <c r="C6668" s="37"/>
      <c r="D6668" s="22" t="str">
        <f>TRIM(INDEX(Orçamentária!C:C,MATCH(Composições!A6668,Orçamentária!A:A,0),1))</f>
        <v>m</v>
      </c>
      <c r="E6668" s="23"/>
      <c r="F6668" s="38" t="s">
        <v>523</v>
      </c>
      <c r="G6668" s="24" t="str">
        <f t="shared" si="135"/>
        <v/>
      </c>
      <c r="H6668" s="25"/>
      <c r="I6668" s="26"/>
      <c r="J6668" s="141">
        <v>0</v>
      </c>
    </row>
    <row r="6669" spans="1:10" ht="15.75" hidden="1" thickBot="1" x14ac:dyDescent="0.3">
      <c r="A6669" s="226"/>
      <c r="B6669" s="229"/>
      <c r="C6669" s="28"/>
      <c r="D6669" s="28"/>
      <c r="E6669" s="29"/>
      <c r="F6669" s="39" t="s">
        <v>523</v>
      </c>
      <c r="G6669" s="27" t="str">
        <f t="shared" si="135"/>
        <v/>
      </c>
      <c r="H6669" s="31"/>
      <c r="I6669" s="27"/>
      <c r="J6669" s="141">
        <v>0</v>
      </c>
    </row>
    <row r="6670" spans="1:10" ht="26.25" hidden="1" thickBot="1" x14ac:dyDescent="0.3">
      <c r="A6670" s="226"/>
      <c r="B6670" s="229"/>
      <c r="C6670" s="161" t="s">
        <v>7680</v>
      </c>
      <c r="D6670" s="43" t="s">
        <v>93</v>
      </c>
      <c r="E6670" s="149">
        <v>1</v>
      </c>
      <c r="F6670" s="27">
        <v>194.0565</v>
      </c>
      <c r="G6670" s="27">
        <f t="shared" si="135"/>
        <v>194.0565</v>
      </c>
      <c r="H6670" s="35">
        <f t="shared" ref="H6670" si="140">SUM(G6670:G6670)</f>
        <v>194.0565</v>
      </c>
      <c r="I6670" s="36"/>
      <c r="J6670" s="141">
        <v>0</v>
      </c>
    </row>
    <row r="6671" spans="1:10" ht="15.75" hidden="1" thickBot="1" x14ac:dyDescent="0.3">
      <c r="A6671" s="227"/>
      <c r="B6671" s="230"/>
      <c r="C6671" s="51"/>
      <c r="D6671" s="51"/>
      <c r="E6671" s="62"/>
      <c r="F6671" s="63" t="s">
        <v>523</v>
      </c>
      <c r="G6671" s="63" t="str">
        <f t="shared" si="135"/>
        <v/>
      </c>
      <c r="H6671" s="65"/>
      <c r="I6671" s="27"/>
      <c r="J6671" s="141">
        <v>0</v>
      </c>
    </row>
    <row r="6672" spans="1:10" ht="15.75" hidden="1" thickBot="1" x14ac:dyDescent="0.3">
      <c r="A6672" s="225" t="s">
        <v>7062</v>
      </c>
      <c r="B6672" s="228" t="str">
        <f>INDEX(Orçamentária!A:B,MATCH(Composições!A6672,Orçamentária!A:A,0),2)</f>
        <v>Tubo de cobre classe “E” 66mm</v>
      </c>
      <c r="C6672" s="37"/>
      <c r="D6672" s="22" t="str">
        <f>TRIM(INDEX(Orçamentária!C:C,MATCH(Composições!A6672,Orçamentária!A:A,0),1))</f>
        <v>m</v>
      </c>
      <c r="E6672" s="23"/>
      <c r="F6672" s="38" t="s">
        <v>523</v>
      </c>
      <c r="G6672" s="24" t="str">
        <f t="shared" si="135"/>
        <v/>
      </c>
      <c r="H6672" s="25"/>
      <c r="I6672" s="26"/>
      <c r="J6672" s="141">
        <v>0</v>
      </c>
    </row>
    <row r="6673" spans="1:10" ht="15.75" hidden="1" thickBot="1" x14ac:dyDescent="0.3">
      <c r="A6673" s="226"/>
      <c r="B6673" s="229"/>
      <c r="C6673" s="28"/>
      <c r="D6673" s="28"/>
      <c r="E6673" s="29"/>
      <c r="F6673" s="39" t="s">
        <v>523</v>
      </c>
      <c r="G6673" s="27" t="str">
        <f t="shared" si="135"/>
        <v/>
      </c>
      <c r="H6673" s="31"/>
      <c r="I6673" s="27"/>
      <c r="J6673" s="141">
        <v>0</v>
      </c>
    </row>
    <row r="6674" spans="1:10" ht="26.25" hidden="1" thickBot="1" x14ac:dyDescent="0.3">
      <c r="A6674" s="226"/>
      <c r="B6674" s="229"/>
      <c r="C6674" s="161" t="s">
        <v>7681</v>
      </c>
      <c r="D6674" s="43" t="s">
        <v>93</v>
      </c>
      <c r="E6674" s="149">
        <v>1</v>
      </c>
      <c r="F6674" s="27">
        <v>273.39099999999996</v>
      </c>
      <c r="G6674" s="27">
        <f t="shared" si="135"/>
        <v>273.39099999999996</v>
      </c>
      <c r="H6674" s="35">
        <f t="shared" ref="H6674" si="141">SUM(G6674:G6674)</f>
        <v>273.39099999999996</v>
      </c>
      <c r="I6674" s="36"/>
      <c r="J6674" s="141">
        <v>0</v>
      </c>
    </row>
    <row r="6675" spans="1:10" ht="15.75" hidden="1" thickBot="1" x14ac:dyDescent="0.3">
      <c r="A6675" s="227"/>
      <c r="B6675" s="230"/>
      <c r="C6675" s="51"/>
      <c r="D6675" s="51"/>
      <c r="E6675" s="62"/>
      <c r="F6675" s="63" t="s">
        <v>523</v>
      </c>
      <c r="G6675" s="63" t="str">
        <f t="shared" si="135"/>
        <v/>
      </c>
      <c r="H6675" s="65"/>
      <c r="I6675" s="27"/>
      <c r="J6675" s="141">
        <v>0</v>
      </c>
    </row>
    <row r="6676" spans="1:10" ht="15.75" hidden="1" thickBot="1" x14ac:dyDescent="0.3">
      <c r="A6676" s="225" t="s">
        <v>7064</v>
      </c>
      <c r="B6676" s="228" t="str">
        <f>INDEX(Orçamentária!A:B,MATCH(Composições!A6676,Orçamentária!A:A,0),2)</f>
        <v>Tubo de cobre classe “E” 79mm</v>
      </c>
      <c r="C6676" s="37"/>
      <c r="D6676" s="22" t="str">
        <f>TRIM(INDEX(Orçamentária!C:C,MATCH(Composições!A6676,Orçamentária!A:A,0),1))</f>
        <v>m</v>
      </c>
      <c r="E6676" s="23"/>
      <c r="F6676" s="38" t="s">
        <v>523</v>
      </c>
      <c r="G6676" s="24" t="str">
        <f t="shared" si="135"/>
        <v/>
      </c>
      <c r="H6676" s="25"/>
      <c r="I6676" s="26"/>
      <c r="J6676" s="141">
        <v>0</v>
      </c>
    </row>
    <row r="6677" spans="1:10" ht="15.75" hidden="1" thickBot="1" x14ac:dyDescent="0.3">
      <c r="A6677" s="226"/>
      <c r="B6677" s="229"/>
      <c r="C6677" s="28"/>
      <c r="D6677" s="28"/>
      <c r="E6677" s="29"/>
      <c r="F6677" s="39" t="s">
        <v>523</v>
      </c>
      <c r="G6677" s="27" t="str">
        <f t="shared" si="135"/>
        <v/>
      </c>
      <c r="H6677" s="31"/>
      <c r="I6677" s="27"/>
      <c r="J6677" s="141">
        <v>0</v>
      </c>
    </row>
    <row r="6678" spans="1:10" ht="26.25" hidden="1" thickBot="1" x14ac:dyDescent="0.3">
      <c r="A6678" s="226"/>
      <c r="B6678" s="229"/>
      <c r="C6678" s="161" t="s">
        <v>7682</v>
      </c>
      <c r="D6678" s="43" t="s">
        <v>93</v>
      </c>
      <c r="E6678" s="149">
        <v>1</v>
      </c>
      <c r="F6678" s="27">
        <v>399.65549999999996</v>
      </c>
      <c r="G6678" s="27">
        <f t="shared" si="135"/>
        <v>399.65549999999996</v>
      </c>
      <c r="H6678" s="35">
        <f t="shared" ref="H6678" si="142">SUM(G6678:G6678)</f>
        <v>399.65549999999996</v>
      </c>
      <c r="I6678" s="36"/>
      <c r="J6678" s="141">
        <v>0</v>
      </c>
    </row>
    <row r="6679" spans="1:10" ht="15.75" hidden="1" thickBot="1" x14ac:dyDescent="0.3">
      <c r="A6679" s="227"/>
      <c r="B6679" s="230"/>
      <c r="C6679" s="51"/>
      <c r="D6679" s="51"/>
      <c r="E6679" s="62"/>
      <c r="F6679" s="63" t="s">
        <v>523</v>
      </c>
      <c r="G6679" s="63" t="str">
        <f t="shared" si="135"/>
        <v/>
      </c>
      <c r="H6679" s="65"/>
      <c r="I6679" s="27"/>
      <c r="J6679" s="141">
        <v>0</v>
      </c>
    </row>
    <row r="6680" spans="1:10" ht="15.75" hidden="1" thickBot="1" x14ac:dyDescent="0.3">
      <c r="A6680" s="225" t="s">
        <v>7066</v>
      </c>
      <c r="B6680" s="228" t="str">
        <f>INDEX(Orçamentária!A:B,MATCH(Composições!A6680,Orçamentária!A:A,0),2)</f>
        <v>Tubo de cobre classe “E” 104mm</v>
      </c>
      <c r="C6680" s="37"/>
      <c r="D6680" s="22" t="str">
        <f>TRIM(INDEX(Orçamentária!C:C,MATCH(Composições!A6680,Orçamentária!A:A,0),1))</f>
        <v>m</v>
      </c>
      <c r="E6680" s="23"/>
      <c r="F6680" s="38" t="s">
        <v>523</v>
      </c>
      <c r="G6680" s="24" t="str">
        <f t="shared" si="135"/>
        <v/>
      </c>
      <c r="H6680" s="25"/>
      <c r="I6680" s="26"/>
      <c r="J6680" s="141">
        <v>0</v>
      </c>
    </row>
    <row r="6681" spans="1:10" ht="15.75" hidden="1" thickBot="1" x14ac:dyDescent="0.3">
      <c r="A6681" s="226"/>
      <c r="B6681" s="229"/>
      <c r="C6681" s="28"/>
      <c r="D6681" s="28"/>
      <c r="E6681" s="29"/>
      <c r="F6681" s="39" t="s">
        <v>523</v>
      </c>
      <c r="G6681" s="27" t="str">
        <f t="shared" si="135"/>
        <v/>
      </c>
      <c r="H6681" s="31"/>
      <c r="I6681" s="27"/>
      <c r="J6681" s="141">
        <v>0</v>
      </c>
    </row>
    <row r="6682" spans="1:10" ht="26.25" hidden="1" thickBot="1" x14ac:dyDescent="0.3">
      <c r="A6682" s="226"/>
      <c r="B6682" s="229"/>
      <c r="C6682" s="161" t="s">
        <v>7678</v>
      </c>
      <c r="D6682" s="43" t="s">
        <v>93</v>
      </c>
      <c r="E6682" s="149">
        <v>1</v>
      </c>
      <c r="F6682" s="27">
        <v>589.31349999999998</v>
      </c>
      <c r="G6682" s="27">
        <f t="shared" si="135"/>
        <v>589.31349999999998</v>
      </c>
      <c r="H6682" s="35">
        <f t="shared" ref="H6682" si="143">SUM(G6682:G6682)</f>
        <v>589.31349999999998</v>
      </c>
      <c r="I6682" s="36"/>
      <c r="J6682" s="141">
        <v>0</v>
      </c>
    </row>
    <row r="6683" spans="1:10" ht="15.75" hidden="1" thickBot="1" x14ac:dyDescent="0.3">
      <c r="A6683" s="227"/>
      <c r="B6683" s="230"/>
      <c r="C6683" s="51"/>
      <c r="D6683" s="51"/>
      <c r="E6683" s="62"/>
      <c r="F6683" s="63" t="s">
        <v>523</v>
      </c>
      <c r="G6683" s="63" t="str">
        <f t="shared" si="135"/>
        <v/>
      </c>
      <c r="H6683" s="65"/>
      <c r="I6683" s="27"/>
      <c r="J6683" s="141">
        <v>0</v>
      </c>
    </row>
    <row r="6684" spans="1:10" ht="15.75" hidden="1" thickBot="1" x14ac:dyDescent="0.3">
      <c r="A6684" s="225" t="s">
        <v>7068</v>
      </c>
      <c r="B6684" s="228" t="str">
        <f>INDEX(Orçamentária!A:B,MATCH(Composições!A6684,Orçamentária!A:A,0),2)</f>
        <v>Tubo CPVC soldável 22 mm – Linha Residencial</v>
      </c>
      <c r="C6684" s="37"/>
      <c r="D6684" s="22" t="str">
        <f>TRIM(INDEX(Orçamentária!C:C,MATCH(Composições!A6684,Orçamentária!A:A,0),1))</f>
        <v>m</v>
      </c>
      <c r="E6684" s="23"/>
      <c r="F6684" s="38" t="s">
        <v>523</v>
      </c>
      <c r="G6684" s="24" t="str">
        <f t="shared" si="135"/>
        <v/>
      </c>
      <c r="H6684" s="25"/>
      <c r="I6684" s="26"/>
      <c r="J6684" s="141">
        <v>0</v>
      </c>
    </row>
    <row r="6685" spans="1:10" ht="15.75" hidden="1" thickBot="1" x14ac:dyDescent="0.3">
      <c r="A6685" s="226"/>
      <c r="B6685" s="229"/>
      <c r="C6685" s="28"/>
      <c r="D6685" s="28"/>
      <c r="E6685" s="29"/>
      <c r="F6685" s="39" t="s">
        <v>523</v>
      </c>
      <c r="G6685" s="27" t="str">
        <f t="shared" si="135"/>
        <v/>
      </c>
      <c r="H6685" s="31"/>
      <c r="I6685" s="27"/>
      <c r="J6685" s="141">
        <v>0</v>
      </c>
    </row>
    <row r="6686" spans="1:10" ht="15.75" hidden="1" thickBot="1" x14ac:dyDescent="0.3">
      <c r="A6686" s="226"/>
      <c r="B6686" s="229"/>
      <c r="C6686" s="161" t="s">
        <v>3390</v>
      </c>
      <c r="D6686" s="43" t="s">
        <v>93</v>
      </c>
      <c r="E6686" s="149">
        <v>1</v>
      </c>
      <c r="F6686" s="27">
        <v>15.798499999999999</v>
      </c>
      <c r="G6686" s="27">
        <f t="shared" si="135"/>
        <v>15.798499999999999</v>
      </c>
      <c r="H6686" s="35">
        <f t="shared" ref="H6686" si="144">SUM(G6686:G6686)</f>
        <v>15.798499999999999</v>
      </c>
      <c r="I6686" s="36"/>
      <c r="J6686" s="141">
        <v>0</v>
      </c>
    </row>
    <row r="6687" spans="1:10" ht="15.75" hidden="1" thickBot="1" x14ac:dyDescent="0.3">
      <c r="A6687" s="227"/>
      <c r="B6687" s="230"/>
      <c r="C6687" s="51"/>
      <c r="D6687" s="51"/>
      <c r="E6687" s="62"/>
      <c r="F6687" s="63" t="s">
        <v>523</v>
      </c>
      <c r="G6687" s="63" t="str">
        <f t="shared" si="135"/>
        <v/>
      </c>
      <c r="H6687" s="65"/>
      <c r="I6687" s="27"/>
      <c r="J6687" s="141">
        <v>0</v>
      </c>
    </row>
    <row r="6688" spans="1:10" ht="15.75" hidden="1" thickBot="1" x14ac:dyDescent="0.3">
      <c r="A6688" s="225" t="s">
        <v>7070</v>
      </c>
      <c r="B6688" s="228" t="str">
        <f>INDEX(Orçamentária!A:B,MATCH(Composições!A6688,Orçamentária!A:A,0),2)</f>
        <v>Tubo CPVC soldável 28 mm  – Linha Residencial</v>
      </c>
      <c r="C6688" s="37"/>
      <c r="D6688" s="22" t="str">
        <f>TRIM(INDEX(Orçamentária!C:C,MATCH(Composições!A6688,Orçamentária!A:A,0),1))</f>
        <v>m</v>
      </c>
      <c r="E6688" s="23"/>
      <c r="F6688" s="38" t="s">
        <v>523</v>
      </c>
      <c r="G6688" s="24" t="str">
        <f t="shared" si="135"/>
        <v/>
      </c>
      <c r="H6688" s="25"/>
      <c r="I6688" s="26"/>
      <c r="J6688" s="141">
        <v>0</v>
      </c>
    </row>
    <row r="6689" spans="1:10" ht="15.75" hidden="1" thickBot="1" x14ac:dyDescent="0.3">
      <c r="A6689" s="226"/>
      <c r="B6689" s="229"/>
      <c r="C6689" s="28"/>
      <c r="D6689" s="28"/>
      <c r="E6689" s="29"/>
      <c r="F6689" s="39" t="s">
        <v>523</v>
      </c>
      <c r="G6689" s="27" t="str">
        <f t="shared" si="135"/>
        <v/>
      </c>
      <c r="H6689" s="31"/>
      <c r="I6689" s="27"/>
      <c r="J6689" s="141">
        <v>0</v>
      </c>
    </row>
    <row r="6690" spans="1:10" ht="15.75" hidden="1" thickBot="1" x14ac:dyDescent="0.3">
      <c r="A6690" s="226"/>
      <c r="B6690" s="229"/>
      <c r="C6690" s="161" t="s">
        <v>3391</v>
      </c>
      <c r="D6690" s="43" t="s">
        <v>93</v>
      </c>
      <c r="E6690" s="149">
        <v>1</v>
      </c>
      <c r="F6690" s="27">
        <v>25.355499999999999</v>
      </c>
      <c r="G6690" s="27">
        <f t="shared" ref="G6690:G6753" si="145">IF(ISNUMBER(F6690),E6690*F6690,"")</f>
        <v>25.355499999999999</v>
      </c>
      <c r="H6690" s="35">
        <f t="shared" ref="H6690" si="146">SUM(G6690:G6690)</f>
        <v>25.355499999999999</v>
      </c>
      <c r="I6690" s="36"/>
      <c r="J6690" s="141">
        <v>0</v>
      </c>
    </row>
    <row r="6691" spans="1:10" ht="15.75" hidden="1" thickBot="1" x14ac:dyDescent="0.3">
      <c r="A6691" s="227"/>
      <c r="B6691" s="230"/>
      <c r="C6691" s="51"/>
      <c r="D6691" s="51"/>
      <c r="E6691" s="62"/>
      <c r="F6691" s="63" t="s">
        <v>523</v>
      </c>
      <c r="G6691" s="63" t="str">
        <f t="shared" si="145"/>
        <v/>
      </c>
      <c r="H6691" s="65"/>
      <c r="I6691" s="27"/>
      <c r="J6691" s="141">
        <v>0</v>
      </c>
    </row>
    <row r="6692" spans="1:10" ht="15.75" hidden="1" thickBot="1" x14ac:dyDescent="0.3">
      <c r="A6692" s="225" t="s">
        <v>7072</v>
      </c>
      <c r="B6692" s="228" t="str">
        <f>INDEX(Orçamentária!A:B,MATCH(Composições!A6692,Orçamentária!A:A,0),2)</f>
        <v>Tubo de aço-carbono galvanizado 1 1/4” – Água Potável e Combate a Incêndio</v>
      </c>
      <c r="C6692" s="37"/>
      <c r="D6692" s="22" t="str">
        <f>TRIM(INDEX(Orçamentária!C:C,MATCH(Composições!A6692,Orçamentária!A:A,0),1))</f>
        <v>m</v>
      </c>
      <c r="E6692" s="23"/>
      <c r="F6692" s="38" t="s">
        <v>523</v>
      </c>
      <c r="G6692" s="24" t="str">
        <f t="shared" si="145"/>
        <v/>
      </c>
      <c r="H6692" s="25"/>
      <c r="I6692" s="26"/>
      <c r="J6692" s="141">
        <v>0</v>
      </c>
    </row>
    <row r="6693" spans="1:10" ht="15.75" hidden="1" thickBot="1" x14ac:dyDescent="0.3">
      <c r="A6693" s="226"/>
      <c r="B6693" s="229"/>
      <c r="C6693" s="28"/>
      <c r="D6693" s="28"/>
      <c r="E6693" s="29"/>
      <c r="F6693" s="39" t="s">
        <v>523</v>
      </c>
      <c r="G6693" s="27" t="str">
        <f t="shared" si="145"/>
        <v/>
      </c>
      <c r="H6693" s="31"/>
      <c r="I6693" s="27"/>
      <c r="J6693" s="141">
        <v>0</v>
      </c>
    </row>
    <row r="6694" spans="1:10" ht="26.25" hidden="1" thickBot="1" x14ac:dyDescent="0.3">
      <c r="A6694" s="226"/>
      <c r="B6694" s="229"/>
      <c r="C6694" s="161" t="s">
        <v>7726</v>
      </c>
      <c r="D6694" s="43" t="s">
        <v>93</v>
      </c>
      <c r="E6694" s="149">
        <v>1</v>
      </c>
      <c r="F6694" s="27">
        <v>58.111499999999999</v>
      </c>
      <c r="G6694" s="27">
        <f t="shared" si="145"/>
        <v>58.111499999999999</v>
      </c>
      <c r="H6694" s="35">
        <f t="shared" ref="H6694" si="147">SUM(G6694:G6694)</f>
        <v>58.111499999999999</v>
      </c>
      <c r="I6694" s="36"/>
      <c r="J6694" s="141">
        <v>0</v>
      </c>
    </row>
    <row r="6695" spans="1:10" ht="15.75" hidden="1" thickBot="1" x14ac:dyDescent="0.3">
      <c r="A6695" s="227"/>
      <c r="B6695" s="230"/>
      <c r="C6695" s="51"/>
      <c r="D6695" s="51"/>
      <c r="E6695" s="62"/>
      <c r="F6695" s="63" t="s">
        <v>523</v>
      </c>
      <c r="G6695" s="63" t="str">
        <f t="shared" si="145"/>
        <v/>
      </c>
      <c r="H6695" s="65"/>
      <c r="I6695" s="27"/>
      <c r="J6695" s="141">
        <v>0</v>
      </c>
    </row>
    <row r="6696" spans="1:10" ht="15.75" hidden="1" thickBot="1" x14ac:dyDescent="0.3">
      <c r="A6696" s="225" t="s">
        <v>7074</v>
      </c>
      <c r="B6696" s="228" t="str">
        <f>INDEX(Orçamentária!A:B,MATCH(Composições!A6696,Orçamentária!A:A,0),2)</f>
        <v>Tubo de aço-carbono galvanizado 1/2” – Água Potável e Combate a Incêndio</v>
      </c>
      <c r="C6696" s="37"/>
      <c r="D6696" s="22" t="str">
        <f>TRIM(INDEX(Orçamentária!C:C,MATCH(Composições!A6696,Orçamentária!A:A,0),1))</f>
        <v>m</v>
      </c>
      <c r="E6696" s="23"/>
      <c r="F6696" s="38" t="s">
        <v>523</v>
      </c>
      <c r="G6696" s="24" t="str">
        <f t="shared" si="145"/>
        <v/>
      </c>
      <c r="H6696" s="25"/>
      <c r="I6696" s="26"/>
      <c r="J6696" s="141">
        <v>0</v>
      </c>
    </row>
    <row r="6697" spans="1:10" ht="15.75" hidden="1" thickBot="1" x14ac:dyDescent="0.3">
      <c r="A6697" s="226"/>
      <c r="B6697" s="229"/>
      <c r="C6697" s="28"/>
      <c r="D6697" s="28"/>
      <c r="E6697" s="29"/>
      <c r="F6697" s="39" t="s">
        <v>523</v>
      </c>
      <c r="G6697" s="27" t="str">
        <f t="shared" si="145"/>
        <v/>
      </c>
      <c r="H6697" s="31"/>
      <c r="I6697" s="27"/>
      <c r="J6697" s="141">
        <v>0</v>
      </c>
    </row>
    <row r="6698" spans="1:10" ht="26.25" hidden="1" thickBot="1" x14ac:dyDescent="0.3">
      <c r="A6698" s="226"/>
      <c r="B6698" s="229"/>
      <c r="C6698" s="161" t="s">
        <v>7727</v>
      </c>
      <c r="D6698" s="43" t="s">
        <v>93</v>
      </c>
      <c r="E6698" s="149">
        <v>1</v>
      </c>
      <c r="F6698" s="27">
        <v>22.8095</v>
      </c>
      <c r="G6698" s="27">
        <f t="shared" si="145"/>
        <v>22.8095</v>
      </c>
      <c r="H6698" s="35">
        <f t="shared" ref="H6698" si="148">SUM(G6698:G6698)</f>
        <v>22.8095</v>
      </c>
      <c r="I6698" s="36"/>
      <c r="J6698" s="141">
        <v>0</v>
      </c>
    </row>
    <row r="6699" spans="1:10" ht="15.75" hidden="1" thickBot="1" x14ac:dyDescent="0.3">
      <c r="A6699" s="227"/>
      <c r="B6699" s="230"/>
      <c r="C6699" s="51"/>
      <c r="D6699" s="51"/>
      <c r="E6699" s="62"/>
      <c r="F6699" s="63" t="s">
        <v>523</v>
      </c>
      <c r="G6699" s="63" t="str">
        <f t="shared" si="145"/>
        <v/>
      </c>
      <c r="H6699" s="65"/>
      <c r="I6699" s="27"/>
      <c r="J6699" s="141">
        <v>0</v>
      </c>
    </row>
    <row r="6700" spans="1:10" ht="15.75" hidden="1" thickBot="1" x14ac:dyDescent="0.3">
      <c r="A6700" s="225" t="s">
        <v>7076</v>
      </c>
      <c r="B6700" s="228" t="str">
        <f>INDEX(Orçamentária!A:B,MATCH(Composições!A6700,Orçamentária!A:A,0),2)</f>
        <v>Tubo de aço-carbono galvanizado 3/4” – Água Potável e Combate a Incêndio</v>
      </c>
      <c r="C6700" s="37"/>
      <c r="D6700" s="22" t="str">
        <f>TRIM(INDEX(Orçamentária!C:C,MATCH(Composições!A6700,Orçamentária!A:A,0),1))</f>
        <v>m</v>
      </c>
      <c r="E6700" s="23"/>
      <c r="F6700" s="38" t="s">
        <v>523</v>
      </c>
      <c r="G6700" s="24" t="str">
        <f t="shared" si="145"/>
        <v/>
      </c>
      <c r="H6700" s="25"/>
      <c r="I6700" s="26"/>
      <c r="J6700" s="141">
        <v>0</v>
      </c>
    </row>
    <row r="6701" spans="1:10" ht="15.75" hidden="1" thickBot="1" x14ac:dyDescent="0.3">
      <c r="A6701" s="226"/>
      <c r="B6701" s="229"/>
      <c r="C6701" s="28"/>
      <c r="D6701" s="28"/>
      <c r="E6701" s="29"/>
      <c r="F6701" s="39" t="s">
        <v>523</v>
      </c>
      <c r="G6701" s="27" t="str">
        <f t="shared" si="145"/>
        <v/>
      </c>
      <c r="H6701" s="31"/>
      <c r="I6701" s="27"/>
      <c r="J6701" s="141">
        <v>0</v>
      </c>
    </row>
    <row r="6702" spans="1:10" ht="26.25" hidden="1" thickBot="1" x14ac:dyDescent="0.3">
      <c r="A6702" s="226"/>
      <c r="B6702" s="229"/>
      <c r="C6702" s="161" t="s">
        <v>7728</v>
      </c>
      <c r="D6702" s="43" t="s">
        <v>93</v>
      </c>
      <c r="E6702" s="149">
        <v>1</v>
      </c>
      <c r="F6702" s="27">
        <v>29.696999999999999</v>
      </c>
      <c r="G6702" s="27">
        <f t="shared" si="145"/>
        <v>29.696999999999999</v>
      </c>
      <c r="H6702" s="35">
        <f t="shared" ref="H6702" si="149">SUM(G6702:G6702)</f>
        <v>29.696999999999999</v>
      </c>
      <c r="I6702" s="36"/>
      <c r="J6702" s="141">
        <v>0</v>
      </c>
    </row>
    <row r="6703" spans="1:10" ht="15.75" hidden="1" thickBot="1" x14ac:dyDescent="0.3">
      <c r="A6703" s="227"/>
      <c r="B6703" s="230"/>
      <c r="C6703" s="51"/>
      <c r="D6703" s="51"/>
      <c r="E6703" s="62"/>
      <c r="F6703" s="63" t="s">
        <v>523</v>
      </c>
      <c r="G6703" s="63" t="str">
        <f t="shared" si="145"/>
        <v/>
      </c>
      <c r="H6703" s="65"/>
      <c r="I6703" s="27"/>
      <c r="J6703" s="141">
        <v>0</v>
      </c>
    </row>
    <row r="6704" spans="1:10" ht="15.75" hidden="1" thickBot="1" x14ac:dyDescent="0.3">
      <c r="A6704" s="225" t="s">
        <v>7078</v>
      </c>
      <c r="B6704" s="228" t="str">
        <f>INDEX(Orçamentária!A:B,MATCH(Composições!A6704,Orçamentária!A:A,0),2)</f>
        <v>Tubo de aço-carbono galvanizado 1” – Água Potável e Combate a Incêndio</v>
      </c>
      <c r="C6704" s="37"/>
      <c r="D6704" s="22" t="str">
        <f>TRIM(INDEX(Orçamentária!C:C,MATCH(Composições!A6704,Orçamentária!A:A,0),1))</f>
        <v>m</v>
      </c>
      <c r="E6704" s="23"/>
      <c r="F6704" s="38" t="s">
        <v>523</v>
      </c>
      <c r="G6704" s="24" t="str">
        <f t="shared" si="145"/>
        <v/>
      </c>
      <c r="H6704" s="25"/>
      <c r="I6704" s="26"/>
      <c r="J6704" s="141">
        <v>0</v>
      </c>
    </row>
    <row r="6705" spans="1:10" ht="15.75" hidden="1" thickBot="1" x14ac:dyDescent="0.3">
      <c r="A6705" s="226"/>
      <c r="B6705" s="229"/>
      <c r="C6705" s="28"/>
      <c r="D6705" s="28"/>
      <c r="E6705" s="29"/>
      <c r="F6705" s="39" t="s">
        <v>523</v>
      </c>
      <c r="G6705" s="27" t="str">
        <f t="shared" si="145"/>
        <v/>
      </c>
      <c r="H6705" s="31"/>
      <c r="I6705" s="27"/>
      <c r="J6705" s="141">
        <v>0</v>
      </c>
    </row>
    <row r="6706" spans="1:10" ht="26.25" hidden="1" thickBot="1" x14ac:dyDescent="0.3">
      <c r="A6706" s="226"/>
      <c r="B6706" s="229"/>
      <c r="C6706" s="161" t="s">
        <v>7729</v>
      </c>
      <c r="D6706" s="43" t="s">
        <v>93</v>
      </c>
      <c r="E6706" s="149">
        <v>1</v>
      </c>
      <c r="F6706" s="27">
        <v>39.871499999999997</v>
      </c>
      <c r="G6706" s="27">
        <f t="shared" si="145"/>
        <v>39.871499999999997</v>
      </c>
      <c r="H6706" s="35">
        <f t="shared" ref="H6706" si="150">SUM(G6706:G6706)</f>
        <v>39.871499999999997</v>
      </c>
      <c r="I6706" s="36"/>
      <c r="J6706" s="141">
        <v>0</v>
      </c>
    </row>
    <row r="6707" spans="1:10" ht="15.75" hidden="1" thickBot="1" x14ac:dyDescent="0.3">
      <c r="A6707" s="227"/>
      <c r="B6707" s="230"/>
      <c r="C6707" s="51"/>
      <c r="D6707" s="51"/>
      <c r="E6707" s="62"/>
      <c r="F6707" s="63" t="s">
        <v>523</v>
      </c>
      <c r="G6707" s="63" t="str">
        <f t="shared" si="145"/>
        <v/>
      </c>
      <c r="H6707" s="65"/>
      <c r="I6707" s="27"/>
      <c r="J6707" s="141">
        <v>0</v>
      </c>
    </row>
    <row r="6708" spans="1:10" ht="15.75" hidden="1" thickBot="1" x14ac:dyDescent="0.3">
      <c r="A6708" s="225" t="s">
        <v>7080</v>
      </c>
      <c r="B6708" s="228" t="str">
        <f>INDEX(Orçamentária!A:B,MATCH(Composições!A6708,Orçamentária!A:A,0),2)</f>
        <v>Tubo de aço-carbono galvanizado 2” – Água Potável e Combate a Incêndio</v>
      </c>
      <c r="C6708" s="37"/>
      <c r="D6708" s="22" t="str">
        <f>TRIM(INDEX(Orçamentária!C:C,MATCH(Composições!A6708,Orçamentária!A:A,0),1))</f>
        <v>m</v>
      </c>
      <c r="E6708" s="23"/>
      <c r="F6708" s="38" t="s">
        <v>523</v>
      </c>
      <c r="G6708" s="24" t="str">
        <f t="shared" si="145"/>
        <v/>
      </c>
      <c r="H6708" s="25"/>
      <c r="I6708" s="26"/>
      <c r="J6708" s="141">
        <v>0</v>
      </c>
    </row>
    <row r="6709" spans="1:10" ht="15.75" hidden="1" thickBot="1" x14ac:dyDescent="0.3">
      <c r="A6709" s="226"/>
      <c r="B6709" s="229"/>
      <c r="C6709" s="28"/>
      <c r="D6709" s="28"/>
      <c r="E6709" s="29"/>
      <c r="F6709" s="39" t="s">
        <v>523</v>
      </c>
      <c r="G6709" s="27" t="str">
        <f t="shared" si="145"/>
        <v/>
      </c>
      <c r="H6709" s="31"/>
      <c r="I6709" s="27"/>
      <c r="J6709" s="141">
        <v>0</v>
      </c>
    </row>
    <row r="6710" spans="1:10" ht="26.25" hidden="1" thickBot="1" x14ac:dyDescent="0.3">
      <c r="A6710" s="226"/>
      <c r="B6710" s="229"/>
      <c r="C6710" s="161" t="s">
        <v>7730</v>
      </c>
      <c r="D6710" s="43" t="s">
        <v>93</v>
      </c>
      <c r="E6710" s="149">
        <v>1</v>
      </c>
      <c r="F6710" s="27">
        <v>83.799499999999995</v>
      </c>
      <c r="G6710" s="27">
        <f t="shared" si="145"/>
        <v>83.799499999999995</v>
      </c>
      <c r="H6710" s="35">
        <f t="shared" ref="H6710" si="151">SUM(G6710:G6710)</f>
        <v>83.799499999999995</v>
      </c>
      <c r="I6710" s="36"/>
      <c r="J6710" s="141">
        <v>0</v>
      </c>
    </row>
    <row r="6711" spans="1:10" ht="15.75" hidden="1" thickBot="1" x14ac:dyDescent="0.3">
      <c r="A6711" s="227"/>
      <c r="B6711" s="230"/>
      <c r="C6711" s="51"/>
      <c r="D6711" s="51"/>
      <c r="E6711" s="62"/>
      <c r="F6711" s="63" t="s">
        <v>523</v>
      </c>
      <c r="G6711" s="63" t="str">
        <f t="shared" si="145"/>
        <v/>
      </c>
      <c r="H6711" s="65"/>
      <c r="I6711" s="27"/>
      <c r="J6711" s="141">
        <v>0</v>
      </c>
    </row>
    <row r="6712" spans="1:10" ht="15.75" hidden="1" thickBot="1" x14ac:dyDescent="0.3">
      <c r="A6712" s="225" t="s">
        <v>7082</v>
      </c>
      <c r="B6712" s="228" t="str">
        <f>INDEX(Orçamentária!A:B,MATCH(Composições!A6712,Orçamentária!A:A,0),2)</f>
        <v>Tubo de aço-carbono galvanizado 2 1/2” – Água Potável e Combate a Incêndio</v>
      </c>
      <c r="C6712" s="37"/>
      <c r="D6712" s="22" t="str">
        <f>TRIM(INDEX(Orçamentária!C:C,MATCH(Composições!A6712,Orçamentária!A:A,0),1))</f>
        <v>m</v>
      </c>
      <c r="E6712" s="23"/>
      <c r="F6712" s="38" t="s">
        <v>523</v>
      </c>
      <c r="G6712" s="24" t="str">
        <f t="shared" si="145"/>
        <v/>
      </c>
      <c r="H6712" s="25"/>
      <c r="I6712" s="26"/>
      <c r="J6712" s="141">
        <v>0</v>
      </c>
    </row>
    <row r="6713" spans="1:10" ht="15.75" hidden="1" thickBot="1" x14ac:dyDescent="0.3">
      <c r="A6713" s="226"/>
      <c r="B6713" s="229"/>
      <c r="C6713" s="28"/>
      <c r="D6713" s="28"/>
      <c r="E6713" s="29"/>
      <c r="F6713" s="39" t="s">
        <v>523</v>
      </c>
      <c r="G6713" s="27" t="str">
        <f t="shared" si="145"/>
        <v/>
      </c>
      <c r="H6713" s="31"/>
      <c r="I6713" s="27"/>
      <c r="J6713" s="141">
        <v>0</v>
      </c>
    </row>
    <row r="6714" spans="1:10" ht="26.25" hidden="1" thickBot="1" x14ac:dyDescent="0.3">
      <c r="A6714" s="226"/>
      <c r="B6714" s="229"/>
      <c r="C6714" s="161" t="s">
        <v>7731</v>
      </c>
      <c r="D6714" s="43" t="s">
        <v>93</v>
      </c>
      <c r="E6714" s="149">
        <v>1</v>
      </c>
      <c r="F6714" s="27">
        <v>117.2585</v>
      </c>
      <c r="G6714" s="27">
        <f t="shared" si="145"/>
        <v>117.2585</v>
      </c>
      <c r="H6714" s="35">
        <f t="shared" ref="H6714" si="152">SUM(G6714:G6714)</f>
        <v>117.2585</v>
      </c>
      <c r="I6714" s="36"/>
      <c r="J6714" s="141">
        <v>0</v>
      </c>
    </row>
    <row r="6715" spans="1:10" ht="15.75" hidden="1" thickBot="1" x14ac:dyDescent="0.3">
      <c r="A6715" s="227"/>
      <c r="B6715" s="230"/>
      <c r="C6715" s="51"/>
      <c r="D6715" s="51"/>
      <c r="E6715" s="62"/>
      <c r="F6715" s="63" t="s">
        <v>523</v>
      </c>
      <c r="G6715" s="63" t="str">
        <f t="shared" si="145"/>
        <v/>
      </c>
      <c r="H6715" s="65"/>
      <c r="I6715" s="27"/>
      <c r="J6715" s="141">
        <v>0</v>
      </c>
    </row>
    <row r="6716" spans="1:10" ht="15.75" hidden="1" thickBot="1" x14ac:dyDescent="0.3">
      <c r="A6716" s="225" t="s">
        <v>7084</v>
      </c>
      <c r="B6716" s="228" t="str">
        <f>INDEX(Orçamentária!A:B,MATCH(Composições!A6716,Orçamentária!A:A,0),2)</f>
        <v>Tubo de aço-carbono galvanizado 3” – Água Potável e Combate a Incêndio</v>
      </c>
      <c r="C6716" s="37"/>
      <c r="D6716" s="22" t="str">
        <f>TRIM(INDEX(Orçamentária!C:C,MATCH(Composições!A6716,Orçamentária!A:A,0),1))</f>
        <v>m</v>
      </c>
      <c r="E6716" s="23"/>
      <c r="F6716" s="38" t="s">
        <v>523</v>
      </c>
      <c r="G6716" s="24" t="str">
        <f t="shared" si="145"/>
        <v/>
      </c>
      <c r="H6716" s="25"/>
      <c r="I6716" s="26"/>
      <c r="J6716" s="141">
        <v>0</v>
      </c>
    </row>
    <row r="6717" spans="1:10" ht="15.75" hidden="1" thickBot="1" x14ac:dyDescent="0.3">
      <c r="A6717" s="226"/>
      <c r="B6717" s="229"/>
      <c r="C6717" s="28"/>
      <c r="D6717" s="28"/>
      <c r="E6717" s="29"/>
      <c r="F6717" s="39" t="s">
        <v>523</v>
      </c>
      <c r="G6717" s="27" t="str">
        <f t="shared" si="145"/>
        <v/>
      </c>
      <c r="H6717" s="31"/>
      <c r="I6717" s="27"/>
      <c r="J6717" s="141">
        <v>0</v>
      </c>
    </row>
    <row r="6718" spans="1:10" ht="26.25" hidden="1" thickBot="1" x14ac:dyDescent="0.3">
      <c r="A6718" s="226"/>
      <c r="B6718" s="229"/>
      <c r="C6718" s="161" t="s">
        <v>7732</v>
      </c>
      <c r="D6718" s="43" t="s">
        <v>93</v>
      </c>
      <c r="E6718" s="149">
        <v>1</v>
      </c>
      <c r="F6718" s="27">
        <v>134.71</v>
      </c>
      <c r="G6718" s="27">
        <f t="shared" si="145"/>
        <v>134.71</v>
      </c>
      <c r="H6718" s="35">
        <f t="shared" ref="H6718" si="153">SUM(G6718:G6718)</f>
        <v>134.71</v>
      </c>
      <c r="I6718" s="36"/>
      <c r="J6718" s="141">
        <v>0</v>
      </c>
    </row>
    <row r="6719" spans="1:10" ht="15.75" hidden="1" thickBot="1" x14ac:dyDescent="0.3">
      <c r="A6719" s="227"/>
      <c r="B6719" s="230"/>
      <c r="C6719" s="51"/>
      <c r="D6719" s="51"/>
      <c r="E6719" s="62"/>
      <c r="F6719" s="63" t="s">
        <v>523</v>
      </c>
      <c r="G6719" s="63" t="str">
        <f t="shared" si="145"/>
        <v/>
      </c>
      <c r="H6719" s="65"/>
      <c r="I6719" s="27"/>
      <c r="J6719" s="141">
        <v>0</v>
      </c>
    </row>
    <row r="6720" spans="1:10" ht="15.75" hidden="1" thickBot="1" x14ac:dyDescent="0.3">
      <c r="A6720" s="225" t="s">
        <v>7086</v>
      </c>
      <c r="B6720" s="228" t="str">
        <f>INDEX(Orçamentária!A:B,MATCH(Composições!A6720,Orçamentária!A:A,0),2)</f>
        <v>Niple de aço-carbono galvanizado 2”</v>
      </c>
      <c r="C6720" s="37"/>
      <c r="D6720" s="22" t="str">
        <f>TRIM(INDEX(Orçamentária!C:C,MATCH(Composições!A6720,Orçamentária!A:A,0),1))</f>
        <v>un</v>
      </c>
      <c r="E6720" s="23"/>
      <c r="F6720" s="38" t="s">
        <v>523</v>
      </c>
      <c r="G6720" s="24" t="str">
        <f t="shared" si="145"/>
        <v/>
      </c>
      <c r="H6720" s="25"/>
      <c r="I6720" s="26"/>
      <c r="J6720" s="141">
        <v>0</v>
      </c>
    </row>
    <row r="6721" spans="1:10" ht="15.75" hidden="1" thickBot="1" x14ac:dyDescent="0.3">
      <c r="A6721" s="226"/>
      <c r="B6721" s="229"/>
      <c r="C6721" s="28"/>
      <c r="D6721" s="28"/>
      <c r="E6721" s="29"/>
      <c r="F6721" s="39" t="s">
        <v>523</v>
      </c>
      <c r="G6721" s="27" t="str">
        <f t="shared" si="145"/>
        <v/>
      </c>
      <c r="H6721" s="31"/>
      <c r="I6721" s="27"/>
      <c r="J6721" s="141">
        <v>0</v>
      </c>
    </row>
    <row r="6722" spans="1:10" ht="15.75" hidden="1" thickBot="1" x14ac:dyDescent="0.3">
      <c r="A6722" s="226"/>
      <c r="B6722" s="229"/>
      <c r="C6722" s="161" t="s">
        <v>7626</v>
      </c>
      <c r="D6722" s="43" t="s">
        <v>20</v>
      </c>
      <c r="E6722" s="149">
        <v>1</v>
      </c>
      <c r="F6722" s="27">
        <v>35.0075</v>
      </c>
      <c r="G6722" s="27">
        <f t="shared" si="145"/>
        <v>35.0075</v>
      </c>
      <c r="H6722" s="35">
        <f t="shared" ref="H6722" si="154">SUM(G6722:G6722)</f>
        <v>35.0075</v>
      </c>
      <c r="I6722" s="36"/>
      <c r="J6722" s="141">
        <v>0</v>
      </c>
    </row>
    <row r="6723" spans="1:10" ht="15.75" hidden="1" thickBot="1" x14ac:dyDescent="0.3">
      <c r="A6723" s="227"/>
      <c r="B6723" s="230"/>
      <c r="C6723" s="51"/>
      <c r="D6723" s="51"/>
      <c r="E6723" s="62"/>
      <c r="F6723" s="63" t="s">
        <v>523</v>
      </c>
      <c r="G6723" s="63" t="str">
        <f t="shared" si="145"/>
        <v/>
      </c>
      <c r="H6723" s="65"/>
      <c r="I6723" s="27"/>
      <c r="J6723" s="141">
        <v>0</v>
      </c>
    </row>
    <row r="6724" spans="1:10" ht="15.75" hidden="1" thickBot="1" x14ac:dyDescent="0.3">
      <c r="A6724" s="225" t="s">
        <v>7088</v>
      </c>
      <c r="B6724" s="228" t="str">
        <f>INDEX(Orçamentária!A:B,MATCH(Composições!A6724,Orçamentária!A:A,0),2)</f>
        <v>Niple de aço-carbono galvanizado 2 1/2”</v>
      </c>
      <c r="C6724" s="37"/>
      <c r="D6724" s="22" t="str">
        <f>TRIM(INDEX(Orçamentária!C:C,MATCH(Composições!A6724,Orçamentária!A:A,0),1))</f>
        <v>un</v>
      </c>
      <c r="E6724" s="23"/>
      <c r="F6724" s="38" t="s">
        <v>523</v>
      </c>
      <c r="G6724" s="24" t="str">
        <f t="shared" si="145"/>
        <v/>
      </c>
      <c r="H6724" s="25"/>
      <c r="I6724" s="26"/>
      <c r="J6724" s="141">
        <v>0</v>
      </c>
    </row>
    <row r="6725" spans="1:10" ht="15.75" hidden="1" thickBot="1" x14ac:dyDescent="0.3">
      <c r="A6725" s="226"/>
      <c r="B6725" s="229"/>
      <c r="C6725" s="28"/>
      <c r="D6725" s="28"/>
      <c r="E6725" s="29"/>
      <c r="F6725" s="39" t="s">
        <v>523</v>
      </c>
      <c r="G6725" s="27" t="str">
        <f t="shared" si="145"/>
        <v/>
      </c>
      <c r="H6725" s="31"/>
      <c r="I6725" s="27"/>
      <c r="J6725" s="141">
        <v>0</v>
      </c>
    </row>
    <row r="6726" spans="1:10" ht="15.75" hidden="1" thickBot="1" x14ac:dyDescent="0.3">
      <c r="A6726" s="226"/>
      <c r="B6726" s="229"/>
      <c r="C6726" s="161" t="s">
        <v>7625</v>
      </c>
      <c r="D6726" s="43" t="s">
        <v>20</v>
      </c>
      <c r="E6726" s="149">
        <v>1</v>
      </c>
      <c r="F6726" s="27">
        <v>53.58</v>
      </c>
      <c r="G6726" s="27">
        <f t="shared" si="145"/>
        <v>53.58</v>
      </c>
      <c r="H6726" s="35">
        <f t="shared" ref="H6726" si="155">SUM(G6726:G6726)</f>
        <v>53.58</v>
      </c>
      <c r="I6726" s="36"/>
      <c r="J6726" s="141">
        <v>0</v>
      </c>
    </row>
    <row r="6727" spans="1:10" ht="15.75" hidden="1" thickBot="1" x14ac:dyDescent="0.3">
      <c r="A6727" s="227"/>
      <c r="B6727" s="230"/>
      <c r="C6727" s="51"/>
      <c r="D6727" s="51"/>
      <c r="E6727" s="62"/>
      <c r="F6727" s="63" t="s">
        <v>523</v>
      </c>
      <c r="G6727" s="63" t="str">
        <f t="shared" si="145"/>
        <v/>
      </c>
      <c r="H6727" s="65"/>
      <c r="I6727" s="27"/>
      <c r="J6727" s="141">
        <v>0</v>
      </c>
    </row>
    <row r="6728" spans="1:10" ht="15.75" hidden="1" thickBot="1" x14ac:dyDescent="0.3">
      <c r="A6728" s="225" t="s">
        <v>7090</v>
      </c>
      <c r="B6728" s="228" t="str">
        <f>INDEX(Orçamentária!A:B,MATCH(Composições!A6728,Orçamentária!A:A,0),2)</f>
        <v>Niple de aço-carbono galvanizado 3”</v>
      </c>
      <c r="C6728" s="37"/>
      <c r="D6728" s="22" t="str">
        <f>TRIM(INDEX(Orçamentária!C:C,MATCH(Composições!A6728,Orçamentária!A:A,0),1))</f>
        <v>un</v>
      </c>
      <c r="E6728" s="23"/>
      <c r="F6728" s="38" t="s">
        <v>523</v>
      </c>
      <c r="G6728" s="24" t="str">
        <f t="shared" si="145"/>
        <v/>
      </c>
      <c r="H6728" s="25"/>
      <c r="I6728" s="26"/>
      <c r="J6728" s="141">
        <v>0</v>
      </c>
    </row>
    <row r="6729" spans="1:10" ht="15.75" hidden="1" thickBot="1" x14ac:dyDescent="0.3">
      <c r="A6729" s="226"/>
      <c r="B6729" s="229"/>
      <c r="C6729" s="28"/>
      <c r="D6729" s="28"/>
      <c r="E6729" s="29"/>
      <c r="F6729" s="39" t="s">
        <v>523</v>
      </c>
      <c r="G6729" s="27" t="str">
        <f t="shared" si="145"/>
        <v/>
      </c>
      <c r="H6729" s="31"/>
      <c r="I6729" s="27"/>
      <c r="J6729" s="141">
        <v>0</v>
      </c>
    </row>
    <row r="6730" spans="1:10" ht="15.75" hidden="1" thickBot="1" x14ac:dyDescent="0.3">
      <c r="A6730" s="226"/>
      <c r="B6730" s="229"/>
      <c r="C6730" s="161" t="s">
        <v>7627</v>
      </c>
      <c r="D6730" s="43" t="s">
        <v>20</v>
      </c>
      <c r="E6730" s="149">
        <v>1</v>
      </c>
      <c r="F6730" s="27">
        <v>87.162499999999994</v>
      </c>
      <c r="G6730" s="27">
        <f t="shared" si="145"/>
        <v>87.162499999999994</v>
      </c>
      <c r="H6730" s="35">
        <f t="shared" ref="H6730" si="156">SUM(G6730:G6730)</f>
        <v>87.162499999999994</v>
      </c>
      <c r="I6730" s="36"/>
      <c r="J6730" s="141">
        <v>0</v>
      </c>
    </row>
    <row r="6731" spans="1:10" ht="15.75" hidden="1" thickBot="1" x14ac:dyDescent="0.3">
      <c r="A6731" s="227"/>
      <c r="B6731" s="230"/>
      <c r="C6731" s="51"/>
      <c r="D6731" s="51"/>
      <c r="E6731" s="62"/>
      <c r="F6731" s="63" t="s">
        <v>523</v>
      </c>
      <c r="G6731" s="63" t="str">
        <f t="shared" si="145"/>
        <v/>
      </c>
      <c r="H6731" s="65"/>
      <c r="I6731" s="27"/>
      <c r="J6731" s="141">
        <v>0</v>
      </c>
    </row>
    <row r="6732" spans="1:10" ht="15.75" hidden="1" thickBot="1" x14ac:dyDescent="0.3">
      <c r="A6732" s="225" t="s">
        <v>7096</v>
      </c>
      <c r="B6732" s="228" t="str">
        <f>INDEX(Orçamentária!A:B,MATCH(Composições!A6732,Orçamentária!A:A,0),2)</f>
        <v>Tubo PVC esgoto DN 300 mm - Ocre</v>
      </c>
      <c r="C6732" s="37"/>
      <c r="D6732" s="22" t="str">
        <f>TRIM(INDEX(Orçamentária!C:C,MATCH(Composições!A6732,Orçamentária!A:A,0),1))</f>
        <v>m</v>
      </c>
      <c r="E6732" s="23"/>
      <c r="F6732" s="38" t="s">
        <v>523</v>
      </c>
      <c r="G6732" s="24" t="str">
        <f t="shared" si="145"/>
        <v/>
      </c>
      <c r="H6732" s="25"/>
      <c r="I6732" s="26"/>
      <c r="J6732" s="141">
        <v>0</v>
      </c>
    </row>
    <row r="6733" spans="1:10" ht="15.75" hidden="1" thickBot="1" x14ac:dyDescent="0.3">
      <c r="A6733" s="226"/>
      <c r="B6733" s="229"/>
      <c r="C6733" s="28"/>
      <c r="D6733" s="28"/>
      <c r="E6733" s="29"/>
      <c r="F6733" s="39" t="s">
        <v>523</v>
      </c>
      <c r="G6733" s="27" t="str">
        <f t="shared" si="145"/>
        <v/>
      </c>
      <c r="H6733" s="31"/>
      <c r="I6733" s="27"/>
      <c r="J6733" s="141">
        <v>0</v>
      </c>
    </row>
    <row r="6734" spans="1:10" ht="15.75" hidden="1" thickBot="1" x14ac:dyDescent="0.3">
      <c r="A6734" s="226"/>
      <c r="B6734" s="229"/>
      <c r="C6734" s="161" t="s">
        <v>7677</v>
      </c>
      <c r="D6734" s="43" t="s">
        <v>93</v>
      </c>
      <c r="E6734" s="149">
        <v>1</v>
      </c>
      <c r="F6734" s="27">
        <v>350.74949999999995</v>
      </c>
      <c r="G6734" s="27">
        <f t="shared" si="145"/>
        <v>350.74949999999995</v>
      </c>
      <c r="H6734" s="35">
        <f t="shared" ref="H6734" si="157">SUM(G6734:G6734)</f>
        <v>350.74949999999995</v>
      </c>
      <c r="I6734" s="36"/>
      <c r="J6734" s="141">
        <v>0</v>
      </c>
    </row>
    <row r="6735" spans="1:10" ht="15.75" hidden="1" thickBot="1" x14ac:dyDescent="0.3">
      <c r="A6735" s="227"/>
      <c r="B6735" s="230"/>
      <c r="C6735" s="51"/>
      <c r="D6735" s="51"/>
      <c r="E6735" s="62"/>
      <c r="F6735" s="63" t="s">
        <v>523</v>
      </c>
      <c r="G6735" s="63" t="str">
        <f t="shared" si="145"/>
        <v/>
      </c>
      <c r="H6735" s="65"/>
      <c r="I6735" s="27"/>
      <c r="J6735" s="141">
        <v>0</v>
      </c>
    </row>
    <row r="6736" spans="1:10" ht="15.75" hidden="1" thickBot="1" x14ac:dyDescent="0.3">
      <c r="A6736" s="225" t="s">
        <v>7098</v>
      </c>
      <c r="B6736" s="228" t="str">
        <f>INDEX(Orçamentária!A:B,MATCH(Composições!A6736,Orçamentária!A:A,0),2)</f>
        <v>Tubo PVC esgoto ou águas pluviais predial DN 100mm</v>
      </c>
      <c r="C6736" s="37"/>
      <c r="D6736" s="22" t="str">
        <f>TRIM(INDEX(Orçamentária!C:C,MATCH(Composições!A6736,Orçamentária!A:A,0),1))</f>
        <v>m</v>
      </c>
      <c r="E6736" s="23"/>
      <c r="F6736" s="38" t="s">
        <v>523</v>
      </c>
      <c r="G6736" s="24" t="str">
        <f t="shared" si="145"/>
        <v/>
      </c>
      <c r="H6736" s="25"/>
      <c r="I6736" s="26"/>
      <c r="J6736" s="141">
        <v>0</v>
      </c>
    </row>
    <row r="6737" spans="1:10" ht="15.75" hidden="1" thickBot="1" x14ac:dyDescent="0.3">
      <c r="A6737" s="226"/>
      <c r="B6737" s="229"/>
      <c r="C6737" s="28"/>
      <c r="D6737" s="28"/>
      <c r="E6737" s="29"/>
      <c r="F6737" s="39" t="s">
        <v>523</v>
      </c>
      <c r="G6737" s="27" t="str">
        <f t="shared" si="145"/>
        <v/>
      </c>
      <c r="H6737" s="31"/>
      <c r="I6737" s="27"/>
      <c r="J6737" s="141">
        <v>0</v>
      </c>
    </row>
    <row r="6738" spans="1:10" ht="26.25" hidden="1" thickBot="1" x14ac:dyDescent="0.3">
      <c r="A6738" s="226"/>
      <c r="B6738" s="229"/>
      <c r="C6738" s="161" t="s">
        <v>7733</v>
      </c>
      <c r="D6738" s="43" t="s">
        <v>93</v>
      </c>
      <c r="E6738" s="149">
        <v>1</v>
      </c>
      <c r="F6738" s="27">
        <v>18.012</v>
      </c>
      <c r="G6738" s="27">
        <f t="shared" si="145"/>
        <v>18.012</v>
      </c>
      <c r="H6738" s="35">
        <f t="shared" ref="H6738" si="158">SUM(G6738:G6738)</f>
        <v>18.012</v>
      </c>
      <c r="I6738" s="36"/>
      <c r="J6738" s="141">
        <v>0</v>
      </c>
    </row>
    <row r="6739" spans="1:10" ht="15.75" hidden="1" thickBot="1" x14ac:dyDescent="0.3">
      <c r="A6739" s="227"/>
      <c r="B6739" s="230"/>
      <c r="C6739" s="51"/>
      <c r="D6739" s="51"/>
      <c r="E6739" s="62"/>
      <c r="F6739" s="63" t="s">
        <v>523</v>
      </c>
      <c r="G6739" s="63" t="str">
        <f t="shared" si="145"/>
        <v/>
      </c>
      <c r="H6739" s="65"/>
      <c r="I6739" s="27"/>
      <c r="J6739" s="141">
        <v>0</v>
      </c>
    </row>
    <row r="6740" spans="1:10" ht="15.75" hidden="1" thickBot="1" x14ac:dyDescent="0.3">
      <c r="A6740" s="225" t="s">
        <v>7100</v>
      </c>
      <c r="B6740" s="228" t="str">
        <f>INDEX(Orçamentária!A:B,MATCH(Composições!A6740,Orçamentária!A:A,0),2)</f>
        <v>Tubo PVC esgoto ou águas pluviais predial DN 150mm</v>
      </c>
      <c r="C6740" s="37"/>
      <c r="D6740" s="22" t="str">
        <f>TRIM(INDEX(Orçamentária!C:C,MATCH(Composições!A6740,Orçamentária!A:A,0),1))</f>
        <v>m</v>
      </c>
      <c r="E6740" s="23"/>
      <c r="F6740" s="38" t="s">
        <v>523</v>
      </c>
      <c r="G6740" s="24" t="str">
        <f t="shared" si="145"/>
        <v/>
      </c>
      <c r="H6740" s="25"/>
      <c r="I6740" s="26"/>
      <c r="J6740" s="141">
        <v>0</v>
      </c>
    </row>
    <row r="6741" spans="1:10" ht="15.75" hidden="1" thickBot="1" x14ac:dyDescent="0.3">
      <c r="A6741" s="226"/>
      <c r="B6741" s="229"/>
      <c r="C6741" s="28"/>
      <c r="D6741" s="28"/>
      <c r="E6741" s="29"/>
      <c r="F6741" s="39" t="s">
        <v>523</v>
      </c>
      <c r="G6741" s="27" t="str">
        <f t="shared" si="145"/>
        <v/>
      </c>
      <c r="H6741" s="31"/>
      <c r="I6741" s="27"/>
      <c r="J6741" s="141">
        <v>0</v>
      </c>
    </row>
    <row r="6742" spans="1:10" ht="26.25" hidden="1" thickBot="1" x14ac:dyDescent="0.3">
      <c r="A6742" s="226"/>
      <c r="B6742" s="229"/>
      <c r="C6742" s="161" t="s">
        <v>7737</v>
      </c>
      <c r="D6742" s="43" t="s">
        <v>93</v>
      </c>
      <c r="E6742" s="149">
        <v>1</v>
      </c>
      <c r="F6742" s="27">
        <v>46.074999999999996</v>
      </c>
      <c r="G6742" s="27">
        <f t="shared" si="145"/>
        <v>46.074999999999996</v>
      </c>
      <c r="H6742" s="35">
        <f t="shared" ref="H6742" si="159">SUM(G6742:G6742)</f>
        <v>46.074999999999996</v>
      </c>
      <c r="I6742" s="36"/>
      <c r="J6742" s="141">
        <v>0</v>
      </c>
    </row>
    <row r="6743" spans="1:10" ht="15.75" hidden="1" thickBot="1" x14ac:dyDescent="0.3">
      <c r="A6743" s="227"/>
      <c r="B6743" s="230"/>
      <c r="C6743" s="51"/>
      <c r="D6743" s="51"/>
      <c r="E6743" s="62"/>
      <c r="F6743" s="63" t="s">
        <v>523</v>
      </c>
      <c r="G6743" s="63" t="str">
        <f t="shared" si="145"/>
        <v/>
      </c>
      <c r="H6743" s="65"/>
      <c r="I6743" s="27"/>
      <c r="J6743" s="141">
        <v>0</v>
      </c>
    </row>
    <row r="6744" spans="1:10" ht="15.75" hidden="1" thickBot="1" x14ac:dyDescent="0.3">
      <c r="A6744" s="225" t="s">
        <v>7101</v>
      </c>
      <c r="B6744" s="228" t="str">
        <f>INDEX(Orçamentária!A:B,MATCH(Composições!A6744,Orçamentária!A:A,0),2)</f>
        <v>Tubo PVC esgoto ou águas pluviais predial DN 40 mm</v>
      </c>
      <c r="C6744" s="37"/>
      <c r="D6744" s="22" t="str">
        <f>TRIM(INDEX(Orçamentária!C:C,MATCH(Composições!A6744,Orçamentária!A:A,0),1))</f>
        <v>m</v>
      </c>
      <c r="E6744" s="23"/>
      <c r="F6744" s="38" t="s">
        <v>523</v>
      </c>
      <c r="G6744" s="24" t="str">
        <f t="shared" si="145"/>
        <v/>
      </c>
      <c r="H6744" s="25"/>
      <c r="I6744" s="26"/>
      <c r="J6744" s="141">
        <v>0</v>
      </c>
    </row>
    <row r="6745" spans="1:10" ht="15.75" hidden="1" thickBot="1" x14ac:dyDescent="0.3">
      <c r="A6745" s="226"/>
      <c r="B6745" s="229"/>
      <c r="C6745" s="28"/>
      <c r="D6745" s="28"/>
      <c r="E6745" s="29"/>
      <c r="F6745" s="39" t="s">
        <v>523</v>
      </c>
      <c r="G6745" s="27" t="str">
        <f t="shared" si="145"/>
        <v/>
      </c>
      <c r="H6745" s="31"/>
      <c r="I6745" s="27"/>
      <c r="J6745" s="141">
        <v>0</v>
      </c>
    </row>
    <row r="6746" spans="1:10" ht="26.25" hidden="1" thickBot="1" x14ac:dyDescent="0.3">
      <c r="A6746" s="226"/>
      <c r="B6746" s="229"/>
      <c r="C6746" s="161" t="s">
        <v>7738</v>
      </c>
      <c r="D6746" s="43" t="s">
        <v>93</v>
      </c>
      <c r="E6746" s="149">
        <v>1</v>
      </c>
      <c r="F6746" s="27">
        <v>6.4979999999999993</v>
      </c>
      <c r="G6746" s="27">
        <f t="shared" si="145"/>
        <v>6.4979999999999993</v>
      </c>
      <c r="H6746" s="35">
        <f t="shared" ref="H6746" si="160">SUM(G6746:G6746)</f>
        <v>6.4979999999999993</v>
      </c>
      <c r="I6746" s="36"/>
      <c r="J6746" s="141">
        <v>0</v>
      </c>
    </row>
    <row r="6747" spans="1:10" ht="15.75" hidden="1" thickBot="1" x14ac:dyDescent="0.3">
      <c r="A6747" s="227"/>
      <c r="B6747" s="230"/>
      <c r="C6747" s="51"/>
      <c r="D6747" s="51"/>
      <c r="E6747" s="62"/>
      <c r="F6747" s="63" t="s">
        <v>523</v>
      </c>
      <c r="G6747" s="63" t="str">
        <f t="shared" si="145"/>
        <v/>
      </c>
      <c r="H6747" s="65"/>
      <c r="I6747" s="27"/>
      <c r="J6747" s="141">
        <v>0</v>
      </c>
    </row>
    <row r="6748" spans="1:10" ht="15.75" hidden="1" thickBot="1" x14ac:dyDescent="0.3">
      <c r="A6748" s="225" t="s">
        <v>7103</v>
      </c>
      <c r="B6748" s="228" t="str">
        <f>INDEX(Orçamentária!A:B,MATCH(Composições!A6748,Orçamentária!A:A,0),2)</f>
        <v>Tubo PVC esgoto ou águas pluviais predial DN 50mm</v>
      </c>
      <c r="C6748" s="37"/>
      <c r="D6748" s="22" t="str">
        <f>TRIM(INDEX(Orçamentária!C:C,MATCH(Composições!A6748,Orçamentária!A:A,0),1))</f>
        <v>m</v>
      </c>
      <c r="E6748" s="23"/>
      <c r="F6748" s="38" t="s">
        <v>523</v>
      </c>
      <c r="G6748" s="24" t="str">
        <f t="shared" si="145"/>
        <v/>
      </c>
      <c r="H6748" s="25"/>
      <c r="I6748" s="26"/>
      <c r="J6748" s="141">
        <v>0</v>
      </c>
    </row>
    <row r="6749" spans="1:10" ht="15.75" hidden="1" thickBot="1" x14ac:dyDescent="0.3">
      <c r="A6749" s="226"/>
      <c r="B6749" s="229"/>
      <c r="C6749" s="28"/>
      <c r="D6749" s="28"/>
      <c r="E6749" s="29"/>
      <c r="F6749" s="39" t="s">
        <v>523</v>
      </c>
      <c r="G6749" s="27" t="str">
        <f t="shared" si="145"/>
        <v/>
      </c>
      <c r="H6749" s="31"/>
      <c r="I6749" s="27"/>
      <c r="J6749" s="141">
        <v>0</v>
      </c>
    </row>
    <row r="6750" spans="1:10" ht="26.25" hidden="1" thickBot="1" x14ac:dyDescent="0.3">
      <c r="A6750" s="226"/>
      <c r="B6750" s="229"/>
      <c r="C6750" s="161" t="s">
        <v>7683</v>
      </c>
      <c r="D6750" s="43" t="s">
        <v>93</v>
      </c>
      <c r="E6750" s="149">
        <v>1</v>
      </c>
      <c r="F6750" s="27">
        <v>11.058</v>
      </c>
      <c r="G6750" s="27">
        <f t="shared" si="145"/>
        <v>11.058</v>
      </c>
      <c r="H6750" s="35">
        <f t="shared" ref="H6750" si="161">SUM(G6750:G6750)</f>
        <v>11.058</v>
      </c>
      <c r="I6750" s="36"/>
      <c r="J6750" s="141">
        <v>0</v>
      </c>
    </row>
    <row r="6751" spans="1:10" ht="15.75" hidden="1" thickBot="1" x14ac:dyDescent="0.3">
      <c r="A6751" s="227"/>
      <c r="B6751" s="230"/>
      <c r="C6751" s="51"/>
      <c r="D6751" s="51"/>
      <c r="E6751" s="62"/>
      <c r="F6751" s="63" t="s">
        <v>523</v>
      </c>
      <c r="G6751" s="63" t="str">
        <f t="shared" si="145"/>
        <v/>
      </c>
      <c r="H6751" s="65"/>
      <c r="I6751" s="27"/>
      <c r="J6751" s="141">
        <v>0</v>
      </c>
    </row>
    <row r="6752" spans="1:10" ht="15.75" hidden="1" thickBot="1" x14ac:dyDescent="0.3">
      <c r="A6752" s="225" t="s">
        <v>7105</v>
      </c>
      <c r="B6752" s="228" t="str">
        <f>INDEX(Orçamentária!A:B,MATCH(Composições!A6752,Orçamentária!A:A,0),2)</f>
        <v>Tubo PVC esgoto ou águas pluviais predial DN 75mm</v>
      </c>
      <c r="C6752" s="37"/>
      <c r="D6752" s="22" t="str">
        <f>TRIM(INDEX(Orçamentária!C:C,MATCH(Composições!A6752,Orçamentária!A:A,0),1))</f>
        <v>m</v>
      </c>
      <c r="E6752" s="23"/>
      <c r="F6752" s="38" t="s">
        <v>523</v>
      </c>
      <c r="G6752" s="24" t="str">
        <f t="shared" si="145"/>
        <v/>
      </c>
      <c r="H6752" s="25"/>
      <c r="I6752" s="26"/>
      <c r="J6752" s="141">
        <v>0</v>
      </c>
    </row>
    <row r="6753" spans="1:10" ht="15.75" hidden="1" thickBot="1" x14ac:dyDescent="0.3">
      <c r="A6753" s="226"/>
      <c r="B6753" s="229"/>
      <c r="C6753" s="28"/>
      <c r="D6753" s="28"/>
      <c r="E6753" s="29"/>
      <c r="F6753" s="39" t="s">
        <v>523</v>
      </c>
      <c r="G6753" s="27" t="str">
        <f t="shared" si="145"/>
        <v/>
      </c>
      <c r="H6753" s="31"/>
      <c r="I6753" s="27"/>
      <c r="J6753" s="141">
        <v>0</v>
      </c>
    </row>
    <row r="6754" spans="1:10" ht="26.25" hidden="1" thickBot="1" x14ac:dyDescent="0.3">
      <c r="A6754" s="226"/>
      <c r="B6754" s="229"/>
      <c r="C6754" s="161" t="s">
        <v>7684</v>
      </c>
      <c r="D6754" s="43" t="s">
        <v>93</v>
      </c>
      <c r="E6754" s="149">
        <v>1</v>
      </c>
      <c r="F6754" s="27">
        <v>15.959999999999999</v>
      </c>
      <c r="G6754" s="27">
        <f t="shared" ref="G6754:G6817" si="162">IF(ISNUMBER(F6754),E6754*F6754,"")</f>
        <v>15.959999999999999</v>
      </c>
      <c r="H6754" s="35">
        <f t="shared" ref="H6754" si="163">SUM(G6754:G6754)</f>
        <v>15.959999999999999</v>
      </c>
      <c r="I6754" s="36"/>
      <c r="J6754" s="141">
        <v>0</v>
      </c>
    </row>
    <row r="6755" spans="1:10" ht="15.75" hidden="1" thickBot="1" x14ac:dyDescent="0.3">
      <c r="A6755" s="227"/>
      <c r="B6755" s="230"/>
      <c r="C6755" s="51"/>
      <c r="D6755" s="51"/>
      <c r="E6755" s="62"/>
      <c r="F6755" s="63" t="s">
        <v>523</v>
      </c>
      <c r="G6755" s="63" t="str">
        <f t="shared" si="162"/>
        <v/>
      </c>
      <c r="H6755" s="65"/>
      <c r="I6755" s="27"/>
      <c r="J6755" s="141">
        <v>0</v>
      </c>
    </row>
    <row r="6756" spans="1:10" ht="15.75" hidden="1" thickBot="1" x14ac:dyDescent="0.3">
      <c r="A6756" s="225" t="s">
        <v>7107</v>
      </c>
      <c r="B6756" s="228" t="str">
        <f>INDEX(Orçamentária!A:B,MATCH(Composições!A6756,Orçamentária!A:A,0),2)</f>
        <v>Tubo PVC roscável para água fria 1 1/2”</v>
      </c>
      <c r="C6756" s="37"/>
      <c r="D6756" s="22" t="str">
        <f>TRIM(INDEX(Orçamentária!C:C,MATCH(Composições!A6756,Orçamentária!A:A,0),1))</f>
        <v>m</v>
      </c>
      <c r="E6756" s="23"/>
      <c r="F6756" s="38" t="s">
        <v>523</v>
      </c>
      <c r="G6756" s="24" t="str">
        <f t="shared" si="162"/>
        <v/>
      </c>
      <c r="H6756" s="25"/>
      <c r="I6756" s="26"/>
      <c r="J6756" s="141">
        <v>0</v>
      </c>
    </row>
    <row r="6757" spans="1:10" ht="15.75" hidden="1" thickBot="1" x14ac:dyDescent="0.3">
      <c r="A6757" s="226"/>
      <c r="B6757" s="229"/>
      <c r="C6757" s="28"/>
      <c r="D6757" s="28"/>
      <c r="E6757" s="29"/>
      <c r="F6757" s="39" t="s">
        <v>523</v>
      </c>
      <c r="G6757" s="27" t="str">
        <f t="shared" si="162"/>
        <v/>
      </c>
      <c r="H6757" s="31"/>
      <c r="I6757" s="27"/>
      <c r="J6757" s="141">
        <v>0</v>
      </c>
    </row>
    <row r="6758" spans="1:10" ht="15.75" hidden="1" thickBot="1" x14ac:dyDescent="0.3">
      <c r="A6758" s="226"/>
      <c r="B6758" s="229"/>
      <c r="C6758" s="161" t="s">
        <v>7734</v>
      </c>
      <c r="D6758" s="43" t="s">
        <v>93</v>
      </c>
      <c r="E6758" s="149">
        <v>1</v>
      </c>
      <c r="F6758" s="27">
        <v>39.273000000000003</v>
      </c>
      <c r="G6758" s="27">
        <f t="shared" si="162"/>
        <v>39.273000000000003</v>
      </c>
      <c r="H6758" s="35">
        <f t="shared" ref="H6758" si="164">SUM(G6758:G6758)</f>
        <v>39.273000000000003</v>
      </c>
      <c r="I6758" s="36"/>
      <c r="J6758" s="141">
        <v>0</v>
      </c>
    </row>
    <row r="6759" spans="1:10" ht="15.75" hidden="1" thickBot="1" x14ac:dyDescent="0.3">
      <c r="A6759" s="227"/>
      <c r="B6759" s="230"/>
      <c r="C6759" s="51"/>
      <c r="D6759" s="51"/>
      <c r="E6759" s="62"/>
      <c r="F6759" s="63" t="s">
        <v>523</v>
      </c>
      <c r="G6759" s="63" t="str">
        <f t="shared" si="162"/>
        <v/>
      </c>
      <c r="H6759" s="65"/>
      <c r="I6759" s="27"/>
      <c r="J6759" s="141">
        <v>0</v>
      </c>
    </row>
    <row r="6760" spans="1:10" ht="15.75" hidden="1" thickBot="1" x14ac:dyDescent="0.3">
      <c r="A6760" s="225" t="s">
        <v>7109</v>
      </c>
      <c r="B6760" s="228" t="str">
        <f>INDEX(Orçamentária!A:B,MATCH(Composições!A6760,Orçamentária!A:A,0),2)</f>
        <v>Tubo PVC roscável para água fria 1”</v>
      </c>
      <c r="C6760" s="37"/>
      <c r="D6760" s="22" t="str">
        <f>TRIM(INDEX(Orçamentária!C:C,MATCH(Composições!A6760,Orçamentária!A:A,0),1))</f>
        <v>m</v>
      </c>
      <c r="E6760" s="23"/>
      <c r="F6760" s="38" t="s">
        <v>523</v>
      </c>
      <c r="G6760" s="24" t="str">
        <f t="shared" si="162"/>
        <v/>
      </c>
      <c r="H6760" s="25"/>
      <c r="I6760" s="26"/>
      <c r="J6760" s="141">
        <v>0</v>
      </c>
    </row>
    <row r="6761" spans="1:10" ht="15.75" hidden="1" thickBot="1" x14ac:dyDescent="0.3">
      <c r="A6761" s="226"/>
      <c r="B6761" s="229"/>
      <c r="C6761" s="28"/>
      <c r="D6761" s="28"/>
      <c r="E6761" s="29"/>
      <c r="F6761" s="39" t="s">
        <v>523</v>
      </c>
      <c r="G6761" s="27" t="str">
        <f t="shared" si="162"/>
        <v/>
      </c>
      <c r="H6761" s="31"/>
      <c r="I6761" s="27"/>
      <c r="J6761" s="141">
        <v>0</v>
      </c>
    </row>
    <row r="6762" spans="1:10" ht="15.75" hidden="1" thickBot="1" x14ac:dyDescent="0.3">
      <c r="A6762" s="226"/>
      <c r="B6762" s="229"/>
      <c r="C6762" s="161" t="s">
        <v>7685</v>
      </c>
      <c r="D6762" s="43" t="s">
        <v>93</v>
      </c>
      <c r="E6762" s="149">
        <v>1</v>
      </c>
      <c r="F6762" s="27">
        <v>23.312999999999999</v>
      </c>
      <c r="G6762" s="27">
        <f t="shared" si="162"/>
        <v>23.312999999999999</v>
      </c>
      <c r="H6762" s="35">
        <f t="shared" ref="H6762" si="165">SUM(G6762:G6762)</f>
        <v>23.312999999999999</v>
      </c>
      <c r="I6762" s="36"/>
      <c r="J6762" s="141">
        <v>0</v>
      </c>
    </row>
    <row r="6763" spans="1:10" ht="15.75" hidden="1" thickBot="1" x14ac:dyDescent="0.3">
      <c r="A6763" s="227"/>
      <c r="B6763" s="230"/>
      <c r="C6763" s="51"/>
      <c r="D6763" s="51"/>
      <c r="E6763" s="62"/>
      <c r="F6763" s="63" t="s">
        <v>523</v>
      </c>
      <c r="G6763" s="63" t="str">
        <f t="shared" si="162"/>
        <v/>
      </c>
      <c r="H6763" s="65"/>
      <c r="I6763" s="27"/>
      <c r="J6763" s="141">
        <v>0</v>
      </c>
    </row>
    <row r="6764" spans="1:10" ht="15.75" hidden="1" thickBot="1" x14ac:dyDescent="0.3">
      <c r="A6764" s="225" t="s">
        <v>7111</v>
      </c>
      <c r="B6764" s="228" t="str">
        <f>INDEX(Orçamentária!A:B,MATCH(Composições!A6764,Orçamentária!A:A,0),2)</f>
        <v>Tubo PVC roscável para água fria 2 1/2”</v>
      </c>
      <c r="C6764" s="37"/>
      <c r="D6764" s="22" t="str">
        <f>TRIM(INDEX(Orçamentária!C:C,MATCH(Composições!A6764,Orçamentária!A:A,0),1))</f>
        <v>m</v>
      </c>
      <c r="E6764" s="23"/>
      <c r="F6764" s="38" t="s">
        <v>523</v>
      </c>
      <c r="G6764" s="24" t="str">
        <f t="shared" si="162"/>
        <v/>
      </c>
      <c r="H6764" s="25"/>
      <c r="I6764" s="26"/>
      <c r="J6764" s="141">
        <v>0</v>
      </c>
    </row>
    <row r="6765" spans="1:10" ht="15.75" hidden="1" thickBot="1" x14ac:dyDescent="0.3">
      <c r="A6765" s="226"/>
      <c r="B6765" s="229"/>
      <c r="C6765" s="28"/>
      <c r="D6765" s="28"/>
      <c r="E6765" s="29"/>
      <c r="F6765" s="39" t="s">
        <v>523</v>
      </c>
      <c r="G6765" s="27" t="str">
        <f t="shared" si="162"/>
        <v/>
      </c>
      <c r="H6765" s="31"/>
      <c r="I6765" s="27"/>
      <c r="J6765" s="141">
        <v>0</v>
      </c>
    </row>
    <row r="6766" spans="1:10" ht="15.75" hidden="1" thickBot="1" x14ac:dyDescent="0.3">
      <c r="A6766" s="226"/>
      <c r="B6766" s="229"/>
      <c r="C6766" s="161" t="s">
        <v>7735</v>
      </c>
      <c r="D6766" s="43" t="s">
        <v>93</v>
      </c>
      <c r="E6766" s="149">
        <v>1</v>
      </c>
      <c r="F6766" s="27">
        <v>86.6875</v>
      </c>
      <c r="G6766" s="27">
        <f t="shared" si="162"/>
        <v>86.6875</v>
      </c>
      <c r="H6766" s="35">
        <f t="shared" ref="H6766" si="166">SUM(G6766:G6766)</f>
        <v>86.6875</v>
      </c>
      <c r="I6766" s="36"/>
      <c r="J6766" s="141">
        <v>0</v>
      </c>
    </row>
    <row r="6767" spans="1:10" ht="15.75" hidden="1" thickBot="1" x14ac:dyDescent="0.3">
      <c r="A6767" s="227"/>
      <c r="B6767" s="230"/>
      <c r="C6767" s="51"/>
      <c r="D6767" s="51"/>
      <c r="E6767" s="62"/>
      <c r="F6767" s="63" t="s">
        <v>523</v>
      </c>
      <c r="G6767" s="63" t="str">
        <f t="shared" si="162"/>
        <v/>
      </c>
      <c r="H6767" s="65"/>
      <c r="I6767" s="27"/>
      <c r="J6767" s="141">
        <v>0</v>
      </c>
    </row>
    <row r="6768" spans="1:10" ht="15.75" hidden="1" thickBot="1" x14ac:dyDescent="0.3">
      <c r="A6768" s="225" t="s">
        <v>7113</v>
      </c>
      <c r="B6768" s="228" t="str">
        <f>INDEX(Orçamentária!A:B,MATCH(Composições!A6768,Orçamentária!A:A,0),2)</f>
        <v>Tubo PVC roscável para água fria 2”</v>
      </c>
      <c r="C6768" s="37"/>
      <c r="D6768" s="22" t="str">
        <f>TRIM(INDEX(Orçamentária!C:C,MATCH(Composições!A6768,Orçamentária!A:A,0),1))</f>
        <v>m</v>
      </c>
      <c r="E6768" s="23"/>
      <c r="F6768" s="38" t="s">
        <v>523</v>
      </c>
      <c r="G6768" s="24" t="str">
        <f t="shared" si="162"/>
        <v/>
      </c>
      <c r="H6768" s="25"/>
      <c r="I6768" s="26"/>
      <c r="J6768" s="141">
        <v>0</v>
      </c>
    </row>
    <row r="6769" spans="1:10" ht="15.75" hidden="1" thickBot="1" x14ac:dyDescent="0.3">
      <c r="A6769" s="226"/>
      <c r="B6769" s="229"/>
      <c r="C6769" s="28"/>
      <c r="D6769" s="28"/>
      <c r="E6769" s="29"/>
      <c r="F6769" s="39" t="s">
        <v>523</v>
      </c>
      <c r="G6769" s="27" t="str">
        <f t="shared" si="162"/>
        <v/>
      </c>
      <c r="H6769" s="31"/>
      <c r="I6769" s="27"/>
      <c r="J6769" s="141">
        <v>0</v>
      </c>
    </row>
    <row r="6770" spans="1:10" ht="15.75" hidden="1" thickBot="1" x14ac:dyDescent="0.3">
      <c r="A6770" s="226"/>
      <c r="B6770" s="229"/>
      <c r="C6770" s="161" t="s">
        <v>7736</v>
      </c>
      <c r="D6770" s="43" t="s">
        <v>93</v>
      </c>
      <c r="E6770" s="149">
        <v>1</v>
      </c>
      <c r="F6770" s="27">
        <v>55.650999999999996</v>
      </c>
      <c r="G6770" s="27">
        <f t="shared" si="162"/>
        <v>55.650999999999996</v>
      </c>
      <c r="H6770" s="35">
        <f t="shared" ref="H6770" si="167">SUM(G6770:G6770)</f>
        <v>55.650999999999996</v>
      </c>
      <c r="I6770" s="36"/>
      <c r="J6770" s="141">
        <v>0</v>
      </c>
    </row>
    <row r="6771" spans="1:10" ht="15.75" hidden="1" thickBot="1" x14ac:dyDescent="0.3">
      <c r="A6771" s="227"/>
      <c r="B6771" s="230"/>
      <c r="C6771" s="51"/>
      <c r="D6771" s="51"/>
      <c r="E6771" s="62"/>
      <c r="F6771" s="63" t="s">
        <v>523</v>
      </c>
      <c r="G6771" s="63" t="str">
        <f t="shared" si="162"/>
        <v/>
      </c>
      <c r="H6771" s="65"/>
      <c r="I6771" s="27"/>
      <c r="J6771" s="141">
        <v>0</v>
      </c>
    </row>
    <row r="6772" spans="1:10" ht="15.75" hidden="1" thickBot="1" x14ac:dyDescent="0.3">
      <c r="A6772" s="225" t="s">
        <v>7115</v>
      </c>
      <c r="B6772" s="228" t="str">
        <f>INDEX(Orçamentária!A:B,MATCH(Composições!A6772,Orçamentária!A:A,0),2)</f>
        <v>Tubo PVC roscável para água fria 3”</v>
      </c>
      <c r="C6772" s="37"/>
      <c r="D6772" s="22" t="str">
        <f>TRIM(INDEX(Orçamentária!C:C,MATCH(Composições!A6772,Orçamentária!A:A,0),1))</f>
        <v>m</v>
      </c>
      <c r="E6772" s="23"/>
      <c r="F6772" s="38" t="s">
        <v>523</v>
      </c>
      <c r="G6772" s="24" t="str">
        <f t="shared" si="162"/>
        <v/>
      </c>
      <c r="H6772" s="25"/>
      <c r="I6772" s="26"/>
      <c r="J6772" s="141">
        <v>0</v>
      </c>
    </row>
    <row r="6773" spans="1:10" ht="15.75" hidden="1" thickBot="1" x14ac:dyDescent="0.3">
      <c r="A6773" s="226"/>
      <c r="B6773" s="229"/>
      <c r="C6773" s="28"/>
      <c r="D6773" s="28"/>
      <c r="E6773" s="29"/>
      <c r="F6773" s="39" t="s">
        <v>523</v>
      </c>
      <c r="G6773" s="27" t="str">
        <f t="shared" si="162"/>
        <v/>
      </c>
      <c r="H6773" s="31"/>
      <c r="I6773" s="27"/>
      <c r="J6773" s="141">
        <v>0</v>
      </c>
    </row>
    <row r="6774" spans="1:10" ht="15.75" hidden="1" thickBot="1" x14ac:dyDescent="0.3">
      <c r="A6774" s="226"/>
      <c r="B6774" s="229"/>
      <c r="C6774" s="161" t="s">
        <v>7686</v>
      </c>
      <c r="D6774" s="43" t="s">
        <v>93</v>
      </c>
      <c r="E6774" s="149">
        <v>1</v>
      </c>
      <c r="F6774" s="27">
        <v>112.1095</v>
      </c>
      <c r="G6774" s="27">
        <f t="shared" si="162"/>
        <v>112.1095</v>
      </c>
      <c r="H6774" s="35">
        <f t="shared" ref="H6774" si="168">SUM(G6774:G6774)</f>
        <v>112.1095</v>
      </c>
      <c r="I6774" s="36"/>
      <c r="J6774" s="141">
        <v>0</v>
      </c>
    </row>
    <row r="6775" spans="1:10" ht="15.75" hidden="1" thickBot="1" x14ac:dyDescent="0.3">
      <c r="A6775" s="227"/>
      <c r="B6775" s="230"/>
      <c r="C6775" s="51"/>
      <c r="D6775" s="51"/>
      <c r="E6775" s="62"/>
      <c r="F6775" s="63" t="s">
        <v>523</v>
      </c>
      <c r="G6775" s="63" t="str">
        <f t="shared" si="162"/>
        <v/>
      </c>
      <c r="H6775" s="65"/>
      <c r="I6775" s="27"/>
      <c r="J6775" s="141">
        <v>0</v>
      </c>
    </row>
    <row r="6776" spans="1:10" ht="15.75" hidden="1" thickBot="1" x14ac:dyDescent="0.3">
      <c r="A6776" s="225" t="s">
        <v>7117</v>
      </c>
      <c r="B6776" s="228" t="str">
        <f>INDEX(Orçamentária!A:B,MATCH(Composições!A6776,Orçamentária!A:A,0),2)</f>
        <v>Tubo PVC roscável para água fria 3/4”</v>
      </c>
      <c r="C6776" s="37"/>
      <c r="D6776" s="22" t="str">
        <f>TRIM(INDEX(Orçamentária!C:C,MATCH(Composições!A6776,Orçamentária!A:A,0),1))</f>
        <v>m</v>
      </c>
      <c r="E6776" s="23"/>
      <c r="F6776" s="38" t="s">
        <v>523</v>
      </c>
      <c r="G6776" s="24" t="str">
        <f t="shared" si="162"/>
        <v/>
      </c>
      <c r="H6776" s="25"/>
      <c r="I6776" s="26"/>
      <c r="J6776" s="141">
        <v>0</v>
      </c>
    </row>
    <row r="6777" spans="1:10" ht="15.75" hidden="1" thickBot="1" x14ac:dyDescent="0.3">
      <c r="A6777" s="226"/>
      <c r="B6777" s="229"/>
      <c r="C6777" s="28"/>
      <c r="D6777" s="28"/>
      <c r="E6777" s="29"/>
      <c r="F6777" s="39" t="s">
        <v>523</v>
      </c>
      <c r="G6777" s="27" t="str">
        <f t="shared" si="162"/>
        <v/>
      </c>
      <c r="H6777" s="31"/>
      <c r="I6777" s="27"/>
      <c r="J6777" s="141">
        <v>0</v>
      </c>
    </row>
    <row r="6778" spans="1:10" ht="15.75" hidden="1" thickBot="1" x14ac:dyDescent="0.3">
      <c r="A6778" s="226"/>
      <c r="B6778" s="229"/>
      <c r="C6778" s="161" t="s">
        <v>7739</v>
      </c>
      <c r="D6778" s="43" t="s">
        <v>93</v>
      </c>
      <c r="E6778" s="149">
        <v>1</v>
      </c>
      <c r="F6778" s="27">
        <v>12.007999999999999</v>
      </c>
      <c r="G6778" s="27">
        <f t="shared" si="162"/>
        <v>12.007999999999999</v>
      </c>
      <c r="H6778" s="35">
        <f t="shared" ref="H6778" si="169">SUM(G6778:G6778)</f>
        <v>12.007999999999999</v>
      </c>
      <c r="I6778" s="36"/>
      <c r="J6778" s="141">
        <v>0</v>
      </c>
    </row>
    <row r="6779" spans="1:10" ht="15.75" hidden="1" thickBot="1" x14ac:dyDescent="0.3">
      <c r="A6779" s="227"/>
      <c r="B6779" s="230"/>
      <c r="C6779" s="51"/>
      <c r="D6779" s="51"/>
      <c r="E6779" s="62"/>
      <c r="F6779" s="63" t="s">
        <v>523</v>
      </c>
      <c r="G6779" s="63" t="str">
        <f t="shared" si="162"/>
        <v/>
      </c>
      <c r="H6779" s="65"/>
      <c r="I6779" s="27"/>
      <c r="J6779" s="141">
        <v>0</v>
      </c>
    </row>
    <row r="6780" spans="1:10" ht="15.75" hidden="1" thickBot="1" x14ac:dyDescent="0.3">
      <c r="A6780" s="225" t="s">
        <v>7119</v>
      </c>
      <c r="B6780" s="228" t="str">
        <f>INDEX(Orçamentária!A:B,MATCH(Composições!A6780,Orçamentária!A:A,0),2)</f>
        <v>Tubo PVC roscável para água fria 4”</v>
      </c>
      <c r="C6780" s="37"/>
      <c r="D6780" s="22" t="str">
        <f>TRIM(INDEX(Orçamentária!C:C,MATCH(Composições!A6780,Orçamentária!A:A,0),1))</f>
        <v>m</v>
      </c>
      <c r="E6780" s="23"/>
      <c r="F6780" s="38" t="s">
        <v>523</v>
      </c>
      <c r="G6780" s="24" t="str">
        <f t="shared" si="162"/>
        <v/>
      </c>
      <c r="H6780" s="25"/>
      <c r="I6780" s="26"/>
      <c r="J6780" s="141">
        <v>0</v>
      </c>
    </row>
    <row r="6781" spans="1:10" ht="15.75" hidden="1" thickBot="1" x14ac:dyDescent="0.3">
      <c r="A6781" s="226"/>
      <c r="B6781" s="229"/>
      <c r="C6781" s="28"/>
      <c r="D6781" s="28"/>
      <c r="E6781" s="29"/>
      <c r="F6781" s="39" t="s">
        <v>523</v>
      </c>
      <c r="G6781" s="27" t="str">
        <f t="shared" si="162"/>
        <v/>
      </c>
      <c r="H6781" s="31"/>
      <c r="I6781" s="27"/>
      <c r="J6781" s="141">
        <v>0</v>
      </c>
    </row>
    <row r="6782" spans="1:10" ht="15.75" hidden="1" thickBot="1" x14ac:dyDescent="0.3">
      <c r="A6782" s="226"/>
      <c r="B6782" s="229"/>
      <c r="C6782" s="161" t="s">
        <v>7740</v>
      </c>
      <c r="D6782" s="43" t="s">
        <v>93</v>
      </c>
      <c r="E6782" s="149">
        <v>1</v>
      </c>
      <c r="F6782" s="27">
        <v>135.34649999999999</v>
      </c>
      <c r="G6782" s="27">
        <f t="shared" si="162"/>
        <v>135.34649999999999</v>
      </c>
      <c r="H6782" s="35">
        <f t="shared" ref="H6782" si="170">SUM(G6782:G6782)</f>
        <v>135.34649999999999</v>
      </c>
      <c r="I6782" s="36"/>
      <c r="J6782" s="141">
        <v>0</v>
      </c>
    </row>
    <row r="6783" spans="1:10" ht="15.75" hidden="1" thickBot="1" x14ac:dyDescent="0.3">
      <c r="A6783" s="227"/>
      <c r="B6783" s="230"/>
      <c r="C6783" s="51"/>
      <c r="D6783" s="51"/>
      <c r="E6783" s="62"/>
      <c r="F6783" s="63" t="s">
        <v>523</v>
      </c>
      <c r="G6783" s="63" t="str">
        <f t="shared" si="162"/>
        <v/>
      </c>
      <c r="H6783" s="65"/>
      <c r="I6783" s="27"/>
      <c r="J6783" s="141">
        <v>0</v>
      </c>
    </row>
    <row r="6784" spans="1:10" ht="15.75" hidden="1" thickBot="1" x14ac:dyDescent="0.3">
      <c r="A6784" s="225" t="s">
        <v>7121</v>
      </c>
      <c r="B6784" s="228" t="str">
        <f>INDEX(Orçamentária!A:B,MATCH(Composições!A6784,Orçamentária!A:A,0),2)</f>
        <v>Tubo PVC roscável para água fria 6”</v>
      </c>
      <c r="C6784" s="37"/>
      <c r="D6784" s="22" t="str">
        <f>TRIM(INDEX(Orçamentária!C:C,MATCH(Composições!A6784,Orçamentária!A:A,0),1))</f>
        <v>m</v>
      </c>
      <c r="E6784" s="23"/>
      <c r="F6784" s="38" t="s">
        <v>523</v>
      </c>
      <c r="G6784" s="24" t="str">
        <f t="shared" si="162"/>
        <v/>
      </c>
      <c r="H6784" s="25"/>
      <c r="I6784" s="26"/>
      <c r="J6784" s="141">
        <v>0</v>
      </c>
    </row>
    <row r="6785" spans="1:10" ht="15.75" hidden="1" thickBot="1" x14ac:dyDescent="0.3">
      <c r="A6785" s="226"/>
      <c r="B6785" s="229"/>
      <c r="C6785" s="28"/>
      <c r="D6785" s="28"/>
      <c r="E6785" s="29"/>
      <c r="F6785" s="39" t="s">
        <v>523</v>
      </c>
      <c r="G6785" s="27" t="str">
        <f t="shared" si="162"/>
        <v/>
      </c>
      <c r="H6785" s="31"/>
      <c r="I6785" s="27"/>
      <c r="J6785" s="141">
        <v>0</v>
      </c>
    </row>
    <row r="6786" spans="1:10" ht="15.75" hidden="1" thickBot="1" x14ac:dyDescent="0.3">
      <c r="A6786" s="226"/>
      <c r="B6786" s="229"/>
      <c r="C6786" s="161" t="s">
        <v>7741</v>
      </c>
      <c r="D6786" s="43" t="s">
        <v>93</v>
      </c>
      <c r="E6786" s="149">
        <v>1</v>
      </c>
      <c r="F6786" s="27">
        <v>204.06</v>
      </c>
      <c r="G6786" s="27">
        <f t="shared" si="162"/>
        <v>204.06</v>
      </c>
      <c r="H6786" s="35">
        <f t="shared" ref="H6786" si="171">SUM(G6786:G6786)</f>
        <v>204.06</v>
      </c>
      <c r="I6786" s="36"/>
      <c r="J6786" s="141">
        <v>0</v>
      </c>
    </row>
    <row r="6787" spans="1:10" ht="15.75" hidden="1" thickBot="1" x14ac:dyDescent="0.3">
      <c r="A6787" s="227"/>
      <c r="B6787" s="230"/>
      <c r="C6787" s="51"/>
      <c r="D6787" s="51"/>
      <c r="E6787" s="62"/>
      <c r="F6787" s="63" t="s">
        <v>523</v>
      </c>
      <c r="G6787" s="63" t="str">
        <f t="shared" si="162"/>
        <v/>
      </c>
      <c r="H6787" s="65"/>
      <c r="I6787" s="27"/>
      <c r="J6787" s="141">
        <v>0</v>
      </c>
    </row>
    <row r="6788" spans="1:10" ht="15.75" hidden="1" thickBot="1" x14ac:dyDescent="0.3">
      <c r="A6788" s="225" t="s">
        <v>7123</v>
      </c>
      <c r="B6788" s="228" t="str">
        <f>INDEX(Orçamentária!A:B,MATCH(Composições!A6788,Orçamentária!A:A,0),2)</f>
        <v>Tubo PVC soldável água fria DN 20mm</v>
      </c>
      <c r="C6788" s="37"/>
      <c r="D6788" s="22" t="str">
        <f>TRIM(INDEX(Orçamentária!C:C,MATCH(Composições!A6788,Orçamentária!A:A,0),1))</f>
        <v>m</v>
      </c>
      <c r="E6788" s="23"/>
      <c r="F6788" s="38" t="s">
        <v>523</v>
      </c>
      <c r="G6788" s="24" t="str">
        <f t="shared" si="162"/>
        <v/>
      </c>
      <c r="H6788" s="25"/>
      <c r="I6788" s="26"/>
      <c r="J6788" s="141">
        <v>0</v>
      </c>
    </row>
    <row r="6789" spans="1:10" ht="15.75" hidden="1" thickBot="1" x14ac:dyDescent="0.3">
      <c r="A6789" s="226"/>
      <c r="B6789" s="229"/>
      <c r="C6789" s="28"/>
      <c r="D6789" s="28"/>
      <c r="E6789" s="29"/>
      <c r="F6789" s="39" t="s">
        <v>523</v>
      </c>
      <c r="G6789" s="27" t="str">
        <f t="shared" si="162"/>
        <v/>
      </c>
      <c r="H6789" s="31"/>
      <c r="I6789" s="27"/>
      <c r="J6789" s="141">
        <v>0</v>
      </c>
    </row>
    <row r="6790" spans="1:10" ht="15.75" hidden="1" thickBot="1" x14ac:dyDescent="0.3">
      <c r="A6790" s="226"/>
      <c r="B6790" s="229"/>
      <c r="C6790" s="161" t="s">
        <v>7688</v>
      </c>
      <c r="D6790" s="43" t="s">
        <v>93</v>
      </c>
      <c r="E6790" s="149">
        <v>1</v>
      </c>
      <c r="F6790" s="27">
        <v>3.4769999999999999</v>
      </c>
      <c r="G6790" s="27">
        <f t="shared" si="162"/>
        <v>3.4769999999999999</v>
      </c>
      <c r="H6790" s="35">
        <f t="shared" ref="H6790" si="172">SUM(G6790:G6790)</f>
        <v>3.4769999999999999</v>
      </c>
      <c r="I6790" s="36"/>
      <c r="J6790" s="141">
        <v>0</v>
      </c>
    </row>
    <row r="6791" spans="1:10" ht="15.75" hidden="1" thickBot="1" x14ac:dyDescent="0.3">
      <c r="A6791" s="227"/>
      <c r="B6791" s="230"/>
      <c r="C6791" s="51"/>
      <c r="D6791" s="51"/>
      <c r="E6791" s="62"/>
      <c r="F6791" s="63" t="s">
        <v>523</v>
      </c>
      <c r="G6791" s="63" t="str">
        <f t="shared" si="162"/>
        <v/>
      </c>
      <c r="H6791" s="65"/>
      <c r="I6791" s="27"/>
      <c r="J6791" s="141">
        <v>0</v>
      </c>
    </row>
    <row r="6792" spans="1:10" ht="15.75" hidden="1" thickBot="1" x14ac:dyDescent="0.3">
      <c r="A6792" s="225" t="s">
        <v>7125</v>
      </c>
      <c r="B6792" s="228" t="str">
        <f>INDEX(Orçamentária!A:B,MATCH(Composições!A6792,Orçamentária!A:A,0),2)</f>
        <v>Tubo PVC soldável água fria DN 25mm</v>
      </c>
      <c r="C6792" s="37"/>
      <c r="D6792" s="22" t="str">
        <f>TRIM(INDEX(Orçamentária!C:C,MATCH(Composições!A6792,Orçamentária!A:A,0),1))</f>
        <v>m</v>
      </c>
      <c r="E6792" s="23"/>
      <c r="F6792" s="38" t="s">
        <v>523</v>
      </c>
      <c r="G6792" s="24" t="str">
        <f t="shared" si="162"/>
        <v/>
      </c>
      <c r="H6792" s="25"/>
      <c r="I6792" s="26"/>
      <c r="J6792" s="141">
        <v>0</v>
      </c>
    </row>
    <row r="6793" spans="1:10" ht="15.75" hidden="1" thickBot="1" x14ac:dyDescent="0.3">
      <c r="A6793" s="226"/>
      <c r="B6793" s="229"/>
      <c r="C6793" s="28"/>
      <c r="D6793" s="28"/>
      <c r="E6793" s="29"/>
      <c r="F6793" s="39" t="s">
        <v>523</v>
      </c>
      <c r="G6793" s="27" t="str">
        <f t="shared" si="162"/>
        <v/>
      </c>
      <c r="H6793" s="31"/>
      <c r="I6793" s="27"/>
      <c r="J6793" s="141">
        <v>0</v>
      </c>
    </row>
    <row r="6794" spans="1:10" ht="15.75" hidden="1" thickBot="1" x14ac:dyDescent="0.3">
      <c r="A6794" s="226"/>
      <c r="B6794" s="229"/>
      <c r="C6794" s="161" t="s">
        <v>7689</v>
      </c>
      <c r="D6794" s="43" t="s">
        <v>93</v>
      </c>
      <c r="E6794" s="149">
        <v>1</v>
      </c>
      <c r="F6794" s="27">
        <v>4.4554999999999998</v>
      </c>
      <c r="G6794" s="27">
        <f t="shared" si="162"/>
        <v>4.4554999999999998</v>
      </c>
      <c r="H6794" s="35">
        <f t="shared" ref="H6794" si="173">SUM(G6794:G6794)</f>
        <v>4.4554999999999998</v>
      </c>
      <c r="I6794" s="36"/>
      <c r="J6794" s="141">
        <v>0</v>
      </c>
    </row>
    <row r="6795" spans="1:10" ht="15.75" hidden="1" thickBot="1" x14ac:dyDescent="0.3">
      <c r="A6795" s="227"/>
      <c r="B6795" s="230"/>
      <c r="C6795" s="51"/>
      <c r="D6795" s="51"/>
      <c r="E6795" s="62"/>
      <c r="F6795" s="63" t="s">
        <v>523</v>
      </c>
      <c r="G6795" s="63" t="str">
        <f t="shared" si="162"/>
        <v/>
      </c>
      <c r="H6795" s="65"/>
      <c r="I6795" s="27"/>
      <c r="J6795" s="141">
        <v>0</v>
      </c>
    </row>
    <row r="6796" spans="1:10" ht="15.75" hidden="1" thickBot="1" x14ac:dyDescent="0.3">
      <c r="A6796" s="225" t="s">
        <v>7126</v>
      </c>
      <c r="B6796" s="228" t="str">
        <f>INDEX(Orçamentária!A:B,MATCH(Composições!A6796,Orçamentária!A:A,0),2)</f>
        <v>Tubo PVC soldável água fria DN 32mm</v>
      </c>
      <c r="C6796" s="37"/>
      <c r="D6796" s="22" t="str">
        <f>TRIM(INDEX(Orçamentária!C:C,MATCH(Composições!A6796,Orçamentária!A:A,0),1))</f>
        <v>m</v>
      </c>
      <c r="E6796" s="23"/>
      <c r="F6796" s="38" t="s">
        <v>523</v>
      </c>
      <c r="G6796" s="24" t="str">
        <f t="shared" si="162"/>
        <v/>
      </c>
      <c r="H6796" s="25"/>
      <c r="I6796" s="26"/>
      <c r="J6796" s="141">
        <v>0</v>
      </c>
    </row>
    <row r="6797" spans="1:10" ht="15.75" hidden="1" thickBot="1" x14ac:dyDescent="0.3">
      <c r="A6797" s="226"/>
      <c r="B6797" s="229"/>
      <c r="C6797" s="28"/>
      <c r="D6797" s="28"/>
      <c r="E6797" s="29"/>
      <c r="F6797" s="39" t="s">
        <v>523</v>
      </c>
      <c r="G6797" s="27" t="str">
        <f t="shared" si="162"/>
        <v/>
      </c>
      <c r="H6797" s="31"/>
      <c r="I6797" s="27"/>
      <c r="J6797" s="141">
        <v>0</v>
      </c>
    </row>
    <row r="6798" spans="1:10" ht="15.75" hidden="1" thickBot="1" x14ac:dyDescent="0.3">
      <c r="A6798" s="226"/>
      <c r="B6798" s="229"/>
      <c r="C6798" s="161" t="s">
        <v>7690</v>
      </c>
      <c r="D6798" s="43" t="s">
        <v>93</v>
      </c>
      <c r="E6798" s="149">
        <v>1</v>
      </c>
      <c r="F6798" s="27">
        <v>10.003499999999999</v>
      </c>
      <c r="G6798" s="27">
        <f t="shared" si="162"/>
        <v>10.003499999999999</v>
      </c>
      <c r="H6798" s="35">
        <f t="shared" ref="H6798" si="174">SUM(G6798:G6798)</f>
        <v>10.003499999999999</v>
      </c>
      <c r="I6798" s="36"/>
      <c r="J6798" s="141">
        <v>0</v>
      </c>
    </row>
    <row r="6799" spans="1:10" ht="15.75" hidden="1" thickBot="1" x14ac:dyDescent="0.3">
      <c r="A6799" s="227"/>
      <c r="B6799" s="230"/>
      <c r="C6799" s="51"/>
      <c r="D6799" s="51"/>
      <c r="E6799" s="62"/>
      <c r="F6799" s="63" t="s">
        <v>523</v>
      </c>
      <c r="G6799" s="63" t="str">
        <f t="shared" si="162"/>
        <v/>
      </c>
      <c r="H6799" s="65"/>
      <c r="I6799" s="27"/>
      <c r="J6799" s="141">
        <v>0</v>
      </c>
    </row>
    <row r="6800" spans="1:10" ht="15.75" hidden="1" thickBot="1" x14ac:dyDescent="0.3">
      <c r="A6800" s="225" t="s">
        <v>7127</v>
      </c>
      <c r="B6800" s="228" t="str">
        <f>INDEX(Orçamentária!A:B,MATCH(Composições!A6800,Orçamentária!A:A,0),2)</f>
        <v>Tubo PVC soldável água fria DN 40mm</v>
      </c>
      <c r="C6800" s="37"/>
      <c r="D6800" s="22" t="str">
        <f>TRIM(INDEX(Orçamentária!C:C,MATCH(Composições!A6800,Orçamentária!A:A,0),1))</f>
        <v>m</v>
      </c>
      <c r="E6800" s="23"/>
      <c r="F6800" s="38" t="s">
        <v>523</v>
      </c>
      <c r="G6800" s="24" t="str">
        <f t="shared" si="162"/>
        <v/>
      </c>
      <c r="H6800" s="25"/>
      <c r="I6800" s="26"/>
      <c r="J6800" s="141">
        <v>0</v>
      </c>
    </row>
    <row r="6801" spans="1:10" ht="15.75" hidden="1" thickBot="1" x14ac:dyDescent="0.3">
      <c r="A6801" s="226"/>
      <c r="B6801" s="229"/>
      <c r="C6801" s="28"/>
      <c r="D6801" s="28"/>
      <c r="E6801" s="29"/>
      <c r="F6801" s="39" t="s">
        <v>523</v>
      </c>
      <c r="G6801" s="27" t="str">
        <f t="shared" si="162"/>
        <v/>
      </c>
      <c r="H6801" s="31"/>
      <c r="I6801" s="27"/>
      <c r="J6801" s="141">
        <v>0</v>
      </c>
    </row>
    <row r="6802" spans="1:10" ht="15.75" hidden="1" thickBot="1" x14ac:dyDescent="0.3">
      <c r="A6802" s="226"/>
      <c r="B6802" s="229"/>
      <c r="C6802" s="161" t="s">
        <v>7691</v>
      </c>
      <c r="D6802" s="43" t="s">
        <v>93</v>
      </c>
      <c r="E6802" s="149">
        <v>1</v>
      </c>
      <c r="F6802" s="27">
        <v>14.563499999999999</v>
      </c>
      <c r="G6802" s="27">
        <f t="shared" si="162"/>
        <v>14.563499999999999</v>
      </c>
      <c r="H6802" s="35">
        <f t="shared" ref="H6802" si="175">SUM(G6802:G6802)</f>
        <v>14.563499999999999</v>
      </c>
      <c r="I6802" s="36"/>
      <c r="J6802" s="141">
        <v>0</v>
      </c>
    </row>
    <row r="6803" spans="1:10" ht="15.75" hidden="1" thickBot="1" x14ac:dyDescent="0.3">
      <c r="A6803" s="227"/>
      <c r="B6803" s="230"/>
      <c r="C6803" s="51"/>
      <c r="D6803" s="51"/>
      <c r="E6803" s="62"/>
      <c r="F6803" s="63" t="s">
        <v>523</v>
      </c>
      <c r="G6803" s="63" t="str">
        <f t="shared" si="162"/>
        <v/>
      </c>
      <c r="H6803" s="65"/>
      <c r="I6803" s="27"/>
      <c r="J6803" s="141">
        <v>0</v>
      </c>
    </row>
    <row r="6804" spans="1:10" ht="15.75" hidden="1" thickBot="1" x14ac:dyDescent="0.3">
      <c r="A6804" s="225" t="s">
        <v>7128</v>
      </c>
      <c r="B6804" s="228" t="str">
        <f>INDEX(Orçamentária!A:B,MATCH(Composições!A6804,Orçamentária!A:A,0),2)</f>
        <v>Tubo PVC soldável água fria DN 50mm</v>
      </c>
      <c r="C6804" s="37"/>
      <c r="D6804" s="22" t="str">
        <f>TRIM(INDEX(Orçamentária!C:C,MATCH(Composições!A6804,Orçamentária!A:A,0),1))</f>
        <v>m</v>
      </c>
      <c r="E6804" s="23"/>
      <c r="F6804" s="38" t="s">
        <v>523</v>
      </c>
      <c r="G6804" s="24" t="str">
        <f t="shared" si="162"/>
        <v/>
      </c>
      <c r="H6804" s="25"/>
      <c r="I6804" s="26"/>
      <c r="J6804" s="141">
        <v>0</v>
      </c>
    </row>
    <row r="6805" spans="1:10" ht="15.75" hidden="1" thickBot="1" x14ac:dyDescent="0.3">
      <c r="A6805" s="226"/>
      <c r="B6805" s="229"/>
      <c r="C6805" s="28"/>
      <c r="D6805" s="28"/>
      <c r="E6805" s="29"/>
      <c r="F6805" s="39" t="s">
        <v>523</v>
      </c>
      <c r="G6805" s="27" t="str">
        <f t="shared" si="162"/>
        <v/>
      </c>
      <c r="H6805" s="31"/>
      <c r="I6805" s="27"/>
      <c r="J6805" s="141">
        <v>0</v>
      </c>
    </row>
    <row r="6806" spans="1:10" ht="15.75" hidden="1" thickBot="1" x14ac:dyDescent="0.3">
      <c r="A6806" s="226"/>
      <c r="B6806" s="229"/>
      <c r="C6806" s="161" t="s">
        <v>316</v>
      </c>
      <c r="D6806" s="43" t="s">
        <v>93</v>
      </c>
      <c r="E6806" s="149">
        <v>1</v>
      </c>
      <c r="F6806" s="27">
        <v>16.681999999999999</v>
      </c>
      <c r="G6806" s="27">
        <f t="shared" si="162"/>
        <v>16.681999999999999</v>
      </c>
      <c r="H6806" s="35">
        <f t="shared" ref="H6806" si="176">SUM(G6806:G6806)</f>
        <v>16.681999999999999</v>
      </c>
      <c r="I6806" s="36"/>
      <c r="J6806" s="141">
        <v>0</v>
      </c>
    </row>
    <row r="6807" spans="1:10" ht="15.75" hidden="1" thickBot="1" x14ac:dyDescent="0.3">
      <c r="A6807" s="227"/>
      <c r="B6807" s="230"/>
      <c r="C6807" s="51"/>
      <c r="D6807" s="51"/>
      <c r="E6807" s="62"/>
      <c r="F6807" s="63" t="s">
        <v>523</v>
      </c>
      <c r="G6807" s="63" t="str">
        <f t="shared" si="162"/>
        <v/>
      </c>
      <c r="H6807" s="65"/>
      <c r="I6807" s="27"/>
      <c r="J6807" s="141">
        <v>0</v>
      </c>
    </row>
    <row r="6808" spans="1:10" ht="15.75" hidden="1" thickBot="1" x14ac:dyDescent="0.3">
      <c r="A6808" s="225" t="s">
        <v>7129</v>
      </c>
      <c r="B6808" s="228" t="str">
        <f>INDEX(Orçamentária!A:B,MATCH(Composições!A6808,Orçamentária!A:A,0),2)</f>
        <v>Tubo PVC soldável água fria DN 60mm</v>
      </c>
      <c r="C6808" s="37"/>
      <c r="D6808" s="22" t="str">
        <f>TRIM(INDEX(Orçamentária!C:C,MATCH(Composições!A6808,Orçamentária!A:A,0),1))</f>
        <v>m</v>
      </c>
      <c r="E6808" s="23"/>
      <c r="F6808" s="38" t="s">
        <v>523</v>
      </c>
      <c r="G6808" s="24" t="str">
        <f t="shared" si="162"/>
        <v/>
      </c>
      <c r="H6808" s="25"/>
      <c r="I6808" s="26"/>
      <c r="J6808" s="141">
        <v>0</v>
      </c>
    </row>
    <row r="6809" spans="1:10" ht="15.75" hidden="1" thickBot="1" x14ac:dyDescent="0.3">
      <c r="A6809" s="226"/>
      <c r="B6809" s="229"/>
      <c r="C6809" s="28"/>
      <c r="D6809" s="28"/>
      <c r="E6809" s="29"/>
      <c r="F6809" s="39" t="s">
        <v>523</v>
      </c>
      <c r="G6809" s="27" t="str">
        <f t="shared" si="162"/>
        <v/>
      </c>
      <c r="H6809" s="31"/>
      <c r="I6809" s="27"/>
      <c r="J6809" s="141">
        <v>0</v>
      </c>
    </row>
    <row r="6810" spans="1:10" ht="15.75" hidden="1" thickBot="1" x14ac:dyDescent="0.3">
      <c r="A6810" s="226"/>
      <c r="B6810" s="229"/>
      <c r="C6810" s="161" t="s">
        <v>7692</v>
      </c>
      <c r="D6810" s="43" t="s">
        <v>93</v>
      </c>
      <c r="E6810" s="149">
        <v>1</v>
      </c>
      <c r="F6810" s="27">
        <v>28.148499999999999</v>
      </c>
      <c r="G6810" s="27">
        <f t="shared" si="162"/>
        <v>28.148499999999999</v>
      </c>
      <c r="H6810" s="35">
        <f t="shared" ref="H6810" si="177">SUM(G6810:G6810)</f>
        <v>28.148499999999999</v>
      </c>
      <c r="I6810" s="36"/>
      <c r="J6810" s="141">
        <v>0</v>
      </c>
    </row>
    <row r="6811" spans="1:10" ht="15.75" hidden="1" thickBot="1" x14ac:dyDescent="0.3">
      <c r="A6811" s="227"/>
      <c r="B6811" s="230"/>
      <c r="C6811" s="51"/>
      <c r="D6811" s="51"/>
      <c r="E6811" s="62"/>
      <c r="F6811" s="63" t="s">
        <v>523</v>
      </c>
      <c r="G6811" s="63" t="str">
        <f t="shared" si="162"/>
        <v/>
      </c>
      <c r="H6811" s="65"/>
      <c r="I6811" s="27"/>
      <c r="J6811" s="141">
        <v>0</v>
      </c>
    </row>
    <row r="6812" spans="1:10" ht="15.75" hidden="1" thickBot="1" x14ac:dyDescent="0.3">
      <c r="A6812" s="225" t="s">
        <v>7131</v>
      </c>
      <c r="B6812" s="228" t="str">
        <f>INDEX(Orçamentária!A:B,MATCH(Composições!A6812,Orçamentária!A:A,0),2)</f>
        <v>Tubo PVC soldável água fria DN 75 mm</v>
      </c>
      <c r="C6812" s="37"/>
      <c r="D6812" s="22" t="str">
        <f>TRIM(INDEX(Orçamentária!C:C,MATCH(Composições!A6812,Orçamentária!A:A,0),1))</f>
        <v>m</v>
      </c>
      <c r="E6812" s="23"/>
      <c r="F6812" s="38" t="s">
        <v>523</v>
      </c>
      <c r="G6812" s="24" t="str">
        <f t="shared" si="162"/>
        <v/>
      </c>
      <c r="H6812" s="25"/>
      <c r="I6812" s="26"/>
      <c r="J6812" s="141">
        <v>0</v>
      </c>
    </row>
    <row r="6813" spans="1:10" ht="15.75" hidden="1" thickBot="1" x14ac:dyDescent="0.3">
      <c r="A6813" s="226"/>
      <c r="B6813" s="229"/>
      <c r="C6813" s="28"/>
      <c r="D6813" s="28"/>
      <c r="E6813" s="29"/>
      <c r="F6813" s="39" t="s">
        <v>523</v>
      </c>
      <c r="G6813" s="27" t="str">
        <f t="shared" si="162"/>
        <v/>
      </c>
      <c r="H6813" s="31"/>
      <c r="I6813" s="27"/>
      <c r="J6813" s="141">
        <v>0</v>
      </c>
    </row>
    <row r="6814" spans="1:10" ht="15.75" hidden="1" thickBot="1" x14ac:dyDescent="0.3">
      <c r="A6814" s="226"/>
      <c r="B6814" s="229"/>
      <c r="C6814" s="161" t="s">
        <v>7693</v>
      </c>
      <c r="D6814" s="43" t="s">
        <v>93</v>
      </c>
      <c r="E6814" s="149">
        <v>1</v>
      </c>
      <c r="F6814" s="27">
        <v>47.158000000000001</v>
      </c>
      <c r="G6814" s="27">
        <f t="shared" si="162"/>
        <v>47.158000000000001</v>
      </c>
      <c r="H6814" s="35">
        <f t="shared" ref="H6814" si="178">SUM(G6814:G6814)</f>
        <v>47.158000000000001</v>
      </c>
      <c r="I6814" s="36"/>
      <c r="J6814" s="141">
        <v>0</v>
      </c>
    </row>
    <row r="6815" spans="1:10" ht="15.75" hidden="1" thickBot="1" x14ac:dyDescent="0.3">
      <c r="A6815" s="227"/>
      <c r="B6815" s="230"/>
      <c r="C6815" s="51"/>
      <c r="D6815" s="51"/>
      <c r="E6815" s="62"/>
      <c r="F6815" s="63" t="s">
        <v>523</v>
      </c>
      <c r="G6815" s="63" t="str">
        <f t="shared" si="162"/>
        <v/>
      </c>
      <c r="H6815" s="65"/>
      <c r="I6815" s="27"/>
      <c r="J6815" s="141">
        <v>0</v>
      </c>
    </row>
    <row r="6816" spans="1:10" ht="15.75" hidden="1" thickBot="1" x14ac:dyDescent="0.3">
      <c r="A6816" s="225" t="s">
        <v>7133</v>
      </c>
      <c r="B6816" s="228" t="str">
        <f>INDEX(Orçamentária!A:B,MATCH(Composições!A6816,Orçamentária!A:A,0),2)</f>
        <v>Tubo PVC soldável água fria DN 85 mm</v>
      </c>
      <c r="C6816" s="37"/>
      <c r="D6816" s="22" t="str">
        <f>TRIM(INDEX(Orçamentária!C:C,MATCH(Composições!A6816,Orçamentária!A:A,0),1))</f>
        <v>m</v>
      </c>
      <c r="E6816" s="23"/>
      <c r="F6816" s="38" t="s">
        <v>523</v>
      </c>
      <c r="G6816" s="24" t="str">
        <f t="shared" si="162"/>
        <v/>
      </c>
      <c r="H6816" s="25"/>
      <c r="I6816" s="26"/>
      <c r="J6816" s="141">
        <v>0</v>
      </c>
    </row>
    <row r="6817" spans="1:10" ht="15.75" hidden="1" thickBot="1" x14ac:dyDescent="0.3">
      <c r="A6817" s="226"/>
      <c r="B6817" s="229"/>
      <c r="C6817" s="28"/>
      <c r="D6817" s="28"/>
      <c r="E6817" s="29"/>
      <c r="F6817" s="39" t="s">
        <v>523</v>
      </c>
      <c r="G6817" s="27" t="str">
        <f t="shared" si="162"/>
        <v/>
      </c>
      <c r="H6817" s="31"/>
      <c r="I6817" s="27"/>
      <c r="J6817" s="141">
        <v>0</v>
      </c>
    </row>
    <row r="6818" spans="1:10" ht="15.75" hidden="1" thickBot="1" x14ac:dyDescent="0.3">
      <c r="A6818" s="226"/>
      <c r="B6818" s="229"/>
      <c r="C6818" s="161" t="s">
        <v>7694</v>
      </c>
      <c r="D6818" s="43" t="s">
        <v>93</v>
      </c>
      <c r="E6818" s="149">
        <v>1</v>
      </c>
      <c r="F6818" s="27">
        <v>58.918999999999997</v>
      </c>
      <c r="G6818" s="27">
        <f t="shared" ref="G6818:G6881" si="179">IF(ISNUMBER(F6818),E6818*F6818,"")</f>
        <v>58.918999999999997</v>
      </c>
      <c r="H6818" s="35">
        <f t="shared" ref="H6818" si="180">SUM(G6818:G6818)</f>
        <v>58.918999999999997</v>
      </c>
      <c r="I6818" s="36"/>
      <c r="J6818" s="141">
        <v>0</v>
      </c>
    </row>
    <row r="6819" spans="1:10" ht="15.75" hidden="1" thickBot="1" x14ac:dyDescent="0.3">
      <c r="A6819" s="227"/>
      <c r="B6819" s="230"/>
      <c r="C6819" s="51"/>
      <c r="D6819" s="51"/>
      <c r="E6819" s="62"/>
      <c r="F6819" s="63" t="s">
        <v>523</v>
      </c>
      <c r="G6819" s="63" t="str">
        <f t="shared" si="179"/>
        <v/>
      </c>
      <c r="H6819" s="65"/>
      <c r="I6819" s="27"/>
      <c r="J6819" s="141">
        <v>0</v>
      </c>
    </row>
    <row r="6820" spans="1:10" ht="15.75" hidden="1" thickBot="1" x14ac:dyDescent="0.3">
      <c r="A6820" s="225" t="s">
        <v>7135</v>
      </c>
      <c r="B6820" s="228" t="str">
        <f>INDEX(Orçamentária!A:B,MATCH(Composições!A6820,Orçamentária!A:A,0),2)</f>
        <v>Tubo PVC soldável água fria DN 110 mm</v>
      </c>
      <c r="C6820" s="37"/>
      <c r="D6820" s="22" t="str">
        <f>TRIM(INDEX(Orçamentária!C:C,MATCH(Composições!A6820,Orçamentária!A:A,0),1))</f>
        <v>m</v>
      </c>
      <c r="E6820" s="23"/>
      <c r="F6820" s="38" t="s">
        <v>523</v>
      </c>
      <c r="G6820" s="24" t="str">
        <f t="shared" si="179"/>
        <v/>
      </c>
      <c r="H6820" s="25"/>
      <c r="I6820" s="26"/>
      <c r="J6820" s="141">
        <v>0</v>
      </c>
    </row>
    <row r="6821" spans="1:10" ht="15.75" hidden="1" thickBot="1" x14ac:dyDescent="0.3">
      <c r="A6821" s="226"/>
      <c r="B6821" s="229"/>
      <c r="C6821" s="28"/>
      <c r="D6821" s="28"/>
      <c r="E6821" s="29"/>
      <c r="F6821" s="39" t="s">
        <v>523</v>
      </c>
      <c r="G6821" s="27" t="str">
        <f t="shared" si="179"/>
        <v/>
      </c>
      <c r="H6821" s="31"/>
      <c r="I6821" s="27"/>
      <c r="J6821" s="141">
        <v>0</v>
      </c>
    </row>
    <row r="6822" spans="1:10" ht="15.75" hidden="1" thickBot="1" x14ac:dyDescent="0.3">
      <c r="A6822" s="226"/>
      <c r="B6822" s="229"/>
      <c r="C6822" s="161" t="s">
        <v>7687</v>
      </c>
      <c r="D6822" s="43" t="s">
        <v>93</v>
      </c>
      <c r="E6822" s="149">
        <v>1</v>
      </c>
      <c r="F6822" s="27">
        <v>94.524999999999991</v>
      </c>
      <c r="G6822" s="27">
        <f t="shared" si="179"/>
        <v>94.524999999999991</v>
      </c>
      <c r="H6822" s="35">
        <f t="shared" ref="H6822" si="181">SUM(G6822:G6822)</f>
        <v>94.524999999999991</v>
      </c>
      <c r="I6822" s="36"/>
      <c r="J6822" s="141">
        <v>0</v>
      </c>
    </row>
    <row r="6823" spans="1:10" ht="15.75" hidden="1" thickBot="1" x14ac:dyDescent="0.3">
      <c r="A6823" s="227"/>
      <c r="B6823" s="230"/>
      <c r="C6823" s="51"/>
      <c r="D6823" s="51"/>
      <c r="E6823" s="62"/>
      <c r="F6823" s="63" t="s">
        <v>523</v>
      </c>
      <c r="G6823" s="63" t="str">
        <f t="shared" si="179"/>
        <v/>
      </c>
      <c r="H6823" s="65"/>
      <c r="I6823" s="27"/>
      <c r="J6823" s="141">
        <v>0</v>
      </c>
    </row>
    <row r="6824" spans="1:10" ht="15.75" hidden="1" thickBot="1" x14ac:dyDescent="0.3">
      <c r="A6824" s="225" t="s">
        <v>7154</v>
      </c>
      <c r="B6824" s="228" t="str">
        <f>INDEX(Orçamentária!A:B,MATCH(Composições!A6824,Orçamentária!A:A,0),2)</f>
        <v>Válvula de escoamento para lavatório e bidê</v>
      </c>
      <c r="C6824" s="37"/>
      <c r="D6824" s="22" t="str">
        <f>TRIM(INDEX(Orçamentária!C:C,MATCH(Composições!A6824,Orçamentária!A:A,0),1))</f>
        <v>un</v>
      </c>
      <c r="E6824" s="23"/>
      <c r="F6824" s="38" t="s">
        <v>523</v>
      </c>
      <c r="G6824" s="24" t="str">
        <f t="shared" si="179"/>
        <v/>
      </c>
      <c r="H6824" s="25"/>
      <c r="I6824" s="26"/>
      <c r="J6824" s="141">
        <v>0</v>
      </c>
    </row>
    <row r="6825" spans="1:10" ht="15.75" hidden="1" thickBot="1" x14ac:dyDescent="0.3">
      <c r="A6825" s="226"/>
      <c r="B6825" s="229"/>
      <c r="C6825" s="28"/>
      <c r="D6825" s="28"/>
      <c r="E6825" s="29"/>
      <c r="F6825" s="39" t="s">
        <v>523</v>
      </c>
      <c r="G6825" s="27" t="str">
        <f t="shared" si="179"/>
        <v/>
      </c>
      <c r="H6825" s="31"/>
      <c r="I6825" s="27"/>
      <c r="J6825" s="141">
        <v>0</v>
      </c>
    </row>
    <row r="6826" spans="1:10" ht="15.75" hidden="1" thickBot="1" x14ac:dyDescent="0.3">
      <c r="A6826" s="226"/>
      <c r="B6826" s="229"/>
      <c r="C6826" s="161" t="s">
        <v>7714</v>
      </c>
      <c r="D6826" s="43" t="s">
        <v>20</v>
      </c>
      <c r="E6826" s="149">
        <v>1</v>
      </c>
      <c r="F6826" s="27">
        <v>40.536499999999997</v>
      </c>
      <c r="G6826" s="27">
        <f t="shared" si="179"/>
        <v>40.536499999999997</v>
      </c>
      <c r="H6826" s="35">
        <f t="shared" ref="H6826" si="182">SUM(G6826:G6826)</f>
        <v>40.536499999999997</v>
      </c>
      <c r="I6826" s="36"/>
      <c r="J6826" s="141">
        <v>0</v>
      </c>
    </row>
    <row r="6827" spans="1:10" ht="15.75" hidden="1" thickBot="1" x14ac:dyDescent="0.3">
      <c r="A6827" s="227"/>
      <c r="B6827" s="230"/>
      <c r="C6827" s="51"/>
      <c r="D6827" s="51"/>
      <c r="E6827" s="62"/>
      <c r="F6827" s="63" t="s">
        <v>523</v>
      </c>
      <c r="G6827" s="63" t="str">
        <f t="shared" si="179"/>
        <v/>
      </c>
      <c r="H6827" s="65"/>
      <c r="I6827" s="27"/>
      <c r="J6827" s="141">
        <v>0</v>
      </c>
    </row>
    <row r="6828" spans="1:10" ht="15.75" hidden="1" thickBot="1" x14ac:dyDescent="0.3">
      <c r="A6828" s="225" t="s">
        <v>7156</v>
      </c>
      <c r="B6828" s="228" t="str">
        <f>INDEX(Orçamentária!A:B,MATCH(Composições!A6828,Orçamentária!A:A,0),2)</f>
        <v>Válvula de escoamento para pia de cozinha 3 1/2”</v>
      </c>
      <c r="C6828" s="37"/>
      <c r="D6828" s="22" t="str">
        <f>TRIM(INDEX(Orçamentária!C:C,MATCH(Composições!A6828,Orçamentária!A:A,0),1))</f>
        <v>un</v>
      </c>
      <c r="E6828" s="23"/>
      <c r="F6828" s="38" t="s">
        <v>523</v>
      </c>
      <c r="G6828" s="24" t="str">
        <f t="shared" si="179"/>
        <v/>
      </c>
      <c r="H6828" s="25"/>
      <c r="I6828" s="26"/>
      <c r="J6828" s="141">
        <v>0</v>
      </c>
    </row>
    <row r="6829" spans="1:10" ht="15.75" hidden="1" thickBot="1" x14ac:dyDescent="0.3">
      <c r="A6829" s="226"/>
      <c r="B6829" s="229"/>
      <c r="C6829" s="28"/>
      <c r="D6829" s="28"/>
      <c r="E6829" s="29"/>
      <c r="F6829" s="39" t="s">
        <v>523</v>
      </c>
      <c r="G6829" s="27" t="str">
        <f t="shared" si="179"/>
        <v/>
      </c>
      <c r="H6829" s="31"/>
      <c r="I6829" s="27"/>
      <c r="J6829" s="141">
        <v>0</v>
      </c>
    </row>
    <row r="6830" spans="1:10" ht="15.75" hidden="1" thickBot="1" x14ac:dyDescent="0.3">
      <c r="A6830" s="226"/>
      <c r="B6830" s="229"/>
      <c r="C6830" s="161" t="s">
        <v>7715</v>
      </c>
      <c r="D6830" s="43" t="s">
        <v>20</v>
      </c>
      <c r="E6830" s="149">
        <v>1</v>
      </c>
      <c r="F6830" s="27">
        <v>55.375499999999995</v>
      </c>
      <c r="G6830" s="27">
        <f t="shared" si="179"/>
        <v>55.375499999999995</v>
      </c>
      <c r="H6830" s="35">
        <f t="shared" ref="H6830" si="183">SUM(G6830:G6830)</f>
        <v>55.375499999999995</v>
      </c>
      <c r="I6830" s="36"/>
      <c r="J6830" s="141">
        <v>0</v>
      </c>
    </row>
    <row r="6831" spans="1:10" ht="15.75" hidden="1" thickBot="1" x14ac:dyDescent="0.3">
      <c r="A6831" s="227"/>
      <c r="B6831" s="230"/>
      <c r="C6831" s="51"/>
      <c r="D6831" s="51"/>
      <c r="E6831" s="62"/>
      <c r="F6831" s="63" t="s">
        <v>523</v>
      </c>
      <c r="G6831" s="63" t="str">
        <f t="shared" si="179"/>
        <v/>
      </c>
      <c r="H6831" s="65"/>
      <c r="I6831" s="27"/>
      <c r="J6831" s="141">
        <v>0</v>
      </c>
    </row>
    <row r="6832" spans="1:10" ht="15.75" hidden="1" thickBot="1" x14ac:dyDescent="0.3">
      <c r="A6832" s="225" t="s">
        <v>7159</v>
      </c>
      <c r="B6832" s="228" t="str">
        <f>INDEX(Orçamentária!A:B,MATCH(Composições!A6832,Orçamentária!A:A,0),2)</f>
        <v>Válvula de Sucção tipo Pé com Crivos 1”</v>
      </c>
      <c r="C6832" s="37"/>
      <c r="D6832" s="22" t="str">
        <f>TRIM(INDEX(Orçamentária!C:C,MATCH(Composições!A6832,Orçamentária!A:A,0),1))</f>
        <v>un</v>
      </c>
      <c r="E6832" s="23"/>
      <c r="F6832" s="38" t="s">
        <v>523</v>
      </c>
      <c r="G6832" s="24" t="str">
        <f t="shared" si="179"/>
        <v/>
      </c>
      <c r="H6832" s="25"/>
      <c r="I6832" s="26"/>
      <c r="J6832" s="141">
        <v>0</v>
      </c>
    </row>
    <row r="6833" spans="1:10" ht="15.75" hidden="1" thickBot="1" x14ac:dyDescent="0.3">
      <c r="A6833" s="226"/>
      <c r="B6833" s="229"/>
      <c r="C6833" s="28"/>
      <c r="D6833" s="28"/>
      <c r="E6833" s="29"/>
      <c r="F6833" s="39" t="s">
        <v>523</v>
      </c>
      <c r="G6833" s="27" t="str">
        <f t="shared" si="179"/>
        <v/>
      </c>
      <c r="H6833" s="31"/>
      <c r="I6833" s="27"/>
      <c r="J6833" s="141">
        <v>0</v>
      </c>
    </row>
    <row r="6834" spans="1:10" ht="26.25" hidden="1" thickBot="1" x14ac:dyDescent="0.3">
      <c r="A6834" s="226"/>
      <c r="B6834" s="229"/>
      <c r="C6834" s="161" t="s">
        <v>7706</v>
      </c>
      <c r="D6834" s="43" t="s">
        <v>20</v>
      </c>
      <c r="E6834" s="149">
        <v>1</v>
      </c>
      <c r="F6834" s="27">
        <v>59.355999999999995</v>
      </c>
      <c r="G6834" s="27">
        <f t="shared" si="179"/>
        <v>59.355999999999995</v>
      </c>
      <c r="H6834" s="35">
        <f t="shared" ref="H6834" si="184">SUM(G6834:G6834)</f>
        <v>59.355999999999995</v>
      </c>
      <c r="I6834" s="36"/>
      <c r="J6834" s="141">
        <v>0</v>
      </c>
    </row>
    <row r="6835" spans="1:10" ht="15.75" hidden="1" thickBot="1" x14ac:dyDescent="0.3">
      <c r="A6835" s="227"/>
      <c r="B6835" s="230"/>
      <c r="C6835" s="51"/>
      <c r="D6835" s="51"/>
      <c r="E6835" s="62"/>
      <c r="F6835" s="63" t="s">
        <v>523</v>
      </c>
      <c r="G6835" s="63" t="str">
        <f t="shared" si="179"/>
        <v/>
      </c>
      <c r="H6835" s="65"/>
      <c r="I6835" s="27"/>
      <c r="J6835" s="141">
        <v>0</v>
      </c>
    </row>
    <row r="6836" spans="1:10" ht="15.75" hidden="1" thickBot="1" x14ac:dyDescent="0.3">
      <c r="A6836" s="225" t="s">
        <v>7161</v>
      </c>
      <c r="B6836" s="228" t="str">
        <f>INDEX(Orçamentária!A:B,MATCH(Composições!A6836,Orçamentária!A:A,0),2)</f>
        <v>Válvula de Sucção tipo Pé com Crivos 2”</v>
      </c>
      <c r="C6836" s="37"/>
      <c r="D6836" s="22" t="str">
        <f>TRIM(INDEX(Orçamentária!C:C,MATCH(Composições!A6836,Orçamentária!A:A,0),1))</f>
        <v>un</v>
      </c>
      <c r="E6836" s="23"/>
      <c r="F6836" s="38" t="s">
        <v>523</v>
      </c>
      <c r="G6836" s="24" t="str">
        <f t="shared" si="179"/>
        <v/>
      </c>
      <c r="H6836" s="25"/>
      <c r="I6836" s="26"/>
      <c r="J6836" s="141">
        <v>0</v>
      </c>
    </row>
    <row r="6837" spans="1:10" ht="15.75" hidden="1" thickBot="1" x14ac:dyDescent="0.3">
      <c r="A6837" s="226"/>
      <c r="B6837" s="229"/>
      <c r="C6837" s="28"/>
      <c r="D6837" s="28"/>
      <c r="E6837" s="29"/>
      <c r="F6837" s="39" t="s">
        <v>523</v>
      </c>
      <c r="G6837" s="27" t="str">
        <f t="shared" si="179"/>
        <v/>
      </c>
      <c r="H6837" s="31"/>
      <c r="I6837" s="27"/>
      <c r="J6837" s="141">
        <v>0</v>
      </c>
    </row>
    <row r="6838" spans="1:10" ht="26.25" hidden="1" thickBot="1" x14ac:dyDescent="0.3">
      <c r="A6838" s="226"/>
      <c r="B6838" s="229"/>
      <c r="C6838" s="161" t="s">
        <v>7707</v>
      </c>
      <c r="D6838" s="43" t="s">
        <v>20</v>
      </c>
      <c r="E6838" s="149">
        <v>1</v>
      </c>
      <c r="F6838" s="27">
        <v>152.32300000000001</v>
      </c>
      <c r="G6838" s="27">
        <f t="shared" si="179"/>
        <v>152.32300000000001</v>
      </c>
      <c r="H6838" s="35">
        <f t="shared" ref="H6838" si="185">SUM(G6838:G6838)</f>
        <v>152.32300000000001</v>
      </c>
      <c r="I6838" s="36"/>
      <c r="J6838" s="141">
        <v>0</v>
      </c>
    </row>
    <row r="6839" spans="1:10" ht="15.75" hidden="1" thickBot="1" x14ac:dyDescent="0.3">
      <c r="A6839" s="227"/>
      <c r="B6839" s="230"/>
      <c r="C6839" s="51"/>
      <c r="D6839" s="51"/>
      <c r="E6839" s="62"/>
      <c r="F6839" s="63" t="s">
        <v>523</v>
      </c>
      <c r="G6839" s="63" t="str">
        <f t="shared" si="179"/>
        <v/>
      </c>
      <c r="H6839" s="65"/>
      <c r="I6839" s="27"/>
      <c r="J6839" s="141">
        <v>0</v>
      </c>
    </row>
    <row r="6840" spans="1:10" ht="15.75" hidden="1" thickBot="1" x14ac:dyDescent="0.3">
      <c r="A6840" s="225" t="s">
        <v>7165</v>
      </c>
      <c r="B6840" s="228" t="str">
        <f>INDEX(Orçamentária!A:B,MATCH(Composições!A6840,Orçamentária!A:A,0),2)</f>
        <v>Válvula de retenção horizontal – PN-25 3/4”</v>
      </c>
      <c r="C6840" s="37"/>
      <c r="D6840" s="22" t="str">
        <f>TRIM(INDEX(Orçamentária!C:C,MATCH(Composições!A6840,Orçamentária!A:A,0),1))</f>
        <v>un</v>
      </c>
      <c r="E6840" s="23"/>
      <c r="F6840" s="38" t="s">
        <v>523</v>
      </c>
      <c r="G6840" s="24" t="str">
        <f t="shared" si="179"/>
        <v/>
      </c>
      <c r="H6840" s="25"/>
      <c r="I6840" s="26"/>
      <c r="J6840" s="141">
        <v>0</v>
      </c>
    </row>
    <row r="6841" spans="1:10" ht="15.75" hidden="1" thickBot="1" x14ac:dyDescent="0.3">
      <c r="A6841" s="226"/>
      <c r="B6841" s="229"/>
      <c r="C6841" s="28"/>
      <c r="D6841" s="28"/>
      <c r="E6841" s="29"/>
      <c r="F6841" s="39" t="s">
        <v>523</v>
      </c>
      <c r="G6841" s="27" t="str">
        <f t="shared" si="179"/>
        <v/>
      </c>
      <c r="H6841" s="31"/>
      <c r="I6841" s="27"/>
      <c r="J6841" s="141">
        <v>0</v>
      </c>
    </row>
    <row r="6842" spans="1:10" ht="26.25" hidden="1" thickBot="1" x14ac:dyDescent="0.3">
      <c r="A6842" s="226"/>
      <c r="B6842" s="229"/>
      <c r="C6842" s="161" t="s">
        <v>7709</v>
      </c>
      <c r="D6842" s="43" t="s">
        <v>20</v>
      </c>
      <c r="E6842" s="149">
        <v>1</v>
      </c>
      <c r="F6842" s="27">
        <v>85.803999999999988</v>
      </c>
      <c r="G6842" s="27">
        <f t="shared" si="179"/>
        <v>85.803999999999988</v>
      </c>
      <c r="H6842" s="35">
        <f>SUM(G6842:G6842)</f>
        <v>85.803999999999988</v>
      </c>
      <c r="I6842" s="36"/>
      <c r="J6842" s="141">
        <v>0</v>
      </c>
    </row>
    <row r="6843" spans="1:10" ht="15.75" hidden="1" thickBot="1" x14ac:dyDescent="0.3">
      <c r="A6843" s="227"/>
      <c r="B6843" s="230"/>
      <c r="C6843" s="51"/>
      <c r="D6843" s="51"/>
      <c r="E6843" s="62"/>
      <c r="F6843" s="63" t="s">
        <v>523</v>
      </c>
      <c r="G6843" s="63" t="str">
        <f t="shared" si="179"/>
        <v/>
      </c>
      <c r="H6843" s="65"/>
      <c r="I6843" s="27"/>
      <c r="J6843" s="141">
        <v>0</v>
      </c>
    </row>
    <row r="6844" spans="1:10" ht="15.75" hidden="1" thickBot="1" x14ac:dyDescent="0.3">
      <c r="A6844" s="225" t="s">
        <v>7167</v>
      </c>
      <c r="B6844" s="228" t="str">
        <f>INDEX(Orçamentária!A:B,MATCH(Composições!A6844,Orçamentária!A:A,0),2)</f>
        <v>Válvula de retenção horizontal – PN-25 2”</v>
      </c>
      <c r="C6844" s="37"/>
      <c r="D6844" s="22" t="str">
        <f>TRIM(INDEX(Orçamentária!C:C,MATCH(Composições!A6844,Orçamentária!A:A,0),1))</f>
        <v>un</v>
      </c>
      <c r="E6844" s="23"/>
      <c r="F6844" s="38" t="s">
        <v>523</v>
      </c>
      <c r="G6844" s="24" t="str">
        <f t="shared" si="179"/>
        <v/>
      </c>
      <c r="H6844" s="25"/>
      <c r="I6844" s="26"/>
      <c r="J6844" s="141">
        <v>0</v>
      </c>
    </row>
    <row r="6845" spans="1:10" ht="15.75" hidden="1" thickBot="1" x14ac:dyDescent="0.3">
      <c r="A6845" s="226"/>
      <c r="B6845" s="229"/>
      <c r="C6845" s="28"/>
      <c r="D6845" s="28"/>
      <c r="E6845" s="29"/>
      <c r="F6845" s="39" t="s">
        <v>523</v>
      </c>
      <c r="G6845" s="27" t="str">
        <f t="shared" si="179"/>
        <v/>
      </c>
      <c r="H6845" s="31"/>
      <c r="I6845" s="27"/>
      <c r="J6845" s="141">
        <v>0</v>
      </c>
    </row>
    <row r="6846" spans="1:10" ht="26.25" hidden="1" thickBot="1" x14ac:dyDescent="0.3">
      <c r="A6846" s="226"/>
      <c r="B6846" s="229"/>
      <c r="C6846" s="161" t="s">
        <v>7708</v>
      </c>
      <c r="D6846" s="43" t="s">
        <v>20</v>
      </c>
      <c r="E6846" s="149">
        <v>1</v>
      </c>
      <c r="F6846" s="27">
        <v>273.35300000000001</v>
      </c>
      <c r="G6846" s="27">
        <f t="shared" si="179"/>
        <v>273.35300000000001</v>
      </c>
      <c r="H6846" s="35">
        <f>SUM(G6846:G6846)</f>
        <v>273.35300000000001</v>
      </c>
      <c r="I6846" s="36"/>
      <c r="J6846" s="141">
        <v>0</v>
      </c>
    </row>
    <row r="6847" spans="1:10" ht="15.75" hidden="1" thickBot="1" x14ac:dyDescent="0.3">
      <c r="A6847" s="227"/>
      <c r="B6847" s="230"/>
      <c r="C6847" s="51"/>
      <c r="D6847" s="51"/>
      <c r="E6847" s="62"/>
      <c r="F6847" s="63" t="s">
        <v>523</v>
      </c>
      <c r="G6847" s="63" t="str">
        <f t="shared" si="179"/>
        <v/>
      </c>
      <c r="H6847" s="65"/>
      <c r="I6847" s="27"/>
      <c r="J6847" s="141">
        <v>0</v>
      </c>
    </row>
    <row r="6848" spans="1:10" ht="15.75" hidden="1" thickBot="1" x14ac:dyDescent="0.3">
      <c r="A6848" s="225" t="s">
        <v>7169</v>
      </c>
      <c r="B6848" s="228" t="str">
        <f>INDEX(Orçamentária!A:B,MATCH(Composições!A6848,Orçamentária!A:A,0),2)</f>
        <v>Válvula de retenção vertical - 3”</v>
      </c>
      <c r="C6848" s="37"/>
      <c r="D6848" s="22" t="str">
        <f>TRIM(INDEX(Orçamentária!C:C,MATCH(Composições!A6848,Orçamentária!A:A,0),1))</f>
        <v>un</v>
      </c>
      <c r="E6848" s="23"/>
      <c r="F6848" s="38" t="s">
        <v>523</v>
      </c>
      <c r="G6848" s="24" t="str">
        <f t="shared" si="179"/>
        <v/>
      </c>
      <c r="H6848" s="25"/>
      <c r="I6848" s="26"/>
      <c r="J6848" s="141">
        <v>0</v>
      </c>
    </row>
    <row r="6849" spans="1:10" ht="15.75" hidden="1" thickBot="1" x14ac:dyDescent="0.3">
      <c r="A6849" s="226"/>
      <c r="B6849" s="229"/>
      <c r="C6849" s="28"/>
      <c r="D6849" s="28"/>
      <c r="E6849" s="29"/>
      <c r="F6849" s="39" t="s">
        <v>523</v>
      </c>
      <c r="G6849" s="27" t="str">
        <f t="shared" si="179"/>
        <v/>
      </c>
      <c r="H6849" s="31"/>
      <c r="I6849" s="27"/>
      <c r="J6849" s="141">
        <v>0</v>
      </c>
    </row>
    <row r="6850" spans="1:10" ht="26.25" hidden="1" thickBot="1" x14ac:dyDescent="0.3">
      <c r="A6850" s="226"/>
      <c r="B6850" s="229"/>
      <c r="C6850" s="161" t="s">
        <v>7712</v>
      </c>
      <c r="D6850" s="43" t="s">
        <v>20</v>
      </c>
      <c r="E6850" s="149">
        <v>1</v>
      </c>
      <c r="F6850" s="27">
        <v>331.17950000000002</v>
      </c>
      <c r="G6850" s="27">
        <f t="shared" si="179"/>
        <v>331.17950000000002</v>
      </c>
      <c r="H6850" s="35">
        <f>SUM(G6850:G6850)</f>
        <v>331.17950000000002</v>
      </c>
      <c r="I6850" s="36"/>
      <c r="J6850" s="141">
        <v>0</v>
      </c>
    </row>
    <row r="6851" spans="1:10" ht="15.75" hidden="1" thickBot="1" x14ac:dyDescent="0.3">
      <c r="A6851" s="227"/>
      <c r="B6851" s="230"/>
      <c r="C6851" s="51"/>
      <c r="D6851" s="51"/>
      <c r="E6851" s="62"/>
      <c r="F6851" s="63" t="s">
        <v>523</v>
      </c>
      <c r="G6851" s="63" t="str">
        <f t="shared" si="179"/>
        <v/>
      </c>
      <c r="H6851" s="65"/>
      <c r="I6851" s="27"/>
      <c r="J6851" s="141">
        <v>0</v>
      </c>
    </row>
    <row r="6852" spans="1:10" ht="15.75" hidden="1" thickBot="1" x14ac:dyDescent="0.3">
      <c r="A6852" s="225" t="s">
        <v>7171</v>
      </c>
      <c r="B6852" s="228" t="str">
        <f>INDEX(Orçamentária!A:B,MATCH(Composições!A6852,Orçamentária!A:A,0),2)</f>
        <v>Válvula de retenção vertical - 4”</v>
      </c>
      <c r="C6852" s="37"/>
      <c r="D6852" s="22" t="str">
        <f>TRIM(INDEX(Orçamentária!C:C,MATCH(Composições!A6852,Orçamentária!A:A,0),1))</f>
        <v>un</v>
      </c>
      <c r="E6852" s="23"/>
      <c r="F6852" s="38" t="s">
        <v>523</v>
      </c>
      <c r="G6852" s="24" t="str">
        <f t="shared" si="179"/>
        <v/>
      </c>
      <c r="H6852" s="25"/>
      <c r="I6852" s="26"/>
      <c r="J6852" s="141">
        <v>0</v>
      </c>
    </row>
    <row r="6853" spans="1:10" ht="15.75" hidden="1" thickBot="1" x14ac:dyDescent="0.3">
      <c r="A6853" s="226"/>
      <c r="B6853" s="229"/>
      <c r="C6853" s="28"/>
      <c r="D6853" s="28"/>
      <c r="E6853" s="29"/>
      <c r="F6853" s="39" t="s">
        <v>523</v>
      </c>
      <c r="G6853" s="27" t="str">
        <f t="shared" si="179"/>
        <v/>
      </c>
      <c r="H6853" s="31"/>
      <c r="I6853" s="27"/>
      <c r="J6853" s="141">
        <v>0</v>
      </c>
    </row>
    <row r="6854" spans="1:10" ht="26.25" hidden="1" thickBot="1" x14ac:dyDescent="0.3">
      <c r="A6854" s="226"/>
      <c r="B6854" s="229"/>
      <c r="C6854" s="161" t="s">
        <v>7713</v>
      </c>
      <c r="D6854" s="43" t="s">
        <v>20</v>
      </c>
      <c r="E6854" s="149">
        <v>1</v>
      </c>
      <c r="F6854" s="27">
        <v>574.77849999999989</v>
      </c>
      <c r="G6854" s="27">
        <f t="shared" si="179"/>
        <v>574.77849999999989</v>
      </c>
      <c r="H6854" s="35">
        <f>SUM(G6854:G6854)</f>
        <v>574.77849999999989</v>
      </c>
      <c r="I6854" s="36"/>
      <c r="J6854" s="141">
        <v>0</v>
      </c>
    </row>
    <row r="6855" spans="1:10" ht="15.75" hidden="1" thickBot="1" x14ac:dyDescent="0.3">
      <c r="A6855" s="227"/>
      <c r="B6855" s="230"/>
      <c r="C6855" s="51"/>
      <c r="D6855" s="51"/>
      <c r="E6855" s="62"/>
      <c r="F6855" s="63" t="s">
        <v>523</v>
      </c>
      <c r="G6855" s="63" t="str">
        <f t="shared" si="179"/>
        <v/>
      </c>
      <c r="H6855" s="65"/>
      <c r="I6855" s="27"/>
      <c r="J6855" s="141">
        <v>0</v>
      </c>
    </row>
    <row r="6856" spans="1:10" ht="15.75" hidden="1" thickBot="1" x14ac:dyDescent="0.3">
      <c r="A6856" s="225" t="s">
        <v>7173</v>
      </c>
      <c r="B6856" s="228" t="str">
        <f>INDEX(Orçamentária!A:B,MATCH(Composições!A6856,Orçamentária!A:A,0),2)</f>
        <v>Válvula de retenção vertical - 2”</v>
      </c>
      <c r="C6856" s="37"/>
      <c r="D6856" s="22" t="str">
        <f>TRIM(INDEX(Orçamentária!C:C,MATCH(Composições!A6856,Orçamentária!A:A,0),1))</f>
        <v>un</v>
      </c>
      <c r="E6856" s="23"/>
      <c r="F6856" s="38" t="s">
        <v>523</v>
      </c>
      <c r="G6856" s="24" t="str">
        <f t="shared" si="179"/>
        <v/>
      </c>
      <c r="H6856" s="25"/>
      <c r="I6856" s="26"/>
      <c r="J6856" s="141">
        <v>0</v>
      </c>
    </row>
    <row r="6857" spans="1:10" ht="15.75" hidden="1" thickBot="1" x14ac:dyDescent="0.3">
      <c r="A6857" s="226"/>
      <c r="B6857" s="229"/>
      <c r="C6857" s="28"/>
      <c r="D6857" s="28"/>
      <c r="E6857" s="29"/>
      <c r="F6857" s="39" t="s">
        <v>523</v>
      </c>
      <c r="G6857" s="27" t="str">
        <f t="shared" si="179"/>
        <v/>
      </c>
      <c r="H6857" s="31"/>
      <c r="I6857" s="27"/>
      <c r="J6857" s="141">
        <v>0</v>
      </c>
    </row>
    <row r="6858" spans="1:10" ht="26.25" hidden="1" thickBot="1" x14ac:dyDescent="0.3">
      <c r="A6858" s="226"/>
      <c r="B6858" s="229"/>
      <c r="C6858" s="161" t="s">
        <v>7711</v>
      </c>
      <c r="D6858" s="43" t="s">
        <v>20</v>
      </c>
      <c r="E6858" s="149">
        <v>1</v>
      </c>
      <c r="F6858" s="27">
        <v>151.34449999999998</v>
      </c>
      <c r="G6858" s="27">
        <f t="shared" si="179"/>
        <v>151.34449999999998</v>
      </c>
      <c r="H6858" s="35">
        <f>SUM(G6858:G6858)</f>
        <v>151.34449999999998</v>
      </c>
      <c r="I6858" s="36"/>
      <c r="J6858" s="141">
        <v>0</v>
      </c>
    </row>
    <row r="6859" spans="1:10" ht="15.75" hidden="1" thickBot="1" x14ac:dyDescent="0.3">
      <c r="A6859" s="227"/>
      <c r="B6859" s="230"/>
      <c r="C6859" s="51"/>
      <c r="D6859" s="51"/>
      <c r="E6859" s="62"/>
      <c r="F6859" s="63" t="s">
        <v>523</v>
      </c>
      <c r="G6859" s="63" t="str">
        <f t="shared" si="179"/>
        <v/>
      </c>
      <c r="H6859" s="65"/>
      <c r="I6859" s="27"/>
      <c r="J6859" s="141">
        <v>0</v>
      </c>
    </row>
    <row r="6860" spans="1:10" ht="15.75" hidden="1" thickBot="1" x14ac:dyDescent="0.3">
      <c r="A6860" s="225" t="s">
        <v>7175</v>
      </c>
      <c r="B6860" s="228" t="str">
        <f>INDEX(Orçamentária!A:B,MATCH(Composições!A6860,Orçamentária!A:A,0),2)</f>
        <v>Válvula de retenção vertical - 2 1/2”</v>
      </c>
      <c r="C6860" s="37"/>
      <c r="D6860" s="22" t="str">
        <f>TRIM(INDEX(Orçamentária!C:C,MATCH(Composições!A6860,Orçamentária!A:A,0),1))</f>
        <v>un</v>
      </c>
      <c r="E6860" s="23"/>
      <c r="F6860" s="38" t="s">
        <v>523</v>
      </c>
      <c r="G6860" s="24" t="str">
        <f t="shared" si="179"/>
        <v/>
      </c>
      <c r="H6860" s="25"/>
      <c r="I6860" s="26"/>
      <c r="J6860" s="141">
        <v>0</v>
      </c>
    </row>
    <row r="6861" spans="1:10" ht="15.75" hidden="1" thickBot="1" x14ac:dyDescent="0.3">
      <c r="A6861" s="226"/>
      <c r="B6861" s="229"/>
      <c r="C6861" s="28"/>
      <c r="D6861" s="28"/>
      <c r="E6861" s="29"/>
      <c r="F6861" s="39" t="s">
        <v>523</v>
      </c>
      <c r="G6861" s="27" t="str">
        <f t="shared" si="179"/>
        <v/>
      </c>
      <c r="H6861" s="31"/>
      <c r="I6861" s="27"/>
      <c r="J6861" s="141">
        <v>0</v>
      </c>
    </row>
    <row r="6862" spans="1:10" ht="26.25" hidden="1" thickBot="1" x14ac:dyDescent="0.3">
      <c r="A6862" s="226"/>
      <c r="B6862" s="229"/>
      <c r="C6862" s="161" t="s">
        <v>7710</v>
      </c>
      <c r="D6862" s="43" t="s">
        <v>20</v>
      </c>
      <c r="E6862" s="149">
        <v>1</v>
      </c>
      <c r="F6862" s="27">
        <v>242.51599999999999</v>
      </c>
      <c r="G6862" s="27">
        <f t="shared" si="179"/>
        <v>242.51599999999999</v>
      </c>
      <c r="H6862" s="35">
        <f>SUM(G6862:G6862)</f>
        <v>242.51599999999999</v>
      </c>
      <c r="I6862" s="36"/>
      <c r="J6862" s="141">
        <v>0</v>
      </c>
    </row>
    <row r="6863" spans="1:10" ht="15.75" hidden="1" thickBot="1" x14ac:dyDescent="0.3">
      <c r="A6863" s="227"/>
      <c r="B6863" s="230"/>
      <c r="C6863" s="51"/>
      <c r="D6863" s="51"/>
      <c r="E6863" s="62"/>
      <c r="F6863" s="63" t="s">
        <v>523</v>
      </c>
      <c r="G6863" s="63" t="str">
        <f t="shared" si="179"/>
        <v/>
      </c>
      <c r="H6863" s="65"/>
      <c r="I6863" s="27"/>
      <c r="J6863" s="141">
        <v>0</v>
      </c>
    </row>
    <row r="6864" spans="1:10" ht="15.75" hidden="1" thickBot="1" x14ac:dyDescent="0.3">
      <c r="A6864" s="225" t="s">
        <v>7179</v>
      </c>
      <c r="B6864" s="228" t="str">
        <f>INDEX(Orçamentária!A:B,MATCH(Composições!A6864,Orçamentária!A:A,0),2)</f>
        <v>Válvula de escoamento para tanque</v>
      </c>
      <c r="C6864" s="37"/>
      <c r="D6864" s="22" t="str">
        <f>TRIM(INDEX(Orçamentária!C:C,MATCH(Composições!A6864,Orçamentária!A:A,0),1))</f>
        <v>un</v>
      </c>
      <c r="E6864" s="23"/>
      <c r="F6864" s="38" t="s">
        <v>523</v>
      </c>
      <c r="G6864" s="24" t="str">
        <f t="shared" si="179"/>
        <v/>
      </c>
      <c r="H6864" s="25"/>
      <c r="I6864" s="26"/>
      <c r="J6864" s="141">
        <v>0</v>
      </c>
    </row>
    <row r="6865" spans="1:10" ht="15.75" hidden="1" thickBot="1" x14ac:dyDescent="0.3">
      <c r="A6865" s="226"/>
      <c r="B6865" s="229"/>
      <c r="C6865" s="28"/>
      <c r="D6865" s="28"/>
      <c r="E6865" s="29"/>
      <c r="F6865" s="39" t="s">
        <v>523</v>
      </c>
      <c r="G6865" s="27" t="str">
        <f t="shared" si="179"/>
        <v/>
      </c>
      <c r="H6865" s="31"/>
      <c r="I6865" s="27"/>
      <c r="J6865" s="141">
        <v>0</v>
      </c>
    </row>
    <row r="6866" spans="1:10" ht="26.25" hidden="1" thickBot="1" x14ac:dyDescent="0.3">
      <c r="A6866" s="226"/>
      <c r="B6866" s="229"/>
      <c r="C6866" s="161" t="s">
        <v>6706</v>
      </c>
      <c r="D6866" s="43" t="s">
        <v>20</v>
      </c>
      <c r="E6866" s="149">
        <v>1</v>
      </c>
      <c r="F6866" s="27">
        <v>51.005499999999998</v>
      </c>
      <c r="G6866" s="27">
        <f t="shared" si="179"/>
        <v>51.005499999999998</v>
      </c>
      <c r="H6866" s="35">
        <f>SUM(G6866:G6866)</f>
        <v>51.005499999999998</v>
      </c>
      <c r="I6866" s="36"/>
      <c r="J6866" s="141">
        <v>0</v>
      </c>
    </row>
    <row r="6867" spans="1:10" ht="15.75" hidden="1" thickBot="1" x14ac:dyDescent="0.3">
      <c r="A6867" s="227"/>
      <c r="B6867" s="230"/>
      <c r="C6867" s="51"/>
      <c r="D6867" s="51"/>
      <c r="E6867" s="62"/>
      <c r="F6867" s="63" t="s">
        <v>523</v>
      </c>
      <c r="G6867" s="63" t="str">
        <f t="shared" si="179"/>
        <v/>
      </c>
      <c r="H6867" s="65"/>
      <c r="I6867" s="27"/>
      <c r="J6867" s="141">
        <v>0</v>
      </c>
    </row>
    <row r="6868" spans="1:10" ht="15.75" hidden="1" thickBot="1" x14ac:dyDescent="0.3">
      <c r="A6868" s="225" t="s">
        <v>7180</v>
      </c>
      <c r="B6868" s="228" t="str">
        <f>INDEX(Orçamentária!A:B,MATCH(Composições!A6868,Orçamentária!A:A,0),2)</f>
        <v>Sifão para tanque</v>
      </c>
      <c r="C6868" s="37"/>
      <c r="D6868" s="22" t="str">
        <f>TRIM(INDEX(Orçamentária!C:C,MATCH(Composições!A6868,Orçamentária!A:A,0),1))</f>
        <v>un</v>
      </c>
      <c r="E6868" s="23"/>
      <c r="F6868" s="38" t="s">
        <v>523</v>
      </c>
      <c r="G6868" s="24" t="str">
        <f t="shared" si="179"/>
        <v/>
      </c>
      <c r="H6868" s="25"/>
      <c r="I6868" s="26"/>
      <c r="J6868" s="141">
        <v>0</v>
      </c>
    </row>
    <row r="6869" spans="1:10" ht="15.75" hidden="1" thickBot="1" x14ac:dyDescent="0.3">
      <c r="A6869" s="226"/>
      <c r="B6869" s="229"/>
      <c r="C6869" s="28"/>
      <c r="D6869" s="28"/>
      <c r="E6869" s="29"/>
      <c r="F6869" s="39" t="s">
        <v>523</v>
      </c>
      <c r="G6869" s="27" t="str">
        <f t="shared" si="179"/>
        <v/>
      </c>
      <c r="H6869" s="31"/>
      <c r="I6869" s="27"/>
      <c r="J6869" s="141">
        <v>0</v>
      </c>
    </row>
    <row r="6870" spans="1:10" ht="15.75" hidden="1" thickBot="1" x14ac:dyDescent="0.3">
      <c r="A6870" s="226"/>
      <c r="B6870" s="229"/>
      <c r="C6870" s="161" t="s">
        <v>7651</v>
      </c>
      <c r="D6870" s="43" t="s">
        <v>20</v>
      </c>
      <c r="E6870" s="149">
        <v>1</v>
      </c>
      <c r="F6870" s="27">
        <v>171.72199999999998</v>
      </c>
      <c r="G6870" s="27">
        <f t="shared" si="179"/>
        <v>171.72199999999998</v>
      </c>
      <c r="H6870" s="35">
        <f>SUM(G6870:G6870)</f>
        <v>171.72199999999998</v>
      </c>
      <c r="I6870" s="36"/>
      <c r="J6870" s="141">
        <v>0</v>
      </c>
    </row>
    <row r="6871" spans="1:10" ht="15.75" hidden="1" thickBot="1" x14ac:dyDescent="0.3">
      <c r="A6871" s="227"/>
      <c r="B6871" s="230"/>
      <c r="C6871" s="51"/>
      <c r="D6871" s="51"/>
      <c r="E6871" s="62"/>
      <c r="F6871" s="63" t="s">
        <v>523</v>
      </c>
      <c r="G6871" s="63" t="str">
        <f t="shared" si="179"/>
        <v/>
      </c>
      <c r="H6871" s="65"/>
      <c r="I6871" s="27"/>
      <c r="J6871" s="141">
        <v>0</v>
      </c>
    </row>
    <row r="6872" spans="1:10" ht="15.75" hidden="1" thickBot="1" x14ac:dyDescent="0.3">
      <c r="A6872" s="225" t="s">
        <v>7181</v>
      </c>
      <c r="B6872" s="228" t="str">
        <f>INDEX(Orçamentária!A:B,MATCH(Composições!A6872,Orçamentária!A:A,0),2)</f>
        <v>Tampa em ferro fundido 20x20 cm</v>
      </c>
      <c r="C6872" s="37"/>
      <c r="D6872" s="22" t="str">
        <f>TRIM(INDEX(Orçamentária!C:C,MATCH(Composições!A6872,Orçamentária!A:A,0),1))</f>
        <v>un</v>
      </c>
      <c r="E6872" s="23"/>
      <c r="F6872" s="38" t="s">
        <v>523</v>
      </c>
      <c r="G6872" s="24" t="str">
        <f t="shared" si="179"/>
        <v/>
      </c>
      <c r="H6872" s="25"/>
      <c r="I6872" s="26"/>
      <c r="J6872" s="141">
        <v>0</v>
      </c>
    </row>
    <row r="6873" spans="1:10" ht="15.75" hidden="1" thickBot="1" x14ac:dyDescent="0.3">
      <c r="A6873" s="226"/>
      <c r="B6873" s="229"/>
      <c r="C6873" s="28"/>
      <c r="D6873" s="28"/>
      <c r="E6873" s="29"/>
      <c r="F6873" s="39" t="s">
        <v>523</v>
      </c>
      <c r="G6873" s="27" t="str">
        <f t="shared" si="179"/>
        <v/>
      </c>
      <c r="H6873" s="31"/>
      <c r="I6873" s="27"/>
      <c r="J6873" s="141">
        <v>0</v>
      </c>
    </row>
    <row r="6874" spans="1:10" ht="26.25" hidden="1" thickBot="1" x14ac:dyDescent="0.3">
      <c r="A6874" s="226"/>
      <c r="B6874" s="229"/>
      <c r="C6874" s="161" t="s">
        <v>1177</v>
      </c>
      <c r="D6874" s="43" t="s">
        <v>20</v>
      </c>
      <c r="E6874" s="149">
        <v>1</v>
      </c>
      <c r="F6874" s="27">
        <v>82.478999999999985</v>
      </c>
      <c r="G6874" s="27">
        <f t="shared" si="179"/>
        <v>82.478999999999985</v>
      </c>
      <c r="H6874" s="35">
        <f>SUM(G6874:G6874)</f>
        <v>82.478999999999985</v>
      </c>
      <c r="I6874" s="36"/>
      <c r="J6874" s="141">
        <v>0</v>
      </c>
    </row>
    <row r="6875" spans="1:10" ht="15.75" hidden="1" thickBot="1" x14ac:dyDescent="0.3">
      <c r="A6875" s="227"/>
      <c r="B6875" s="230"/>
      <c r="C6875" s="51"/>
      <c r="D6875" s="51"/>
      <c r="E6875" s="62"/>
      <c r="F6875" s="63" t="s">
        <v>523</v>
      </c>
      <c r="G6875" s="63" t="str">
        <f t="shared" si="179"/>
        <v/>
      </c>
      <c r="H6875" s="65"/>
      <c r="I6875" s="27"/>
      <c r="J6875" s="141">
        <v>0</v>
      </c>
    </row>
    <row r="6876" spans="1:10" ht="15.75" hidden="1" thickBot="1" x14ac:dyDescent="0.3">
      <c r="A6876" s="225" t="s">
        <v>7182</v>
      </c>
      <c r="B6876" s="228" t="str">
        <f>INDEX(Orçamentária!A:B,MATCH(Composições!A6876,Orçamentária!A:A,0),2)</f>
        <v>Acoplamento Circular PVC 88mm</v>
      </c>
      <c r="C6876" s="37"/>
      <c r="D6876" s="22" t="str">
        <f>TRIM(INDEX(Orçamentária!C:C,MATCH(Composições!A6876,Orçamentária!A:A,0),1))</f>
        <v>un</v>
      </c>
      <c r="E6876" s="23"/>
      <c r="F6876" s="38" t="s">
        <v>523</v>
      </c>
      <c r="G6876" s="24" t="str">
        <f t="shared" si="179"/>
        <v/>
      </c>
      <c r="H6876" s="25"/>
      <c r="I6876" s="26"/>
      <c r="J6876" s="141">
        <v>0</v>
      </c>
    </row>
    <row r="6877" spans="1:10" ht="15.75" hidden="1" thickBot="1" x14ac:dyDescent="0.3">
      <c r="A6877" s="226"/>
      <c r="B6877" s="229"/>
      <c r="C6877" s="28"/>
      <c r="D6877" s="28"/>
      <c r="E6877" s="29"/>
      <c r="F6877" s="39" t="s">
        <v>523</v>
      </c>
      <c r="G6877" s="27" t="str">
        <f t="shared" si="179"/>
        <v/>
      </c>
      <c r="H6877" s="31"/>
      <c r="I6877" s="27"/>
      <c r="J6877" s="141">
        <v>0</v>
      </c>
    </row>
    <row r="6878" spans="1:10" ht="26.25" hidden="1" thickBot="1" x14ac:dyDescent="0.3">
      <c r="A6878" s="226"/>
      <c r="B6878" s="229"/>
      <c r="C6878" s="161" t="s">
        <v>7566</v>
      </c>
      <c r="D6878" s="43" t="s">
        <v>20</v>
      </c>
      <c r="E6878" s="149">
        <v>1</v>
      </c>
      <c r="F6878" s="27">
        <v>4.6360000000000001</v>
      </c>
      <c r="G6878" s="27">
        <f t="shared" si="179"/>
        <v>4.6360000000000001</v>
      </c>
      <c r="H6878" s="35">
        <f>SUM(G6878:G6878)</f>
        <v>4.6360000000000001</v>
      </c>
      <c r="I6878" s="36"/>
      <c r="J6878" s="141">
        <v>0</v>
      </c>
    </row>
    <row r="6879" spans="1:10" ht="15.75" hidden="1" thickBot="1" x14ac:dyDescent="0.3">
      <c r="A6879" s="227"/>
      <c r="B6879" s="230"/>
      <c r="C6879" s="51"/>
      <c r="D6879" s="51"/>
      <c r="E6879" s="62"/>
      <c r="F6879" s="63" t="s">
        <v>523</v>
      </c>
      <c r="G6879" s="63" t="str">
        <f t="shared" si="179"/>
        <v/>
      </c>
      <c r="H6879" s="65"/>
      <c r="I6879" s="27"/>
      <c r="J6879" s="141">
        <v>0</v>
      </c>
    </row>
    <row r="6880" spans="1:10" ht="15.75" hidden="1" thickBot="1" x14ac:dyDescent="0.3">
      <c r="A6880" s="225" t="s">
        <v>7184</v>
      </c>
      <c r="B6880" s="228" t="str">
        <f>INDEX(Orçamentária!A:B,MATCH(Composições!A6880,Orçamentária!A:A,0),2)</f>
        <v>Adaptador com Flange e Anel 85mm x 3”</v>
      </c>
      <c r="C6880" s="37"/>
      <c r="D6880" s="22" t="str">
        <f>TRIM(INDEX(Orçamentária!C:C,MATCH(Composições!A6880,Orçamentária!A:A,0),1))</f>
        <v>un</v>
      </c>
      <c r="E6880" s="23"/>
      <c r="F6880" s="38" t="s">
        <v>523</v>
      </c>
      <c r="G6880" s="24" t="str">
        <f t="shared" si="179"/>
        <v/>
      </c>
      <c r="H6880" s="25"/>
      <c r="I6880" s="26"/>
      <c r="J6880" s="141">
        <v>0</v>
      </c>
    </row>
    <row r="6881" spans="1:10" ht="15.75" hidden="1" thickBot="1" x14ac:dyDescent="0.3">
      <c r="A6881" s="226"/>
      <c r="B6881" s="229"/>
      <c r="C6881" s="28"/>
      <c r="D6881" s="28"/>
      <c r="E6881" s="29"/>
      <c r="F6881" s="39" t="s">
        <v>523</v>
      </c>
      <c r="G6881" s="27" t="str">
        <f t="shared" si="179"/>
        <v/>
      </c>
      <c r="H6881" s="31"/>
      <c r="I6881" s="27"/>
      <c r="J6881" s="141">
        <v>0</v>
      </c>
    </row>
    <row r="6882" spans="1:10" ht="26.25" hidden="1" thickBot="1" x14ac:dyDescent="0.3">
      <c r="A6882" s="226"/>
      <c r="B6882" s="229"/>
      <c r="C6882" s="161" t="s">
        <v>7570</v>
      </c>
      <c r="D6882" s="43" t="s">
        <v>20</v>
      </c>
      <c r="E6882" s="149">
        <v>1</v>
      </c>
      <c r="F6882" s="27">
        <v>292.46699999999998</v>
      </c>
      <c r="G6882" s="27">
        <f t="shared" ref="G6882:G6945" si="186">IF(ISNUMBER(F6882),E6882*F6882,"")</f>
        <v>292.46699999999998</v>
      </c>
      <c r="H6882" s="35">
        <f>SUM(G6882:G6882)</f>
        <v>292.46699999999998</v>
      </c>
      <c r="I6882" s="36"/>
      <c r="J6882" s="141">
        <v>0</v>
      </c>
    </row>
    <row r="6883" spans="1:10" ht="15.75" hidden="1" thickBot="1" x14ac:dyDescent="0.3">
      <c r="A6883" s="227"/>
      <c r="B6883" s="230"/>
      <c r="C6883" s="51"/>
      <c r="D6883" s="51"/>
      <c r="E6883" s="62"/>
      <c r="F6883" s="63" t="s">
        <v>523</v>
      </c>
      <c r="G6883" s="63" t="str">
        <f t="shared" si="186"/>
        <v/>
      </c>
      <c r="H6883" s="65"/>
      <c r="I6883" s="27"/>
      <c r="J6883" s="141">
        <v>0</v>
      </c>
    </row>
    <row r="6884" spans="1:10" ht="15.75" hidden="1" thickBot="1" x14ac:dyDescent="0.3">
      <c r="A6884" s="225" t="s">
        <v>7194</v>
      </c>
      <c r="B6884" s="228" t="str">
        <f>INDEX(Orçamentária!A:B,MATCH(Composições!A6884,Orçamentária!A:A,0),2)</f>
        <v>Adaptador PVC água fria- 60 mm x 2”</v>
      </c>
      <c r="C6884" s="37"/>
      <c r="D6884" s="22" t="str">
        <f>TRIM(INDEX(Orçamentária!C:C,MATCH(Composições!A6884,Orçamentária!A:A,0),1))</f>
        <v>un</v>
      </c>
      <c r="E6884" s="23"/>
      <c r="F6884" s="38" t="s">
        <v>523</v>
      </c>
      <c r="G6884" s="24" t="str">
        <f t="shared" si="186"/>
        <v/>
      </c>
      <c r="H6884" s="25"/>
      <c r="I6884" s="26"/>
      <c r="J6884" s="141">
        <v>0</v>
      </c>
    </row>
    <row r="6885" spans="1:10" ht="15.75" hidden="1" thickBot="1" x14ac:dyDescent="0.3">
      <c r="A6885" s="226"/>
      <c r="B6885" s="229"/>
      <c r="C6885" s="28"/>
      <c r="D6885" s="28"/>
      <c r="E6885" s="29"/>
      <c r="F6885" s="39" t="s">
        <v>523</v>
      </c>
      <c r="G6885" s="27" t="str">
        <f t="shared" si="186"/>
        <v/>
      </c>
      <c r="H6885" s="31"/>
      <c r="I6885" s="27"/>
      <c r="J6885" s="141">
        <v>0</v>
      </c>
    </row>
    <row r="6886" spans="1:10" ht="26.25" hidden="1" thickBot="1" x14ac:dyDescent="0.3">
      <c r="A6886" s="226"/>
      <c r="B6886" s="229"/>
      <c r="C6886" s="161" t="s">
        <v>7567</v>
      </c>
      <c r="D6886" s="43" t="s">
        <v>20</v>
      </c>
      <c r="E6886" s="149">
        <v>1</v>
      </c>
      <c r="F6886" s="27">
        <v>14.3925</v>
      </c>
      <c r="G6886" s="27">
        <f t="shared" si="186"/>
        <v>14.3925</v>
      </c>
      <c r="H6886" s="35">
        <f>SUM(G6886:G6886)</f>
        <v>14.3925</v>
      </c>
      <c r="I6886" s="36"/>
      <c r="J6886" s="141">
        <v>0</v>
      </c>
    </row>
    <row r="6887" spans="1:10" ht="15.75" hidden="1" thickBot="1" x14ac:dyDescent="0.3">
      <c r="A6887" s="227"/>
      <c r="B6887" s="230"/>
      <c r="C6887" s="51"/>
      <c r="D6887" s="51"/>
      <c r="E6887" s="62"/>
      <c r="F6887" s="63" t="s">
        <v>523</v>
      </c>
      <c r="G6887" s="63" t="str">
        <f t="shared" si="186"/>
        <v/>
      </c>
      <c r="H6887" s="65"/>
      <c r="I6887" s="27"/>
      <c r="J6887" s="141">
        <v>0</v>
      </c>
    </row>
    <row r="6888" spans="1:10" ht="15.75" hidden="1" thickBot="1" x14ac:dyDescent="0.3">
      <c r="A6888" s="225" t="s">
        <v>7196</v>
      </c>
      <c r="B6888" s="228" t="str">
        <f>INDEX(Orçamentária!A:B,MATCH(Composições!A6888,Orçamentária!A:A,0),2)</f>
        <v>Manilha para Poço – 1,10x0,50x0,05 m</v>
      </c>
      <c r="C6888" s="37"/>
      <c r="D6888" s="22" t="str">
        <f>TRIM(INDEX(Orçamentária!C:C,MATCH(Composições!A6888,Orçamentária!A:A,0),1))</f>
        <v>un</v>
      </c>
      <c r="E6888" s="23"/>
      <c r="F6888" s="38" t="s">
        <v>523</v>
      </c>
      <c r="G6888" s="24" t="str">
        <f t="shared" si="186"/>
        <v/>
      </c>
      <c r="H6888" s="25"/>
      <c r="I6888" s="26"/>
      <c r="J6888" s="141">
        <v>0</v>
      </c>
    </row>
    <row r="6889" spans="1:10" ht="15.75" hidden="1" thickBot="1" x14ac:dyDescent="0.3">
      <c r="A6889" s="226"/>
      <c r="B6889" s="229"/>
      <c r="C6889" s="28"/>
      <c r="D6889" s="28"/>
      <c r="E6889" s="29"/>
      <c r="F6889" s="39" t="s">
        <v>523</v>
      </c>
      <c r="G6889" s="27" t="str">
        <f t="shared" si="186"/>
        <v/>
      </c>
      <c r="H6889" s="31"/>
      <c r="I6889" s="27"/>
      <c r="J6889" s="141">
        <v>0</v>
      </c>
    </row>
    <row r="6890" spans="1:10" ht="39" hidden="1" thickBot="1" x14ac:dyDescent="0.3">
      <c r="A6890" s="226"/>
      <c r="B6890" s="229"/>
      <c r="C6890" s="161" t="s">
        <v>7573</v>
      </c>
      <c r="D6890" s="43" t="s">
        <v>20</v>
      </c>
      <c r="E6890" s="149">
        <v>1</v>
      </c>
      <c r="F6890" s="27">
        <v>266.53199999999998</v>
      </c>
      <c r="G6890" s="27">
        <f t="shared" si="186"/>
        <v>266.53199999999998</v>
      </c>
      <c r="H6890" s="35">
        <f>SUM(G6890:G6890)</f>
        <v>266.53199999999998</v>
      </c>
      <c r="I6890" s="36"/>
      <c r="J6890" s="141">
        <v>0</v>
      </c>
    </row>
    <row r="6891" spans="1:10" ht="15.75" hidden="1" thickBot="1" x14ac:dyDescent="0.3">
      <c r="A6891" s="227"/>
      <c r="B6891" s="230"/>
      <c r="C6891" s="51"/>
      <c r="D6891" s="51"/>
      <c r="E6891" s="62"/>
      <c r="F6891" s="63" t="s">
        <v>523</v>
      </c>
      <c r="G6891" s="63" t="str">
        <f t="shared" si="186"/>
        <v/>
      </c>
      <c r="H6891" s="65"/>
      <c r="I6891" s="27"/>
      <c r="J6891" s="141">
        <v>0</v>
      </c>
    </row>
    <row r="6892" spans="1:10" ht="15.75" hidden="1" thickBot="1" x14ac:dyDescent="0.3">
      <c r="A6892" s="225" t="s">
        <v>7200</v>
      </c>
      <c r="B6892" s="228" t="str">
        <f>INDEX(Orçamentária!A:B,MATCH(Composições!A6892,Orçamentária!A:A,0),2)</f>
        <v>Aquecedor elétrico horizontal – 200L – Linha Residencial</v>
      </c>
      <c r="C6892" s="37"/>
      <c r="D6892" s="22" t="str">
        <f>TRIM(INDEX(Orçamentária!C:C,MATCH(Composições!A6892,Orçamentária!A:A,0),1))</f>
        <v>un</v>
      </c>
      <c r="E6892" s="23"/>
      <c r="F6892" s="38" t="s">
        <v>523</v>
      </c>
      <c r="G6892" s="24" t="str">
        <f t="shared" si="186"/>
        <v/>
      </c>
      <c r="H6892" s="25"/>
      <c r="I6892" s="26"/>
      <c r="J6892" s="141">
        <v>0</v>
      </c>
    </row>
    <row r="6893" spans="1:10" ht="15.75" hidden="1" thickBot="1" x14ac:dyDescent="0.3">
      <c r="A6893" s="226"/>
      <c r="B6893" s="229"/>
      <c r="C6893" s="28"/>
      <c r="D6893" s="28"/>
      <c r="E6893" s="29"/>
      <c r="F6893" s="39" t="s">
        <v>523</v>
      </c>
      <c r="G6893" s="27" t="str">
        <f t="shared" si="186"/>
        <v/>
      </c>
      <c r="H6893" s="31"/>
      <c r="I6893" s="27"/>
      <c r="J6893" s="141">
        <v>0</v>
      </c>
    </row>
    <row r="6894" spans="1:10" ht="39" hidden="1" thickBot="1" x14ac:dyDescent="0.3">
      <c r="A6894" s="226"/>
      <c r="B6894" s="229"/>
      <c r="C6894" s="161" t="s">
        <v>7574</v>
      </c>
      <c r="D6894" s="43" t="s">
        <v>20</v>
      </c>
      <c r="E6894" s="149">
        <v>1</v>
      </c>
      <c r="F6894" s="27">
        <v>4179.7815000000001</v>
      </c>
      <c r="G6894" s="27">
        <f t="shared" si="186"/>
        <v>4179.7815000000001</v>
      </c>
      <c r="H6894" s="35">
        <f>SUM(G6894:G6894)</f>
        <v>4179.7815000000001</v>
      </c>
      <c r="I6894" s="36"/>
      <c r="J6894" s="141">
        <v>0</v>
      </c>
    </row>
    <row r="6895" spans="1:10" ht="15.75" hidden="1" thickBot="1" x14ac:dyDescent="0.3">
      <c r="A6895" s="227"/>
      <c r="B6895" s="230"/>
      <c r="C6895" s="51"/>
      <c r="D6895" s="51"/>
      <c r="E6895" s="62"/>
      <c r="F6895" s="63" t="s">
        <v>523</v>
      </c>
      <c r="G6895" s="63" t="str">
        <f t="shared" si="186"/>
        <v/>
      </c>
      <c r="H6895" s="65"/>
      <c r="I6895" s="27"/>
      <c r="J6895" s="141">
        <v>0</v>
      </c>
    </row>
    <row r="6896" spans="1:10" ht="15.75" hidden="1" thickBot="1" x14ac:dyDescent="0.3">
      <c r="A6896" s="225" t="s">
        <v>7254</v>
      </c>
      <c r="B6896" s="228" t="str">
        <f>INDEX(Orçamentária!A:B,MATCH(Composições!A6896,Orçamentária!A:A,0),2)</f>
        <v>Bucha de Redução em CPVC 28 x 22mm</v>
      </c>
      <c r="C6896" s="37"/>
      <c r="D6896" s="22" t="str">
        <f>TRIM(INDEX(Orçamentária!C:C,MATCH(Composições!A6896,Orçamentária!A:A,0),1))</f>
        <v>un</v>
      </c>
      <c r="E6896" s="23"/>
      <c r="F6896" s="38" t="s">
        <v>523</v>
      </c>
      <c r="G6896" s="24" t="str">
        <f t="shared" si="186"/>
        <v/>
      </c>
      <c r="H6896" s="25"/>
      <c r="I6896" s="26"/>
      <c r="J6896" s="141">
        <v>0</v>
      </c>
    </row>
    <row r="6897" spans="1:10" ht="15.75" hidden="1" thickBot="1" x14ac:dyDescent="0.3">
      <c r="A6897" s="226"/>
      <c r="B6897" s="229"/>
      <c r="C6897" s="28"/>
      <c r="D6897" s="28"/>
      <c r="E6897" s="29"/>
      <c r="F6897" s="39" t="s">
        <v>523</v>
      </c>
      <c r="G6897" s="27" t="str">
        <f t="shared" si="186"/>
        <v/>
      </c>
      <c r="H6897" s="31"/>
      <c r="I6897" s="27"/>
      <c r="J6897" s="141">
        <v>0</v>
      </c>
    </row>
    <row r="6898" spans="1:10" ht="26.25" hidden="1" thickBot="1" x14ac:dyDescent="0.3">
      <c r="A6898" s="226"/>
      <c r="B6898" s="229"/>
      <c r="C6898" s="161" t="s">
        <v>7582</v>
      </c>
      <c r="D6898" s="43" t="s">
        <v>20</v>
      </c>
      <c r="E6898" s="149">
        <v>1</v>
      </c>
      <c r="F6898" s="27">
        <v>1.8144999999999998</v>
      </c>
      <c r="G6898" s="27">
        <f t="shared" si="186"/>
        <v>1.8144999999999998</v>
      </c>
      <c r="H6898" s="35">
        <f>SUM(G6898:G6898)</f>
        <v>1.8144999999999998</v>
      </c>
      <c r="I6898" s="36"/>
      <c r="J6898" s="141">
        <v>0</v>
      </c>
    </row>
    <row r="6899" spans="1:10" ht="15.75" hidden="1" thickBot="1" x14ac:dyDescent="0.3">
      <c r="A6899" s="227"/>
      <c r="B6899" s="230"/>
      <c r="C6899" s="51"/>
      <c r="D6899" s="51"/>
      <c r="E6899" s="62"/>
      <c r="F6899" s="63" t="s">
        <v>523</v>
      </c>
      <c r="G6899" s="63" t="str">
        <f t="shared" si="186"/>
        <v/>
      </c>
      <c r="H6899" s="65"/>
      <c r="I6899" s="27"/>
      <c r="J6899" s="141">
        <v>0</v>
      </c>
    </row>
    <row r="6900" spans="1:10" ht="15.75" hidden="1" thickBot="1" x14ac:dyDescent="0.3">
      <c r="A6900" s="225" t="s">
        <v>7260</v>
      </c>
      <c r="B6900" s="228" t="str">
        <f>INDEX(Orçamentária!A:B,MATCH(Composições!A6900,Orçamentária!A:A,0),2)</f>
        <v>Plug Galvanizado 4”</v>
      </c>
      <c r="C6900" s="37"/>
      <c r="D6900" s="22" t="str">
        <f>TRIM(INDEX(Orçamentária!C:C,MATCH(Composições!A6900,Orçamentária!A:A,0),1))</f>
        <v>un</v>
      </c>
      <c r="E6900" s="23"/>
      <c r="F6900" s="38" t="s">
        <v>523</v>
      </c>
      <c r="G6900" s="24" t="str">
        <f t="shared" si="186"/>
        <v/>
      </c>
      <c r="H6900" s="25"/>
      <c r="I6900" s="26"/>
      <c r="J6900" s="141">
        <v>0</v>
      </c>
    </row>
    <row r="6901" spans="1:10" ht="15.75" hidden="1" thickBot="1" x14ac:dyDescent="0.3">
      <c r="A6901" s="226"/>
      <c r="B6901" s="229"/>
      <c r="C6901" s="28"/>
      <c r="D6901" s="28"/>
      <c r="E6901" s="29"/>
      <c r="F6901" s="39" t="s">
        <v>523</v>
      </c>
      <c r="G6901" s="27" t="str">
        <f t="shared" si="186"/>
        <v/>
      </c>
      <c r="H6901" s="31"/>
      <c r="I6901" s="27"/>
      <c r="J6901" s="141">
        <v>0</v>
      </c>
    </row>
    <row r="6902" spans="1:10" ht="15.75" hidden="1" thickBot="1" x14ac:dyDescent="0.3">
      <c r="A6902" s="226"/>
      <c r="B6902" s="229"/>
      <c r="C6902" s="161" t="s">
        <v>7630</v>
      </c>
      <c r="D6902" s="43" t="s">
        <v>20</v>
      </c>
      <c r="E6902" s="149">
        <v>1</v>
      </c>
      <c r="F6902" s="27">
        <v>108.05299999999998</v>
      </c>
      <c r="G6902" s="27">
        <f t="shared" si="186"/>
        <v>108.05299999999998</v>
      </c>
      <c r="H6902" s="35">
        <f>SUM(G6902:G6902)</f>
        <v>108.05299999999998</v>
      </c>
      <c r="I6902" s="36"/>
      <c r="J6902" s="141">
        <v>0</v>
      </c>
    </row>
    <row r="6903" spans="1:10" ht="15.75" hidden="1" thickBot="1" x14ac:dyDescent="0.3">
      <c r="A6903" s="227"/>
      <c r="B6903" s="230"/>
      <c r="C6903" s="51"/>
      <c r="D6903" s="51"/>
      <c r="E6903" s="62"/>
      <c r="F6903" s="63" t="s">
        <v>523</v>
      </c>
      <c r="G6903" s="63" t="str">
        <f t="shared" si="186"/>
        <v/>
      </c>
      <c r="H6903" s="65"/>
      <c r="I6903" s="27"/>
      <c r="J6903" s="141">
        <v>0</v>
      </c>
    </row>
    <row r="6904" spans="1:10" ht="15.75" hidden="1" thickBot="1" x14ac:dyDescent="0.3">
      <c r="A6904" s="225" t="s">
        <v>7262</v>
      </c>
      <c r="B6904" s="228" t="str">
        <f>INDEX(Orçamentária!A:B,MATCH(Composições!A6904,Orçamentária!A:A,0),2)</f>
        <v>Caixa d’água 1000 Litros</v>
      </c>
      <c r="C6904" s="37"/>
      <c r="D6904" s="22" t="str">
        <f>TRIM(INDEX(Orçamentária!C:C,MATCH(Composições!A6904,Orçamentária!A:A,0),1))</f>
        <v>un</v>
      </c>
      <c r="E6904" s="23"/>
      <c r="F6904" s="38" t="s">
        <v>523</v>
      </c>
      <c r="G6904" s="24" t="str">
        <f t="shared" si="186"/>
        <v/>
      </c>
      <c r="H6904" s="25"/>
      <c r="I6904" s="26"/>
      <c r="J6904" s="141">
        <v>0</v>
      </c>
    </row>
    <row r="6905" spans="1:10" ht="15.75" hidden="1" thickBot="1" x14ac:dyDescent="0.3">
      <c r="A6905" s="226"/>
      <c r="B6905" s="229"/>
      <c r="C6905" s="28"/>
      <c r="D6905" s="28"/>
      <c r="E6905" s="29"/>
      <c r="F6905" s="39" t="s">
        <v>523</v>
      </c>
      <c r="G6905" s="27" t="str">
        <f t="shared" si="186"/>
        <v/>
      </c>
      <c r="H6905" s="31"/>
      <c r="I6905" s="27"/>
      <c r="J6905" s="141">
        <v>0</v>
      </c>
    </row>
    <row r="6906" spans="1:10" ht="15.75" hidden="1" thickBot="1" x14ac:dyDescent="0.3">
      <c r="A6906" s="226"/>
      <c r="B6906" s="229"/>
      <c r="C6906" s="161" t="s">
        <v>7583</v>
      </c>
      <c r="D6906" s="43" t="s">
        <v>20</v>
      </c>
      <c r="E6906" s="149">
        <v>1</v>
      </c>
      <c r="F6906" s="27">
        <v>455.51549999999997</v>
      </c>
      <c r="G6906" s="27">
        <f t="shared" si="186"/>
        <v>455.51549999999997</v>
      </c>
      <c r="H6906" s="35">
        <f>SUM(G6906:G6906)</f>
        <v>455.51549999999997</v>
      </c>
      <c r="I6906" s="36"/>
      <c r="J6906" s="141">
        <v>0</v>
      </c>
    </row>
    <row r="6907" spans="1:10" ht="15.75" hidden="1" thickBot="1" x14ac:dyDescent="0.3">
      <c r="A6907" s="227"/>
      <c r="B6907" s="230"/>
      <c r="C6907" s="51"/>
      <c r="D6907" s="51"/>
      <c r="E6907" s="62"/>
      <c r="F6907" s="63" t="s">
        <v>523</v>
      </c>
      <c r="G6907" s="63" t="str">
        <f t="shared" si="186"/>
        <v/>
      </c>
      <c r="H6907" s="65"/>
      <c r="I6907" s="27"/>
      <c r="J6907" s="141">
        <v>0</v>
      </c>
    </row>
    <row r="6908" spans="1:10" ht="15.75" hidden="1" thickBot="1" x14ac:dyDescent="0.3">
      <c r="A6908" s="225" t="s">
        <v>7264</v>
      </c>
      <c r="B6908" s="228" t="str">
        <f>INDEX(Orçamentária!A:B,MATCH(Composições!A6908,Orçamentária!A:A,0),2)</f>
        <v>Canopla para Sprinkler de 1/2”, em latão cromado, diâmetro externo de 6,5cm</v>
      </c>
      <c r="C6908" s="37"/>
      <c r="D6908" s="22" t="str">
        <f>TRIM(INDEX(Orçamentária!C:C,MATCH(Composições!A6908,Orçamentária!A:A,0),1))</f>
        <v>un</v>
      </c>
      <c r="E6908" s="23"/>
      <c r="F6908" s="38" t="s">
        <v>523</v>
      </c>
      <c r="G6908" s="24" t="str">
        <f t="shared" si="186"/>
        <v/>
      </c>
      <c r="H6908" s="25"/>
      <c r="I6908" s="26"/>
      <c r="J6908" s="141">
        <v>0</v>
      </c>
    </row>
    <row r="6909" spans="1:10" ht="15.75" hidden="1" thickBot="1" x14ac:dyDescent="0.3">
      <c r="A6909" s="226"/>
      <c r="B6909" s="229"/>
      <c r="C6909" s="28"/>
      <c r="D6909" s="28"/>
      <c r="E6909" s="29"/>
      <c r="F6909" s="39" t="s">
        <v>523</v>
      </c>
      <c r="G6909" s="27" t="str">
        <f t="shared" si="186"/>
        <v/>
      </c>
      <c r="H6909" s="31"/>
      <c r="I6909" s="27"/>
      <c r="J6909" s="141">
        <v>0</v>
      </c>
    </row>
    <row r="6910" spans="1:10" ht="26.25" hidden="1" thickBot="1" x14ac:dyDescent="0.3">
      <c r="A6910" s="226"/>
      <c r="B6910" s="229"/>
      <c r="C6910" s="161" t="s">
        <v>7587</v>
      </c>
      <c r="D6910" s="43" t="s">
        <v>20</v>
      </c>
      <c r="E6910" s="149">
        <v>1</v>
      </c>
      <c r="F6910" s="27">
        <v>5.4339999999999993</v>
      </c>
      <c r="G6910" s="27">
        <f t="shared" si="186"/>
        <v>5.4339999999999993</v>
      </c>
      <c r="H6910" s="35">
        <f>SUM(G6910:G6910)</f>
        <v>5.4339999999999993</v>
      </c>
      <c r="I6910" s="36"/>
      <c r="J6910" s="141">
        <v>0</v>
      </c>
    </row>
    <row r="6911" spans="1:10" ht="15.75" hidden="1" thickBot="1" x14ac:dyDescent="0.3">
      <c r="A6911" s="227"/>
      <c r="B6911" s="230"/>
      <c r="C6911" s="51"/>
      <c r="D6911" s="51"/>
      <c r="E6911" s="62"/>
      <c r="F6911" s="63" t="s">
        <v>523</v>
      </c>
      <c r="G6911" s="63" t="str">
        <f t="shared" si="186"/>
        <v/>
      </c>
      <c r="H6911" s="65"/>
      <c r="I6911" s="27"/>
      <c r="J6911" s="141">
        <v>0</v>
      </c>
    </row>
    <row r="6912" spans="1:10" ht="15.75" hidden="1" thickBot="1" x14ac:dyDescent="0.3">
      <c r="A6912" s="225" t="s">
        <v>7266</v>
      </c>
      <c r="B6912" s="228" t="str">
        <f>INDEX(Orçamentária!A:B,MATCH(Composições!A6912,Orçamentária!A:A,0),2)</f>
        <v>Sprinkler Pendente 1/2” Cromado 68°C, Fator K80 (5,6)</v>
      </c>
      <c r="C6912" s="37"/>
      <c r="D6912" s="22" t="str">
        <f>TRIM(INDEX(Orçamentária!C:C,MATCH(Composições!A6912,Orçamentária!A:A,0),1))</f>
        <v>un</v>
      </c>
      <c r="E6912" s="23"/>
      <c r="F6912" s="38" t="s">
        <v>523</v>
      </c>
      <c r="G6912" s="24" t="str">
        <f t="shared" si="186"/>
        <v/>
      </c>
      <c r="H6912" s="25"/>
      <c r="I6912" s="26"/>
      <c r="J6912" s="141">
        <v>0</v>
      </c>
    </row>
    <row r="6913" spans="1:10" ht="15.75" hidden="1" thickBot="1" x14ac:dyDescent="0.3">
      <c r="A6913" s="226"/>
      <c r="B6913" s="229"/>
      <c r="C6913" s="28"/>
      <c r="D6913" s="28"/>
      <c r="E6913" s="29"/>
      <c r="F6913" s="39" t="s">
        <v>523</v>
      </c>
      <c r="G6913" s="27" t="str">
        <f t="shared" si="186"/>
        <v/>
      </c>
      <c r="H6913" s="31"/>
      <c r="I6913" s="27"/>
      <c r="J6913" s="141">
        <v>0</v>
      </c>
    </row>
    <row r="6914" spans="1:10" ht="26.25" hidden="1" thickBot="1" x14ac:dyDescent="0.3">
      <c r="A6914" s="226"/>
      <c r="B6914" s="229"/>
      <c r="C6914" s="161" t="s">
        <v>7652</v>
      </c>
      <c r="D6914" s="43" t="s">
        <v>20</v>
      </c>
      <c r="E6914" s="149">
        <v>1</v>
      </c>
      <c r="F6914" s="27">
        <v>33.981500000000004</v>
      </c>
      <c r="G6914" s="27">
        <f t="shared" si="186"/>
        <v>33.981500000000004</v>
      </c>
      <c r="H6914" s="35">
        <f>SUM(G6914:G6914)</f>
        <v>33.981500000000004</v>
      </c>
      <c r="I6914" s="36"/>
      <c r="J6914" s="141">
        <v>0</v>
      </c>
    </row>
    <row r="6915" spans="1:10" ht="15.75" hidden="1" thickBot="1" x14ac:dyDescent="0.3">
      <c r="A6915" s="227"/>
      <c r="B6915" s="230"/>
      <c r="C6915" s="51"/>
      <c r="D6915" s="51"/>
      <c r="E6915" s="62"/>
      <c r="F6915" s="63" t="s">
        <v>523</v>
      </c>
      <c r="G6915" s="63" t="str">
        <f t="shared" si="186"/>
        <v/>
      </c>
      <c r="H6915" s="65"/>
      <c r="I6915" s="27"/>
      <c r="J6915" s="141">
        <v>0</v>
      </c>
    </row>
    <row r="6916" spans="1:10" ht="15.75" hidden="1" thickBot="1" x14ac:dyDescent="0.3">
      <c r="A6916" s="225" t="s">
        <v>7268</v>
      </c>
      <c r="B6916" s="228" t="str">
        <f>INDEX(Orçamentária!A:B,MATCH(Composições!A6916,Orçamentária!A:A,0),2)</f>
        <v>Cap PVC Soldável 60 mm</v>
      </c>
      <c r="C6916" s="37"/>
      <c r="D6916" s="22" t="str">
        <f>TRIM(INDEX(Orçamentária!C:C,MATCH(Composições!A6916,Orçamentária!A:A,0),1))</f>
        <v>un</v>
      </c>
      <c r="E6916" s="23"/>
      <c r="F6916" s="38" t="s">
        <v>523</v>
      </c>
      <c r="G6916" s="24" t="str">
        <f t="shared" si="186"/>
        <v/>
      </c>
      <c r="H6916" s="25"/>
      <c r="I6916" s="26"/>
      <c r="J6916" s="141">
        <v>0</v>
      </c>
    </row>
    <row r="6917" spans="1:10" ht="15.75" hidden="1" thickBot="1" x14ac:dyDescent="0.3">
      <c r="A6917" s="226"/>
      <c r="B6917" s="229"/>
      <c r="C6917" s="28"/>
      <c r="D6917" s="28"/>
      <c r="E6917" s="29"/>
      <c r="F6917" s="39" t="s">
        <v>523</v>
      </c>
      <c r="G6917" s="27" t="str">
        <f t="shared" si="186"/>
        <v/>
      </c>
      <c r="H6917" s="31"/>
      <c r="I6917" s="27"/>
      <c r="J6917" s="141">
        <v>0</v>
      </c>
    </row>
    <row r="6918" spans="1:10" ht="15.75" hidden="1" thickBot="1" x14ac:dyDescent="0.3">
      <c r="A6918" s="226"/>
      <c r="B6918" s="229"/>
      <c r="C6918" s="161" t="s">
        <v>7588</v>
      </c>
      <c r="D6918" s="43" t="s">
        <v>20</v>
      </c>
      <c r="E6918" s="149">
        <v>1</v>
      </c>
      <c r="F6918" s="27">
        <v>14.116999999999999</v>
      </c>
      <c r="G6918" s="27">
        <f t="shared" si="186"/>
        <v>14.116999999999999</v>
      </c>
      <c r="H6918" s="35">
        <f>SUM(G6918:G6918)</f>
        <v>14.116999999999999</v>
      </c>
      <c r="I6918" s="36"/>
      <c r="J6918" s="141">
        <v>0</v>
      </c>
    </row>
    <row r="6919" spans="1:10" ht="15.75" hidden="1" thickBot="1" x14ac:dyDescent="0.3">
      <c r="A6919" s="227"/>
      <c r="B6919" s="230"/>
      <c r="C6919" s="51"/>
      <c r="D6919" s="51"/>
      <c r="E6919" s="62"/>
      <c r="F6919" s="63" t="s">
        <v>523</v>
      </c>
      <c r="G6919" s="63" t="str">
        <f t="shared" si="186"/>
        <v/>
      </c>
      <c r="H6919" s="65"/>
      <c r="I6919" s="27"/>
      <c r="J6919" s="141">
        <v>0</v>
      </c>
    </row>
    <row r="6920" spans="1:10" ht="15.75" hidden="1" thickBot="1" x14ac:dyDescent="0.3">
      <c r="A6920" s="225" t="s">
        <v>7272</v>
      </c>
      <c r="B6920" s="228" t="str">
        <f>INDEX(Orçamentária!A:B,MATCH(Composições!A6920,Orçamentária!A:A,0),2)</f>
        <v>Tê 90° em cobre 22 mm</v>
      </c>
      <c r="C6920" s="37"/>
      <c r="D6920" s="22" t="str">
        <f>TRIM(INDEX(Orçamentária!C:C,MATCH(Composições!A6920,Orçamentária!A:A,0),1))</f>
        <v>un</v>
      </c>
      <c r="E6920" s="23"/>
      <c r="F6920" s="38" t="s">
        <v>523</v>
      </c>
      <c r="G6920" s="24" t="str">
        <f t="shared" si="186"/>
        <v/>
      </c>
      <c r="H6920" s="25"/>
      <c r="I6920" s="26"/>
      <c r="J6920" s="141">
        <v>0</v>
      </c>
    </row>
    <row r="6921" spans="1:10" ht="15.75" hidden="1" thickBot="1" x14ac:dyDescent="0.3">
      <c r="A6921" s="226"/>
      <c r="B6921" s="229"/>
      <c r="C6921" s="28"/>
      <c r="D6921" s="28"/>
      <c r="E6921" s="29"/>
      <c r="F6921" s="39" t="s">
        <v>523</v>
      </c>
      <c r="G6921" s="27" t="str">
        <f t="shared" si="186"/>
        <v/>
      </c>
      <c r="H6921" s="31"/>
      <c r="I6921" s="27"/>
      <c r="J6921" s="141">
        <v>0</v>
      </c>
    </row>
    <row r="6922" spans="1:10" ht="26.25" hidden="1" thickBot="1" x14ac:dyDescent="0.3">
      <c r="A6922" s="226"/>
      <c r="B6922" s="229"/>
      <c r="C6922" s="161" t="s">
        <v>7657</v>
      </c>
      <c r="D6922" s="43" t="s">
        <v>20</v>
      </c>
      <c r="E6922" s="149">
        <v>1</v>
      </c>
      <c r="F6922" s="27">
        <v>15.2095</v>
      </c>
      <c r="G6922" s="27">
        <f t="shared" si="186"/>
        <v>15.2095</v>
      </c>
      <c r="H6922" s="35">
        <f>SUM(G6922:G6922)</f>
        <v>15.2095</v>
      </c>
      <c r="I6922" s="36"/>
      <c r="J6922" s="141">
        <v>0</v>
      </c>
    </row>
    <row r="6923" spans="1:10" ht="15.75" hidden="1" thickBot="1" x14ac:dyDescent="0.3">
      <c r="A6923" s="227"/>
      <c r="B6923" s="230"/>
      <c r="C6923" s="51"/>
      <c r="D6923" s="51"/>
      <c r="E6923" s="62"/>
      <c r="F6923" s="63" t="s">
        <v>523</v>
      </c>
      <c r="G6923" s="63" t="str">
        <f t="shared" si="186"/>
        <v/>
      </c>
      <c r="H6923" s="65"/>
      <c r="I6923" s="27"/>
      <c r="J6923" s="141">
        <v>0</v>
      </c>
    </row>
    <row r="6924" spans="1:10" ht="15.75" hidden="1" thickBot="1" x14ac:dyDescent="0.3">
      <c r="A6924" s="225" t="s">
        <v>7274</v>
      </c>
      <c r="B6924" s="228" t="str">
        <f>INDEX(Orçamentária!A:B,MATCH(Composições!A6924,Orçamentária!A:A,0),2)</f>
        <v>Conector em cobre ou bronze 22mm x 3/4” fêmea</v>
      </c>
      <c r="C6924" s="37"/>
      <c r="D6924" s="22" t="str">
        <f>TRIM(INDEX(Orçamentária!C:C,MATCH(Composições!A6924,Orçamentária!A:A,0),1))</f>
        <v>un</v>
      </c>
      <c r="E6924" s="23"/>
      <c r="F6924" s="38" t="s">
        <v>523</v>
      </c>
      <c r="G6924" s="24" t="str">
        <f t="shared" si="186"/>
        <v/>
      </c>
      <c r="H6924" s="25"/>
      <c r="I6924" s="26"/>
      <c r="J6924" s="141">
        <v>0</v>
      </c>
    </row>
    <row r="6925" spans="1:10" ht="15.75" hidden="1" thickBot="1" x14ac:dyDescent="0.3">
      <c r="A6925" s="226"/>
      <c r="B6925" s="229"/>
      <c r="C6925" s="28"/>
      <c r="D6925" s="28"/>
      <c r="E6925" s="29"/>
      <c r="F6925" s="39" t="s">
        <v>523</v>
      </c>
      <c r="G6925" s="27" t="str">
        <f t="shared" si="186"/>
        <v/>
      </c>
      <c r="H6925" s="31"/>
      <c r="I6925" s="27"/>
      <c r="J6925" s="141">
        <v>0</v>
      </c>
    </row>
    <row r="6926" spans="1:10" ht="26.25" hidden="1" thickBot="1" x14ac:dyDescent="0.3">
      <c r="A6926" s="226"/>
      <c r="B6926" s="229"/>
      <c r="C6926" s="161" t="s">
        <v>7593</v>
      </c>
      <c r="D6926" s="43" t="s">
        <v>20</v>
      </c>
      <c r="E6926" s="149">
        <v>1</v>
      </c>
      <c r="F6926" s="27">
        <v>17.755500000000001</v>
      </c>
      <c r="G6926" s="27">
        <f t="shared" si="186"/>
        <v>17.755500000000001</v>
      </c>
      <c r="H6926" s="35">
        <f>SUM(G6926:G6926)</f>
        <v>17.755500000000001</v>
      </c>
      <c r="I6926" s="36"/>
      <c r="J6926" s="141">
        <v>0</v>
      </c>
    </row>
    <row r="6927" spans="1:10" ht="15.75" hidden="1" thickBot="1" x14ac:dyDescent="0.3">
      <c r="A6927" s="227"/>
      <c r="B6927" s="230"/>
      <c r="C6927" s="51"/>
      <c r="D6927" s="51"/>
      <c r="E6927" s="62"/>
      <c r="F6927" s="63" t="s">
        <v>523</v>
      </c>
      <c r="G6927" s="63" t="str">
        <f t="shared" si="186"/>
        <v/>
      </c>
      <c r="H6927" s="65"/>
      <c r="I6927" s="27"/>
      <c r="J6927" s="141">
        <v>0</v>
      </c>
    </row>
    <row r="6928" spans="1:10" ht="15.75" hidden="1" thickBot="1" x14ac:dyDescent="0.3">
      <c r="A6928" s="225" t="s">
        <v>7284</v>
      </c>
      <c r="B6928" s="228" t="str">
        <f>INDEX(Orçamentária!A:B,MATCH(Composições!A6928,Orçamentária!A:A,0),2)</f>
        <v>Curva Ferro Galvanizado 90° Fêmea 2”</v>
      </c>
      <c r="C6928" s="37"/>
      <c r="D6928" s="22" t="str">
        <f>TRIM(INDEX(Orçamentária!C:C,MATCH(Composições!A6928,Orçamentária!A:A,0),1))</f>
        <v>un</v>
      </c>
      <c r="E6928" s="23"/>
      <c r="F6928" s="38" t="s">
        <v>523</v>
      </c>
      <c r="G6928" s="24" t="str">
        <f t="shared" si="186"/>
        <v/>
      </c>
      <c r="H6928" s="25"/>
      <c r="I6928" s="26"/>
      <c r="J6928" s="141">
        <v>0</v>
      </c>
    </row>
    <row r="6929" spans="1:10" ht="15.75" hidden="1" thickBot="1" x14ac:dyDescent="0.3">
      <c r="A6929" s="226"/>
      <c r="B6929" s="229"/>
      <c r="C6929" s="28"/>
      <c r="D6929" s="28"/>
      <c r="E6929" s="29"/>
      <c r="F6929" s="39" t="s">
        <v>523</v>
      </c>
      <c r="G6929" s="27" t="str">
        <f t="shared" si="186"/>
        <v/>
      </c>
      <c r="H6929" s="31"/>
      <c r="I6929" s="27"/>
      <c r="J6929" s="141">
        <v>0</v>
      </c>
    </row>
    <row r="6930" spans="1:10" ht="26.25" hidden="1" thickBot="1" x14ac:dyDescent="0.3">
      <c r="A6930" s="226"/>
      <c r="B6930" s="229"/>
      <c r="C6930" s="161" t="s">
        <v>7597</v>
      </c>
      <c r="D6930" s="43" t="s">
        <v>20</v>
      </c>
      <c r="E6930" s="149">
        <v>1</v>
      </c>
      <c r="F6930" s="27">
        <v>131.63200000000001</v>
      </c>
      <c r="G6930" s="27">
        <f t="shared" si="186"/>
        <v>131.63200000000001</v>
      </c>
      <c r="H6930" s="35">
        <f>SUM(G6930:G6930)</f>
        <v>131.63200000000001</v>
      </c>
      <c r="I6930" s="36"/>
      <c r="J6930" s="141">
        <v>0</v>
      </c>
    </row>
    <row r="6931" spans="1:10" ht="15.75" hidden="1" thickBot="1" x14ac:dyDescent="0.3">
      <c r="A6931" s="227"/>
      <c r="B6931" s="230"/>
      <c r="C6931" s="51"/>
      <c r="D6931" s="51"/>
      <c r="E6931" s="62"/>
      <c r="F6931" s="63" t="s">
        <v>523</v>
      </c>
      <c r="G6931" s="63" t="str">
        <f t="shared" si="186"/>
        <v/>
      </c>
      <c r="H6931" s="65"/>
      <c r="I6931" s="27"/>
      <c r="J6931" s="141">
        <v>0</v>
      </c>
    </row>
    <row r="6932" spans="1:10" ht="15.75" hidden="1" thickBot="1" x14ac:dyDescent="0.3">
      <c r="A6932" s="225" t="s">
        <v>7286</v>
      </c>
      <c r="B6932" s="228" t="str">
        <f>INDEX(Orçamentária!A:B,MATCH(Composições!A6932,Orçamentária!A:A,0),2)</f>
        <v>Curva 45° Longa PVC esgoto ou águas pluviais predial DN 100 mm</v>
      </c>
      <c r="C6932" s="37"/>
      <c r="D6932" s="22" t="str">
        <f>TRIM(INDEX(Orçamentária!C:C,MATCH(Composições!A6932,Orçamentária!A:A,0),1))</f>
        <v>un</v>
      </c>
      <c r="E6932" s="23"/>
      <c r="F6932" s="38" t="s">
        <v>523</v>
      </c>
      <c r="G6932" s="24" t="str">
        <f t="shared" si="186"/>
        <v/>
      </c>
      <c r="H6932" s="25"/>
      <c r="I6932" s="26"/>
      <c r="J6932" s="141">
        <v>0</v>
      </c>
    </row>
    <row r="6933" spans="1:10" ht="15.75" hidden="1" thickBot="1" x14ac:dyDescent="0.3">
      <c r="A6933" s="226"/>
      <c r="B6933" s="229"/>
      <c r="C6933" s="28"/>
      <c r="D6933" s="28"/>
      <c r="E6933" s="29"/>
      <c r="F6933" s="39" t="s">
        <v>523</v>
      </c>
      <c r="G6933" s="27" t="str">
        <f t="shared" si="186"/>
        <v/>
      </c>
      <c r="H6933" s="31"/>
      <c r="I6933" s="27"/>
      <c r="J6933" s="141">
        <v>0</v>
      </c>
    </row>
    <row r="6934" spans="1:10" ht="15.75" hidden="1" thickBot="1" x14ac:dyDescent="0.3">
      <c r="A6934" s="226"/>
      <c r="B6934" s="229"/>
      <c r="C6934" s="161" t="s">
        <v>7596</v>
      </c>
      <c r="D6934" s="43" t="s">
        <v>20</v>
      </c>
      <c r="E6934" s="149">
        <v>1</v>
      </c>
      <c r="F6934" s="27">
        <v>54.957499999999996</v>
      </c>
      <c r="G6934" s="27">
        <f t="shared" si="186"/>
        <v>54.957499999999996</v>
      </c>
      <c r="H6934" s="35">
        <f>SUM(G6934:G6934)</f>
        <v>54.957499999999996</v>
      </c>
      <c r="I6934" s="36"/>
      <c r="J6934" s="141">
        <v>0</v>
      </c>
    </row>
    <row r="6935" spans="1:10" ht="15.75" hidden="1" thickBot="1" x14ac:dyDescent="0.3">
      <c r="A6935" s="227"/>
      <c r="B6935" s="230"/>
      <c r="C6935" s="51"/>
      <c r="D6935" s="51"/>
      <c r="E6935" s="62"/>
      <c r="F6935" s="63" t="s">
        <v>523</v>
      </c>
      <c r="G6935" s="63" t="str">
        <f t="shared" si="186"/>
        <v/>
      </c>
      <c r="H6935" s="65"/>
      <c r="I6935" s="27"/>
      <c r="J6935" s="141">
        <v>0</v>
      </c>
    </row>
    <row r="6936" spans="1:10" ht="15.75" hidden="1" thickBot="1" x14ac:dyDescent="0.3">
      <c r="A6936" s="225" t="s">
        <v>7288</v>
      </c>
      <c r="B6936" s="228" t="str">
        <f>INDEX(Orçamentária!A:B,MATCH(Composições!A6936,Orçamentária!A:A,0),2)</f>
        <v>Curva 90° de aço-carbono galvanizado 3”</v>
      </c>
      <c r="C6936" s="37"/>
      <c r="D6936" s="22" t="str">
        <f>TRIM(INDEX(Orçamentária!C:C,MATCH(Composições!A6936,Orçamentária!A:A,0),1))</f>
        <v>un</v>
      </c>
      <c r="E6936" s="23"/>
      <c r="F6936" s="38" t="s">
        <v>523</v>
      </c>
      <c r="G6936" s="24" t="str">
        <f t="shared" si="186"/>
        <v/>
      </c>
      <c r="H6936" s="25"/>
      <c r="I6936" s="26"/>
      <c r="J6936" s="141">
        <v>0</v>
      </c>
    </row>
    <row r="6937" spans="1:10" ht="15.75" hidden="1" thickBot="1" x14ac:dyDescent="0.3">
      <c r="A6937" s="226"/>
      <c r="B6937" s="229"/>
      <c r="C6937" s="28"/>
      <c r="D6937" s="28"/>
      <c r="E6937" s="29"/>
      <c r="F6937" s="39" t="s">
        <v>523</v>
      </c>
      <c r="G6937" s="27" t="str">
        <f t="shared" si="186"/>
        <v/>
      </c>
      <c r="H6937" s="31"/>
      <c r="I6937" s="27"/>
      <c r="J6937" s="141">
        <v>0</v>
      </c>
    </row>
    <row r="6938" spans="1:10" ht="26.25" hidden="1" thickBot="1" x14ac:dyDescent="0.3">
      <c r="A6938" s="226"/>
      <c r="B6938" s="229"/>
      <c r="C6938" s="161" t="s">
        <v>7598</v>
      </c>
      <c r="D6938" s="43" t="s">
        <v>20</v>
      </c>
      <c r="E6938" s="149">
        <v>1</v>
      </c>
      <c r="F6938" s="27">
        <v>308.35099999999994</v>
      </c>
      <c r="G6938" s="27">
        <f t="shared" si="186"/>
        <v>308.35099999999994</v>
      </c>
      <c r="H6938" s="35">
        <f t="shared" ref="H6938" si="187">SUM(G6938:G6938)</f>
        <v>308.35099999999994</v>
      </c>
      <c r="I6938" s="36"/>
      <c r="J6938" s="141">
        <v>0</v>
      </c>
    </row>
    <row r="6939" spans="1:10" ht="15.75" hidden="1" thickBot="1" x14ac:dyDescent="0.3">
      <c r="A6939" s="227"/>
      <c r="B6939" s="230"/>
      <c r="C6939" s="51"/>
      <c r="D6939" s="51"/>
      <c r="E6939" s="62"/>
      <c r="F6939" s="63" t="s">
        <v>523</v>
      </c>
      <c r="G6939" s="63" t="str">
        <f t="shared" si="186"/>
        <v/>
      </c>
      <c r="H6939" s="65"/>
      <c r="I6939" s="27"/>
      <c r="J6939" s="141">
        <v>0</v>
      </c>
    </row>
    <row r="6940" spans="1:10" ht="15.75" hidden="1" thickBot="1" x14ac:dyDescent="0.3">
      <c r="A6940" s="225" t="s">
        <v>7290</v>
      </c>
      <c r="B6940" s="228" t="str">
        <f>INDEX(Orçamentária!A:B,MATCH(Composições!A6940,Orçamentária!A:A,0),2)</f>
        <v>Curva 90° PVC esgoto DN 100 mm Série R</v>
      </c>
      <c r="C6940" s="37"/>
      <c r="D6940" s="22" t="str">
        <f>TRIM(INDEX(Orçamentária!C:C,MATCH(Composições!A6940,Orçamentária!A:A,0),1))</f>
        <v>un</v>
      </c>
      <c r="E6940" s="23"/>
      <c r="F6940" s="38" t="s">
        <v>523</v>
      </c>
      <c r="G6940" s="24" t="str">
        <f t="shared" si="186"/>
        <v/>
      </c>
      <c r="H6940" s="25"/>
      <c r="I6940" s="26"/>
      <c r="J6940" s="141">
        <v>0</v>
      </c>
    </row>
    <row r="6941" spans="1:10" ht="15.75" hidden="1" thickBot="1" x14ac:dyDescent="0.3">
      <c r="A6941" s="226"/>
      <c r="B6941" s="229"/>
      <c r="C6941" s="28"/>
      <c r="D6941" s="28"/>
      <c r="E6941" s="29"/>
      <c r="F6941" s="39" t="s">
        <v>523</v>
      </c>
      <c r="G6941" s="27" t="str">
        <f t="shared" si="186"/>
        <v/>
      </c>
      <c r="H6941" s="31"/>
      <c r="I6941" s="27"/>
      <c r="J6941" s="141">
        <v>0</v>
      </c>
    </row>
    <row r="6942" spans="1:10" ht="26.25" hidden="1" thickBot="1" x14ac:dyDescent="0.3">
      <c r="A6942" s="226"/>
      <c r="B6942" s="229"/>
      <c r="C6942" s="161" t="s">
        <v>7595</v>
      </c>
      <c r="D6942" s="43" t="s">
        <v>20</v>
      </c>
      <c r="E6942" s="149">
        <v>1</v>
      </c>
      <c r="F6942" s="27">
        <v>70.708500000000001</v>
      </c>
      <c r="G6942" s="27">
        <f t="shared" si="186"/>
        <v>70.708500000000001</v>
      </c>
      <c r="H6942" s="35">
        <f t="shared" ref="H6942" si="188">SUM(G6942:G6942)</f>
        <v>70.708500000000001</v>
      </c>
      <c r="I6942" s="36"/>
      <c r="J6942" s="141">
        <v>0</v>
      </c>
    </row>
    <row r="6943" spans="1:10" ht="15.75" hidden="1" thickBot="1" x14ac:dyDescent="0.3">
      <c r="A6943" s="227"/>
      <c r="B6943" s="230"/>
      <c r="C6943" s="51"/>
      <c r="D6943" s="51"/>
      <c r="E6943" s="62"/>
      <c r="F6943" s="63" t="s">
        <v>523</v>
      </c>
      <c r="G6943" s="63" t="str">
        <f t="shared" si="186"/>
        <v/>
      </c>
      <c r="H6943" s="65"/>
      <c r="I6943" s="27"/>
      <c r="J6943" s="141">
        <v>0</v>
      </c>
    </row>
    <row r="6944" spans="1:10" ht="15.75" hidden="1" thickBot="1" x14ac:dyDescent="0.3">
      <c r="A6944" s="225" t="s">
        <v>7292</v>
      </c>
      <c r="B6944" s="228" t="str">
        <f>INDEX(Orçamentária!A:B,MATCH(Composições!A6944,Orçamentária!A:A,0),2)</f>
        <v>Fita perfurada em aço-carbono - 17x0,40mm - rolo 30m</v>
      </c>
      <c r="C6944" s="37"/>
      <c r="D6944" s="22" t="str">
        <f>TRIM(INDEX(Orçamentária!C:C,MATCH(Composições!A6944,Orçamentária!A:A,0),1))</f>
        <v>un</v>
      </c>
      <c r="E6944" s="23"/>
      <c r="F6944" s="38" t="s">
        <v>523</v>
      </c>
      <c r="G6944" s="24" t="str">
        <f t="shared" si="186"/>
        <v/>
      </c>
      <c r="H6944" s="25"/>
      <c r="I6944" s="26"/>
      <c r="J6944" s="141">
        <v>0</v>
      </c>
    </row>
    <row r="6945" spans="1:10" ht="15.75" hidden="1" thickBot="1" x14ac:dyDescent="0.3">
      <c r="A6945" s="226"/>
      <c r="B6945" s="229"/>
      <c r="C6945" s="28"/>
      <c r="D6945" s="28"/>
      <c r="E6945" s="29"/>
      <c r="F6945" s="39" t="s">
        <v>523</v>
      </c>
      <c r="G6945" s="27" t="str">
        <f t="shared" si="186"/>
        <v/>
      </c>
      <c r="H6945" s="31"/>
      <c r="I6945" s="27"/>
      <c r="J6945" s="141">
        <v>0</v>
      </c>
    </row>
    <row r="6946" spans="1:10" ht="26.25" hidden="1" thickBot="1" x14ac:dyDescent="0.3">
      <c r="A6946" s="226"/>
      <c r="B6946" s="229"/>
      <c r="C6946" s="161" t="s">
        <v>7605</v>
      </c>
      <c r="D6946" s="43" t="s">
        <v>20</v>
      </c>
      <c r="E6946" s="149">
        <v>1</v>
      </c>
      <c r="F6946" s="27">
        <v>40.47</v>
      </c>
      <c r="G6946" s="27">
        <f t="shared" ref="G6946:G7009" si="189">IF(ISNUMBER(F6946),E6946*F6946,"")</f>
        <v>40.47</v>
      </c>
      <c r="H6946" s="35">
        <f t="shared" ref="H6946" si="190">SUM(G6946:G6946)</f>
        <v>40.47</v>
      </c>
      <c r="I6946" s="36"/>
      <c r="J6946" s="141">
        <v>0</v>
      </c>
    </row>
    <row r="6947" spans="1:10" ht="15.75" hidden="1" thickBot="1" x14ac:dyDescent="0.3">
      <c r="A6947" s="227"/>
      <c r="B6947" s="230"/>
      <c r="C6947" s="51"/>
      <c r="D6947" s="51"/>
      <c r="E6947" s="62"/>
      <c r="F6947" s="63" t="s">
        <v>523</v>
      </c>
      <c r="G6947" s="63" t="str">
        <f t="shared" si="189"/>
        <v/>
      </c>
      <c r="H6947" s="65"/>
      <c r="I6947" s="27"/>
      <c r="J6947" s="141">
        <v>0</v>
      </c>
    </row>
    <row r="6948" spans="1:10" ht="15.75" hidden="1" thickBot="1" x14ac:dyDescent="0.3">
      <c r="A6948" s="225" t="s">
        <v>7294</v>
      </c>
      <c r="B6948" s="228" t="str">
        <f>INDEX(Orçamentária!A:B,MATCH(Composições!A6948,Orçamentária!A:A,0),2)</f>
        <v>Flange PVC soldável água fria DN 60mm</v>
      </c>
      <c r="C6948" s="37"/>
      <c r="D6948" s="22" t="str">
        <f>TRIM(INDEX(Orçamentária!C:C,MATCH(Composições!A6948,Orçamentária!A:A,0),1))</f>
        <v>un</v>
      </c>
      <c r="E6948" s="23"/>
      <c r="F6948" s="38" t="s">
        <v>523</v>
      </c>
      <c r="G6948" s="24" t="str">
        <f t="shared" si="189"/>
        <v/>
      </c>
      <c r="H6948" s="25"/>
      <c r="I6948" s="26"/>
      <c r="J6948" s="141">
        <v>0</v>
      </c>
    </row>
    <row r="6949" spans="1:10" ht="15.75" hidden="1" thickBot="1" x14ac:dyDescent="0.3">
      <c r="A6949" s="226"/>
      <c r="B6949" s="229"/>
      <c r="C6949" s="28"/>
      <c r="D6949" s="28"/>
      <c r="E6949" s="29"/>
      <c r="F6949" s="39" t="s">
        <v>523</v>
      </c>
      <c r="G6949" s="27" t="str">
        <f t="shared" si="189"/>
        <v/>
      </c>
      <c r="H6949" s="31"/>
      <c r="I6949" s="27"/>
      <c r="J6949" s="141">
        <v>0</v>
      </c>
    </row>
    <row r="6950" spans="1:10" ht="26.25" hidden="1" thickBot="1" x14ac:dyDescent="0.3">
      <c r="A6950" s="226"/>
      <c r="B6950" s="229"/>
      <c r="C6950" s="161" t="s">
        <v>7569</v>
      </c>
      <c r="D6950" s="43" t="s">
        <v>20</v>
      </c>
      <c r="E6950" s="149">
        <v>1</v>
      </c>
      <c r="F6950" s="27">
        <v>39.605499999999999</v>
      </c>
      <c r="G6950" s="27">
        <f t="shared" si="189"/>
        <v>39.605499999999999</v>
      </c>
      <c r="H6950" s="35">
        <f t="shared" ref="H6950" si="191">SUM(G6950:G6950)</f>
        <v>39.605499999999999</v>
      </c>
      <c r="I6950" s="36"/>
      <c r="J6950" s="141">
        <v>0</v>
      </c>
    </row>
    <row r="6951" spans="1:10" ht="15.75" hidden="1" thickBot="1" x14ac:dyDescent="0.3">
      <c r="A6951" s="227"/>
      <c r="B6951" s="230"/>
      <c r="C6951" s="51"/>
      <c r="D6951" s="51"/>
      <c r="E6951" s="62"/>
      <c r="F6951" s="63" t="s">
        <v>523</v>
      </c>
      <c r="G6951" s="63" t="str">
        <f t="shared" si="189"/>
        <v/>
      </c>
      <c r="H6951" s="65"/>
      <c r="I6951" s="27"/>
      <c r="J6951" s="141">
        <v>0</v>
      </c>
    </row>
    <row r="6952" spans="1:10" ht="15.75" hidden="1" thickBot="1" x14ac:dyDescent="0.3">
      <c r="A6952" s="225" t="s">
        <v>7296</v>
      </c>
      <c r="B6952" s="228" t="str">
        <f>INDEX(Orçamentária!A:B,MATCH(Composições!A6952,Orçamentária!A:A,0),2)</f>
        <v>Flange PVC soldável água fria DN 25mm</v>
      </c>
      <c r="C6952" s="37"/>
      <c r="D6952" s="22" t="str">
        <f>TRIM(INDEX(Orçamentária!C:C,MATCH(Composições!A6952,Orçamentária!A:A,0),1))</f>
        <v>un</v>
      </c>
      <c r="E6952" s="23"/>
      <c r="F6952" s="38" t="s">
        <v>523</v>
      </c>
      <c r="G6952" s="24" t="str">
        <f t="shared" si="189"/>
        <v/>
      </c>
      <c r="H6952" s="25"/>
      <c r="I6952" s="26"/>
      <c r="J6952" s="141">
        <v>0</v>
      </c>
    </row>
    <row r="6953" spans="1:10" ht="15.75" hidden="1" thickBot="1" x14ac:dyDescent="0.3">
      <c r="A6953" s="226"/>
      <c r="B6953" s="229"/>
      <c r="C6953" s="28"/>
      <c r="D6953" s="28"/>
      <c r="E6953" s="29"/>
      <c r="F6953" s="39" t="s">
        <v>523</v>
      </c>
      <c r="G6953" s="27" t="str">
        <f t="shared" si="189"/>
        <v/>
      </c>
      <c r="H6953" s="31"/>
      <c r="I6953" s="27"/>
      <c r="J6953" s="141">
        <v>0</v>
      </c>
    </row>
    <row r="6954" spans="1:10" ht="26.25" hidden="1" thickBot="1" x14ac:dyDescent="0.3">
      <c r="A6954" s="226"/>
      <c r="B6954" s="229"/>
      <c r="C6954" s="161" t="s">
        <v>7568</v>
      </c>
      <c r="D6954" s="43" t="s">
        <v>20</v>
      </c>
      <c r="E6954" s="149">
        <v>1</v>
      </c>
      <c r="F6954" s="27">
        <v>13.375999999999999</v>
      </c>
      <c r="G6954" s="27">
        <f t="shared" si="189"/>
        <v>13.375999999999999</v>
      </c>
      <c r="H6954" s="35">
        <f t="shared" ref="H6954" si="192">SUM(G6954:G6954)</f>
        <v>13.375999999999999</v>
      </c>
      <c r="I6954" s="36"/>
      <c r="J6954" s="141">
        <v>0</v>
      </c>
    </row>
    <row r="6955" spans="1:10" ht="15.75" hidden="1" thickBot="1" x14ac:dyDescent="0.3">
      <c r="A6955" s="227"/>
      <c r="B6955" s="230"/>
      <c r="C6955" s="51"/>
      <c r="D6955" s="51"/>
      <c r="E6955" s="62"/>
      <c r="F6955" s="63" t="s">
        <v>523</v>
      </c>
      <c r="G6955" s="63" t="str">
        <f t="shared" si="189"/>
        <v/>
      </c>
      <c r="H6955" s="65"/>
      <c r="I6955" s="27"/>
      <c r="J6955" s="141">
        <v>0</v>
      </c>
    </row>
    <row r="6956" spans="1:10" ht="15.75" hidden="1" thickBot="1" x14ac:dyDescent="0.3">
      <c r="A6956" s="225" t="s">
        <v>7306</v>
      </c>
      <c r="B6956" s="228" t="str">
        <f>INDEX(Orçamentária!A:B,MATCH(Composições!A6956,Orçamentária!A:A,0),2)</f>
        <v>Joelho 45° CPVC 28mm – Linha Residencial</v>
      </c>
      <c r="C6956" s="37"/>
      <c r="D6956" s="22" t="str">
        <f>TRIM(INDEX(Orçamentária!C:C,MATCH(Composições!A6956,Orçamentária!A:A,0),1))</f>
        <v>un</v>
      </c>
      <c r="E6956" s="23"/>
      <c r="F6956" s="38" t="s">
        <v>523</v>
      </c>
      <c r="G6956" s="24" t="str">
        <f t="shared" si="189"/>
        <v/>
      </c>
      <c r="H6956" s="25"/>
      <c r="I6956" s="26"/>
      <c r="J6956" s="141">
        <v>0</v>
      </c>
    </row>
    <row r="6957" spans="1:10" ht="15.75" hidden="1" thickBot="1" x14ac:dyDescent="0.3">
      <c r="A6957" s="226"/>
      <c r="B6957" s="229"/>
      <c r="C6957" s="28"/>
      <c r="D6957" s="28"/>
      <c r="E6957" s="29"/>
      <c r="F6957" s="39" t="s">
        <v>523</v>
      </c>
      <c r="G6957" s="27" t="str">
        <f t="shared" si="189"/>
        <v/>
      </c>
      <c r="H6957" s="31"/>
      <c r="I6957" s="27"/>
      <c r="J6957" s="141">
        <v>0</v>
      </c>
    </row>
    <row r="6958" spans="1:10" ht="15.75" hidden="1" thickBot="1" x14ac:dyDescent="0.3">
      <c r="A6958" s="226"/>
      <c r="B6958" s="229"/>
      <c r="C6958" s="161" t="s">
        <v>7608</v>
      </c>
      <c r="D6958" s="43" t="s">
        <v>20</v>
      </c>
      <c r="E6958" s="149">
        <v>1</v>
      </c>
      <c r="F6958" s="27">
        <v>8.4740000000000002</v>
      </c>
      <c r="G6958" s="27">
        <f t="shared" si="189"/>
        <v>8.4740000000000002</v>
      </c>
      <c r="H6958" s="35">
        <f t="shared" ref="H6958" si="193">SUM(G6958:G6958)</f>
        <v>8.4740000000000002</v>
      </c>
      <c r="I6958" s="36"/>
      <c r="J6958" s="141">
        <v>0</v>
      </c>
    </row>
    <row r="6959" spans="1:10" ht="15.75" hidden="1" thickBot="1" x14ac:dyDescent="0.3">
      <c r="A6959" s="227"/>
      <c r="B6959" s="230"/>
      <c r="C6959" s="51"/>
      <c r="D6959" s="51"/>
      <c r="E6959" s="62"/>
      <c r="F6959" s="63" t="s">
        <v>523</v>
      </c>
      <c r="G6959" s="63" t="str">
        <f t="shared" si="189"/>
        <v/>
      </c>
      <c r="H6959" s="65"/>
      <c r="I6959" s="27"/>
      <c r="J6959" s="141">
        <v>0</v>
      </c>
    </row>
    <row r="6960" spans="1:10" ht="15.75" hidden="1" thickBot="1" x14ac:dyDescent="0.3">
      <c r="A6960" s="225" t="s">
        <v>7308</v>
      </c>
      <c r="B6960" s="228" t="str">
        <f>INDEX(Orçamentária!A:B,MATCH(Composições!A6960,Orçamentária!A:A,0),2)</f>
        <v>Joelho 45° PVC soldável água fria DN 60mm</v>
      </c>
      <c r="C6960" s="37"/>
      <c r="D6960" s="22" t="str">
        <f>TRIM(INDEX(Orçamentária!C:C,MATCH(Composições!A6960,Orçamentária!A:A,0),1))</f>
        <v>un</v>
      </c>
      <c r="E6960" s="23"/>
      <c r="F6960" s="38" t="s">
        <v>523</v>
      </c>
      <c r="G6960" s="24" t="str">
        <f t="shared" si="189"/>
        <v/>
      </c>
      <c r="H6960" s="25"/>
      <c r="I6960" s="26"/>
      <c r="J6960" s="141">
        <v>0</v>
      </c>
    </row>
    <row r="6961" spans="1:10" ht="15.75" hidden="1" thickBot="1" x14ac:dyDescent="0.3">
      <c r="A6961" s="226"/>
      <c r="B6961" s="229"/>
      <c r="C6961" s="28"/>
      <c r="D6961" s="28"/>
      <c r="E6961" s="29"/>
      <c r="F6961" s="39" t="s">
        <v>523</v>
      </c>
      <c r="G6961" s="27" t="str">
        <f t="shared" si="189"/>
        <v/>
      </c>
      <c r="H6961" s="31"/>
      <c r="I6961" s="27"/>
      <c r="J6961" s="141">
        <v>0</v>
      </c>
    </row>
    <row r="6962" spans="1:10" ht="26.25" hidden="1" thickBot="1" x14ac:dyDescent="0.3">
      <c r="A6962" s="226"/>
      <c r="B6962" s="229"/>
      <c r="C6962" s="161" t="s">
        <v>7613</v>
      </c>
      <c r="D6962" s="43" t="s">
        <v>20</v>
      </c>
      <c r="E6962" s="149">
        <v>1</v>
      </c>
      <c r="F6962" s="27">
        <v>34.295000000000002</v>
      </c>
      <c r="G6962" s="27">
        <f t="shared" si="189"/>
        <v>34.295000000000002</v>
      </c>
      <c r="H6962" s="35">
        <f t="shared" ref="H6962" si="194">SUM(G6962:G6962)</f>
        <v>34.295000000000002</v>
      </c>
      <c r="I6962" s="36"/>
      <c r="J6962" s="141">
        <v>0</v>
      </c>
    </row>
    <row r="6963" spans="1:10" ht="15.75" hidden="1" thickBot="1" x14ac:dyDescent="0.3">
      <c r="A6963" s="227"/>
      <c r="B6963" s="230"/>
      <c r="C6963" s="51"/>
      <c r="D6963" s="51"/>
      <c r="E6963" s="62"/>
      <c r="F6963" s="63" t="s">
        <v>523</v>
      </c>
      <c r="G6963" s="63" t="str">
        <f t="shared" si="189"/>
        <v/>
      </c>
      <c r="H6963" s="65"/>
      <c r="I6963" s="27"/>
      <c r="J6963" s="141">
        <v>0</v>
      </c>
    </row>
    <row r="6964" spans="1:10" ht="15.75" hidden="1" thickBot="1" x14ac:dyDescent="0.3">
      <c r="A6964" s="225" t="s">
        <v>7310</v>
      </c>
      <c r="B6964" s="228" t="str">
        <f>INDEX(Orçamentária!A:B,MATCH(Composições!A6964,Orçamentária!A:A,0),2)</f>
        <v>Joelho 45° CPVC 22mm – Linha Residencial</v>
      </c>
      <c r="C6964" s="37"/>
      <c r="D6964" s="22" t="str">
        <f>TRIM(INDEX(Orçamentária!C:C,MATCH(Composições!A6964,Orçamentária!A:A,0),1))</f>
        <v>un</v>
      </c>
      <c r="E6964" s="23"/>
      <c r="F6964" s="38" t="s">
        <v>523</v>
      </c>
      <c r="G6964" s="24" t="str">
        <f t="shared" si="189"/>
        <v/>
      </c>
      <c r="H6964" s="25"/>
      <c r="I6964" s="26"/>
      <c r="J6964" s="141">
        <v>0</v>
      </c>
    </row>
    <row r="6965" spans="1:10" ht="15.75" hidden="1" thickBot="1" x14ac:dyDescent="0.3">
      <c r="A6965" s="226"/>
      <c r="B6965" s="229"/>
      <c r="C6965" s="28"/>
      <c r="D6965" s="28"/>
      <c r="E6965" s="29"/>
      <c r="F6965" s="39" t="s">
        <v>523</v>
      </c>
      <c r="G6965" s="27" t="str">
        <f t="shared" si="189"/>
        <v/>
      </c>
      <c r="H6965" s="31"/>
      <c r="I6965" s="27"/>
      <c r="J6965" s="141">
        <v>0</v>
      </c>
    </row>
    <row r="6966" spans="1:10" ht="15.75" hidden="1" thickBot="1" x14ac:dyDescent="0.3">
      <c r="A6966" s="226"/>
      <c r="B6966" s="229"/>
      <c r="C6966" s="161" t="s">
        <v>7607</v>
      </c>
      <c r="D6966" s="43" t="s">
        <v>20</v>
      </c>
      <c r="E6966" s="149">
        <v>1</v>
      </c>
      <c r="F6966" s="27">
        <v>5.8425000000000002</v>
      </c>
      <c r="G6966" s="27">
        <f t="shared" si="189"/>
        <v>5.8425000000000002</v>
      </c>
      <c r="H6966" s="35">
        <f t="shared" ref="H6966" si="195">SUM(G6966:G6966)</f>
        <v>5.8425000000000002</v>
      </c>
      <c r="I6966" s="36"/>
      <c r="J6966" s="141">
        <v>0</v>
      </c>
    </row>
    <row r="6967" spans="1:10" ht="15.75" hidden="1" thickBot="1" x14ac:dyDescent="0.3">
      <c r="A6967" s="227"/>
      <c r="B6967" s="230"/>
      <c r="C6967" s="51"/>
      <c r="D6967" s="51"/>
      <c r="E6967" s="62"/>
      <c r="F6967" s="63" t="s">
        <v>523</v>
      </c>
      <c r="G6967" s="63" t="str">
        <f t="shared" si="189"/>
        <v/>
      </c>
      <c r="H6967" s="65"/>
      <c r="I6967" s="27"/>
      <c r="J6967" s="141">
        <v>0</v>
      </c>
    </row>
    <row r="6968" spans="1:10" ht="15.75" hidden="1" thickBot="1" x14ac:dyDescent="0.3">
      <c r="A6968" s="225" t="s">
        <v>7312</v>
      </c>
      <c r="B6968" s="228" t="str">
        <f>INDEX(Orçamentária!A:B,MATCH(Composições!A6968,Orçamentária!A:A,0),2)</f>
        <v>Joelho 45° PVC esgoto ou águas pluviais predial DN 50 mm</v>
      </c>
      <c r="C6968" s="37"/>
      <c r="D6968" s="22" t="str">
        <f>TRIM(INDEX(Orçamentária!C:C,MATCH(Composições!A6968,Orçamentária!A:A,0),1))</f>
        <v>un</v>
      </c>
      <c r="E6968" s="23"/>
      <c r="F6968" s="38" t="s">
        <v>523</v>
      </c>
      <c r="G6968" s="24" t="str">
        <f t="shared" si="189"/>
        <v/>
      </c>
      <c r="H6968" s="25"/>
      <c r="I6968" s="26"/>
      <c r="J6968" s="141">
        <v>0</v>
      </c>
    </row>
    <row r="6969" spans="1:10" ht="15.75" hidden="1" thickBot="1" x14ac:dyDescent="0.3">
      <c r="A6969" s="226"/>
      <c r="B6969" s="229"/>
      <c r="C6969" s="28"/>
      <c r="D6969" s="28"/>
      <c r="E6969" s="29"/>
      <c r="F6969" s="39" t="s">
        <v>523</v>
      </c>
      <c r="G6969" s="27" t="str">
        <f t="shared" si="189"/>
        <v/>
      </c>
      <c r="H6969" s="31"/>
      <c r="I6969" s="27"/>
      <c r="J6969" s="141">
        <v>0</v>
      </c>
    </row>
    <row r="6970" spans="1:10" ht="26.25" hidden="1" thickBot="1" x14ac:dyDescent="0.3">
      <c r="A6970" s="226"/>
      <c r="B6970" s="229"/>
      <c r="C6970" s="161" t="s">
        <v>7611</v>
      </c>
      <c r="D6970" s="43" t="s">
        <v>20</v>
      </c>
      <c r="E6970" s="149">
        <v>1</v>
      </c>
      <c r="F6970" s="27">
        <v>3.8569999999999993</v>
      </c>
      <c r="G6970" s="27">
        <f t="shared" si="189"/>
        <v>3.8569999999999993</v>
      </c>
      <c r="H6970" s="35">
        <f t="shared" ref="H6970" si="196">SUM(G6970:G6970)</f>
        <v>3.8569999999999993</v>
      </c>
      <c r="I6970" s="36"/>
      <c r="J6970" s="141">
        <v>0</v>
      </c>
    </row>
    <row r="6971" spans="1:10" ht="15.75" hidden="1" thickBot="1" x14ac:dyDescent="0.3">
      <c r="A6971" s="227"/>
      <c r="B6971" s="230"/>
      <c r="C6971" s="51"/>
      <c r="D6971" s="51"/>
      <c r="E6971" s="62"/>
      <c r="F6971" s="63" t="s">
        <v>523</v>
      </c>
      <c r="G6971" s="63" t="str">
        <f t="shared" si="189"/>
        <v/>
      </c>
      <c r="H6971" s="65"/>
      <c r="I6971" s="27"/>
      <c r="J6971" s="141">
        <v>0</v>
      </c>
    </row>
    <row r="6972" spans="1:10" ht="15.75" hidden="1" thickBot="1" x14ac:dyDescent="0.3">
      <c r="A6972" s="225" t="s">
        <v>7326</v>
      </c>
      <c r="B6972" s="228" t="str">
        <f>INDEX(Orçamentária!A:B,MATCH(Composições!A6972,Orçamentária!A:A,0),2)</f>
        <v>Joelho 90° CPVC 22mm – Linha Residencial</v>
      </c>
      <c r="C6972" s="37"/>
      <c r="D6972" s="22" t="str">
        <f>TRIM(INDEX(Orçamentária!C:C,MATCH(Composições!A6972,Orçamentária!A:A,0),1))</f>
        <v>un</v>
      </c>
      <c r="E6972" s="23"/>
      <c r="F6972" s="38" t="s">
        <v>523</v>
      </c>
      <c r="G6972" s="24" t="str">
        <f t="shared" si="189"/>
        <v/>
      </c>
      <c r="H6972" s="25"/>
      <c r="I6972" s="26"/>
      <c r="J6972" s="141">
        <v>0</v>
      </c>
    </row>
    <row r="6973" spans="1:10" ht="15.75" hidden="1" thickBot="1" x14ac:dyDescent="0.3">
      <c r="A6973" s="226"/>
      <c r="B6973" s="229"/>
      <c r="C6973" s="28"/>
      <c r="D6973" s="28"/>
      <c r="E6973" s="29"/>
      <c r="F6973" s="39" t="s">
        <v>523</v>
      </c>
      <c r="G6973" s="27" t="str">
        <f t="shared" si="189"/>
        <v/>
      </c>
      <c r="H6973" s="31"/>
      <c r="I6973" s="27"/>
      <c r="J6973" s="141">
        <v>0</v>
      </c>
    </row>
    <row r="6974" spans="1:10" ht="15.75" hidden="1" thickBot="1" x14ac:dyDescent="0.3">
      <c r="A6974" s="226"/>
      <c r="B6974" s="229"/>
      <c r="C6974" s="161" t="s">
        <v>7609</v>
      </c>
      <c r="D6974" s="43" t="s">
        <v>20</v>
      </c>
      <c r="E6974" s="149">
        <v>1</v>
      </c>
      <c r="F6974" s="27">
        <v>4.1989999999999998</v>
      </c>
      <c r="G6974" s="27">
        <f t="shared" si="189"/>
        <v>4.1989999999999998</v>
      </c>
      <c r="H6974" s="35">
        <f t="shared" ref="H6974" si="197">SUM(G6974:G6974)</f>
        <v>4.1989999999999998</v>
      </c>
      <c r="I6974" s="36"/>
      <c r="J6974" s="141">
        <v>0</v>
      </c>
    </row>
    <row r="6975" spans="1:10" ht="15.75" hidden="1" thickBot="1" x14ac:dyDescent="0.3">
      <c r="A6975" s="227"/>
      <c r="B6975" s="230"/>
      <c r="C6975" s="51"/>
      <c r="D6975" s="51"/>
      <c r="E6975" s="62"/>
      <c r="F6975" s="63" t="s">
        <v>523</v>
      </c>
      <c r="G6975" s="63" t="str">
        <f t="shared" si="189"/>
        <v/>
      </c>
      <c r="H6975" s="65"/>
      <c r="I6975" s="27"/>
      <c r="J6975" s="141">
        <v>0</v>
      </c>
    </row>
    <row r="6976" spans="1:10" ht="15.75" hidden="1" thickBot="1" x14ac:dyDescent="0.3">
      <c r="A6976" s="225" t="s">
        <v>7328</v>
      </c>
      <c r="B6976" s="228" t="str">
        <f>INDEX(Orçamentária!A:B,MATCH(Composições!A6976,Orçamentária!A:A,0),2)</f>
        <v>Joelho 90° CPVC 28mm – Linha Residencial</v>
      </c>
      <c r="C6976" s="37"/>
      <c r="D6976" s="22" t="str">
        <f>TRIM(INDEX(Orçamentária!C:C,MATCH(Composições!A6976,Orçamentária!A:A,0),1))</f>
        <v>un</v>
      </c>
      <c r="E6976" s="23"/>
      <c r="F6976" s="38" t="s">
        <v>523</v>
      </c>
      <c r="G6976" s="24" t="str">
        <f t="shared" si="189"/>
        <v/>
      </c>
      <c r="H6976" s="25"/>
      <c r="I6976" s="26"/>
      <c r="J6976" s="141">
        <v>0</v>
      </c>
    </row>
    <row r="6977" spans="1:10" ht="15.75" hidden="1" thickBot="1" x14ac:dyDescent="0.3">
      <c r="A6977" s="226"/>
      <c r="B6977" s="229"/>
      <c r="C6977" s="28"/>
      <c r="D6977" s="28"/>
      <c r="E6977" s="29"/>
      <c r="F6977" s="39" t="s">
        <v>523</v>
      </c>
      <c r="G6977" s="27" t="str">
        <f t="shared" si="189"/>
        <v/>
      </c>
      <c r="H6977" s="31"/>
      <c r="I6977" s="27"/>
      <c r="J6977" s="141">
        <v>0</v>
      </c>
    </row>
    <row r="6978" spans="1:10" ht="15.75" hidden="1" thickBot="1" x14ac:dyDescent="0.3">
      <c r="A6978" s="226"/>
      <c r="B6978" s="229"/>
      <c r="C6978" s="161" t="s">
        <v>7610</v>
      </c>
      <c r="D6978" s="43" t="s">
        <v>20</v>
      </c>
      <c r="E6978" s="149">
        <v>1</v>
      </c>
      <c r="F6978" s="27">
        <v>8.8539999999999992</v>
      </c>
      <c r="G6978" s="27">
        <f t="shared" si="189"/>
        <v>8.8539999999999992</v>
      </c>
      <c r="H6978" s="35">
        <f t="shared" ref="H6978" si="198">SUM(G6978:G6978)</f>
        <v>8.8539999999999992</v>
      </c>
      <c r="I6978" s="36"/>
      <c r="J6978" s="141">
        <v>0</v>
      </c>
    </row>
    <row r="6979" spans="1:10" ht="15.75" hidden="1" thickBot="1" x14ac:dyDescent="0.3">
      <c r="A6979" s="227"/>
      <c r="B6979" s="230"/>
      <c r="C6979" s="51"/>
      <c r="D6979" s="51"/>
      <c r="E6979" s="62"/>
      <c r="F6979" s="63" t="s">
        <v>523</v>
      </c>
      <c r="G6979" s="63" t="str">
        <f t="shared" si="189"/>
        <v/>
      </c>
      <c r="H6979" s="65"/>
      <c r="I6979" s="27"/>
      <c r="J6979" s="141">
        <v>0</v>
      </c>
    </row>
    <row r="6980" spans="1:10" ht="15.75" hidden="1" thickBot="1" x14ac:dyDescent="0.3">
      <c r="A6980" s="225" t="s">
        <v>7330</v>
      </c>
      <c r="B6980" s="228" t="str">
        <f>INDEX(Orçamentária!A:B,MATCH(Composições!A6980,Orçamentária!A:A,0),2)</f>
        <v>Joelho 90° PVC soldável água fria DN 60mm</v>
      </c>
      <c r="C6980" s="37"/>
      <c r="D6980" s="22" t="str">
        <f>TRIM(INDEX(Orçamentária!C:C,MATCH(Composições!A6980,Orçamentária!A:A,0),1))</f>
        <v>un</v>
      </c>
      <c r="E6980" s="23"/>
      <c r="F6980" s="38" t="s">
        <v>523</v>
      </c>
      <c r="G6980" s="24" t="str">
        <f t="shared" si="189"/>
        <v/>
      </c>
      <c r="H6980" s="25"/>
      <c r="I6980" s="26"/>
      <c r="J6980" s="141">
        <v>0</v>
      </c>
    </row>
    <row r="6981" spans="1:10" ht="15.75" hidden="1" thickBot="1" x14ac:dyDescent="0.3">
      <c r="A6981" s="226"/>
      <c r="B6981" s="229"/>
      <c r="C6981" s="28"/>
      <c r="D6981" s="28"/>
      <c r="E6981" s="29"/>
      <c r="F6981" s="39" t="s">
        <v>523</v>
      </c>
      <c r="G6981" s="27" t="str">
        <f t="shared" si="189"/>
        <v/>
      </c>
      <c r="H6981" s="31"/>
      <c r="I6981" s="27"/>
      <c r="J6981" s="141">
        <v>0</v>
      </c>
    </row>
    <row r="6982" spans="1:10" ht="26.25" hidden="1" thickBot="1" x14ac:dyDescent="0.3">
      <c r="A6982" s="226"/>
      <c r="B6982" s="229"/>
      <c r="C6982" s="161" t="s">
        <v>7612</v>
      </c>
      <c r="D6982" s="43" t="s">
        <v>20</v>
      </c>
      <c r="E6982" s="149">
        <v>1</v>
      </c>
      <c r="F6982" s="27">
        <v>29.222000000000001</v>
      </c>
      <c r="G6982" s="27">
        <f t="shared" si="189"/>
        <v>29.222000000000001</v>
      </c>
      <c r="H6982" s="35">
        <f t="shared" ref="H6982" si="199">SUM(G6982:G6982)</f>
        <v>29.222000000000001</v>
      </c>
      <c r="I6982" s="36"/>
      <c r="J6982" s="141">
        <v>0</v>
      </c>
    </row>
    <row r="6983" spans="1:10" ht="15.75" hidden="1" thickBot="1" x14ac:dyDescent="0.3">
      <c r="A6983" s="227"/>
      <c r="B6983" s="230"/>
      <c r="C6983" s="51"/>
      <c r="D6983" s="51"/>
      <c r="E6983" s="62"/>
      <c r="F6983" s="63" t="s">
        <v>523</v>
      </c>
      <c r="G6983" s="63" t="str">
        <f t="shared" si="189"/>
        <v/>
      </c>
      <c r="H6983" s="65"/>
      <c r="I6983" s="27"/>
      <c r="J6983" s="141">
        <v>0</v>
      </c>
    </row>
    <row r="6984" spans="1:10" ht="15.75" hidden="1" thickBot="1" x14ac:dyDescent="0.3">
      <c r="A6984" s="225" t="s">
        <v>7332</v>
      </c>
      <c r="B6984" s="228" t="str">
        <f>INDEX(Orçamentária!A:B,MATCH(Composições!A6984,Orçamentária!A:A,0),2)</f>
        <v>Tê 90° PVC soldável água fria DN 60mm</v>
      </c>
      <c r="C6984" s="37"/>
      <c r="D6984" s="22" t="str">
        <f>TRIM(INDEX(Orçamentária!C:C,MATCH(Composições!A6984,Orçamentária!A:A,0),1))</f>
        <v>un</v>
      </c>
      <c r="E6984" s="23"/>
      <c r="F6984" s="38" t="s">
        <v>523</v>
      </c>
      <c r="G6984" s="24" t="str">
        <f t="shared" si="189"/>
        <v/>
      </c>
      <c r="H6984" s="25"/>
      <c r="I6984" s="26"/>
      <c r="J6984" s="141">
        <v>0</v>
      </c>
    </row>
    <row r="6985" spans="1:10" ht="15.75" hidden="1" thickBot="1" x14ac:dyDescent="0.3">
      <c r="A6985" s="226"/>
      <c r="B6985" s="229"/>
      <c r="C6985" s="28"/>
      <c r="D6985" s="28"/>
      <c r="E6985" s="29"/>
      <c r="F6985" s="39" t="s">
        <v>523</v>
      </c>
      <c r="G6985" s="27" t="str">
        <f t="shared" si="189"/>
        <v/>
      </c>
      <c r="H6985" s="31"/>
      <c r="I6985" s="27"/>
      <c r="J6985" s="141">
        <v>0</v>
      </c>
    </row>
    <row r="6986" spans="1:10" ht="26.25" hidden="1" thickBot="1" x14ac:dyDescent="0.3">
      <c r="A6986" s="226"/>
      <c r="B6986" s="229"/>
      <c r="C6986" s="161" t="s">
        <v>7663</v>
      </c>
      <c r="D6986" s="43" t="s">
        <v>20</v>
      </c>
      <c r="E6986" s="149">
        <v>1</v>
      </c>
      <c r="F6986" s="27">
        <v>36.128500000000003</v>
      </c>
      <c r="G6986" s="27">
        <f t="shared" si="189"/>
        <v>36.128500000000003</v>
      </c>
      <c r="H6986" s="35">
        <f t="shared" ref="H6986" si="200">SUM(G6986:G6986)</f>
        <v>36.128500000000003</v>
      </c>
      <c r="I6986" s="36"/>
      <c r="J6986" s="141">
        <v>0</v>
      </c>
    </row>
    <row r="6987" spans="1:10" ht="15.75" hidden="1" thickBot="1" x14ac:dyDescent="0.3">
      <c r="A6987" s="227"/>
      <c r="B6987" s="230"/>
      <c r="C6987" s="51"/>
      <c r="D6987" s="51"/>
      <c r="E6987" s="62"/>
      <c r="F6987" s="63" t="s">
        <v>523</v>
      </c>
      <c r="G6987" s="63" t="str">
        <f t="shared" si="189"/>
        <v/>
      </c>
      <c r="H6987" s="65"/>
      <c r="I6987" s="27"/>
      <c r="J6987" s="141">
        <v>0</v>
      </c>
    </row>
    <row r="6988" spans="1:10" ht="15.75" hidden="1" thickBot="1" x14ac:dyDescent="0.3">
      <c r="A6988" s="225" t="s">
        <v>7340</v>
      </c>
      <c r="B6988" s="228" t="str">
        <f>INDEX(Orçamentária!A:B,MATCH(Composições!A6988,Orçamentária!A:A,0),2)</f>
        <v>Tubo PEAD corrugado para drenagem – Diâmetro 110mm</v>
      </c>
      <c r="C6988" s="37"/>
      <c r="D6988" s="22" t="str">
        <f>TRIM(INDEX(Orçamentária!C:C,MATCH(Composições!A6988,Orçamentária!A:A,0),1))</f>
        <v>m</v>
      </c>
      <c r="E6988" s="23"/>
      <c r="F6988" s="38" t="s">
        <v>523</v>
      </c>
      <c r="G6988" s="24" t="str">
        <f t="shared" si="189"/>
        <v/>
      </c>
      <c r="H6988" s="25"/>
      <c r="I6988" s="26"/>
      <c r="J6988" s="141">
        <v>0</v>
      </c>
    </row>
    <row r="6989" spans="1:10" ht="15.75" hidden="1" thickBot="1" x14ac:dyDescent="0.3">
      <c r="A6989" s="226"/>
      <c r="B6989" s="229"/>
      <c r="C6989" s="28"/>
      <c r="D6989" s="28"/>
      <c r="E6989" s="29"/>
      <c r="F6989" s="39" t="s">
        <v>523</v>
      </c>
      <c r="G6989" s="27" t="str">
        <f t="shared" si="189"/>
        <v/>
      </c>
      <c r="H6989" s="31"/>
      <c r="I6989" s="27"/>
      <c r="J6989" s="141">
        <v>0</v>
      </c>
    </row>
    <row r="6990" spans="1:10" ht="39" hidden="1" thickBot="1" x14ac:dyDescent="0.3">
      <c r="A6990" s="226"/>
      <c r="B6990" s="229"/>
      <c r="C6990" s="161" t="s">
        <v>1105</v>
      </c>
      <c r="D6990" s="43" t="s">
        <v>93</v>
      </c>
      <c r="E6990" s="149">
        <v>1</v>
      </c>
      <c r="F6990" s="27">
        <v>10.801499999999999</v>
      </c>
      <c r="G6990" s="27">
        <f t="shared" si="189"/>
        <v>10.801499999999999</v>
      </c>
      <c r="H6990" s="35">
        <f t="shared" ref="H6990" si="201">SUM(G6990:G6990)</f>
        <v>10.801499999999999</v>
      </c>
      <c r="I6990" s="36"/>
      <c r="J6990" s="141">
        <v>0</v>
      </c>
    </row>
    <row r="6991" spans="1:10" ht="15.75" hidden="1" thickBot="1" x14ac:dyDescent="0.3">
      <c r="A6991" s="227"/>
      <c r="B6991" s="230"/>
      <c r="C6991" s="51"/>
      <c r="D6991" s="51"/>
      <c r="E6991" s="62"/>
      <c r="F6991" s="63" t="s">
        <v>523</v>
      </c>
      <c r="G6991" s="63" t="str">
        <f t="shared" si="189"/>
        <v/>
      </c>
      <c r="H6991" s="65"/>
      <c r="I6991" s="27"/>
      <c r="J6991" s="141">
        <v>0</v>
      </c>
    </row>
    <row r="6992" spans="1:10" ht="15.75" hidden="1" thickBot="1" x14ac:dyDescent="0.3">
      <c r="A6992" s="225" t="s">
        <v>7342</v>
      </c>
      <c r="B6992" s="228" t="str">
        <f>INDEX(Orçamentária!A:B,MATCH(Composições!A6992,Orçamentária!A:A,0),2)</f>
        <v>Tubo PVC para Calha 88mm</v>
      </c>
      <c r="C6992" s="37"/>
      <c r="D6992" s="22" t="str">
        <f>TRIM(INDEX(Orçamentária!C:C,MATCH(Composições!A6992,Orçamentária!A:A,0),1))</f>
        <v>m</v>
      </c>
      <c r="E6992" s="23"/>
      <c r="F6992" s="38" t="s">
        <v>523</v>
      </c>
      <c r="G6992" s="24" t="str">
        <f t="shared" si="189"/>
        <v/>
      </c>
      <c r="H6992" s="25"/>
      <c r="I6992" s="26"/>
      <c r="J6992" s="141">
        <v>0</v>
      </c>
    </row>
    <row r="6993" spans="1:10" ht="15.75" hidden="1" thickBot="1" x14ac:dyDescent="0.3">
      <c r="A6993" s="226"/>
      <c r="B6993" s="229"/>
      <c r="C6993" s="28"/>
      <c r="D6993" s="28"/>
      <c r="E6993" s="29"/>
      <c r="F6993" s="39" t="s">
        <v>523</v>
      </c>
      <c r="G6993" s="27" t="str">
        <f t="shared" si="189"/>
        <v/>
      </c>
      <c r="H6993" s="31"/>
      <c r="I6993" s="27"/>
      <c r="J6993" s="141">
        <v>0</v>
      </c>
    </row>
    <row r="6994" spans="1:10" ht="26.25" hidden="1" thickBot="1" x14ac:dyDescent="0.3">
      <c r="A6994" s="226"/>
      <c r="B6994" s="229"/>
      <c r="C6994" s="161" t="s">
        <v>7592</v>
      </c>
      <c r="D6994" s="43" t="s">
        <v>93</v>
      </c>
      <c r="E6994" s="149">
        <v>1</v>
      </c>
      <c r="F6994" s="27">
        <v>13.470999999999998</v>
      </c>
      <c r="G6994" s="27">
        <f t="shared" si="189"/>
        <v>13.470999999999998</v>
      </c>
      <c r="H6994" s="35">
        <f t="shared" ref="H6994" si="202">SUM(G6994:G6994)</f>
        <v>13.470999999999998</v>
      </c>
      <c r="I6994" s="36"/>
      <c r="J6994" s="141">
        <v>0</v>
      </c>
    </row>
    <row r="6995" spans="1:10" ht="15.75" hidden="1" thickBot="1" x14ac:dyDescent="0.3">
      <c r="A6995" s="227"/>
      <c r="B6995" s="230"/>
      <c r="C6995" s="51"/>
      <c r="D6995" s="51"/>
      <c r="E6995" s="62"/>
      <c r="F6995" s="63" t="s">
        <v>523</v>
      </c>
      <c r="G6995" s="63" t="str">
        <f t="shared" si="189"/>
        <v/>
      </c>
      <c r="H6995" s="65"/>
      <c r="I6995" s="27"/>
      <c r="J6995" s="141">
        <v>0</v>
      </c>
    </row>
    <row r="6996" spans="1:10" ht="15.75" hidden="1" thickBot="1" x14ac:dyDescent="0.3">
      <c r="A6996" s="225" t="s">
        <v>7344</v>
      </c>
      <c r="B6996" s="228" t="str">
        <f>INDEX(Orçamentária!A:B,MATCH(Composições!A6996,Orçamentária!A:A,0),2)</f>
        <v>Luva de Correr PVC esgoto ou águas pluviais predial DN 100mm</v>
      </c>
      <c r="C6996" s="37"/>
      <c r="D6996" s="22" t="str">
        <f>TRIM(INDEX(Orçamentária!C:C,MATCH(Composições!A6996,Orçamentária!A:A,0),1))</f>
        <v>un</v>
      </c>
      <c r="E6996" s="23"/>
      <c r="F6996" s="38" t="s">
        <v>523</v>
      </c>
      <c r="G6996" s="24" t="str">
        <f t="shared" si="189"/>
        <v/>
      </c>
      <c r="H6996" s="25"/>
      <c r="I6996" s="26"/>
      <c r="J6996" s="141">
        <v>0</v>
      </c>
    </row>
    <row r="6997" spans="1:10" ht="15.75" hidden="1" thickBot="1" x14ac:dyDescent="0.3">
      <c r="A6997" s="226"/>
      <c r="B6997" s="229"/>
      <c r="C6997" s="28"/>
      <c r="D6997" s="28"/>
      <c r="E6997" s="29"/>
      <c r="F6997" s="39" t="s">
        <v>523</v>
      </c>
      <c r="G6997" s="27" t="str">
        <f t="shared" si="189"/>
        <v/>
      </c>
      <c r="H6997" s="31"/>
      <c r="I6997" s="27"/>
      <c r="J6997" s="141">
        <v>0</v>
      </c>
    </row>
    <row r="6998" spans="1:10" ht="26.25" hidden="1" thickBot="1" x14ac:dyDescent="0.3">
      <c r="A6998" s="226"/>
      <c r="B6998" s="229"/>
      <c r="C6998" s="161" t="s">
        <v>7617</v>
      </c>
      <c r="D6998" s="43" t="s">
        <v>20</v>
      </c>
      <c r="E6998" s="149">
        <v>1</v>
      </c>
      <c r="F6998" s="27">
        <v>31.758499999999998</v>
      </c>
      <c r="G6998" s="27">
        <f t="shared" si="189"/>
        <v>31.758499999999998</v>
      </c>
      <c r="H6998" s="35">
        <f t="shared" ref="H6998" si="203">SUM(G6998:G6998)</f>
        <v>31.758499999999998</v>
      </c>
      <c r="I6998" s="36"/>
      <c r="J6998" s="141">
        <v>0</v>
      </c>
    </row>
    <row r="6999" spans="1:10" ht="15.75" hidden="1" thickBot="1" x14ac:dyDescent="0.3">
      <c r="A6999" s="227"/>
      <c r="B6999" s="230"/>
      <c r="C6999" s="51"/>
      <c r="D6999" s="51"/>
      <c r="E6999" s="62"/>
      <c r="F6999" s="63" t="s">
        <v>523</v>
      </c>
      <c r="G6999" s="63" t="str">
        <f t="shared" si="189"/>
        <v/>
      </c>
      <c r="H6999" s="65"/>
      <c r="I6999" s="27"/>
      <c r="J6999" s="141">
        <v>0</v>
      </c>
    </row>
    <row r="7000" spans="1:10" ht="15.75" hidden="1" thickBot="1" x14ac:dyDescent="0.3">
      <c r="A7000" s="225" t="s">
        <v>7348</v>
      </c>
      <c r="B7000" s="228" t="str">
        <f>INDEX(Orçamentária!A:B,MATCH(Composições!A7000,Orçamentária!A:A,0),2)</f>
        <v>Luva de transição CPVC 1/2” x 22mm  – Linha Residencial</v>
      </c>
      <c r="C7000" s="37"/>
      <c r="D7000" s="22" t="str">
        <f>TRIM(INDEX(Orçamentária!C:C,MATCH(Composições!A7000,Orçamentária!A:A,0),1))</f>
        <v>un</v>
      </c>
      <c r="E7000" s="23"/>
      <c r="F7000" s="38" t="s">
        <v>523</v>
      </c>
      <c r="G7000" s="24" t="str">
        <f t="shared" si="189"/>
        <v/>
      </c>
      <c r="H7000" s="25"/>
      <c r="I7000" s="26"/>
      <c r="J7000" s="141">
        <v>0</v>
      </c>
    </row>
    <row r="7001" spans="1:10" ht="15.75" hidden="1" thickBot="1" x14ac:dyDescent="0.3">
      <c r="A7001" s="226"/>
      <c r="B7001" s="229"/>
      <c r="C7001" s="28"/>
      <c r="D7001" s="28"/>
      <c r="E7001" s="29"/>
      <c r="F7001" s="39" t="s">
        <v>523</v>
      </c>
      <c r="G7001" s="27" t="str">
        <f t="shared" si="189"/>
        <v/>
      </c>
      <c r="H7001" s="31"/>
      <c r="I7001" s="27"/>
      <c r="J7001" s="141">
        <v>0</v>
      </c>
    </row>
    <row r="7002" spans="1:10" ht="15.75" hidden="1" thickBot="1" x14ac:dyDescent="0.3">
      <c r="A7002" s="226"/>
      <c r="B7002" s="229"/>
      <c r="C7002" s="161" t="s">
        <v>7618</v>
      </c>
      <c r="D7002" s="43" t="s">
        <v>20</v>
      </c>
      <c r="E7002" s="149">
        <v>1</v>
      </c>
      <c r="F7002" s="27">
        <v>9.1959999999999997</v>
      </c>
      <c r="G7002" s="27">
        <f t="shared" si="189"/>
        <v>9.1959999999999997</v>
      </c>
      <c r="H7002" s="35">
        <f t="shared" ref="H7002" si="204">SUM(G7002:G7002)</f>
        <v>9.1959999999999997</v>
      </c>
      <c r="I7002" s="36"/>
      <c r="J7002" s="141">
        <v>0</v>
      </c>
    </row>
    <row r="7003" spans="1:10" ht="15.75" hidden="1" thickBot="1" x14ac:dyDescent="0.3">
      <c r="A7003" s="227"/>
      <c r="B7003" s="230"/>
      <c r="C7003" s="51"/>
      <c r="D7003" s="51"/>
      <c r="E7003" s="62"/>
      <c r="F7003" s="63" t="s">
        <v>523</v>
      </c>
      <c r="G7003" s="63" t="str">
        <f t="shared" si="189"/>
        <v/>
      </c>
      <c r="H7003" s="65"/>
      <c r="I7003" s="27"/>
      <c r="J7003" s="141">
        <v>0</v>
      </c>
    </row>
    <row r="7004" spans="1:10" ht="15.75" hidden="1" thickBot="1" x14ac:dyDescent="0.3">
      <c r="A7004" s="225" t="s">
        <v>7352</v>
      </c>
      <c r="B7004" s="228" t="str">
        <f>INDEX(Orçamentária!A:B,MATCH(Composições!A7004,Orçamentária!A:A,0),2)</f>
        <v>Luva em aço-carbono galvanizado 2 1/2” - Água Potável e Combate a Incêndio</v>
      </c>
      <c r="C7004" s="37"/>
      <c r="D7004" s="22" t="str">
        <f>TRIM(INDEX(Orçamentária!C:C,MATCH(Composições!A7004,Orçamentária!A:A,0),1))</f>
        <v>un</v>
      </c>
      <c r="E7004" s="23"/>
      <c r="F7004" s="38" t="s">
        <v>523</v>
      </c>
      <c r="G7004" s="24" t="str">
        <f t="shared" si="189"/>
        <v/>
      </c>
      <c r="H7004" s="25"/>
      <c r="I7004" s="26"/>
      <c r="J7004" s="141">
        <v>0</v>
      </c>
    </row>
    <row r="7005" spans="1:10" ht="15.75" hidden="1" thickBot="1" x14ac:dyDescent="0.3">
      <c r="A7005" s="226"/>
      <c r="B7005" s="229"/>
      <c r="C7005" s="28"/>
      <c r="D7005" s="28"/>
      <c r="E7005" s="29"/>
      <c r="F7005" s="39" t="s">
        <v>523</v>
      </c>
      <c r="G7005" s="27" t="str">
        <f t="shared" si="189"/>
        <v/>
      </c>
      <c r="H7005" s="31"/>
      <c r="I7005" s="27"/>
      <c r="J7005" s="141">
        <v>0</v>
      </c>
    </row>
    <row r="7006" spans="1:10" ht="26.25" hidden="1" thickBot="1" x14ac:dyDescent="0.3">
      <c r="A7006" s="226"/>
      <c r="B7006" s="229"/>
      <c r="C7006" s="161" t="s">
        <v>3347</v>
      </c>
      <c r="D7006" s="43" t="s">
        <v>20</v>
      </c>
      <c r="E7006" s="149">
        <v>1</v>
      </c>
      <c r="F7006" s="27">
        <v>14.772500000000001</v>
      </c>
      <c r="G7006" s="27">
        <f t="shared" si="189"/>
        <v>14.772500000000001</v>
      </c>
      <c r="H7006" s="35">
        <f t="shared" ref="H7006" si="205">SUM(G7006:G7006)</f>
        <v>14.772500000000001</v>
      </c>
      <c r="I7006" s="36"/>
      <c r="J7006" s="141">
        <v>0</v>
      </c>
    </row>
    <row r="7007" spans="1:10" ht="15.75" hidden="1" thickBot="1" x14ac:dyDescent="0.3">
      <c r="A7007" s="227"/>
      <c r="B7007" s="230"/>
      <c r="C7007" s="51"/>
      <c r="D7007" s="51"/>
      <c r="E7007" s="62"/>
      <c r="F7007" s="63" t="s">
        <v>523</v>
      </c>
      <c r="G7007" s="63" t="str">
        <f t="shared" si="189"/>
        <v/>
      </c>
      <c r="H7007" s="65"/>
      <c r="I7007" s="27"/>
      <c r="J7007" s="141">
        <v>0</v>
      </c>
    </row>
    <row r="7008" spans="1:10" ht="15.75" hidden="1" thickBot="1" x14ac:dyDescent="0.3">
      <c r="A7008" s="225" t="s">
        <v>7354</v>
      </c>
      <c r="B7008" s="228" t="str">
        <f>INDEX(Orçamentária!A:B,MATCH(Composições!A7008,Orçamentária!A:A,0),2)</f>
        <v>Luva em aço-carbono galvanizado 2” - Água Potável e Combate a Incêndio</v>
      </c>
      <c r="C7008" s="37"/>
      <c r="D7008" s="22" t="str">
        <f>TRIM(INDEX(Orçamentária!C:C,MATCH(Composições!A7008,Orçamentária!A:A,0),1))</f>
        <v>un</v>
      </c>
      <c r="E7008" s="23"/>
      <c r="F7008" s="38" t="s">
        <v>523</v>
      </c>
      <c r="G7008" s="24" t="str">
        <f t="shared" si="189"/>
        <v/>
      </c>
      <c r="H7008" s="25"/>
      <c r="I7008" s="26"/>
      <c r="J7008" s="141">
        <v>0</v>
      </c>
    </row>
    <row r="7009" spans="1:10" ht="15.75" hidden="1" thickBot="1" x14ac:dyDescent="0.3">
      <c r="A7009" s="226"/>
      <c r="B7009" s="229"/>
      <c r="C7009" s="28"/>
      <c r="D7009" s="28"/>
      <c r="E7009" s="29"/>
      <c r="F7009" s="39" t="s">
        <v>523</v>
      </c>
      <c r="G7009" s="27" t="str">
        <f t="shared" si="189"/>
        <v/>
      </c>
      <c r="H7009" s="31"/>
      <c r="I7009" s="27"/>
      <c r="J7009" s="141">
        <v>0</v>
      </c>
    </row>
    <row r="7010" spans="1:10" ht="26.25" hidden="1" thickBot="1" x14ac:dyDescent="0.3">
      <c r="A7010" s="226"/>
      <c r="B7010" s="229"/>
      <c r="C7010" s="161" t="s">
        <v>3346</v>
      </c>
      <c r="D7010" s="43" t="s">
        <v>20</v>
      </c>
      <c r="E7010" s="149">
        <v>1</v>
      </c>
      <c r="F7010" s="27">
        <v>10.1175</v>
      </c>
      <c r="G7010" s="27">
        <f t="shared" ref="G7010:G7073" si="206">IF(ISNUMBER(F7010),E7010*F7010,"")</f>
        <v>10.1175</v>
      </c>
      <c r="H7010" s="35">
        <f t="shared" ref="H7010" si="207">SUM(G7010:G7010)</f>
        <v>10.1175</v>
      </c>
      <c r="I7010" s="36"/>
      <c r="J7010" s="141">
        <v>0</v>
      </c>
    </row>
    <row r="7011" spans="1:10" ht="15.75" hidden="1" thickBot="1" x14ac:dyDescent="0.3">
      <c r="A7011" s="227"/>
      <c r="B7011" s="230"/>
      <c r="C7011" s="51"/>
      <c r="D7011" s="51"/>
      <c r="E7011" s="62"/>
      <c r="F7011" s="63" t="s">
        <v>523</v>
      </c>
      <c r="G7011" s="63" t="str">
        <f t="shared" si="206"/>
        <v/>
      </c>
      <c r="H7011" s="65"/>
      <c r="I7011" s="27"/>
      <c r="J7011" s="141">
        <v>0</v>
      </c>
    </row>
    <row r="7012" spans="1:10" ht="15.75" hidden="1" thickBot="1" x14ac:dyDescent="0.3">
      <c r="A7012" s="225" t="s">
        <v>7356</v>
      </c>
      <c r="B7012" s="228" t="str">
        <f>INDEX(Orçamentária!A:B,MATCH(Composições!A7012,Orçamentária!A:A,0),2)</f>
        <v>Luva em aço-carbono galvanizado 3” - Água Potável e Combate a Incêndio</v>
      </c>
      <c r="C7012" s="37"/>
      <c r="D7012" s="22" t="str">
        <f>TRIM(INDEX(Orçamentária!C:C,MATCH(Composições!A7012,Orçamentária!A:A,0),1))</f>
        <v>un</v>
      </c>
      <c r="E7012" s="23"/>
      <c r="F7012" s="38" t="s">
        <v>523</v>
      </c>
      <c r="G7012" s="24" t="str">
        <f t="shared" si="206"/>
        <v/>
      </c>
      <c r="H7012" s="25"/>
      <c r="I7012" s="26"/>
      <c r="J7012" s="141">
        <v>0</v>
      </c>
    </row>
    <row r="7013" spans="1:10" ht="15.75" hidden="1" thickBot="1" x14ac:dyDescent="0.3">
      <c r="A7013" s="226"/>
      <c r="B7013" s="229"/>
      <c r="C7013" s="28"/>
      <c r="D7013" s="28"/>
      <c r="E7013" s="29"/>
      <c r="F7013" s="39" t="s">
        <v>523</v>
      </c>
      <c r="G7013" s="27" t="str">
        <f t="shared" si="206"/>
        <v/>
      </c>
      <c r="H7013" s="31"/>
      <c r="I7013" s="27"/>
      <c r="J7013" s="141">
        <v>0</v>
      </c>
    </row>
    <row r="7014" spans="1:10" ht="26.25" hidden="1" thickBot="1" x14ac:dyDescent="0.3">
      <c r="A7014" s="226"/>
      <c r="B7014" s="229"/>
      <c r="C7014" s="161" t="s">
        <v>3348</v>
      </c>
      <c r="D7014" s="43" t="s">
        <v>20</v>
      </c>
      <c r="E7014" s="149">
        <v>1</v>
      </c>
      <c r="F7014" s="27">
        <v>22.486499999999999</v>
      </c>
      <c r="G7014" s="27">
        <f t="shared" si="206"/>
        <v>22.486499999999999</v>
      </c>
      <c r="H7014" s="35">
        <f t="shared" ref="H7014" si="208">SUM(G7014:G7014)</f>
        <v>22.486499999999999</v>
      </c>
      <c r="I7014" s="36"/>
      <c r="J7014" s="141">
        <v>0</v>
      </c>
    </row>
    <row r="7015" spans="1:10" ht="15.75" hidden="1" thickBot="1" x14ac:dyDescent="0.3">
      <c r="A7015" s="227"/>
      <c r="B7015" s="230"/>
      <c r="C7015" s="51"/>
      <c r="D7015" s="51"/>
      <c r="E7015" s="62"/>
      <c r="F7015" s="63" t="s">
        <v>523</v>
      </c>
      <c r="G7015" s="63" t="str">
        <f t="shared" si="206"/>
        <v/>
      </c>
      <c r="H7015" s="65"/>
      <c r="I7015" s="27"/>
      <c r="J7015" s="141">
        <v>0</v>
      </c>
    </row>
    <row r="7016" spans="1:10" ht="15.75" hidden="1" thickBot="1" x14ac:dyDescent="0.3">
      <c r="A7016" s="225" t="s">
        <v>7358</v>
      </c>
      <c r="B7016" s="228" t="str">
        <f>INDEX(Orçamentária!A:B,MATCH(Composições!A7016,Orçamentária!A:A,0),2)</f>
        <v>Tê 45° (Junção) em aço-carbono galvanizado 2 1/2” – Água Potável e Combate a Incêndio</v>
      </c>
      <c r="C7016" s="37"/>
      <c r="D7016" s="22" t="str">
        <f>TRIM(INDEX(Orçamentária!C:C,MATCH(Composições!A7016,Orçamentária!A:A,0),1))</f>
        <v>un</v>
      </c>
      <c r="E7016" s="23"/>
      <c r="F7016" s="38" t="s">
        <v>523</v>
      </c>
      <c r="G7016" s="24" t="str">
        <f t="shared" si="206"/>
        <v/>
      </c>
      <c r="H7016" s="25"/>
      <c r="I7016" s="26"/>
      <c r="J7016" s="141">
        <v>0</v>
      </c>
    </row>
    <row r="7017" spans="1:10" ht="15.75" hidden="1" thickBot="1" x14ac:dyDescent="0.3">
      <c r="A7017" s="226"/>
      <c r="B7017" s="229"/>
      <c r="C7017" s="28"/>
      <c r="D7017" s="28"/>
      <c r="E7017" s="29"/>
      <c r="F7017" s="39" t="s">
        <v>523</v>
      </c>
      <c r="G7017" s="27" t="str">
        <f t="shared" si="206"/>
        <v/>
      </c>
      <c r="H7017" s="31"/>
      <c r="I7017" s="27"/>
      <c r="J7017" s="141">
        <v>0</v>
      </c>
    </row>
    <row r="7018" spans="1:10" ht="15.75" hidden="1" thickBot="1" x14ac:dyDescent="0.3">
      <c r="A7018" s="226"/>
      <c r="B7018" s="229"/>
      <c r="C7018" s="161" t="s">
        <v>7664</v>
      </c>
      <c r="D7018" s="43" t="s">
        <v>20</v>
      </c>
      <c r="E7018" s="149">
        <v>1</v>
      </c>
      <c r="F7018" s="27">
        <v>257.04149999999998</v>
      </c>
      <c r="G7018" s="27">
        <f t="shared" si="206"/>
        <v>257.04149999999998</v>
      </c>
      <c r="H7018" s="35">
        <f t="shared" ref="H7018" si="209">SUM(G7018:G7018)</f>
        <v>257.04149999999998</v>
      </c>
      <c r="I7018" s="36"/>
      <c r="J7018" s="141">
        <v>0</v>
      </c>
    </row>
    <row r="7019" spans="1:10" ht="15.75" hidden="1" thickBot="1" x14ac:dyDescent="0.3">
      <c r="A7019" s="227"/>
      <c r="B7019" s="230"/>
      <c r="C7019" s="51"/>
      <c r="D7019" s="51"/>
      <c r="E7019" s="62"/>
      <c r="F7019" s="63" t="s">
        <v>523</v>
      </c>
      <c r="G7019" s="63" t="str">
        <f t="shared" si="206"/>
        <v/>
      </c>
      <c r="H7019" s="65"/>
      <c r="I7019" s="27"/>
      <c r="J7019" s="141">
        <v>0</v>
      </c>
    </row>
    <row r="7020" spans="1:10" ht="15.75" hidden="1" thickBot="1" x14ac:dyDescent="0.3">
      <c r="A7020" s="225" t="s">
        <v>7360</v>
      </c>
      <c r="B7020" s="228" t="str">
        <f>INDEX(Orçamentária!A:B,MATCH(Composições!A7020,Orçamentária!A:A,0),2)</f>
        <v>Tê 45° (Junção) em aço-carbono galvanizado 2” – Água Potável e Combate a Incêndio</v>
      </c>
      <c r="C7020" s="37"/>
      <c r="D7020" s="22" t="str">
        <f>TRIM(INDEX(Orçamentária!C:C,MATCH(Composições!A7020,Orçamentária!A:A,0),1))</f>
        <v>un</v>
      </c>
      <c r="E7020" s="23"/>
      <c r="F7020" s="38" t="s">
        <v>523</v>
      </c>
      <c r="G7020" s="24" t="str">
        <f t="shared" si="206"/>
        <v/>
      </c>
      <c r="H7020" s="25"/>
      <c r="I7020" s="26"/>
      <c r="J7020" s="141">
        <v>0</v>
      </c>
    </row>
    <row r="7021" spans="1:10" ht="15.75" hidden="1" thickBot="1" x14ac:dyDescent="0.3">
      <c r="A7021" s="226"/>
      <c r="B7021" s="229"/>
      <c r="C7021" s="28"/>
      <c r="D7021" s="28"/>
      <c r="E7021" s="29"/>
      <c r="F7021" s="39" t="s">
        <v>523</v>
      </c>
      <c r="G7021" s="27" t="str">
        <f t="shared" si="206"/>
        <v/>
      </c>
      <c r="H7021" s="31"/>
      <c r="I7021" s="27"/>
      <c r="J7021" s="141">
        <v>0</v>
      </c>
    </row>
    <row r="7022" spans="1:10" ht="15.75" hidden="1" thickBot="1" x14ac:dyDescent="0.3">
      <c r="A7022" s="226"/>
      <c r="B7022" s="229"/>
      <c r="C7022" s="161" t="s">
        <v>7665</v>
      </c>
      <c r="D7022" s="43" t="s">
        <v>20</v>
      </c>
      <c r="E7022" s="149">
        <v>1</v>
      </c>
      <c r="F7022" s="27">
        <v>137.96849999999998</v>
      </c>
      <c r="G7022" s="27">
        <f t="shared" si="206"/>
        <v>137.96849999999998</v>
      </c>
      <c r="H7022" s="35">
        <f t="shared" ref="H7022" si="210">SUM(G7022:G7022)</f>
        <v>137.96849999999998</v>
      </c>
      <c r="I7022" s="36"/>
      <c r="J7022" s="141">
        <v>0</v>
      </c>
    </row>
    <row r="7023" spans="1:10" ht="15.75" hidden="1" thickBot="1" x14ac:dyDescent="0.3">
      <c r="A7023" s="227"/>
      <c r="B7023" s="230"/>
      <c r="C7023" s="51"/>
      <c r="D7023" s="51"/>
      <c r="E7023" s="62"/>
      <c r="F7023" s="63" t="s">
        <v>523</v>
      </c>
      <c r="G7023" s="63" t="str">
        <f t="shared" si="206"/>
        <v/>
      </c>
      <c r="H7023" s="65"/>
      <c r="I7023" s="27"/>
      <c r="J7023" s="141">
        <v>0</v>
      </c>
    </row>
    <row r="7024" spans="1:10" ht="15.75" hidden="1" thickBot="1" x14ac:dyDescent="0.3">
      <c r="A7024" s="225" t="s">
        <v>7362</v>
      </c>
      <c r="B7024" s="228" t="str">
        <f>INDEX(Orçamentária!A:B,MATCH(Composições!A7024,Orçamentária!A:A,0),2)</f>
        <v>Tê 45° (Junção) em aço-carbono galvanizado 3” – Água Potável e Combate a Incêndio</v>
      </c>
      <c r="C7024" s="37"/>
      <c r="D7024" s="22" t="str">
        <f>TRIM(INDEX(Orçamentária!C:C,MATCH(Composições!A7024,Orçamentária!A:A,0),1))</f>
        <v>un</v>
      </c>
      <c r="E7024" s="23"/>
      <c r="F7024" s="38" t="s">
        <v>523</v>
      </c>
      <c r="G7024" s="24" t="str">
        <f t="shared" si="206"/>
        <v/>
      </c>
      <c r="H7024" s="25"/>
      <c r="I7024" s="26"/>
      <c r="J7024" s="141">
        <v>0</v>
      </c>
    </row>
    <row r="7025" spans="1:10" ht="15.75" hidden="1" thickBot="1" x14ac:dyDescent="0.3">
      <c r="A7025" s="226"/>
      <c r="B7025" s="229"/>
      <c r="C7025" s="28"/>
      <c r="D7025" s="28"/>
      <c r="E7025" s="29"/>
      <c r="F7025" s="39" t="s">
        <v>523</v>
      </c>
      <c r="G7025" s="27" t="str">
        <f t="shared" si="206"/>
        <v/>
      </c>
      <c r="H7025" s="31"/>
      <c r="I7025" s="27"/>
      <c r="J7025" s="141">
        <v>0</v>
      </c>
    </row>
    <row r="7026" spans="1:10" ht="15.75" hidden="1" thickBot="1" x14ac:dyDescent="0.3">
      <c r="A7026" s="226"/>
      <c r="B7026" s="229"/>
      <c r="C7026" s="161" t="s">
        <v>7666</v>
      </c>
      <c r="D7026" s="43" t="s">
        <v>20</v>
      </c>
      <c r="E7026" s="149">
        <v>1</v>
      </c>
      <c r="F7026" s="27">
        <v>406.30549999999999</v>
      </c>
      <c r="G7026" s="27">
        <f t="shared" si="206"/>
        <v>406.30549999999999</v>
      </c>
      <c r="H7026" s="35">
        <f t="shared" ref="H7026" si="211">SUM(G7026:G7026)</f>
        <v>406.30549999999999</v>
      </c>
      <c r="I7026" s="36"/>
      <c r="J7026" s="141">
        <v>0</v>
      </c>
    </row>
    <row r="7027" spans="1:10" ht="15.75" hidden="1" thickBot="1" x14ac:dyDescent="0.3">
      <c r="A7027" s="227"/>
      <c r="B7027" s="230"/>
      <c r="C7027" s="51"/>
      <c r="D7027" s="51"/>
      <c r="E7027" s="62"/>
      <c r="F7027" s="63" t="s">
        <v>523</v>
      </c>
      <c r="G7027" s="63" t="str">
        <f t="shared" si="206"/>
        <v/>
      </c>
      <c r="H7027" s="65"/>
      <c r="I7027" s="27"/>
      <c r="J7027" s="141">
        <v>0</v>
      </c>
    </row>
    <row r="7028" spans="1:10" ht="15.75" hidden="1" thickBot="1" x14ac:dyDescent="0.3">
      <c r="A7028" s="225" t="s">
        <v>7364</v>
      </c>
      <c r="B7028" s="228" t="str">
        <f>INDEX(Orçamentária!A:B,MATCH(Composições!A7028,Orçamentária!A:A,0),2)</f>
        <v>Tê 45° (Junção) PVC esgoto ou águas pluviais predial DN 75mm</v>
      </c>
      <c r="C7028" s="37"/>
      <c r="D7028" s="22" t="str">
        <f>TRIM(INDEX(Orçamentária!C:C,MATCH(Composições!A7028,Orçamentária!A:A,0),1))</f>
        <v>un</v>
      </c>
      <c r="E7028" s="23"/>
      <c r="F7028" s="38" t="s">
        <v>523</v>
      </c>
      <c r="G7028" s="24" t="str">
        <f t="shared" si="206"/>
        <v/>
      </c>
      <c r="H7028" s="25"/>
      <c r="I7028" s="26"/>
      <c r="J7028" s="141">
        <v>0</v>
      </c>
    </row>
    <row r="7029" spans="1:10" ht="15.75" hidden="1" thickBot="1" x14ac:dyDescent="0.3">
      <c r="A7029" s="226"/>
      <c r="B7029" s="229"/>
      <c r="C7029" s="28"/>
      <c r="D7029" s="28"/>
      <c r="E7029" s="29"/>
      <c r="F7029" s="39" t="s">
        <v>523</v>
      </c>
      <c r="G7029" s="27" t="str">
        <f t="shared" si="206"/>
        <v/>
      </c>
      <c r="H7029" s="31"/>
      <c r="I7029" s="27"/>
      <c r="J7029" s="141">
        <v>0</v>
      </c>
    </row>
    <row r="7030" spans="1:10" ht="26.25" hidden="1" thickBot="1" x14ac:dyDescent="0.3">
      <c r="A7030" s="226"/>
      <c r="B7030" s="229"/>
      <c r="C7030" s="161" t="s">
        <v>7614</v>
      </c>
      <c r="D7030" s="43" t="s">
        <v>20</v>
      </c>
      <c r="E7030" s="149">
        <v>1</v>
      </c>
      <c r="F7030" s="27">
        <v>46.160499999999999</v>
      </c>
      <c r="G7030" s="27">
        <f t="shared" si="206"/>
        <v>46.160499999999999</v>
      </c>
      <c r="H7030" s="35">
        <f t="shared" ref="H7030" si="212">SUM(G7030:G7030)</f>
        <v>46.160499999999999</v>
      </c>
      <c r="I7030" s="36"/>
      <c r="J7030" s="141">
        <v>0</v>
      </c>
    </row>
    <row r="7031" spans="1:10" ht="15.75" hidden="1" thickBot="1" x14ac:dyDescent="0.3">
      <c r="A7031" s="227"/>
      <c r="B7031" s="230"/>
      <c r="C7031" s="51"/>
      <c r="D7031" s="51"/>
      <c r="E7031" s="62"/>
      <c r="F7031" s="63" t="s">
        <v>523</v>
      </c>
      <c r="G7031" s="63" t="str">
        <f t="shared" si="206"/>
        <v/>
      </c>
      <c r="H7031" s="65"/>
      <c r="I7031" s="27"/>
      <c r="J7031" s="141">
        <v>0</v>
      </c>
    </row>
    <row r="7032" spans="1:10" ht="15.75" hidden="1" thickBot="1" x14ac:dyDescent="0.3">
      <c r="A7032" s="225" t="s">
        <v>7366</v>
      </c>
      <c r="B7032" s="228" t="str">
        <f>INDEX(Orçamentária!A:B,MATCH(Composições!A7032,Orçamentária!A:A,0),2)</f>
        <v>União CPVC 22mm – Linha Residencial</v>
      </c>
      <c r="C7032" s="37"/>
      <c r="D7032" s="22" t="str">
        <f>TRIM(INDEX(Orçamentária!C:C,MATCH(Composições!A7032,Orçamentária!A:A,0),1))</f>
        <v>un</v>
      </c>
      <c r="E7032" s="23"/>
      <c r="F7032" s="38" t="s">
        <v>523</v>
      </c>
      <c r="G7032" s="24" t="str">
        <f t="shared" si="206"/>
        <v/>
      </c>
      <c r="H7032" s="25"/>
      <c r="I7032" s="26"/>
      <c r="J7032" s="141">
        <v>0</v>
      </c>
    </row>
    <row r="7033" spans="1:10" ht="15.75" hidden="1" thickBot="1" x14ac:dyDescent="0.3">
      <c r="A7033" s="226"/>
      <c r="B7033" s="229"/>
      <c r="C7033" s="28"/>
      <c r="D7033" s="28"/>
      <c r="E7033" s="29"/>
      <c r="F7033" s="39" t="s">
        <v>523</v>
      </c>
      <c r="G7033" s="27" t="str">
        <f t="shared" si="206"/>
        <v/>
      </c>
      <c r="H7033" s="31"/>
      <c r="I7033" s="27"/>
      <c r="J7033" s="141">
        <v>0</v>
      </c>
    </row>
    <row r="7034" spans="1:10" ht="15.75" hidden="1" thickBot="1" x14ac:dyDescent="0.3">
      <c r="A7034" s="226"/>
      <c r="B7034" s="229"/>
      <c r="C7034" s="161" t="s">
        <v>7701</v>
      </c>
      <c r="D7034" s="43" t="s">
        <v>20</v>
      </c>
      <c r="E7034" s="149">
        <v>1</v>
      </c>
      <c r="F7034" s="27">
        <v>12.5115</v>
      </c>
      <c r="G7034" s="27">
        <f t="shared" si="206"/>
        <v>12.5115</v>
      </c>
      <c r="H7034" s="35">
        <f t="shared" ref="H7034:H7094" si="213">SUM(G7034:G7034)</f>
        <v>12.5115</v>
      </c>
      <c r="I7034" s="36"/>
      <c r="J7034" s="141">
        <v>0</v>
      </c>
    </row>
    <row r="7035" spans="1:10" ht="15.75" hidden="1" thickBot="1" x14ac:dyDescent="0.3">
      <c r="A7035" s="227"/>
      <c r="B7035" s="230"/>
      <c r="C7035" s="51"/>
      <c r="D7035" s="51"/>
      <c r="E7035" s="62"/>
      <c r="F7035" s="63" t="s">
        <v>523</v>
      </c>
      <c r="G7035" s="63" t="str">
        <f t="shared" si="206"/>
        <v/>
      </c>
      <c r="H7035" s="65"/>
      <c r="I7035" s="27"/>
      <c r="J7035" s="141">
        <v>0</v>
      </c>
    </row>
    <row r="7036" spans="1:10" ht="15.75" hidden="1" thickBot="1" x14ac:dyDescent="0.3">
      <c r="A7036" s="225" t="s">
        <v>7368</v>
      </c>
      <c r="B7036" s="228" t="str">
        <f>INDEX(Orçamentária!A:B,MATCH(Composições!A7036,Orçamentária!A:A,0),2)</f>
        <v>União CPVC 28mm– Linha Residencial</v>
      </c>
      <c r="C7036" s="37"/>
      <c r="D7036" s="22" t="str">
        <f>TRIM(INDEX(Orçamentária!C:C,MATCH(Composições!A7036,Orçamentária!A:A,0),1))</f>
        <v>un</v>
      </c>
      <c r="E7036" s="23"/>
      <c r="F7036" s="38" t="s">
        <v>523</v>
      </c>
      <c r="G7036" s="24" t="str">
        <f t="shared" si="206"/>
        <v/>
      </c>
      <c r="H7036" s="25"/>
      <c r="I7036" s="26"/>
      <c r="J7036" s="141">
        <v>0</v>
      </c>
    </row>
    <row r="7037" spans="1:10" ht="15.75" hidden="1" thickBot="1" x14ac:dyDescent="0.3">
      <c r="A7037" s="226"/>
      <c r="B7037" s="229"/>
      <c r="C7037" s="28"/>
      <c r="D7037" s="28"/>
      <c r="E7037" s="29"/>
      <c r="F7037" s="39" t="s">
        <v>523</v>
      </c>
      <c r="G7037" s="27" t="str">
        <f t="shared" si="206"/>
        <v/>
      </c>
      <c r="H7037" s="31"/>
      <c r="I7037" s="27"/>
      <c r="J7037" s="141">
        <v>0</v>
      </c>
    </row>
    <row r="7038" spans="1:10" ht="15.75" hidden="1" thickBot="1" x14ac:dyDescent="0.3">
      <c r="A7038" s="226"/>
      <c r="B7038" s="229"/>
      <c r="C7038" s="161" t="s">
        <v>7702</v>
      </c>
      <c r="D7038" s="43" t="s">
        <v>20</v>
      </c>
      <c r="E7038" s="149">
        <v>1</v>
      </c>
      <c r="F7038" s="27">
        <v>19.788499999999999</v>
      </c>
      <c r="G7038" s="27">
        <f t="shared" si="206"/>
        <v>19.788499999999999</v>
      </c>
      <c r="H7038" s="35">
        <f t="shared" si="213"/>
        <v>19.788499999999999</v>
      </c>
      <c r="I7038" s="36"/>
      <c r="J7038" s="141">
        <v>0</v>
      </c>
    </row>
    <row r="7039" spans="1:10" ht="15.75" hidden="1" thickBot="1" x14ac:dyDescent="0.3">
      <c r="A7039" s="227"/>
      <c r="B7039" s="230"/>
      <c r="C7039" s="51"/>
      <c r="D7039" s="51"/>
      <c r="E7039" s="62"/>
      <c r="F7039" s="63" t="s">
        <v>523</v>
      </c>
      <c r="G7039" s="63" t="str">
        <f t="shared" si="206"/>
        <v/>
      </c>
      <c r="H7039" s="65"/>
      <c r="I7039" s="27"/>
      <c r="J7039" s="141">
        <v>0</v>
      </c>
    </row>
    <row r="7040" spans="1:10" ht="15.75" hidden="1" thickBot="1" x14ac:dyDescent="0.3">
      <c r="A7040" s="225" t="s">
        <v>7370</v>
      </c>
      <c r="B7040" s="228" t="str">
        <f>INDEX(Orçamentária!A:B,MATCH(Composições!A7040,Orçamentária!A:A,0),2)</f>
        <v>União com assento cônico aço-carbono galvanizado 1 1/2” – Água Potável e Combate a Incêndio</v>
      </c>
      <c r="C7040" s="37"/>
      <c r="D7040" s="22" t="str">
        <f>TRIM(INDEX(Orçamentária!C:C,MATCH(Composições!A7040,Orçamentária!A:A,0),1))</f>
        <v>un</v>
      </c>
      <c r="E7040" s="23"/>
      <c r="F7040" s="38" t="s">
        <v>523</v>
      </c>
      <c r="G7040" s="24" t="str">
        <f t="shared" si="206"/>
        <v/>
      </c>
      <c r="H7040" s="25"/>
      <c r="I7040" s="26"/>
      <c r="J7040" s="141">
        <v>0</v>
      </c>
    </row>
    <row r="7041" spans="1:10" ht="15.75" hidden="1" thickBot="1" x14ac:dyDescent="0.3">
      <c r="A7041" s="226"/>
      <c r="B7041" s="229"/>
      <c r="C7041" s="28"/>
      <c r="D7041" s="28"/>
      <c r="E7041" s="29"/>
      <c r="F7041" s="39" t="s">
        <v>523</v>
      </c>
      <c r="G7041" s="27" t="str">
        <f t="shared" si="206"/>
        <v/>
      </c>
      <c r="H7041" s="31"/>
      <c r="I7041" s="27"/>
      <c r="J7041" s="141">
        <v>0</v>
      </c>
    </row>
    <row r="7042" spans="1:10" ht="26.25" hidden="1" thickBot="1" x14ac:dyDescent="0.3">
      <c r="A7042" s="226"/>
      <c r="B7042" s="229"/>
      <c r="C7042" s="161" t="s">
        <v>7696</v>
      </c>
      <c r="D7042" s="43" t="s">
        <v>20</v>
      </c>
      <c r="E7042" s="149">
        <v>1</v>
      </c>
      <c r="F7042" s="27">
        <v>68.989000000000004</v>
      </c>
      <c r="G7042" s="27">
        <f t="shared" si="206"/>
        <v>68.989000000000004</v>
      </c>
      <c r="H7042" s="35">
        <f t="shared" si="213"/>
        <v>68.989000000000004</v>
      </c>
      <c r="I7042" s="36"/>
      <c r="J7042" s="141">
        <v>0</v>
      </c>
    </row>
    <row r="7043" spans="1:10" ht="15.75" hidden="1" thickBot="1" x14ac:dyDescent="0.3">
      <c r="A7043" s="227"/>
      <c r="B7043" s="230"/>
      <c r="C7043" s="51"/>
      <c r="D7043" s="51"/>
      <c r="E7043" s="62"/>
      <c r="F7043" s="63" t="s">
        <v>523</v>
      </c>
      <c r="G7043" s="63" t="str">
        <f t="shared" si="206"/>
        <v/>
      </c>
      <c r="H7043" s="65"/>
      <c r="I7043" s="27"/>
      <c r="J7043" s="141">
        <v>0</v>
      </c>
    </row>
    <row r="7044" spans="1:10" ht="15.75" hidden="1" thickBot="1" x14ac:dyDescent="0.3">
      <c r="A7044" s="225" t="s">
        <v>7372</v>
      </c>
      <c r="B7044" s="228" t="str">
        <f>INDEX(Orçamentária!A:B,MATCH(Composições!A7044,Orçamentária!A:A,0),2)</f>
        <v>União com assento cônico aço-carbono galvanizado 1 1/4” – Água Potável e Combate a Incêndio</v>
      </c>
      <c r="C7044" s="37"/>
      <c r="D7044" s="22" t="str">
        <f>TRIM(INDEX(Orçamentária!C:C,MATCH(Composições!A7044,Orçamentária!A:A,0),1))</f>
        <v>un</v>
      </c>
      <c r="E7044" s="23"/>
      <c r="F7044" s="38" t="s">
        <v>523</v>
      </c>
      <c r="G7044" s="24" t="str">
        <f t="shared" si="206"/>
        <v/>
      </c>
      <c r="H7044" s="25"/>
      <c r="I7044" s="26"/>
      <c r="J7044" s="141">
        <v>0</v>
      </c>
    </row>
    <row r="7045" spans="1:10" ht="15.75" hidden="1" thickBot="1" x14ac:dyDescent="0.3">
      <c r="A7045" s="226"/>
      <c r="B7045" s="229"/>
      <c r="C7045" s="28"/>
      <c r="D7045" s="28"/>
      <c r="E7045" s="29"/>
      <c r="F7045" s="39" t="s">
        <v>523</v>
      </c>
      <c r="G7045" s="27" t="str">
        <f t="shared" si="206"/>
        <v/>
      </c>
      <c r="H7045" s="31"/>
      <c r="I7045" s="27"/>
      <c r="J7045" s="141">
        <v>0</v>
      </c>
    </row>
    <row r="7046" spans="1:10" ht="26.25" hidden="1" thickBot="1" x14ac:dyDescent="0.3">
      <c r="A7046" s="226"/>
      <c r="B7046" s="229"/>
      <c r="C7046" s="161" t="s">
        <v>7695</v>
      </c>
      <c r="D7046" s="43" t="s">
        <v>20</v>
      </c>
      <c r="E7046" s="149">
        <v>1</v>
      </c>
      <c r="F7046" s="27">
        <v>92.482499999999987</v>
      </c>
      <c r="G7046" s="27">
        <f t="shared" si="206"/>
        <v>92.482499999999987</v>
      </c>
      <c r="H7046" s="35">
        <f t="shared" si="213"/>
        <v>92.482499999999987</v>
      </c>
      <c r="I7046" s="36"/>
      <c r="J7046" s="141">
        <v>0</v>
      </c>
    </row>
    <row r="7047" spans="1:10" ht="15.75" hidden="1" thickBot="1" x14ac:dyDescent="0.3">
      <c r="A7047" s="227"/>
      <c r="B7047" s="230"/>
      <c r="C7047" s="51"/>
      <c r="D7047" s="51"/>
      <c r="E7047" s="62"/>
      <c r="F7047" s="63" t="s">
        <v>523</v>
      </c>
      <c r="G7047" s="63" t="str">
        <f t="shared" si="206"/>
        <v/>
      </c>
      <c r="H7047" s="65"/>
      <c r="I7047" s="27"/>
      <c r="J7047" s="141">
        <v>0</v>
      </c>
    </row>
    <row r="7048" spans="1:10" ht="15.75" hidden="1" thickBot="1" x14ac:dyDescent="0.3">
      <c r="A7048" s="225" t="s">
        <v>7374</v>
      </c>
      <c r="B7048" s="228" t="str">
        <f>INDEX(Orçamentária!A:B,MATCH(Composições!A7048,Orçamentária!A:A,0),2)</f>
        <v>União com assento cônico aço-carbono galvanizado 2” – Água Potável e Combate a Incêndio</v>
      </c>
      <c r="C7048" s="37"/>
      <c r="D7048" s="22" t="str">
        <f>TRIM(INDEX(Orçamentária!C:C,MATCH(Composições!A7048,Orçamentária!A:A,0),1))</f>
        <v>un</v>
      </c>
      <c r="E7048" s="23"/>
      <c r="F7048" s="38" t="s">
        <v>523</v>
      </c>
      <c r="G7048" s="24" t="str">
        <f t="shared" si="206"/>
        <v/>
      </c>
      <c r="H7048" s="25"/>
      <c r="I7048" s="26"/>
      <c r="J7048" s="141">
        <v>0</v>
      </c>
    </row>
    <row r="7049" spans="1:10" ht="15.75" hidden="1" thickBot="1" x14ac:dyDescent="0.3">
      <c r="A7049" s="226"/>
      <c r="B7049" s="229"/>
      <c r="C7049" s="28"/>
      <c r="D7049" s="28"/>
      <c r="E7049" s="29"/>
      <c r="F7049" s="39" t="s">
        <v>523</v>
      </c>
      <c r="G7049" s="27" t="str">
        <f t="shared" si="206"/>
        <v/>
      </c>
      <c r="H7049" s="31"/>
      <c r="I7049" s="27"/>
      <c r="J7049" s="141">
        <v>0</v>
      </c>
    </row>
    <row r="7050" spans="1:10" ht="26.25" hidden="1" thickBot="1" x14ac:dyDescent="0.3">
      <c r="A7050" s="226"/>
      <c r="B7050" s="229"/>
      <c r="C7050" s="161" t="s">
        <v>7698</v>
      </c>
      <c r="D7050" s="43" t="s">
        <v>20</v>
      </c>
      <c r="E7050" s="149">
        <v>1</v>
      </c>
      <c r="F7050" s="27">
        <v>101.441</v>
      </c>
      <c r="G7050" s="27">
        <f t="shared" si="206"/>
        <v>101.441</v>
      </c>
      <c r="H7050" s="35">
        <f t="shared" si="213"/>
        <v>101.441</v>
      </c>
      <c r="I7050" s="36"/>
      <c r="J7050" s="141">
        <v>0</v>
      </c>
    </row>
    <row r="7051" spans="1:10" ht="15.75" hidden="1" thickBot="1" x14ac:dyDescent="0.3">
      <c r="A7051" s="227"/>
      <c r="B7051" s="230"/>
      <c r="C7051" s="51"/>
      <c r="D7051" s="51"/>
      <c r="E7051" s="62"/>
      <c r="F7051" s="63" t="s">
        <v>523</v>
      </c>
      <c r="G7051" s="63" t="str">
        <f t="shared" si="206"/>
        <v/>
      </c>
      <c r="H7051" s="65"/>
      <c r="I7051" s="27"/>
      <c r="J7051" s="141">
        <v>0</v>
      </c>
    </row>
    <row r="7052" spans="1:10" ht="15.75" hidden="1" thickBot="1" x14ac:dyDescent="0.3">
      <c r="A7052" s="225" t="s">
        <v>7376</v>
      </c>
      <c r="B7052" s="228" t="str">
        <f>INDEX(Orçamentária!A:B,MATCH(Composições!A7052,Orçamentária!A:A,0),2)</f>
        <v>União com assento cônico aço-carbono galvanizado 3” – Água Potável e Combate a Incêndio</v>
      </c>
      <c r="C7052" s="37"/>
      <c r="D7052" s="22" t="str">
        <f>TRIM(INDEX(Orçamentária!C:C,MATCH(Composições!A7052,Orçamentária!A:A,0),1))</f>
        <v>un</v>
      </c>
      <c r="E7052" s="23"/>
      <c r="F7052" s="38" t="s">
        <v>523</v>
      </c>
      <c r="G7052" s="24" t="str">
        <f t="shared" si="206"/>
        <v/>
      </c>
      <c r="H7052" s="25"/>
      <c r="I7052" s="26"/>
      <c r="J7052" s="141">
        <v>0</v>
      </c>
    </row>
    <row r="7053" spans="1:10" ht="15.75" hidden="1" thickBot="1" x14ac:dyDescent="0.3">
      <c r="A7053" s="226"/>
      <c r="B7053" s="229"/>
      <c r="C7053" s="28"/>
      <c r="D7053" s="28"/>
      <c r="E7053" s="29"/>
      <c r="F7053" s="39" t="s">
        <v>523</v>
      </c>
      <c r="G7053" s="27" t="str">
        <f t="shared" si="206"/>
        <v/>
      </c>
      <c r="H7053" s="31"/>
      <c r="I7053" s="27"/>
      <c r="J7053" s="141">
        <v>0</v>
      </c>
    </row>
    <row r="7054" spans="1:10" ht="26.25" hidden="1" thickBot="1" x14ac:dyDescent="0.3">
      <c r="A7054" s="226"/>
      <c r="B7054" s="229"/>
      <c r="C7054" s="161" t="s">
        <v>7699</v>
      </c>
      <c r="D7054" s="43" t="s">
        <v>20</v>
      </c>
      <c r="E7054" s="149">
        <v>1</v>
      </c>
      <c r="F7054" s="27">
        <v>260.01499999999999</v>
      </c>
      <c r="G7054" s="27">
        <f t="shared" si="206"/>
        <v>260.01499999999999</v>
      </c>
      <c r="H7054" s="35">
        <f t="shared" si="213"/>
        <v>260.01499999999999</v>
      </c>
      <c r="I7054" s="36"/>
      <c r="J7054" s="141">
        <v>0</v>
      </c>
    </row>
    <row r="7055" spans="1:10" ht="15.75" hidden="1" thickBot="1" x14ac:dyDescent="0.3">
      <c r="A7055" s="227"/>
      <c r="B7055" s="230"/>
      <c r="C7055" s="51"/>
      <c r="D7055" s="51"/>
      <c r="E7055" s="62"/>
      <c r="F7055" s="63" t="s">
        <v>523</v>
      </c>
      <c r="G7055" s="63" t="str">
        <f t="shared" si="206"/>
        <v/>
      </c>
      <c r="H7055" s="65"/>
      <c r="I7055" s="27"/>
      <c r="J7055" s="141">
        <v>0</v>
      </c>
    </row>
    <row r="7056" spans="1:10" ht="15.75" hidden="1" thickBot="1" x14ac:dyDescent="0.3">
      <c r="A7056" s="225" t="s">
        <v>7378</v>
      </c>
      <c r="B7056" s="228" t="str">
        <f>INDEX(Orçamentária!A:B,MATCH(Composições!A7056,Orçamentária!A:A,0),2)</f>
        <v>União com assento cônico aço-carbono galvanizado 4” – Água Potável e Combate a Incêndio</v>
      </c>
      <c r="C7056" s="37"/>
      <c r="D7056" s="22" t="str">
        <f>TRIM(INDEX(Orçamentária!C:C,MATCH(Composições!A7056,Orçamentária!A:A,0),1))</f>
        <v>un</v>
      </c>
      <c r="E7056" s="23"/>
      <c r="F7056" s="38" t="s">
        <v>523</v>
      </c>
      <c r="G7056" s="24" t="str">
        <f t="shared" si="206"/>
        <v/>
      </c>
      <c r="H7056" s="25"/>
      <c r="I7056" s="26"/>
      <c r="J7056" s="141">
        <v>0</v>
      </c>
    </row>
    <row r="7057" spans="1:10" ht="15.75" hidden="1" thickBot="1" x14ac:dyDescent="0.3">
      <c r="A7057" s="226"/>
      <c r="B7057" s="229"/>
      <c r="C7057" s="28"/>
      <c r="D7057" s="28"/>
      <c r="E7057" s="29"/>
      <c r="F7057" s="39" t="s">
        <v>523</v>
      </c>
      <c r="G7057" s="27" t="str">
        <f t="shared" si="206"/>
        <v/>
      </c>
      <c r="H7057" s="31"/>
      <c r="I7057" s="27"/>
      <c r="J7057" s="141">
        <v>0</v>
      </c>
    </row>
    <row r="7058" spans="1:10" ht="26.25" hidden="1" thickBot="1" x14ac:dyDescent="0.3">
      <c r="A7058" s="226"/>
      <c r="B7058" s="229"/>
      <c r="C7058" s="161" t="s">
        <v>7700</v>
      </c>
      <c r="D7058" s="43" t="s">
        <v>20</v>
      </c>
      <c r="E7058" s="149">
        <v>1</v>
      </c>
      <c r="F7058" s="27">
        <v>365.01850000000002</v>
      </c>
      <c r="G7058" s="27">
        <f t="shared" si="206"/>
        <v>365.01850000000002</v>
      </c>
      <c r="H7058" s="35">
        <f t="shared" si="213"/>
        <v>365.01850000000002</v>
      </c>
      <c r="I7058" s="36"/>
      <c r="J7058" s="141">
        <v>0</v>
      </c>
    </row>
    <row r="7059" spans="1:10" ht="15.75" hidden="1" thickBot="1" x14ac:dyDescent="0.3">
      <c r="A7059" s="227"/>
      <c r="B7059" s="230"/>
      <c r="C7059" s="51"/>
      <c r="D7059" s="51"/>
      <c r="E7059" s="62"/>
      <c r="F7059" s="63" t="s">
        <v>523</v>
      </c>
      <c r="G7059" s="63" t="str">
        <f t="shared" si="206"/>
        <v/>
      </c>
      <c r="H7059" s="65"/>
      <c r="I7059" s="27"/>
      <c r="J7059" s="141">
        <v>0</v>
      </c>
    </row>
    <row r="7060" spans="1:10" ht="15.75" hidden="1" thickBot="1" x14ac:dyDescent="0.3">
      <c r="A7060" s="225" t="s">
        <v>7380</v>
      </c>
      <c r="B7060" s="228" t="str">
        <f>INDEX(Orçamentária!A:B,MATCH(Composições!A7060,Orçamentária!A:A,0),2)</f>
        <v>União com assento cônico aço-carbono galvanizado 1” – Água Potável e Combate a Incêndio</v>
      </c>
      <c r="C7060" s="37"/>
      <c r="D7060" s="22" t="str">
        <f>TRIM(INDEX(Orçamentária!C:C,MATCH(Composições!A7060,Orçamentária!A:A,0),1))</f>
        <v>un</v>
      </c>
      <c r="E7060" s="23"/>
      <c r="F7060" s="38" t="s">
        <v>523</v>
      </c>
      <c r="G7060" s="24" t="str">
        <f t="shared" si="206"/>
        <v/>
      </c>
      <c r="H7060" s="25"/>
      <c r="I7060" s="26"/>
      <c r="J7060" s="141">
        <v>0</v>
      </c>
    </row>
    <row r="7061" spans="1:10" ht="15.75" hidden="1" thickBot="1" x14ac:dyDescent="0.3">
      <c r="A7061" s="226"/>
      <c r="B7061" s="229"/>
      <c r="C7061" s="28"/>
      <c r="D7061" s="28"/>
      <c r="E7061" s="29"/>
      <c r="F7061" s="39" t="s">
        <v>523</v>
      </c>
      <c r="G7061" s="27" t="str">
        <f t="shared" si="206"/>
        <v/>
      </c>
      <c r="H7061" s="31"/>
      <c r="I7061" s="27"/>
      <c r="J7061" s="141">
        <v>0</v>
      </c>
    </row>
    <row r="7062" spans="1:10" ht="26.25" hidden="1" thickBot="1" x14ac:dyDescent="0.3">
      <c r="A7062" s="226"/>
      <c r="B7062" s="229"/>
      <c r="C7062" s="161" t="s">
        <v>1147</v>
      </c>
      <c r="D7062" s="43" t="s">
        <v>20</v>
      </c>
      <c r="E7062" s="149">
        <v>1</v>
      </c>
      <c r="F7062" s="27">
        <v>33.126499999999993</v>
      </c>
      <c r="G7062" s="27">
        <f t="shared" si="206"/>
        <v>33.126499999999993</v>
      </c>
      <c r="H7062" s="35">
        <f t="shared" si="213"/>
        <v>33.126499999999993</v>
      </c>
      <c r="I7062" s="36"/>
      <c r="J7062" s="141">
        <v>0</v>
      </c>
    </row>
    <row r="7063" spans="1:10" ht="15.75" hidden="1" thickBot="1" x14ac:dyDescent="0.3">
      <c r="A7063" s="227"/>
      <c r="B7063" s="230"/>
      <c r="C7063" s="51"/>
      <c r="D7063" s="51"/>
      <c r="E7063" s="62"/>
      <c r="F7063" s="63" t="s">
        <v>523</v>
      </c>
      <c r="G7063" s="63" t="str">
        <f t="shared" si="206"/>
        <v/>
      </c>
      <c r="H7063" s="65"/>
      <c r="I7063" s="27"/>
      <c r="J7063" s="141">
        <v>0</v>
      </c>
    </row>
    <row r="7064" spans="1:10" ht="15.75" hidden="1" thickBot="1" x14ac:dyDescent="0.3">
      <c r="A7064" s="225" t="s">
        <v>7382</v>
      </c>
      <c r="B7064" s="228" t="str">
        <f>INDEX(Orçamentária!A:B,MATCH(Composições!A7064,Orçamentária!A:A,0),2)</f>
        <v>União com assento cônico aço-carbono galvanizado 2 1/2” – Água Potável e Combate a Incêndio</v>
      </c>
      <c r="C7064" s="37"/>
      <c r="D7064" s="22" t="str">
        <f>TRIM(INDEX(Orçamentária!C:C,MATCH(Composições!A7064,Orçamentária!A:A,0),1))</f>
        <v>un</v>
      </c>
      <c r="E7064" s="23"/>
      <c r="F7064" s="38" t="s">
        <v>523</v>
      </c>
      <c r="G7064" s="24" t="str">
        <f t="shared" si="206"/>
        <v/>
      </c>
      <c r="H7064" s="25"/>
      <c r="I7064" s="26"/>
      <c r="J7064" s="141">
        <v>0</v>
      </c>
    </row>
    <row r="7065" spans="1:10" ht="15.75" hidden="1" thickBot="1" x14ac:dyDescent="0.3">
      <c r="A7065" s="226"/>
      <c r="B7065" s="229"/>
      <c r="C7065" s="28"/>
      <c r="D7065" s="28"/>
      <c r="E7065" s="29"/>
      <c r="F7065" s="39" t="s">
        <v>523</v>
      </c>
      <c r="G7065" s="27" t="str">
        <f t="shared" si="206"/>
        <v/>
      </c>
      <c r="H7065" s="31"/>
      <c r="I7065" s="27"/>
      <c r="J7065" s="141">
        <v>0</v>
      </c>
    </row>
    <row r="7066" spans="1:10" ht="26.25" hidden="1" thickBot="1" x14ac:dyDescent="0.3">
      <c r="A7066" s="226"/>
      <c r="B7066" s="229"/>
      <c r="C7066" s="161" t="s">
        <v>7697</v>
      </c>
      <c r="D7066" s="43" t="s">
        <v>20</v>
      </c>
      <c r="E7066" s="149">
        <v>1</v>
      </c>
      <c r="F7066" s="27">
        <v>167.83649999999997</v>
      </c>
      <c r="G7066" s="27">
        <f t="shared" si="206"/>
        <v>167.83649999999997</v>
      </c>
      <c r="H7066" s="35">
        <f t="shared" si="213"/>
        <v>167.83649999999997</v>
      </c>
      <c r="I7066" s="36"/>
      <c r="J7066" s="141">
        <v>0</v>
      </c>
    </row>
    <row r="7067" spans="1:10" ht="15.75" hidden="1" thickBot="1" x14ac:dyDescent="0.3">
      <c r="A7067" s="227"/>
      <c r="B7067" s="230"/>
      <c r="C7067" s="51"/>
      <c r="D7067" s="51"/>
      <c r="E7067" s="62"/>
      <c r="F7067" s="63" t="s">
        <v>523</v>
      </c>
      <c r="G7067" s="63" t="str">
        <f t="shared" si="206"/>
        <v/>
      </c>
      <c r="H7067" s="65"/>
      <c r="I7067" s="27"/>
      <c r="J7067" s="141">
        <v>0</v>
      </c>
    </row>
    <row r="7068" spans="1:10" ht="15.75" hidden="1" thickBot="1" x14ac:dyDescent="0.3">
      <c r="A7068" s="225" t="s">
        <v>7384</v>
      </c>
      <c r="B7068" s="228" t="str">
        <f>INDEX(Orçamentária!A:B,MATCH(Composições!A7068,Orçamentária!A:A,0),2)</f>
        <v>Tê 90° em aço-carbono galvanizado 1 1/2” – Água Potável e Combate a Incêndio</v>
      </c>
      <c r="C7068" s="37"/>
      <c r="D7068" s="22" t="str">
        <f>TRIM(INDEX(Orçamentária!C:C,MATCH(Composições!A7068,Orçamentária!A:A,0),1))</f>
        <v>un</v>
      </c>
      <c r="E7068" s="23"/>
      <c r="F7068" s="38" t="s">
        <v>523</v>
      </c>
      <c r="G7068" s="24" t="str">
        <f t="shared" si="206"/>
        <v/>
      </c>
      <c r="H7068" s="25"/>
      <c r="I7068" s="26"/>
      <c r="J7068" s="141">
        <v>0</v>
      </c>
    </row>
    <row r="7069" spans="1:10" ht="15.75" hidden="1" thickBot="1" x14ac:dyDescent="0.3">
      <c r="A7069" s="226"/>
      <c r="B7069" s="229"/>
      <c r="C7069" s="28"/>
      <c r="D7069" s="28"/>
      <c r="E7069" s="29"/>
      <c r="F7069" s="39" t="s">
        <v>523</v>
      </c>
      <c r="G7069" s="27" t="str">
        <f t="shared" si="206"/>
        <v/>
      </c>
      <c r="H7069" s="31"/>
      <c r="I7069" s="27"/>
      <c r="J7069" s="141">
        <v>0</v>
      </c>
    </row>
    <row r="7070" spans="1:10" ht="15.75" hidden="1" thickBot="1" x14ac:dyDescent="0.3">
      <c r="A7070" s="226"/>
      <c r="B7070" s="229"/>
      <c r="C7070" s="161" t="s">
        <v>7658</v>
      </c>
      <c r="D7070" s="43" t="s">
        <v>20</v>
      </c>
      <c r="E7070" s="149">
        <v>1</v>
      </c>
      <c r="F7070" s="27">
        <v>41.714499999999994</v>
      </c>
      <c r="G7070" s="27">
        <f t="shared" si="206"/>
        <v>41.714499999999994</v>
      </c>
      <c r="H7070" s="35">
        <f t="shared" si="213"/>
        <v>41.714499999999994</v>
      </c>
      <c r="I7070" s="36"/>
      <c r="J7070" s="141">
        <v>0</v>
      </c>
    </row>
    <row r="7071" spans="1:10" ht="15.75" hidden="1" thickBot="1" x14ac:dyDescent="0.3">
      <c r="A7071" s="227"/>
      <c r="B7071" s="230"/>
      <c r="C7071" s="51"/>
      <c r="D7071" s="51"/>
      <c r="E7071" s="62"/>
      <c r="F7071" s="63" t="s">
        <v>523</v>
      </c>
      <c r="G7071" s="63" t="str">
        <f t="shared" si="206"/>
        <v/>
      </c>
      <c r="H7071" s="65"/>
      <c r="I7071" s="27"/>
      <c r="J7071" s="141">
        <v>0</v>
      </c>
    </row>
    <row r="7072" spans="1:10" ht="15.75" hidden="1" thickBot="1" x14ac:dyDescent="0.3">
      <c r="A7072" s="225" t="s">
        <v>7386</v>
      </c>
      <c r="B7072" s="228" t="str">
        <f>INDEX(Orçamentária!A:B,MATCH(Composições!A7072,Orçamentária!A:A,0),2)</f>
        <v>Tê 90° em aço-carbono galvanizado 1/2” – Água Potável e Combate a Incêndio</v>
      </c>
      <c r="C7072" s="37"/>
      <c r="D7072" s="22" t="str">
        <f>TRIM(INDEX(Orçamentária!C:C,MATCH(Composições!A7072,Orçamentária!A:A,0),1))</f>
        <v>un</v>
      </c>
      <c r="E7072" s="23"/>
      <c r="F7072" s="38" t="s">
        <v>523</v>
      </c>
      <c r="G7072" s="24" t="str">
        <f t="shared" si="206"/>
        <v/>
      </c>
      <c r="H7072" s="25"/>
      <c r="I7072" s="26"/>
      <c r="J7072" s="141">
        <v>0</v>
      </c>
    </row>
    <row r="7073" spans="1:10" ht="15.75" hidden="1" thickBot="1" x14ac:dyDescent="0.3">
      <c r="A7073" s="226"/>
      <c r="B7073" s="229"/>
      <c r="C7073" s="28"/>
      <c r="D7073" s="28"/>
      <c r="E7073" s="29"/>
      <c r="F7073" s="39" t="s">
        <v>523</v>
      </c>
      <c r="G7073" s="27" t="str">
        <f t="shared" si="206"/>
        <v/>
      </c>
      <c r="H7073" s="31"/>
      <c r="I7073" s="27"/>
      <c r="J7073" s="141">
        <v>0</v>
      </c>
    </row>
    <row r="7074" spans="1:10" ht="15.75" hidden="1" thickBot="1" x14ac:dyDescent="0.3">
      <c r="A7074" s="226"/>
      <c r="B7074" s="229"/>
      <c r="C7074" s="161" t="s">
        <v>7659</v>
      </c>
      <c r="D7074" s="43" t="s">
        <v>20</v>
      </c>
      <c r="E7074" s="149">
        <v>1</v>
      </c>
      <c r="F7074" s="27">
        <v>9.386000000000001</v>
      </c>
      <c r="G7074" s="27">
        <f t="shared" ref="G7074:G7137" si="214">IF(ISNUMBER(F7074),E7074*F7074,"")</f>
        <v>9.386000000000001</v>
      </c>
      <c r="H7074" s="35">
        <f t="shared" si="213"/>
        <v>9.386000000000001</v>
      </c>
      <c r="I7074" s="36"/>
      <c r="J7074" s="141">
        <v>0</v>
      </c>
    </row>
    <row r="7075" spans="1:10" ht="15.75" hidden="1" thickBot="1" x14ac:dyDescent="0.3">
      <c r="A7075" s="227"/>
      <c r="B7075" s="230"/>
      <c r="C7075" s="51"/>
      <c r="D7075" s="51"/>
      <c r="E7075" s="62"/>
      <c r="F7075" s="63" t="s">
        <v>523</v>
      </c>
      <c r="G7075" s="63" t="str">
        <f t="shared" si="214"/>
        <v/>
      </c>
      <c r="H7075" s="65"/>
      <c r="I7075" s="27"/>
      <c r="J7075" s="141">
        <v>0</v>
      </c>
    </row>
    <row r="7076" spans="1:10" ht="15.75" hidden="1" thickBot="1" x14ac:dyDescent="0.3">
      <c r="A7076" s="225" t="s">
        <v>7388</v>
      </c>
      <c r="B7076" s="228" t="str">
        <f>INDEX(Orçamentária!A:B,MATCH(Composições!A7076,Orçamentária!A:A,0),2)</f>
        <v>Tê 90° em aço-carbono galvanizado 2 1/2” – Água Potável e Combate a Incêndio</v>
      </c>
      <c r="C7076" s="37"/>
      <c r="D7076" s="22" t="str">
        <f>TRIM(INDEX(Orçamentária!C:C,MATCH(Composições!A7076,Orçamentária!A:A,0),1))</f>
        <v>un</v>
      </c>
      <c r="E7076" s="23"/>
      <c r="F7076" s="38" t="s">
        <v>523</v>
      </c>
      <c r="G7076" s="24" t="str">
        <f t="shared" si="214"/>
        <v/>
      </c>
      <c r="H7076" s="25"/>
      <c r="I7076" s="26"/>
      <c r="J7076" s="141">
        <v>0</v>
      </c>
    </row>
    <row r="7077" spans="1:10" ht="15.75" hidden="1" thickBot="1" x14ac:dyDescent="0.3">
      <c r="A7077" s="226"/>
      <c r="B7077" s="229"/>
      <c r="C7077" s="28"/>
      <c r="D7077" s="28"/>
      <c r="E7077" s="29"/>
      <c r="F7077" s="39" t="s">
        <v>523</v>
      </c>
      <c r="G7077" s="27" t="str">
        <f t="shared" si="214"/>
        <v/>
      </c>
      <c r="H7077" s="31"/>
      <c r="I7077" s="27"/>
      <c r="J7077" s="141">
        <v>0</v>
      </c>
    </row>
    <row r="7078" spans="1:10" ht="15.75" hidden="1" thickBot="1" x14ac:dyDescent="0.3">
      <c r="A7078" s="226"/>
      <c r="B7078" s="229"/>
      <c r="C7078" s="161" t="s">
        <v>7660</v>
      </c>
      <c r="D7078" s="43" t="s">
        <v>20</v>
      </c>
      <c r="E7078" s="149">
        <v>1</v>
      </c>
      <c r="F7078" s="27">
        <v>125.45699999999999</v>
      </c>
      <c r="G7078" s="27">
        <f t="shared" si="214"/>
        <v>125.45699999999999</v>
      </c>
      <c r="H7078" s="35">
        <f t="shared" si="213"/>
        <v>125.45699999999999</v>
      </c>
      <c r="I7078" s="36"/>
      <c r="J7078" s="141">
        <v>0</v>
      </c>
    </row>
    <row r="7079" spans="1:10" ht="15.75" hidden="1" thickBot="1" x14ac:dyDescent="0.3">
      <c r="A7079" s="227"/>
      <c r="B7079" s="230"/>
      <c r="C7079" s="51"/>
      <c r="D7079" s="51"/>
      <c r="E7079" s="62"/>
      <c r="F7079" s="63" t="s">
        <v>523</v>
      </c>
      <c r="G7079" s="63" t="str">
        <f t="shared" si="214"/>
        <v/>
      </c>
      <c r="H7079" s="65"/>
      <c r="I7079" s="27"/>
      <c r="J7079" s="141">
        <v>0</v>
      </c>
    </row>
    <row r="7080" spans="1:10" ht="15.75" hidden="1" thickBot="1" x14ac:dyDescent="0.3">
      <c r="A7080" s="225" t="s">
        <v>7390</v>
      </c>
      <c r="B7080" s="228" t="str">
        <f>INDEX(Orçamentária!A:B,MATCH(Composições!A7080,Orçamentária!A:A,0),2)</f>
        <v>Tê 90° em aço-carbono galvanizado 2” – Água Potável e Combate a Incêndio</v>
      </c>
      <c r="C7080" s="37"/>
      <c r="D7080" s="22" t="str">
        <f>TRIM(INDEX(Orçamentária!C:C,MATCH(Composições!A7080,Orçamentária!A:A,0),1))</f>
        <v>un</v>
      </c>
      <c r="E7080" s="23"/>
      <c r="F7080" s="38" t="s">
        <v>523</v>
      </c>
      <c r="G7080" s="24" t="str">
        <f t="shared" si="214"/>
        <v/>
      </c>
      <c r="H7080" s="25"/>
      <c r="I7080" s="26"/>
      <c r="J7080" s="141">
        <v>0</v>
      </c>
    </row>
    <row r="7081" spans="1:10" ht="15.75" hidden="1" thickBot="1" x14ac:dyDescent="0.3">
      <c r="A7081" s="226"/>
      <c r="B7081" s="229"/>
      <c r="C7081" s="28"/>
      <c r="D7081" s="28"/>
      <c r="E7081" s="29"/>
      <c r="F7081" s="39" t="s">
        <v>523</v>
      </c>
      <c r="G7081" s="27" t="str">
        <f t="shared" si="214"/>
        <v/>
      </c>
      <c r="H7081" s="31"/>
      <c r="I7081" s="27"/>
      <c r="J7081" s="141">
        <v>0</v>
      </c>
    </row>
    <row r="7082" spans="1:10" ht="15.75" hidden="1" thickBot="1" x14ac:dyDescent="0.3">
      <c r="A7082" s="226"/>
      <c r="B7082" s="229"/>
      <c r="C7082" s="161" t="s">
        <v>7661</v>
      </c>
      <c r="D7082" s="43" t="s">
        <v>20</v>
      </c>
      <c r="E7082" s="149">
        <v>1</v>
      </c>
      <c r="F7082" s="27">
        <v>66.072499999999991</v>
      </c>
      <c r="G7082" s="27">
        <f t="shared" si="214"/>
        <v>66.072499999999991</v>
      </c>
      <c r="H7082" s="35">
        <f t="shared" si="213"/>
        <v>66.072499999999991</v>
      </c>
      <c r="I7082" s="36"/>
      <c r="J7082" s="141">
        <v>0</v>
      </c>
    </row>
    <row r="7083" spans="1:10" ht="15.75" hidden="1" thickBot="1" x14ac:dyDescent="0.3">
      <c r="A7083" s="227"/>
      <c r="B7083" s="230"/>
      <c r="C7083" s="51"/>
      <c r="D7083" s="51"/>
      <c r="E7083" s="62"/>
      <c r="F7083" s="63" t="s">
        <v>523</v>
      </c>
      <c r="G7083" s="63" t="str">
        <f t="shared" si="214"/>
        <v/>
      </c>
      <c r="H7083" s="65"/>
      <c r="I7083" s="27"/>
      <c r="J7083" s="141">
        <v>0</v>
      </c>
    </row>
    <row r="7084" spans="1:10" ht="15.75" hidden="1" thickBot="1" x14ac:dyDescent="0.3">
      <c r="A7084" s="225" t="s">
        <v>7392</v>
      </c>
      <c r="B7084" s="228" t="str">
        <f>INDEX(Orçamentária!A:B,MATCH(Composições!A7084,Orçamentária!A:A,0),2)</f>
        <v>Tê de redução em aço-carbono galvanizado 2”x1 1/2” – Água Potável e Combate a Incêndio</v>
      </c>
      <c r="C7084" s="37"/>
      <c r="D7084" s="22" t="str">
        <f>TRIM(INDEX(Orçamentária!C:C,MATCH(Composições!A7084,Orçamentária!A:A,0),1))</f>
        <v>un</v>
      </c>
      <c r="E7084" s="23"/>
      <c r="F7084" s="38" t="s">
        <v>523</v>
      </c>
      <c r="G7084" s="24" t="str">
        <f t="shared" si="214"/>
        <v/>
      </c>
      <c r="H7084" s="25"/>
      <c r="I7084" s="26"/>
      <c r="J7084" s="141">
        <v>0</v>
      </c>
    </row>
    <row r="7085" spans="1:10" ht="15.75" hidden="1" thickBot="1" x14ac:dyDescent="0.3">
      <c r="A7085" s="226"/>
      <c r="B7085" s="229"/>
      <c r="C7085" s="28"/>
      <c r="D7085" s="28"/>
      <c r="E7085" s="29"/>
      <c r="F7085" s="39" t="s">
        <v>523</v>
      </c>
      <c r="G7085" s="27" t="str">
        <f t="shared" si="214"/>
        <v/>
      </c>
      <c r="H7085" s="31"/>
      <c r="I7085" s="27"/>
      <c r="J7085" s="141">
        <v>0</v>
      </c>
    </row>
    <row r="7086" spans="1:10" ht="26.25" hidden="1" thickBot="1" x14ac:dyDescent="0.3">
      <c r="A7086" s="226"/>
      <c r="B7086" s="229"/>
      <c r="C7086" s="161" t="s">
        <v>7662</v>
      </c>
      <c r="D7086" s="43" t="s">
        <v>20</v>
      </c>
      <c r="E7086" s="149">
        <v>1</v>
      </c>
      <c r="F7086" s="27">
        <v>73.140499999999989</v>
      </c>
      <c r="G7086" s="27">
        <f t="shared" si="214"/>
        <v>73.140499999999989</v>
      </c>
      <c r="H7086" s="35">
        <f t="shared" si="213"/>
        <v>73.140499999999989</v>
      </c>
      <c r="I7086" s="36"/>
      <c r="J7086" s="141">
        <v>0</v>
      </c>
    </row>
    <row r="7087" spans="1:10" ht="15.75" hidden="1" thickBot="1" x14ac:dyDescent="0.3">
      <c r="A7087" s="227"/>
      <c r="B7087" s="230"/>
      <c r="C7087" s="51"/>
      <c r="D7087" s="51"/>
      <c r="E7087" s="62"/>
      <c r="F7087" s="63" t="s">
        <v>523</v>
      </c>
      <c r="G7087" s="63" t="str">
        <f t="shared" si="214"/>
        <v/>
      </c>
      <c r="H7087" s="65"/>
      <c r="I7087" s="27"/>
      <c r="J7087" s="141">
        <v>0</v>
      </c>
    </row>
    <row r="7088" spans="1:10" ht="15.75" hidden="1" thickBot="1" x14ac:dyDescent="0.3">
      <c r="A7088" s="225" t="s">
        <v>7394</v>
      </c>
      <c r="B7088" s="228" t="str">
        <f>INDEX(Orçamentária!A:B,MATCH(Composições!A7088,Orçamentária!A:A,0),2)</f>
        <v>Tê 90° CPVC 22mm – Linha Residencial</v>
      </c>
      <c r="C7088" s="37"/>
      <c r="D7088" s="22" t="str">
        <f>TRIM(INDEX(Orçamentária!C:C,MATCH(Composições!A7088,Orçamentária!A:A,0),1))</f>
        <v>un</v>
      </c>
      <c r="E7088" s="23"/>
      <c r="F7088" s="38" t="s">
        <v>523</v>
      </c>
      <c r="G7088" s="24" t="str">
        <f t="shared" si="214"/>
        <v/>
      </c>
      <c r="H7088" s="25"/>
      <c r="I7088" s="26"/>
      <c r="J7088" s="141">
        <v>0</v>
      </c>
    </row>
    <row r="7089" spans="1:10" ht="15.75" hidden="1" thickBot="1" x14ac:dyDescent="0.3">
      <c r="A7089" s="226"/>
      <c r="B7089" s="229"/>
      <c r="C7089" s="28"/>
      <c r="D7089" s="28"/>
      <c r="E7089" s="29"/>
      <c r="F7089" s="39" t="s">
        <v>523</v>
      </c>
      <c r="G7089" s="27" t="str">
        <f t="shared" si="214"/>
        <v/>
      </c>
      <c r="H7089" s="31"/>
      <c r="I7089" s="27"/>
      <c r="J7089" s="141">
        <v>0</v>
      </c>
    </row>
    <row r="7090" spans="1:10" ht="26.25" hidden="1" thickBot="1" x14ac:dyDescent="0.3">
      <c r="A7090" s="226"/>
      <c r="B7090" s="229"/>
      <c r="C7090" s="161" t="s">
        <v>7655</v>
      </c>
      <c r="D7090" s="43" t="s">
        <v>20</v>
      </c>
      <c r="E7090" s="149">
        <v>1</v>
      </c>
      <c r="F7090" s="27">
        <v>4.9114999999999993</v>
      </c>
      <c r="G7090" s="27">
        <f t="shared" si="214"/>
        <v>4.9114999999999993</v>
      </c>
      <c r="H7090" s="35">
        <f t="shared" si="213"/>
        <v>4.9114999999999993</v>
      </c>
      <c r="I7090" s="36"/>
      <c r="J7090" s="141">
        <v>0</v>
      </c>
    </row>
    <row r="7091" spans="1:10" ht="15.75" hidden="1" thickBot="1" x14ac:dyDescent="0.3">
      <c r="A7091" s="227"/>
      <c r="B7091" s="230"/>
      <c r="C7091" s="51"/>
      <c r="D7091" s="51"/>
      <c r="E7091" s="62"/>
      <c r="F7091" s="63" t="s">
        <v>523</v>
      </c>
      <c r="G7091" s="63" t="str">
        <f t="shared" si="214"/>
        <v/>
      </c>
      <c r="H7091" s="65"/>
      <c r="I7091" s="27"/>
      <c r="J7091" s="141">
        <v>0</v>
      </c>
    </row>
    <row r="7092" spans="1:10" ht="15.75" hidden="1" thickBot="1" x14ac:dyDescent="0.3">
      <c r="A7092" s="225" t="s">
        <v>7396</v>
      </c>
      <c r="B7092" s="228" t="str">
        <f>INDEX(Orçamentária!A:B,MATCH(Composições!A7092,Orçamentária!A:A,0),2)</f>
        <v>Tê 90° CPVC 28mm – Linha Residencial</v>
      </c>
      <c r="C7092" s="37"/>
      <c r="D7092" s="22" t="str">
        <f>TRIM(INDEX(Orçamentária!C:C,MATCH(Composições!A7092,Orçamentária!A:A,0),1))</f>
        <v>un</v>
      </c>
      <c r="E7092" s="23"/>
      <c r="F7092" s="38" t="s">
        <v>523</v>
      </c>
      <c r="G7092" s="24" t="str">
        <f t="shared" si="214"/>
        <v/>
      </c>
      <c r="H7092" s="25"/>
      <c r="I7092" s="26"/>
      <c r="J7092" s="141">
        <v>0</v>
      </c>
    </row>
    <row r="7093" spans="1:10" ht="15.75" hidden="1" thickBot="1" x14ac:dyDescent="0.3">
      <c r="A7093" s="226"/>
      <c r="B7093" s="229"/>
      <c r="C7093" s="28"/>
      <c r="D7093" s="28"/>
      <c r="E7093" s="29"/>
      <c r="F7093" s="39" t="s">
        <v>523</v>
      </c>
      <c r="G7093" s="27" t="str">
        <f t="shared" si="214"/>
        <v/>
      </c>
      <c r="H7093" s="31"/>
      <c r="I7093" s="27"/>
      <c r="J7093" s="141">
        <v>0</v>
      </c>
    </row>
    <row r="7094" spans="1:10" ht="26.25" hidden="1" thickBot="1" x14ac:dyDescent="0.3">
      <c r="A7094" s="226"/>
      <c r="B7094" s="229"/>
      <c r="C7094" s="161" t="s">
        <v>7656</v>
      </c>
      <c r="D7094" s="43" t="s">
        <v>20</v>
      </c>
      <c r="E7094" s="149">
        <v>1</v>
      </c>
      <c r="F7094" s="27">
        <v>9.0724999999999998</v>
      </c>
      <c r="G7094" s="27">
        <f t="shared" si="214"/>
        <v>9.0724999999999998</v>
      </c>
      <c r="H7094" s="35">
        <f t="shared" si="213"/>
        <v>9.0724999999999998</v>
      </c>
      <c r="I7094" s="36"/>
      <c r="J7094" s="141">
        <v>0</v>
      </c>
    </row>
    <row r="7095" spans="1:10" ht="15.75" hidden="1" thickBot="1" x14ac:dyDescent="0.3">
      <c r="A7095" s="227"/>
      <c r="B7095" s="230"/>
      <c r="C7095" s="51"/>
      <c r="D7095" s="51"/>
      <c r="E7095" s="62"/>
      <c r="F7095" s="63" t="s">
        <v>523</v>
      </c>
      <c r="G7095" s="63" t="str">
        <f t="shared" si="214"/>
        <v/>
      </c>
      <c r="H7095" s="65"/>
      <c r="I7095" s="27"/>
      <c r="J7095" s="141">
        <v>0</v>
      </c>
    </row>
    <row r="7096" spans="1:10" ht="15.75" hidden="1" thickBot="1" x14ac:dyDescent="0.3">
      <c r="A7096" s="225" t="s">
        <v>7398</v>
      </c>
      <c r="B7096" s="228" t="str">
        <f>INDEX(Orçamentária!A:B,MATCH(Composições!A7096,Orçamentária!A:A,0),2)</f>
        <v>Luva CPVC 22mm – Linha Residencial</v>
      </c>
      <c r="C7096" s="37"/>
      <c r="D7096" s="22" t="str">
        <f>TRIM(INDEX(Orçamentária!C:C,MATCH(Composições!A7096,Orçamentária!A:A,0),1))</f>
        <v>un</v>
      </c>
      <c r="E7096" s="23"/>
      <c r="F7096" s="38" t="s">
        <v>523</v>
      </c>
      <c r="G7096" s="24" t="str">
        <f t="shared" si="214"/>
        <v/>
      </c>
      <c r="H7096" s="25"/>
      <c r="I7096" s="26"/>
      <c r="J7096" s="141">
        <v>0</v>
      </c>
    </row>
    <row r="7097" spans="1:10" ht="15.75" hidden="1" thickBot="1" x14ac:dyDescent="0.3">
      <c r="A7097" s="226"/>
      <c r="B7097" s="229"/>
      <c r="C7097" s="28"/>
      <c r="D7097" s="28"/>
      <c r="E7097" s="29"/>
      <c r="F7097" s="39" t="s">
        <v>523</v>
      </c>
      <c r="G7097" s="27" t="str">
        <f t="shared" si="214"/>
        <v/>
      </c>
      <c r="H7097" s="31"/>
      <c r="I7097" s="27"/>
      <c r="J7097" s="141">
        <v>0</v>
      </c>
    </row>
    <row r="7098" spans="1:10" ht="15.75" hidden="1" thickBot="1" x14ac:dyDescent="0.3">
      <c r="A7098" s="226"/>
      <c r="B7098" s="229"/>
      <c r="C7098" s="161" t="s">
        <v>7615</v>
      </c>
      <c r="D7098" s="43" t="s">
        <v>20</v>
      </c>
      <c r="E7098" s="149">
        <v>1</v>
      </c>
      <c r="F7098" s="27">
        <v>2.3369999999999997</v>
      </c>
      <c r="G7098" s="27">
        <f t="shared" si="214"/>
        <v>2.3369999999999997</v>
      </c>
      <c r="H7098" s="35">
        <f t="shared" ref="H7098:H7194" si="215">SUM(G7098:G7098)</f>
        <v>2.3369999999999997</v>
      </c>
      <c r="I7098" s="36"/>
      <c r="J7098" s="141">
        <v>0</v>
      </c>
    </row>
    <row r="7099" spans="1:10" ht="15.75" hidden="1" thickBot="1" x14ac:dyDescent="0.3">
      <c r="A7099" s="227"/>
      <c r="B7099" s="230"/>
      <c r="C7099" s="51"/>
      <c r="D7099" s="51"/>
      <c r="E7099" s="62"/>
      <c r="F7099" s="63" t="s">
        <v>523</v>
      </c>
      <c r="G7099" s="63" t="str">
        <f t="shared" si="214"/>
        <v/>
      </c>
      <c r="H7099" s="65"/>
      <c r="I7099" s="27"/>
      <c r="J7099" s="141">
        <v>0</v>
      </c>
    </row>
    <row r="7100" spans="1:10" ht="15.75" hidden="1" thickBot="1" x14ac:dyDescent="0.3">
      <c r="A7100" s="225" t="s">
        <v>7400</v>
      </c>
      <c r="B7100" s="228" t="str">
        <f>INDEX(Orçamentária!A:B,MATCH(Composições!A7100,Orçamentária!A:A,0),2)</f>
        <v>Luva CPVC 28mm– Linha Residencial</v>
      </c>
      <c r="C7100" s="37"/>
      <c r="D7100" s="22" t="str">
        <f>TRIM(INDEX(Orçamentária!C:C,MATCH(Composições!A7100,Orçamentária!A:A,0),1))</f>
        <v>un</v>
      </c>
      <c r="E7100" s="23"/>
      <c r="F7100" s="38" t="s">
        <v>523</v>
      </c>
      <c r="G7100" s="24" t="str">
        <f t="shared" si="214"/>
        <v/>
      </c>
      <c r="H7100" s="25"/>
      <c r="I7100" s="26"/>
      <c r="J7100" s="141">
        <v>0</v>
      </c>
    </row>
    <row r="7101" spans="1:10" ht="15.75" hidden="1" thickBot="1" x14ac:dyDescent="0.3">
      <c r="A7101" s="226"/>
      <c r="B7101" s="229"/>
      <c r="C7101" s="28"/>
      <c r="D7101" s="28"/>
      <c r="E7101" s="29"/>
      <c r="F7101" s="39" t="s">
        <v>523</v>
      </c>
      <c r="G7101" s="27" t="str">
        <f t="shared" si="214"/>
        <v/>
      </c>
      <c r="H7101" s="31"/>
      <c r="I7101" s="27"/>
      <c r="J7101" s="141">
        <v>0</v>
      </c>
    </row>
    <row r="7102" spans="1:10" ht="15.75" hidden="1" thickBot="1" x14ac:dyDescent="0.3">
      <c r="A7102" s="226"/>
      <c r="B7102" s="229"/>
      <c r="C7102" s="161" t="s">
        <v>7616</v>
      </c>
      <c r="D7102" s="43" t="s">
        <v>20</v>
      </c>
      <c r="E7102" s="149">
        <v>1</v>
      </c>
      <c r="F7102" s="27">
        <v>4.75</v>
      </c>
      <c r="G7102" s="27">
        <f t="shared" si="214"/>
        <v>4.75</v>
      </c>
      <c r="H7102" s="35">
        <f t="shared" si="215"/>
        <v>4.75</v>
      </c>
      <c r="I7102" s="36"/>
      <c r="J7102" s="141">
        <v>0</v>
      </c>
    </row>
    <row r="7103" spans="1:10" ht="15.75" hidden="1" thickBot="1" x14ac:dyDescent="0.3">
      <c r="A7103" s="227"/>
      <c r="B7103" s="230"/>
      <c r="C7103" s="51"/>
      <c r="D7103" s="51"/>
      <c r="E7103" s="62"/>
      <c r="F7103" s="63" t="s">
        <v>523</v>
      </c>
      <c r="G7103" s="63" t="str">
        <f t="shared" si="214"/>
        <v/>
      </c>
      <c r="H7103" s="65"/>
      <c r="I7103" s="27"/>
      <c r="J7103" s="141">
        <v>0</v>
      </c>
    </row>
    <row r="7104" spans="1:10" ht="15.75" hidden="1" thickBot="1" x14ac:dyDescent="0.3">
      <c r="A7104" s="225" t="s">
        <v>7402</v>
      </c>
      <c r="B7104" s="228" t="str">
        <f>INDEX(Orçamentária!A:B,MATCH(Composições!A7104,Orçamentária!A:A,0),2)</f>
        <v>Luva PVC roscável para água fria 1 1/2”</v>
      </c>
      <c r="C7104" s="37"/>
      <c r="D7104" s="22" t="str">
        <f>TRIM(INDEX(Orçamentária!C:C,MATCH(Composições!A7104,Orçamentária!A:A,0),1))</f>
        <v>un</v>
      </c>
      <c r="E7104" s="23"/>
      <c r="F7104" s="38" t="s">
        <v>523</v>
      </c>
      <c r="G7104" s="24" t="str">
        <f t="shared" si="214"/>
        <v/>
      </c>
      <c r="H7104" s="25"/>
      <c r="I7104" s="26"/>
      <c r="J7104" s="141">
        <v>0</v>
      </c>
    </row>
    <row r="7105" spans="1:10" ht="15.75" hidden="1" thickBot="1" x14ac:dyDescent="0.3">
      <c r="A7105" s="226"/>
      <c r="B7105" s="229"/>
      <c r="C7105" s="28"/>
      <c r="D7105" s="28"/>
      <c r="E7105" s="29"/>
      <c r="F7105" s="39" t="s">
        <v>523</v>
      </c>
      <c r="G7105" s="27" t="str">
        <f t="shared" si="214"/>
        <v/>
      </c>
      <c r="H7105" s="31"/>
      <c r="I7105" s="27"/>
      <c r="J7105" s="141">
        <v>0</v>
      </c>
    </row>
    <row r="7106" spans="1:10" ht="15.75" hidden="1" thickBot="1" x14ac:dyDescent="0.3">
      <c r="A7106" s="226"/>
      <c r="B7106" s="229"/>
      <c r="C7106" s="161" t="s">
        <v>7742</v>
      </c>
      <c r="D7106" s="43" t="s">
        <v>20</v>
      </c>
      <c r="E7106" s="149">
        <v>1</v>
      </c>
      <c r="F7106" s="27">
        <v>8.7874999999999996</v>
      </c>
      <c r="G7106" s="27">
        <f t="shared" si="214"/>
        <v>8.7874999999999996</v>
      </c>
      <c r="H7106" s="35">
        <f t="shared" si="215"/>
        <v>8.7874999999999996</v>
      </c>
      <c r="I7106" s="36"/>
      <c r="J7106" s="141">
        <v>0</v>
      </c>
    </row>
    <row r="7107" spans="1:10" ht="15.75" hidden="1" thickBot="1" x14ac:dyDescent="0.3">
      <c r="A7107" s="227"/>
      <c r="B7107" s="230"/>
      <c r="C7107" s="51"/>
      <c r="D7107" s="51"/>
      <c r="E7107" s="62"/>
      <c r="F7107" s="63" t="s">
        <v>523</v>
      </c>
      <c r="G7107" s="63" t="str">
        <f t="shared" si="214"/>
        <v/>
      </c>
      <c r="H7107" s="65"/>
      <c r="I7107" s="27"/>
      <c r="J7107" s="141">
        <v>0</v>
      </c>
    </row>
    <row r="7108" spans="1:10" ht="15.75" hidden="1" thickBot="1" x14ac:dyDescent="0.3">
      <c r="A7108" s="225" t="s">
        <v>7404</v>
      </c>
      <c r="B7108" s="228" t="str">
        <f>INDEX(Orçamentária!A:B,MATCH(Composições!A7108,Orçamentária!A:A,0),2)</f>
        <v>Luva PVC roscável para água fria 2”</v>
      </c>
      <c r="C7108" s="37"/>
      <c r="D7108" s="22" t="str">
        <f>TRIM(INDEX(Orçamentária!C:C,MATCH(Composições!A7108,Orçamentária!A:A,0),1))</f>
        <v>un</v>
      </c>
      <c r="E7108" s="23"/>
      <c r="F7108" s="38" t="s">
        <v>523</v>
      </c>
      <c r="G7108" s="24" t="str">
        <f t="shared" si="214"/>
        <v/>
      </c>
      <c r="H7108" s="25"/>
      <c r="I7108" s="26"/>
      <c r="J7108" s="141">
        <v>0</v>
      </c>
    </row>
    <row r="7109" spans="1:10" ht="15.75" hidden="1" thickBot="1" x14ac:dyDescent="0.3">
      <c r="A7109" s="226"/>
      <c r="B7109" s="229"/>
      <c r="C7109" s="28"/>
      <c r="D7109" s="28"/>
      <c r="E7109" s="29"/>
      <c r="F7109" s="39" t="s">
        <v>523</v>
      </c>
      <c r="G7109" s="27" t="str">
        <f t="shared" si="214"/>
        <v/>
      </c>
      <c r="H7109" s="31"/>
      <c r="I7109" s="27"/>
      <c r="J7109" s="141">
        <v>0</v>
      </c>
    </row>
    <row r="7110" spans="1:10" ht="15.75" hidden="1" thickBot="1" x14ac:dyDescent="0.3">
      <c r="A7110" s="226"/>
      <c r="B7110" s="229"/>
      <c r="C7110" s="161" t="s">
        <v>7743</v>
      </c>
      <c r="D7110" s="43" t="s">
        <v>20</v>
      </c>
      <c r="E7110" s="149">
        <v>1</v>
      </c>
      <c r="F7110" s="27">
        <v>17.736499999999999</v>
      </c>
      <c r="G7110" s="27">
        <f t="shared" si="214"/>
        <v>17.736499999999999</v>
      </c>
      <c r="H7110" s="35">
        <f t="shared" si="215"/>
        <v>17.736499999999999</v>
      </c>
      <c r="I7110" s="36"/>
      <c r="J7110" s="141">
        <v>0</v>
      </c>
    </row>
    <row r="7111" spans="1:10" ht="15.75" hidden="1" thickBot="1" x14ac:dyDescent="0.3">
      <c r="A7111" s="227"/>
      <c r="B7111" s="230"/>
      <c r="C7111" s="51"/>
      <c r="D7111" s="51"/>
      <c r="E7111" s="62"/>
      <c r="F7111" s="63" t="s">
        <v>523</v>
      </c>
      <c r="G7111" s="63" t="str">
        <f t="shared" si="214"/>
        <v/>
      </c>
      <c r="H7111" s="65"/>
      <c r="I7111" s="27"/>
      <c r="J7111" s="141">
        <v>0</v>
      </c>
    </row>
    <row r="7112" spans="1:10" ht="15.75" hidden="1" thickBot="1" x14ac:dyDescent="0.3">
      <c r="A7112" s="225" t="s">
        <v>7406</v>
      </c>
      <c r="B7112" s="228" t="str">
        <f>INDEX(Orçamentária!A:B,MATCH(Composições!A7112,Orçamentária!A:A,0),2)</f>
        <v>Luva de PVC soldável água fria DN 60mm</v>
      </c>
      <c r="C7112" s="37"/>
      <c r="D7112" s="22" t="str">
        <f>TRIM(INDEX(Orçamentária!C:C,MATCH(Composições!A7112,Orçamentária!A:A,0),1))</f>
        <v>un</v>
      </c>
      <c r="E7112" s="23"/>
      <c r="F7112" s="38" t="s">
        <v>523</v>
      </c>
      <c r="G7112" s="24" t="str">
        <f t="shared" si="214"/>
        <v/>
      </c>
      <c r="H7112" s="25"/>
      <c r="I7112" s="26"/>
      <c r="J7112" s="141">
        <v>0</v>
      </c>
    </row>
    <row r="7113" spans="1:10" ht="15.75" hidden="1" thickBot="1" x14ac:dyDescent="0.3">
      <c r="A7113" s="226"/>
      <c r="B7113" s="229"/>
      <c r="C7113" s="28"/>
      <c r="D7113" s="28"/>
      <c r="E7113" s="29"/>
      <c r="F7113" s="39" t="s">
        <v>523</v>
      </c>
      <c r="G7113" s="27" t="str">
        <f t="shared" si="214"/>
        <v/>
      </c>
      <c r="H7113" s="31"/>
      <c r="I7113" s="27"/>
      <c r="J7113" s="141">
        <v>0</v>
      </c>
    </row>
    <row r="7114" spans="1:10" ht="15.75" hidden="1" thickBot="1" x14ac:dyDescent="0.3">
      <c r="A7114" s="226"/>
      <c r="B7114" s="229"/>
      <c r="C7114" s="161" t="s">
        <v>7619</v>
      </c>
      <c r="D7114" s="43" t="s">
        <v>20</v>
      </c>
      <c r="E7114" s="149">
        <v>1</v>
      </c>
      <c r="F7114" s="27">
        <v>14.3735</v>
      </c>
      <c r="G7114" s="27">
        <f t="shared" si="214"/>
        <v>14.3735</v>
      </c>
      <c r="H7114" s="35">
        <f t="shared" si="215"/>
        <v>14.3735</v>
      </c>
      <c r="I7114" s="36"/>
      <c r="J7114" s="141">
        <v>0</v>
      </c>
    </row>
    <row r="7115" spans="1:10" ht="15.75" hidden="1" thickBot="1" x14ac:dyDescent="0.3">
      <c r="A7115" s="227"/>
      <c r="B7115" s="230"/>
      <c r="C7115" s="51"/>
      <c r="D7115" s="51"/>
      <c r="E7115" s="62"/>
      <c r="F7115" s="63" t="s">
        <v>523</v>
      </c>
      <c r="G7115" s="63" t="str">
        <f t="shared" si="214"/>
        <v/>
      </c>
      <c r="H7115" s="65"/>
      <c r="I7115" s="27"/>
      <c r="J7115" s="141">
        <v>0</v>
      </c>
    </row>
    <row r="7116" spans="1:10" ht="15.75" hidden="1" thickBot="1" x14ac:dyDescent="0.3">
      <c r="A7116" s="225" t="s">
        <v>7408</v>
      </c>
      <c r="B7116" s="228" t="str">
        <f>INDEX(Orçamentária!A:B,MATCH(Composições!A7116,Orçamentária!A:A,0),2)</f>
        <v>União PVC soldável 60mm</v>
      </c>
      <c r="C7116" s="37"/>
      <c r="D7116" s="22" t="str">
        <f>TRIM(INDEX(Orçamentária!C:C,MATCH(Composições!A7116,Orçamentária!A:A,0),1))</f>
        <v>un</v>
      </c>
      <c r="E7116" s="23"/>
      <c r="F7116" s="38" t="s">
        <v>523</v>
      </c>
      <c r="G7116" s="24" t="str">
        <f t="shared" si="214"/>
        <v/>
      </c>
      <c r="H7116" s="25"/>
      <c r="I7116" s="26"/>
      <c r="J7116" s="141">
        <v>0</v>
      </c>
    </row>
    <row r="7117" spans="1:10" ht="15.75" hidden="1" thickBot="1" x14ac:dyDescent="0.3">
      <c r="A7117" s="226"/>
      <c r="B7117" s="229"/>
      <c r="C7117" s="28"/>
      <c r="D7117" s="28"/>
      <c r="E7117" s="29"/>
      <c r="F7117" s="39" t="s">
        <v>523</v>
      </c>
      <c r="G7117" s="27" t="str">
        <f t="shared" si="214"/>
        <v/>
      </c>
      <c r="H7117" s="31"/>
      <c r="I7117" s="27"/>
      <c r="J7117" s="141">
        <v>0</v>
      </c>
    </row>
    <row r="7118" spans="1:10" ht="15.75" hidden="1" thickBot="1" x14ac:dyDescent="0.3">
      <c r="A7118" s="226"/>
      <c r="B7118" s="229"/>
      <c r="C7118" s="161" t="s">
        <v>7744</v>
      </c>
      <c r="D7118" s="43" t="s">
        <v>20</v>
      </c>
      <c r="E7118" s="149">
        <v>1</v>
      </c>
      <c r="F7118" s="27">
        <v>93.090499999999992</v>
      </c>
      <c r="G7118" s="27">
        <f t="shared" si="214"/>
        <v>93.090499999999992</v>
      </c>
      <c r="H7118" s="35">
        <f t="shared" si="215"/>
        <v>93.090499999999992</v>
      </c>
      <c r="I7118" s="36"/>
      <c r="J7118" s="141">
        <v>0</v>
      </c>
    </row>
    <row r="7119" spans="1:10" ht="15.75" hidden="1" thickBot="1" x14ac:dyDescent="0.3">
      <c r="A7119" s="227"/>
      <c r="B7119" s="230"/>
      <c r="C7119" s="51"/>
      <c r="D7119" s="51"/>
      <c r="E7119" s="62"/>
      <c r="F7119" s="63" t="s">
        <v>523</v>
      </c>
      <c r="G7119" s="63" t="str">
        <f t="shared" si="214"/>
        <v/>
      </c>
      <c r="H7119" s="65"/>
      <c r="I7119" s="27"/>
      <c r="J7119" s="141">
        <v>0</v>
      </c>
    </row>
    <row r="7120" spans="1:10" ht="15.75" hidden="1" thickBot="1" x14ac:dyDescent="0.3">
      <c r="A7120" s="225" t="s">
        <v>7410</v>
      </c>
      <c r="B7120" s="228" t="str">
        <f>INDEX(Orçamentária!A:B,MATCH(Composições!A7120,Orçamentária!A:A,0),2)</f>
        <v>União PVC soldável 85mm</v>
      </c>
      <c r="C7120" s="37"/>
      <c r="D7120" s="22" t="str">
        <f>TRIM(INDEX(Orçamentária!C:C,MATCH(Composições!A7120,Orçamentária!A:A,0),1))</f>
        <v>un</v>
      </c>
      <c r="E7120" s="23"/>
      <c r="F7120" s="38" t="s">
        <v>523</v>
      </c>
      <c r="G7120" s="24" t="str">
        <f t="shared" si="214"/>
        <v/>
      </c>
      <c r="H7120" s="25"/>
      <c r="I7120" s="26"/>
      <c r="J7120" s="141">
        <v>0</v>
      </c>
    </row>
    <row r="7121" spans="1:10" ht="15.75" hidden="1" thickBot="1" x14ac:dyDescent="0.3">
      <c r="A7121" s="226"/>
      <c r="B7121" s="229"/>
      <c r="C7121" s="28"/>
      <c r="D7121" s="28"/>
      <c r="E7121" s="29"/>
      <c r="F7121" s="39" t="s">
        <v>523</v>
      </c>
      <c r="G7121" s="27" t="str">
        <f t="shared" si="214"/>
        <v/>
      </c>
      <c r="H7121" s="31"/>
      <c r="I7121" s="27"/>
      <c r="J7121" s="141">
        <v>0</v>
      </c>
    </row>
    <row r="7122" spans="1:10" ht="15.75" hidden="1" thickBot="1" x14ac:dyDescent="0.3">
      <c r="A7122" s="226"/>
      <c r="B7122" s="229"/>
      <c r="C7122" s="161" t="s">
        <v>7745</v>
      </c>
      <c r="D7122" s="43" t="s">
        <v>20</v>
      </c>
      <c r="E7122" s="149">
        <v>1</v>
      </c>
      <c r="F7122" s="27">
        <v>288.83800000000002</v>
      </c>
      <c r="G7122" s="27">
        <f t="shared" si="214"/>
        <v>288.83800000000002</v>
      </c>
      <c r="H7122" s="35">
        <f t="shared" si="215"/>
        <v>288.83800000000002</v>
      </c>
      <c r="I7122" s="36"/>
      <c r="J7122" s="141">
        <v>0</v>
      </c>
    </row>
    <row r="7123" spans="1:10" ht="15.75" hidden="1" thickBot="1" x14ac:dyDescent="0.3">
      <c r="A7123" s="227"/>
      <c r="B7123" s="230"/>
      <c r="C7123" s="51"/>
      <c r="D7123" s="51"/>
      <c r="E7123" s="62"/>
      <c r="F7123" s="63" t="s">
        <v>523</v>
      </c>
      <c r="G7123" s="63" t="str">
        <f t="shared" si="214"/>
        <v/>
      </c>
      <c r="H7123" s="65"/>
      <c r="I7123" s="27"/>
      <c r="J7123" s="141">
        <v>0</v>
      </c>
    </row>
    <row r="7124" spans="1:10" ht="15.75" hidden="1" thickBot="1" x14ac:dyDescent="0.3">
      <c r="A7124" s="225" t="s">
        <v>7482</v>
      </c>
      <c r="B7124" s="228" t="str">
        <f>INDEX(Orçamentária!A:B,MATCH(Composições!A7124,Orçamentária!A:A,0),2)</f>
        <v>Supervisor(a) Técnico(a) - Sistema Hidrossanitário</v>
      </c>
      <c r="C7124" s="37"/>
      <c r="D7124" s="22" t="str">
        <f>TRIM(INDEX(Orçamentária!C:C,MATCH(Composições!A7124,Orçamentária!A:A,0),1))</f>
        <v>Profissional</v>
      </c>
      <c r="E7124" s="23"/>
      <c r="F7124" s="38" t="s">
        <v>523</v>
      </c>
      <c r="G7124" s="24" t="str">
        <f t="shared" si="214"/>
        <v/>
      </c>
      <c r="H7124" s="25"/>
      <c r="I7124" s="26"/>
      <c r="J7124" s="141">
        <v>0</v>
      </c>
    </row>
    <row r="7125" spans="1:10" ht="15.75" hidden="1" thickBot="1" x14ac:dyDescent="0.3">
      <c r="A7125" s="226"/>
      <c r="B7125" s="244"/>
      <c r="C7125" s="28"/>
      <c r="D7125" s="28"/>
      <c r="E7125" s="29"/>
      <c r="F7125" s="39" t="s">
        <v>523</v>
      </c>
      <c r="G7125" s="30" t="str">
        <f t="shared" si="214"/>
        <v/>
      </c>
      <c r="H7125" s="31"/>
      <c r="I7125" s="27"/>
      <c r="J7125" s="141">
        <v>0</v>
      </c>
    </row>
    <row r="7126" spans="1:10" ht="26.25" hidden="1" thickBot="1" x14ac:dyDescent="0.3">
      <c r="A7126" s="226"/>
      <c r="B7126" s="244"/>
      <c r="C7126" s="32" t="s">
        <v>782</v>
      </c>
      <c r="D7126" s="43" t="s">
        <v>12</v>
      </c>
      <c r="E7126" s="149">
        <f>ROUND(220/(1+110.14%),4)</f>
        <v>104.6921</v>
      </c>
      <c r="F7126" s="27">
        <v>99.17049999999999</v>
      </c>
      <c r="G7126" s="30">
        <f t="shared" si="214"/>
        <v>10382.367903049999</v>
      </c>
      <c r="H7126" s="35">
        <f>SUM(G7126:G7126)</f>
        <v>10382.367903049999</v>
      </c>
      <c r="I7126" s="36"/>
      <c r="J7126" s="141">
        <v>0</v>
      </c>
    </row>
    <row r="7127" spans="1:10" ht="15.75" hidden="1" thickBot="1" x14ac:dyDescent="0.3">
      <c r="A7127" s="226"/>
      <c r="B7127" s="244"/>
      <c r="C7127" s="32"/>
      <c r="D7127" s="43"/>
      <c r="E7127" s="33"/>
      <c r="F7127" s="27" t="s">
        <v>523</v>
      </c>
      <c r="G7127" s="30" t="str">
        <f t="shared" si="214"/>
        <v/>
      </c>
      <c r="H7127" s="31"/>
      <c r="I7127" s="36"/>
      <c r="J7127" s="141">
        <v>0</v>
      </c>
    </row>
    <row r="7128" spans="1:10" ht="26.25" hidden="1" thickBot="1" x14ac:dyDescent="0.3">
      <c r="A7128" s="226"/>
      <c r="B7128" s="244"/>
      <c r="C7128" s="44" t="s">
        <v>783</v>
      </c>
      <c r="D7128" s="43"/>
      <c r="E7128" s="33"/>
      <c r="F7128" s="27" t="s">
        <v>523</v>
      </c>
      <c r="G7128" s="30" t="str">
        <f t="shared" si="214"/>
        <v/>
      </c>
      <c r="H7128" s="31"/>
      <c r="I7128" s="36"/>
      <c r="J7128" s="141">
        <v>0</v>
      </c>
    </row>
    <row r="7129" spans="1:10" ht="15.75" hidden="1" thickBot="1" x14ac:dyDescent="0.3">
      <c r="A7129" s="227"/>
      <c r="B7129" s="230"/>
      <c r="C7129" s="32"/>
      <c r="D7129" s="32"/>
      <c r="E7129" s="33"/>
      <c r="F7129" s="27" t="s">
        <v>523</v>
      </c>
      <c r="G7129" s="30" t="str">
        <f t="shared" si="214"/>
        <v/>
      </c>
      <c r="H7129" s="31"/>
      <c r="I7129" s="27"/>
      <c r="J7129" s="141">
        <v>0</v>
      </c>
    </row>
    <row r="7130" spans="1:10" ht="15.75" hidden="1" thickBot="1" x14ac:dyDescent="0.3">
      <c r="A7130" s="225" t="s">
        <v>7484</v>
      </c>
      <c r="B7130" s="228" t="str">
        <f>INDEX(Orçamentária!A:B,MATCH(Composições!A7130,Orçamentária!A:A,0),2)</f>
        <v>Supervisor(a) Técnico(a) - Segurança do Trabalho</v>
      </c>
      <c r="C7130" s="37"/>
      <c r="D7130" s="22" t="str">
        <f>TRIM(INDEX(Orçamentária!C:C,MATCH(Composições!A7130,Orçamentária!A:A,0),1))</f>
        <v>Profissional</v>
      </c>
      <c r="E7130" s="23"/>
      <c r="F7130" s="38" t="s">
        <v>523</v>
      </c>
      <c r="G7130" s="24" t="str">
        <f t="shared" si="214"/>
        <v/>
      </c>
      <c r="H7130" s="25"/>
      <c r="I7130" s="26"/>
      <c r="J7130" s="141">
        <v>0</v>
      </c>
    </row>
    <row r="7131" spans="1:10" ht="15.75" hidden="1" thickBot="1" x14ac:dyDescent="0.3">
      <c r="A7131" s="226"/>
      <c r="B7131" s="244"/>
      <c r="C7131" s="28"/>
      <c r="D7131" s="28"/>
      <c r="E7131" s="29"/>
      <c r="F7131" s="39" t="s">
        <v>523</v>
      </c>
      <c r="G7131" s="30" t="str">
        <f t="shared" si="214"/>
        <v/>
      </c>
      <c r="H7131" s="31"/>
      <c r="I7131" s="27"/>
      <c r="J7131" s="141">
        <v>0</v>
      </c>
    </row>
    <row r="7132" spans="1:10" ht="26.25" hidden="1" thickBot="1" x14ac:dyDescent="0.3">
      <c r="A7132" s="226"/>
      <c r="B7132" s="244"/>
      <c r="C7132" s="32" t="s">
        <v>782</v>
      </c>
      <c r="D7132" s="43" t="s">
        <v>12</v>
      </c>
      <c r="E7132" s="149">
        <f>ROUND(220/(1+110.14%),4)</f>
        <v>104.6921</v>
      </c>
      <c r="F7132" s="27">
        <v>99.17049999999999</v>
      </c>
      <c r="G7132" s="30">
        <f t="shared" si="214"/>
        <v>10382.367903049999</v>
      </c>
      <c r="H7132" s="35">
        <f>SUM(G7132:G7132)</f>
        <v>10382.367903049999</v>
      </c>
      <c r="I7132" s="36"/>
      <c r="J7132" s="141">
        <v>0</v>
      </c>
    </row>
    <row r="7133" spans="1:10" ht="15.75" hidden="1" thickBot="1" x14ac:dyDescent="0.3">
      <c r="A7133" s="226"/>
      <c r="B7133" s="244"/>
      <c r="C7133" s="32"/>
      <c r="D7133" s="43"/>
      <c r="E7133" s="33"/>
      <c r="F7133" s="27" t="s">
        <v>523</v>
      </c>
      <c r="G7133" s="30" t="str">
        <f t="shared" si="214"/>
        <v/>
      </c>
      <c r="H7133" s="31"/>
      <c r="I7133" s="36"/>
      <c r="J7133" s="141">
        <v>0</v>
      </c>
    </row>
    <row r="7134" spans="1:10" ht="26.25" hidden="1" thickBot="1" x14ac:dyDescent="0.3">
      <c r="A7134" s="226"/>
      <c r="B7134" s="244"/>
      <c r="C7134" s="44" t="s">
        <v>783</v>
      </c>
      <c r="D7134" s="43"/>
      <c r="E7134" s="33"/>
      <c r="F7134" s="27" t="s">
        <v>523</v>
      </c>
      <c r="G7134" s="30" t="str">
        <f t="shared" si="214"/>
        <v/>
      </c>
      <c r="H7134" s="31"/>
      <c r="I7134" s="36"/>
      <c r="J7134" s="141">
        <v>0</v>
      </c>
    </row>
    <row r="7135" spans="1:10" ht="15.75" hidden="1" thickBot="1" x14ac:dyDescent="0.3">
      <c r="A7135" s="227"/>
      <c r="B7135" s="230"/>
      <c r="C7135" s="32"/>
      <c r="D7135" s="32"/>
      <c r="E7135" s="33"/>
      <c r="F7135" s="27" t="s">
        <v>523</v>
      </c>
      <c r="G7135" s="30" t="str">
        <f t="shared" si="214"/>
        <v/>
      </c>
      <c r="H7135" s="31"/>
      <c r="I7135" s="27"/>
      <c r="J7135" s="141">
        <v>0</v>
      </c>
    </row>
    <row r="7136" spans="1:10" ht="15.75" hidden="1" thickBot="1" x14ac:dyDescent="0.3">
      <c r="A7136" s="225" t="s">
        <v>7486</v>
      </c>
      <c r="B7136" s="228" t="str">
        <f>INDEX(Orçamentária!A:B,MATCH(Composições!A7136,Orçamentária!A:A,0),2)</f>
        <v>Encarregado(a) de Manutenção Hidrossanitária</v>
      </c>
      <c r="C7136" s="37"/>
      <c r="D7136" s="22" t="str">
        <f>TRIM(INDEX(Orçamentária!C:C,MATCH(Composições!A7136,Orçamentária!A:A,0),1))</f>
        <v>Profissional</v>
      </c>
      <c r="E7136" s="23"/>
      <c r="F7136" s="38" t="s">
        <v>523</v>
      </c>
      <c r="G7136" s="24" t="str">
        <f t="shared" si="214"/>
        <v/>
      </c>
      <c r="H7136" s="25"/>
      <c r="I7136" s="26"/>
      <c r="J7136" s="141">
        <v>0</v>
      </c>
    </row>
    <row r="7137" spans="1:10" ht="15.75" hidden="1" thickBot="1" x14ac:dyDescent="0.3">
      <c r="A7137" s="226"/>
      <c r="B7137" s="244"/>
      <c r="C7137" s="28"/>
      <c r="D7137" s="28"/>
      <c r="E7137" s="29"/>
      <c r="F7137" s="39" t="s">
        <v>523</v>
      </c>
      <c r="G7137" s="30" t="str">
        <f t="shared" si="214"/>
        <v/>
      </c>
      <c r="H7137" s="31"/>
      <c r="I7137" s="27"/>
      <c r="J7137" s="141">
        <v>0</v>
      </c>
    </row>
    <row r="7138" spans="1:10" ht="15.75" hidden="1" thickBot="1" x14ac:dyDescent="0.3">
      <c r="A7138" s="226"/>
      <c r="B7138" s="244"/>
      <c r="C7138" s="32" t="s">
        <v>3247</v>
      </c>
      <c r="D7138" s="43" t="s">
        <v>12</v>
      </c>
      <c r="E7138" s="149">
        <f>ROUND(220/(1+110.14%),4)</f>
        <v>104.6921</v>
      </c>
      <c r="F7138" s="27">
        <v>20.273</v>
      </c>
      <c r="G7138" s="30">
        <f t="shared" ref="G7138:G7201" si="216">IF(ISNUMBER(F7138),E7138*F7138,"")</f>
        <v>2122.4229433</v>
      </c>
      <c r="H7138" s="35">
        <f>SUM(G7138:G7138)</f>
        <v>2122.4229433</v>
      </c>
      <c r="I7138" s="36"/>
      <c r="J7138" s="141">
        <v>0</v>
      </c>
    </row>
    <row r="7139" spans="1:10" ht="15.75" hidden="1" thickBot="1" x14ac:dyDescent="0.3">
      <c r="A7139" s="226"/>
      <c r="B7139" s="244"/>
      <c r="C7139" s="32"/>
      <c r="D7139" s="43"/>
      <c r="E7139" s="33"/>
      <c r="F7139" s="27" t="s">
        <v>523</v>
      </c>
      <c r="G7139" s="30" t="str">
        <f t="shared" si="216"/>
        <v/>
      </c>
      <c r="H7139" s="31"/>
      <c r="I7139" s="36"/>
      <c r="J7139" s="141">
        <v>0</v>
      </c>
    </row>
    <row r="7140" spans="1:10" ht="26.25" hidden="1" thickBot="1" x14ac:dyDescent="0.3">
      <c r="A7140" s="226"/>
      <c r="B7140" s="244"/>
      <c r="C7140" s="44" t="s">
        <v>783</v>
      </c>
      <c r="D7140" s="43"/>
      <c r="E7140" s="33"/>
      <c r="F7140" s="27" t="s">
        <v>523</v>
      </c>
      <c r="G7140" s="30" t="str">
        <f t="shared" si="216"/>
        <v/>
      </c>
      <c r="H7140" s="31"/>
      <c r="I7140" s="36"/>
      <c r="J7140" s="141">
        <v>0</v>
      </c>
    </row>
    <row r="7141" spans="1:10" ht="15.75" hidden="1" thickBot="1" x14ac:dyDescent="0.3">
      <c r="A7141" s="227"/>
      <c r="B7141" s="230"/>
      <c r="C7141" s="32"/>
      <c r="D7141" s="32"/>
      <c r="E7141" s="33"/>
      <c r="F7141" s="27" t="s">
        <v>523</v>
      </c>
      <c r="G7141" s="30" t="str">
        <f t="shared" si="216"/>
        <v/>
      </c>
      <c r="H7141" s="31"/>
      <c r="I7141" s="27"/>
      <c r="J7141" s="141">
        <v>0</v>
      </c>
    </row>
    <row r="7142" spans="1:10" ht="15.75" hidden="1" thickBot="1" x14ac:dyDescent="0.3">
      <c r="A7142" s="225" t="s">
        <v>7488</v>
      </c>
      <c r="B7142" s="228" t="str">
        <f>INDEX(Orçamentária!A:B,MATCH(Composições!A7142,Orçamentária!A:A,0),2)</f>
        <v>Bombeiro(a) Hidráulico(a) Planejador(a) de Manutenção</v>
      </c>
      <c r="C7142" s="37"/>
      <c r="D7142" s="22" t="str">
        <f>TRIM(INDEX(Orçamentária!C:C,MATCH(Composições!A7142,Orçamentária!A:A,0),1))</f>
        <v>Profissional</v>
      </c>
      <c r="E7142" s="23"/>
      <c r="F7142" s="38" t="s">
        <v>523</v>
      </c>
      <c r="G7142" s="24" t="str">
        <f t="shared" si="216"/>
        <v/>
      </c>
      <c r="H7142" s="25"/>
      <c r="I7142" s="26"/>
      <c r="J7142" s="141">
        <v>0</v>
      </c>
    </row>
    <row r="7143" spans="1:10" ht="15.75" hidden="1" thickBot="1" x14ac:dyDescent="0.3">
      <c r="A7143" s="226"/>
      <c r="B7143" s="244"/>
      <c r="C7143" s="28"/>
      <c r="D7143" s="28"/>
      <c r="E7143" s="29"/>
      <c r="F7143" s="39" t="s">
        <v>523</v>
      </c>
      <c r="G7143" s="30" t="str">
        <f t="shared" si="216"/>
        <v/>
      </c>
      <c r="H7143" s="31"/>
      <c r="I7143" s="27"/>
      <c r="J7143" s="141">
        <v>0</v>
      </c>
    </row>
    <row r="7144" spans="1:10" ht="26.25" hidden="1" thickBot="1" x14ac:dyDescent="0.3">
      <c r="A7144" s="226"/>
      <c r="B7144" s="244"/>
      <c r="C7144" s="32" t="s">
        <v>957</v>
      </c>
      <c r="D7144" s="43" t="s">
        <v>12</v>
      </c>
      <c r="E7144" s="149">
        <f>ROUND(220/(1+110.14%),4)</f>
        <v>104.6921</v>
      </c>
      <c r="F7144" s="27">
        <v>24.300999999999998</v>
      </c>
      <c r="G7144" s="30">
        <f t="shared" si="216"/>
        <v>2544.1227220999999</v>
      </c>
      <c r="H7144" s="35">
        <f>SUM(G7144:G7144)</f>
        <v>2544.1227220999999</v>
      </c>
      <c r="I7144" s="36"/>
      <c r="J7144" s="141">
        <v>0</v>
      </c>
    </row>
    <row r="7145" spans="1:10" ht="15.75" hidden="1" thickBot="1" x14ac:dyDescent="0.3">
      <c r="A7145" s="226"/>
      <c r="B7145" s="244"/>
      <c r="C7145" s="32"/>
      <c r="D7145" s="43"/>
      <c r="E7145" s="33"/>
      <c r="F7145" s="27" t="s">
        <v>523</v>
      </c>
      <c r="G7145" s="30" t="str">
        <f t="shared" si="216"/>
        <v/>
      </c>
      <c r="H7145" s="31"/>
      <c r="I7145" s="36"/>
      <c r="J7145" s="141">
        <v>0</v>
      </c>
    </row>
    <row r="7146" spans="1:10" ht="26.25" hidden="1" thickBot="1" x14ac:dyDescent="0.3">
      <c r="A7146" s="226"/>
      <c r="B7146" s="244"/>
      <c r="C7146" s="44" t="s">
        <v>783</v>
      </c>
      <c r="D7146" s="43"/>
      <c r="E7146" s="33"/>
      <c r="F7146" s="27" t="s">
        <v>523</v>
      </c>
      <c r="G7146" s="30" t="str">
        <f t="shared" si="216"/>
        <v/>
      </c>
      <c r="H7146" s="31"/>
      <c r="I7146" s="36"/>
      <c r="J7146" s="141">
        <v>0</v>
      </c>
    </row>
    <row r="7147" spans="1:10" ht="15.75" hidden="1" thickBot="1" x14ac:dyDescent="0.3">
      <c r="A7147" s="227"/>
      <c r="B7147" s="230"/>
      <c r="C7147" s="32"/>
      <c r="D7147" s="32"/>
      <c r="E7147" s="33"/>
      <c r="F7147" s="27" t="s">
        <v>523</v>
      </c>
      <c r="G7147" s="30" t="str">
        <f t="shared" si="216"/>
        <v/>
      </c>
      <c r="H7147" s="31"/>
      <c r="I7147" s="27"/>
      <c r="J7147" s="141">
        <v>0</v>
      </c>
    </row>
    <row r="7148" spans="1:10" ht="15.75" hidden="1" thickBot="1" x14ac:dyDescent="0.3">
      <c r="A7148" s="225" t="s">
        <v>7490</v>
      </c>
      <c r="B7148" s="228" t="str">
        <f>INDEX(Orçamentária!A:B,MATCH(Composições!A7148,Orçamentária!A:A,0),2)</f>
        <v>Instalador(a) Hidráulico(a)</v>
      </c>
      <c r="C7148" s="37"/>
      <c r="D7148" s="22" t="str">
        <f>TRIM(INDEX(Orçamentária!C:C,MATCH(Composições!A7148,Orçamentária!A:A,0),1))</f>
        <v>Profissional</v>
      </c>
      <c r="E7148" s="23"/>
      <c r="F7148" s="38" t="s">
        <v>523</v>
      </c>
      <c r="G7148" s="24" t="str">
        <f t="shared" si="216"/>
        <v/>
      </c>
      <c r="H7148" s="25"/>
      <c r="I7148" s="26"/>
      <c r="J7148" s="141">
        <v>0</v>
      </c>
    </row>
    <row r="7149" spans="1:10" ht="15.75" hidden="1" thickBot="1" x14ac:dyDescent="0.3">
      <c r="A7149" s="226"/>
      <c r="B7149" s="244"/>
      <c r="C7149" s="28"/>
      <c r="D7149" s="28"/>
      <c r="E7149" s="29"/>
      <c r="F7149" s="39" t="s">
        <v>523</v>
      </c>
      <c r="G7149" s="30" t="str">
        <f t="shared" si="216"/>
        <v/>
      </c>
      <c r="H7149" s="31"/>
      <c r="I7149" s="27"/>
      <c r="J7149" s="141">
        <v>0</v>
      </c>
    </row>
    <row r="7150" spans="1:10" ht="15.75" hidden="1" thickBot="1" x14ac:dyDescent="0.3">
      <c r="A7150" s="226"/>
      <c r="B7150" s="244"/>
      <c r="C7150" s="32" t="s">
        <v>7606</v>
      </c>
      <c r="D7150" s="43" t="s">
        <v>12</v>
      </c>
      <c r="E7150" s="149">
        <f>ROUND(220/(1+110.14%),4)</f>
        <v>104.6921</v>
      </c>
      <c r="F7150" s="27">
        <v>13.87</v>
      </c>
      <c r="G7150" s="30">
        <f t="shared" si="216"/>
        <v>1452.0794269999999</v>
      </c>
      <c r="H7150" s="35">
        <f>SUM(G7150:G7150)</f>
        <v>1452.0794269999999</v>
      </c>
      <c r="I7150" s="36"/>
      <c r="J7150" s="141">
        <v>0</v>
      </c>
    </row>
    <row r="7151" spans="1:10" ht="15.75" hidden="1" thickBot="1" x14ac:dyDescent="0.3">
      <c r="A7151" s="226"/>
      <c r="B7151" s="244"/>
      <c r="C7151" s="32"/>
      <c r="D7151" s="43"/>
      <c r="E7151" s="33"/>
      <c r="F7151" s="27" t="s">
        <v>523</v>
      </c>
      <c r="G7151" s="30" t="str">
        <f t="shared" si="216"/>
        <v/>
      </c>
      <c r="H7151" s="31"/>
      <c r="I7151" s="36"/>
      <c r="J7151" s="141">
        <v>0</v>
      </c>
    </row>
    <row r="7152" spans="1:10" ht="26.25" hidden="1" thickBot="1" x14ac:dyDescent="0.3">
      <c r="A7152" s="226"/>
      <c r="B7152" s="244"/>
      <c r="C7152" s="44" t="s">
        <v>783</v>
      </c>
      <c r="D7152" s="43"/>
      <c r="E7152" s="33"/>
      <c r="F7152" s="27" t="s">
        <v>523</v>
      </c>
      <c r="G7152" s="30" t="str">
        <f t="shared" si="216"/>
        <v/>
      </c>
      <c r="H7152" s="31"/>
      <c r="I7152" s="36"/>
      <c r="J7152" s="141">
        <v>0</v>
      </c>
    </row>
    <row r="7153" spans="1:10" ht="15.75" hidden="1" thickBot="1" x14ac:dyDescent="0.3">
      <c r="A7153" s="227"/>
      <c r="B7153" s="230"/>
      <c r="C7153" s="32"/>
      <c r="D7153" s="32"/>
      <c r="E7153" s="33"/>
      <c r="F7153" s="27" t="s">
        <v>523</v>
      </c>
      <c r="G7153" s="30" t="str">
        <f t="shared" si="216"/>
        <v/>
      </c>
      <c r="H7153" s="31"/>
      <c r="I7153" s="27"/>
      <c r="J7153" s="141">
        <v>0</v>
      </c>
    </row>
    <row r="7154" spans="1:10" ht="15.75" hidden="1" thickBot="1" x14ac:dyDescent="0.3">
      <c r="A7154" s="225" t="s">
        <v>7492</v>
      </c>
      <c r="B7154" s="228" t="str">
        <f>INDEX(Orçamentária!A:B,MATCH(Composições!A7154,Orçamentária!A:A,0),2)</f>
        <v>Bombeiro(a) Hidráulico(a) Plantonista (diurno)</v>
      </c>
      <c r="C7154" s="37"/>
      <c r="D7154" s="22" t="str">
        <f>TRIM(INDEX(Orçamentária!C:C,MATCH(Composições!A7154,Orçamentária!A:A,0),1))</f>
        <v>Profissional</v>
      </c>
      <c r="E7154" s="23"/>
      <c r="F7154" s="38" t="s">
        <v>523</v>
      </c>
      <c r="G7154" s="24" t="str">
        <f t="shared" si="216"/>
        <v/>
      </c>
      <c r="H7154" s="25"/>
      <c r="I7154" s="26"/>
      <c r="J7154" s="141">
        <v>0</v>
      </c>
    </row>
    <row r="7155" spans="1:10" ht="15.75" hidden="1" thickBot="1" x14ac:dyDescent="0.3">
      <c r="A7155" s="226"/>
      <c r="B7155" s="244"/>
      <c r="C7155" s="155"/>
      <c r="D7155" s="28"/>
      <c r="E7155" s="29"/>
      <c r="F7155" s="39" t="s">
        <v>523</v>
      </c>
      <c r="G7155" s="30" t="str">
        <f t="shared" si="216"/>
        <v/>
      </c>
      <c r="H7155" s="31"/>
      <c r="I7155" s="27"/>
      <c r="J7155" s="141">
        <v>0</v>
      </c>
    </row>
    <row r="7156" spans="1:10" ht="26.25" hidden="1" thickBot="1" x14ac:dyDescent="0.3">
      <c r="A7156" s="226"/>
      <c r="B7156" s="244"/>
      <c r="C7156" s="32" t="s">
        <v>957</v>
      </c>
      <c r="D7156" s="43" t="s">
        <v>12</v>
      </c>
      <c r="E7156" s="149">
        <f>ROUND(220/(1+110.14%),4)</f>
        <v>104.6921</v>
      </c>
      <c r="F7156" s="27">
        <v>24.300999999999998</v>
      </c>
      <c r="G7156" s="30">
        <f t="shared" si="216"/>
        <v>2544.1227220999999</v>
      </c>
      <c r="H7156" s="35">
        <f>SUM(G7156:G7156)</f>
        <v>2544.1227220999999</v>
      </c>
      <c r="I7156" s="36"/>
      <c r="J7156" s="141">
        <v>0</v>
      </c>
    </row>
    <row r="7157" spans="1:10" ht="15.75" hidden="1" thickBot="1" x14ac:dyDescent="0.3">
      <c r="A7157" s="226"/>
      <c r="B7157" s="244"/>
      <c r="C7157" s="155"/>
      <c r="D7157" s="43"/>
      <c r="E7157" s="33"/>
      <c r="F7157" s="27" t="s">
        <v>523</v>
      </c>
      <c r="G7157" s="30" t="str">
        <f t="shared" si="216"/>
        <v/>
      </c>
      <c r="H7157" s="31"/>
      <c r="I7157" s="36"/>
      <c r="J7157" s="141">
        <v>0</v>
      </c>
    </row>
    <row r="7158" spans="1:10" ht="26.25" hidden="1" thickBot="1" x14ac:dyDescent="0.3">
      <c r="A7158" s="226"/>
      <c r="B7158" s="244"/>
      <c r="C7158" s="44" t="s">
        <v>783</v>
      </c>
      <c r="D7158" s="43"/>
      <c r="E7158" s="33"/>
      <c r="F7158" s="27" t="s">
        <v>523</v>
      </c>
      <c r="G7158" s="30" t="str">
        <f t="shared" si="216"/>
        <v/>
      </c>
      <c r="H7158" s="31"/>
      <c r="I7158" s="36"/>
      <c r="J7158" s="141">
        <v>0</v>
      </c>
    </row>
    <row r="7159" spans="1:10" ht="15.75" hidden="1" thickBot="1" x14ac:dyDescent="0.3">
      <c r="A7159" s="227"/>
      <c r="B7159" s="230"/>
      <c r="C7159" s="51"/>
      <c r="D7159" s="32"/>
      <c r="E7159" s="33"/>
      <c r="F7159" s="27" t="s">
        <v>523</v>
      </c>
      <c r="G7159" s="30" t="str">
        <f t="shared" si="216"/>
        <v/>
      </c>
      <c r="H7159" s="31"/>
      <c r="I7159" s="27"/>
      <c r="J7159" s="141">
        <v>0</v>
      </c>
    </row>
    <row r="7160" spans="1:10" ht="15.75" hidden="1" thickBot="1" x14ac:dyDescent="0.3">
      <c r="A7160" s="225" t="s">
        <v>7494</v>
      </c>
      <c r="B7160" s="228" t="str">
        <f>INDEX(Orçamentária!A:B,MATCH(Composições!A7160,Orçamentária!A:A,0),2)</f>
        <v>Bombeiro(a) Hidráulico(a) Plantonista (noturno)</v>
      </c>
      <c r="C7160" s="37"/>
      <c r="D7160" s="22" t="str">
        <f>TRIM(INDEX(Orçamentária!C:C,MATCH(Composições!A7160,Orçamentária!A:A,0),1))</f>
        <v>Profissional</v>
      </c>
      <c r="E7160" s="23"/>
      <c r="F7160" s="38" t="s">
        <v>523</v>
      </c>
      <c r="G7160" s="24" t="str">
        <f t="shared" si="216"/>
        <v/>
      </c>
      <c r="H7160" s="25"/>
      <c r="I7160" s="26"/>
      <c r="J7160" s="141">
        <v>0</v>
      </c>
    </row>
    <row r="7161" spans="1:10" ht="15.75" hidden="1" thickBot="1" x14ac:dyDescent="0.3">
      <c r="A7161" s="226"/>
      <c r="B7161" s="244"/>
      <c r="C7161" s="155"/>
      <c r="D7161" s="28"/>
      <c r="E7161" s="29"/>
      <c r="F7161" s="39" t="s">
        <v>523</v>
      </c>
      <c r="G7161" s="30" t="str">
        <f t="shared" si="216"/>
        <v/>
      </c>
      <c r="H7161" s="31"/>
      <c r="I7161" s="27"/>
      <c r="J7161" s="141">
        <v>0</v>
      </c>
    </row>
    <row r="7162" spans="1:10" ht="26.25" hidden="1" thickBot="1" x14ac:dyDescent="0.3">
      <c r="A7162" s="226"/>
      <c r="B7162" s="244"/>
      <c r="C7162" s="32" t="s">
        <v>957</v>
      </c>
      <c r="D7162" s="43" t="s">
        <v>12</v>
      </c>
      <c r="E7162" s="149">
        <f>ROUND(220/(1+110.14%),4)</f>
        <v>104.6921</v>
      </c>
      <c r="F7162" s="27">
        <v>24.300999999999998</v>
      </c>
      <c r="G7162" s="30">
        <f t="shared" si="216"/>
        <v>2544.1227220999999</v>
      </c>
      <c r="H7162" s="35">
        <f>SUM(G7162:G7162)</f>
        <v>2544.1227220999999</v>
      </c>
      <c r="I7162" s="36"/>
      <c r="J7162" s="141">
        <v>0</v>
      </c>
    </row>
    <row r="7163" spans="1:10" ht="15.75" hidden="1" thickBot="1" x14ac:dyDescent="0.3">
      <c r="A7163" s="226"/>
      <c r="B7163" s="244"/>
      <c r="C7163" s="155"/>
      <c r="D7163" s="43"/>
      <c r="E7163" s="33"/>
      <c r="F7163" s="27" t="s">
        <v>523</v>
      </c>
      <c r="G7163" s="30" t="str">
        <f t="shared" si="216"/>
        <v/>
      </c>
      <c r="H7163" s="31"/>
      <c r="I7163" s="36"/>
      <c r="J7163" s="141">
        <v>0</v>
      </c>
    </row>
    <row r="7164" spans="1:10" ht="26.25" hidden="1" thickBot="1" x14ac:dyDescent="0.3">
      <c r="A7164" s="226"/>
      <c r="B7164" s="244"/>
      <c r="C7164" s="44" t="s">
        <v>783</v>
      </c>
      <c r="D7164" s="43"/>
      <c r="E7164" s="33"/>
      <c r="F7164" s="27" t="s">
        <v>523</v>
      </c>
      <c r="G7164" s="30" t="str">
        <f t="shared" si="216"/>
        <v/>
      </c>
      <c r="H7164" s="31"/>
      <c r="I7164" s="36"/>
      <c r="J7164" s="141">
        <v>0</v>
      </c>
    </row>
    <row r="7165" spans="1:10" ht="15.75" hidden="1" thickBot="1" x14ac:dyDescent="0.3">
      <c r="A7165" s="227"/>
      <c r="B7165" s="230"/>
      <c r="C7165" s="51"/>
      <c r="D7165" s="32"/>
      <c r="E7165" s="33"/>
      <c r="F7165" s="27" t="s">
        <v>523</v>
      </c>
      <c r="G7165" s="30" t="str">
        <f t="shared" si="216"/>
        <v/>
      </c>
      <c r="H7165" s="31"/>
      <c r="I7165" s="27"/>
      <c r="J7165" s="141">
        <v>0</v>
      </c>
    </row>
    <row r="7166" spans="1:10" ht="15.75" hidden="1" thickBot="1" x14ac:dyDescent="0.3">
      <c r="A7166" s="225" t="s">
        <v>7496</v>
      </c>
      <c r="B7166" s="228" t="str">
        <f>INDEX(Orçamentária!A:B,MATCH(Composições!A7166,Orçamentária!A:A,0),2)</f>
        <v>Ajudante de Manutenção Hidrossanitária</v>
      </c>
      <c r="C7166" s="37"/>
      <c r="D7166" s="22" t="str">
        <f>TRIM(INDEX(Orçamentária!C:C,MATCH(Composições!A7166,Orçamentária!A:A,0),1))</f>
        <v>Profissional</v>
      </c>
      <c r="E7166" s="23"/>
      <c r="F7166" s="38" t="s">
        <v>523</v>
      </c>
      <c r="G7166" s="24" t="str">
        <f t="shared" si="216"/>
        <v/>
      </c>
      <c r="H7166" s="25"/>
      <c r="I7166" s="26"/>
      <c r="J7166" s="141">
        <v>0</v>
      </c>
    </row>
    <row r="7167" spans="1:10" ht="15.75" hidden="1" thickBot="1" x14ac:dyDescent="0.3">
      <c r="A7167" s="226"/>
      <c r="B7167" s="244"/>
      <c r="C7167" s="155"/>
      <c r="D7167" s="28"/>
      <c r="E7167" s="29"/>
      <c r="F7167" s="39" t="s">
        <v>523</v>
      </c>
      <c r="G7167" s="30" t="str">
        <f t="shared" si="216"/>
        <v/>
      </c>
      <c r="H7167" s="31"/>
      <c r="I7167" s="27"/>
      <c r="J7167" s="141">
        <v>0</v>
      </c>
    </row>
    <row r="7168" spans="1:10" ht="26.25" hidden="1" thickBot="1" x14ac:dyDescent="0.3">
      <c r="A7168" s="226"/>
      <c r="B7168" s="244"/>
      <c r="C7168" s="32" t="s">
        <v>956</v>
      </c>
      <c r="D7168" s="43" t="s">
        <v>12</v>
      </c>
      <c r="E7168" s="149">
        <f>ROUND(220/(1+110.14%),4)</f>
        <v>104.6921</v>
      </c>
      <c r="F7168" s="27">
        <v>19.094999999999999</v>
      </c>
      <c r="G7168" s="30">
        <f t="shared" si="216"/>
        <v>1999.0956494999998</v>
      </c>
      <c r="H7168" s="35">
        <f>SUM(G7168:G7168)</f>
        <v>1999.0956494999998</v>
      </c>
      <c r="I7168" s="36"/>
      <c r="J7168" s="141">
        <v>0</v>
      </c>
    </row>
    <row r="7169" spans="1:10" ht="15.75" hidden="1" thickBot="1" x14ac:dyDescent="0.3">
      <c r="A7169" s="226"/>
      <c r="B7169" s="244"/>
      <c r="C7169" s="155"/>
      <c r="D7169" s="43"/>
      <c r="E7169" s="33"/>
      <c r="F7169" s="27" t="s">
        <v>523</v>
      </c>
      <c r="G7169" s="30" t="str">
        <f t="shared" si="216"/>
        <v/>
      </c>
      <c r="H7169" s="31"/>
      <c r="I7169" s="36"/>
      <c r="J7169" s="141">
        <v>0</v>
      </c>
    </row>
    <row r="7170" spans="1:10" ht="26.25" hidden="1" thickBot="1" x14ac:dyDescent="0.3">
      <c r="A7170" s="226"/>
      <c r="B7170" s="244"/>
      <c r="C7170" s="44" t="s">
        <v>783</v>
      </c>
      <c r="D7170" s="43"/>
      <c r="E7170" s="33"/>
      <c r="F7170" s="27" t="s">
        <v>523</v>
      </c>
      <c r="G7170" s="30" t="str">
        <f t="shared" si="216"/>
        <v/>
      </c>
      <c r="H7170" s="31"/>
      <c r="I7170" s="36"/>
      <c r="J7170" s="141">
        <v>0</v>
      </c>
    </row>
    <row r="7171" spans="1:10" ht="15.75" hidden="1" thickBot="1" x14ac:dyDescent="0.3">
      <c r="A7171" s="227"/>
      <c r="B7171" s="230"/>
      <c r="C7171" s="51"/>
      <c r="D7171" s="32"/>
      <c r="E7171" s="33"/>
      <c r="F7171" s="27" t="s">
        <v>523</v>
      </c>
      <c r="G7171" s="30" t="str">
        <f t="shared" si="216"/>
        <v/>
      </c>
      <c r="H7171" s="31"/>
      <c r="I7171" s="27"/>
      <c r="J7171" s="141">
        <v>0</v>
      </c>
    </row>
    <row r="7172" spans="1:10" ht="15.75" hidden="1" thickBot="1" x14ac:dyDescent="0.3">
      <c r="A7172" s="225" t="s">
        <v>7498</v>
      </c>
      <c r="B7172" s="228" t="str">
        <f>INDEX(Orçamentária!A:B,MATCH(Composições!A7172,Orçamentária!A:A,0),2)</f>
        <v>Ajudante de Bombeiro(a) Hidráulico(a) Plantonista (diurno)</v>
      </c>
      <c r="C7172" s="37"/>
      <c r="D7172" s="22" t="str">
        <f>TRIM(INDEX(Orçamentária!C:C,MATCH(Composições!A7172,Orçamentária!A:A,0),1))</f>
        <v>Profissional</v>
      </c>
      <c r="E7172" s="23"/>
      <c r="F7172" s="38" t="s">
        <v>523</v>
      </c>
      <c r="G7172" s="24" t="str">
        <f t="shared" si="216"/>
        <v/>
      </c>
      <c r="H7172" s="25"/>
      <c r="I7172" s="26"/>
      <c r="J7172" s="141">
        <v>0</v>
      </c>
    </row>
    <row r="7173" spans="1:10" ht="15.75" hidden="1" thickBot="1" x14ac:dyDescent="0.3">
      <c r="A7173" s="226"/>
      <c r="B7173" s="244"/>
      <c r="C7173" s="155"/>
      <c r="D7173" s="28"/>
      <c r="E7173" s="29"/>
      <c r="F7173" s="39" t="s">
        <v>523</v>
      </c>
      <c r="G7173" s="30" t="str">
        <f t="shared" si="216"/>
        <v/>
      </c>
      <c r="H7173" s="31"/>
      <c r="I7173" s="27"/>
      <c r="J7173" s="141">
        <v>0</v>
      </c>
    </row>
    <row r="7174" spans="1:10" ht="26.25" hidden="1" thickBot="1" x14ac:dyDescent="0.3">
      <c r="A7174" s="226"/>
      <c r="B7174" s="244"/>
      <c r="C7174" s="32" t="s">
        <v>956</v>
      </c>
      <c r="D7174" s="43" t="s">
        <v>12</v>
      </c>
      <c r="E7174" s="149">
        <f>ROUND(220/(1+110.14%),4)</f>
        <v>104.6921</v>
      </c>
      <c r="F7174" s="27">
        <v>19.094999999999999</v>
      </c>
      <c r="G7174" s="30">
        <f t="shared" si="216"/>
        <v>1999.0956494999998</v>
      </c>
      <c r="H7174" s="35">
        <f>SUM(G7174:G7174)</f>
        <v>1999.0956494999998</v>
      </c>
      <c r="I7174" s="36"/>
      <c r="J7174" s="141">
        <v>0</v>
      </c>
    </row>
    <row r="7175" spans="1:10" ht="15.75" hidden="1" thickBot="1" x14ac:dyDescent="0.3">
      <c r="A7175" s="226"/>
      <c r="B7175" s="244"/>
      <c r="C7175" s="155"/>
      <c r="D7175" s="43"/>
      <c r="E7175" s="33"/>
      <c r="F7175" s="27" t="s">
        <v>523</v>
      </c>
      <c r="G7175" s="30" t="str">
        <f t="shared" si="216"/>
        <v/>
      </c>
      <c r="H7175" s="31"/>
      <c r="I7175" s="36"/>
      <c r="J7175" s="141">
        <v>0</v>
      </c>
    </row>
    <row r="7176" spans="1:10" ht="26.25" hidden="1" thickBot="1" x14ac:dyDescent="0.3">
      <c r="A7176" s="226"/>
      <c r="B7176" s="244"/>
      <c r="C7176" s="44" t="s">
        <v>783</v>
      </c>
      <c r="D7176" s="43"/>
      <c r="E7176" s="33"/>
      <c r="F7176" s="27" t="s">
        <v>523</v>
      </c>
      <c r="G7176" s="30" t="str">
        <f t="shared" si="216"/>
        <v/>
      </c>
      <c r="H7176" s="31"/>
      <c r="I7176" s="36"/>
      <c r="J7176" s="141">
        <v>0</v>
      </c>
    </row>
    <row r="7177" spans="1:10" ht="15.75" hidden="1" thickBot="1" x14ac:dyDescent="0.3">
      <c r="A7177" s="227"/>
      <c r="B7177" s="230"/>
      <c r="C7177" s="51"/>
      <c r="D7177" s="32"/>
      <c r="E7177" s="33"/>
      <c r="F7177" s="27" t="s">
        <v>523</v>
      </c>
      <c r="G7177" s="30" t="str">
        <f t="shared" si="216"/>
        <v/>
      </c>
      <c r="H7177" s="31"/>
      <c r="I7177" s="27"/>
      <c r="J7177" s="141">
        <v>0</v>
      </c>
    </row>
    <row r="7178" spans="1:10" ht="15.75" hidden="1" thickBot="1" x14ac:dyDescent="0.3">
      <c r="A7178" s="225" t="s">
        <v>7500</v>
      </c>
      <c r="B7178" s="228" t="str">
        <f>INDEX(Orçamentária!A:B,MATCH(Composições!A7178,Orçamentária!A:A,0),2)</f>
        <v>Ajudante de Bombeiro(a) Hidráulico(a) Plantonista (noturno)</v>
      </c>
      <c r="C7178" s="37"/>
      <c r="D7178" s="22" t="str">
        <f>TRIM(INDEX(Orçamentária!C:C,MATCH(Composições!A7178,Orçamentária!A:A,0),1))</f>
        <v>Profissional</v>
      </c>
      <c r="E7178" s="23"/>
      <c r="F7178" s="38" t="s">
        <v>523</v>
      </c>
      <c r="G7178" s="24" t="str">
        <f t="shared" si="216"/>
        <v/>
      </c>
      <c r="H7178" s="25"/>
      <c r="I7178" s="26"/>
      <c r="J7178" s="141">
        <v>0</v>
      </c>
    </row>
    <row r="7179" spans="1:10" ht="15.75" hidden="1" thickBot="1" x14ac:dyDescent="0.3">
      <c r="A7179" s="226"/>
      <c r="B7179" s="244"/>
      <c r="C7179" s="155"/>
      <c r="D7179" s="28"/>
      <c r="E7179" s="29"/>
      <c r="F7179" s="39" t="s">
        <v>523</v>
      </c>
      <c r="G7179" s="30" t="str">
        <f t="shared" si="216"/>
        <v/>
      </c>
      <c r="H7179" s="31"/>
      <c r="I7179" s="27"/>
      <c r="J7179" s="141">
        <v>0</v>
      </c>
    </row>
    <row r="7180" spans="1:10" ht="26.25" hidden="1" thickBot="1" x14ac:dyDescent="0.3">
      <c r="A7180" s="226"/>
      <c r="B7180" s="244"/>
      <c r="C7180" s="32" t="s">
        <v>956</v>
      </c>
      <c r="D7180" s="43" t="s">
        <v>12</v>
      </c>
      <c r="E7180" s="149">
        <f>ROUND(220/(1+110.14%),4)</f>
        <v>104.6921</v>
      </c>
      <c r="F7180" s="27">
        <v>19.094999999999999</v>
      </c>
      <c r="G7180" s="30">
        <f t="shared" si="216"/>
        <v>1999.0956494999998</v>
      </c>
      <c r="H7180" s="35">
        <f>SUM(G7180:G7180)</f>
        <v>1999.0956494999998</v>
      </c>
      <c r="I7180" s="36"/>
      <c r="J7180" s="141">
        <v>0</v>
      </c>
    </row>
    <row r="7181" spans="1:10" ht="15.75" hidden="1" thickBot="1" x14ac:dyDescent="0.3">
      <c r="A7181" s="226"/>
      <c r="B7181" s="244"/>
      <c r="C7181" s="155"/>
      <c r="D7181" s="43"/>
      <c r="E7181" s="33"/>
      <c r="F7181" s="27" t="s">
        <v>523</v>
      </c>
      <c r="G7181" s="30" t="str">
        <f t="shared" si="216"/>
        <v/>
      </c>
      <c r="H7181" s="31"/>
      <c r="I7181" s="36"/>
      <c r="J7181" s="141">
        <v>0</v>
      </c>
    </row>
    <row r="7182" spans="1:10" ht="26.25" hidden="1" thickBot="1" x14ac:dyDescent="0.3">
      <c r="A7182" s="226"/>
      <c r="B7182" s="244"/>
      <c r="C7182" s="44" t="s">
        <v>783</v>
      </c>
      <c r="D7182" s="43"/>
      <c r="E7182" s="33"/>
      <c r="F7182" s="27" t="s">
        <v>523</v>
      </c>
      <c r="G7182" s="30" t="str">
        <f t="shared" si="216"/>
        <v/>
      </c>
      <c r="H7182" s="31"/>
      <c r="I7182" s="36"/>
      <c r="J7182" s="141">
        <v>0</v>
      </c>
    </row>
    <row r="7183" spans="1:10" ht="15.75" hidden="1" thickBot="1" x14ac:dyDescent="0.3">
      <c r="A7183" s="227"/>
      <c r="B7183" s="230"/>
      <c r="C7183" s="51"/>
      <c r="D7183" s="32"/>
      <c r="E7183" s="33"/>
      <c r="F7183" s="27" t="s">
        <v>523</v>
      </c>
      <c r="G7183" s="30" t="str">
        <f t="shared" si="216"/>
        <v/>
      </c>
      <c r="H7183" s="31"/>
      <c r="I7183" s="27"/>
      <c r="J7183" s="141">
        <v>0</v>
      </c>
    </row>
    <row r="7184" spans="1:10" ht="15.75" hidden="1" thickBot="1" x14ac:dyDescent="0.3">
      <c r="A7184" s="225" t="s">
        <v>7504</v>
      </c>
      <c r="B7184" s="228" t="str">
        <f>INDEX(Orçamentária!A:B,MATCH(Composições!A7184,Orçamentária!A:A,0),2)</f>
        <v>Mangueira de incêndio tipo 2 - engate 2 1/2” - lance 15m</v>
      </c>
      <c r="C7184" s="37"/>
      <c r="D7184" s="22" t="str">
        <f>TRIM(INDEX(Orçamentária!C:C,MATCH(Composições!A7184,Orçamentária!A:A,0),1))</f>
        <v>un</v>
      </c>
      <c r="E7184" s="23"/>
      <c r="F7184" s="38" t="s">
        <v>523</v>
      </c>
      <c r="G7184" s="24" t="str">
        <f t="shared" si="216"/>
        <v/>
      </c>
      <c r="H7184" s="25"/>
      <c r="I7184" s="26"/>
      <c r="J7184" s="141">
        <v>0</v>
      </c>
    </row>
    <row r="7185" spans="1:10" ht="15.75" hidden="1" thickBot="1" x14ac:dyDescent="0.3">
      <c r="A7185" s="226"/>
      <c r="B7185" s="229"/>
      <c r="C7185" s="28"/>
      <c r="D7185" s="28"/>
      <c r="E7185" s="29"/>
      <c r="F7185" s="39" t="s">
        <v>523</v>
      </c>
      <c r="G7185" s="27" t="str">
        <f t="shared" si="216"/>
        <v/>
      </c>
      <c r="H7185" s="31"/>
      <c r="I7185" s="27"/>
      <c r="J7185" s="141">
        <v>0</v>
      </c>
    </row>
    <row r="7186" spans="1:10" ht="39" hidden="1" thickBot="1" x14ac:dyDescent="0.3">
      <c r="A7186" s="226"/>
      <c r="B7186" s="229"/>
      <c r="C7186" s="161" t="s">
        <v>7621</v>
      </c>
      <c r="D7186" s="43" t="s">
        <v>20</v>
      </c>
      <c r="E7186" s="149">
        <v>1</v>
      </c>
      <c r="F7186" s="27">
        <v>603.47799999999995</v>
      </c>
      <c r="G7186" s="27">
        <f t="shared" si="216"/>
        <v>603.47799999999995</v>
      </c>
      <c r="H7186" s="35">
        <f t="shared" si="215"/>
        <v>603.47799999999995</v>
      </c>
      <c r="I7186" s="36"/>
      <c r="J7186" s="141">
        <v>0</v>
      </c>
    </row>
    <row r="7187" spans="1:10" ht="15.75" hidden="1" thickBot="1" x14ac:dyDescent="0.3">
      <c r="A7187" s="227"/>
      <c r="B7187" s="230"/>
      <c r="C7187" s="51"/>
      <c r="D7187" s="51"/>
      <c r="E7187" s="62"/>
      <c r="F7187" s="63" t="s">
        <v>523</v>
      </c>
      <c r="G7187" s="63" t="str">
        <f t="shared" si="216"/>
        <v/>
      </c>
      <c r="H7187" s="65"/>
      <c r="I7187" s="27"/>
      <c r="J7187" s="141">
        <v>0</v>
      </c>
    </row>
    <row r="7188" spans="1:10" ht="15.75" hidden="1" thickBot="1" x14ac:dyDescent="0.3">
      <c r="A7188" s="225" t="s">
        <v>7506</v>
      </c>
      <c r="B7188" s="228" t="str">
        <f>INDEX(Orçamentária!A:B,MATCH(Composições!A7188,Orçamentária!A:A,0),2)</f>
        <v>Manômetro DN100 (4”) até 150psi - para aferição (NBR 14105-1 classe A1)</v>
      </c>
      <c r="C7188" s="37"/>
      <c r="D7188" s="22" t="str">
        <f>TRIM(INDEX(Orçamentária!C:C,MATCH(Composições!A7188,Orçamentária!A:A,0),1))</f>
        <v>un</v>
      </c>
      <c r="E7188" s="23"/>
      <c r="F7188" s="38" t="s">
        <v>523</v>
      </c>
      <c r="G7188" s="24" t="str">
        <f t="shared" si="216"/>
        <v/>
      </c>
      <c r="H7188" s="25"/>
      <c r="I7188" s="26"/>
      <c r="J7188" s="141">
        <v>0</v>
      </c>
    </row>
    <row r="7189" spans="1:10" ht="15.75" hidden="1" thickBot="1" x14ac:dyDescent="0.3">
      <c r="A7189" s="226"/>
      <c r="B7189" s="229"/>
      <c r="C7189" s="28"/>
      <c r="D7189" s="28"/>
      <c r="E7189" s="29"/>
      <c r="F7189" s="39" t="s">
        <v>523</v>
      </c>
      <c r="G7189" s="27" t="str">
        <f t="shared" si="216"/>
        <v/>
      </c>
      <c r="H7189" s="31"/>
      <c r="I7189" s="27"/>
      <c r="J7189" s="141">
        <v>0</v>
      </c>
    </row>
    <row r="7190" spans="1:10" ht="26.25" hidden="1" thickBot="1" x14ac:dyDescent="0.3">
      <c r="A7190" s="226"/>
      <c r="B7190" s="229"/>
      <c r="C7190" s="161" t="s">
        <v>7623</v>
      </c>
      <c r="D7190" s="43" t="s">
        <v>20</v>
      </c>
      <c r="E7190" s="149">
        <v>1</v>
      </c>
      <c r="F7190" s="27">
        <v>161.44299999999998</v>
      </c>
      <c r="G7190" s="27">
        <f t="shared" si="216"/>
        <v>161.44299999999998</v>
      </c>
      <c r="H7190" s="35">
        <f t="shared" si="215"/>
        <v>161.44299999999998</v>
      </c>
      <c r="I7190" s="36"/>
      <c r="J7190" s="141">
        <v>0</v>
      </c>
    </row>
    <row r="7191" spans="1:10" ht="15.75" hidden="1" thickBot="1" x14ac:dyDescent="0.3">
      <c r="A7191" s="227"/>
      <c r="B7191" s="230"/>
      <c r="C7191" s="51"/>
      <c r="D7191" s="51"/>
      <c r="E7191" s="62"/>
      <c r="F7191" s="63" t="s">
        <v>523</v>
      </c>
      <c r="G7191" s="63" t="str">
        <f t="shared" si="216"/>
        <v/>
      </c>
      <c r="H7191" s="65"/>
      <c r="I7191" s="27"/>
      <c r="J7191" s="141">
        <v>0</v>
      </c>
    </row>
    <row r="7192" spans="1:10" ht="15.75" hidden="1" thickBot="1" x14ac:dyDescent="0.3">
      <c r="A7192" s="225" t="s">
        <v>7536</v>
      </c>
      <c r="B7192" s="228" t="str">
        <f>INDEX(Orçamentária!A:B,MATCH(Composições!A7192,Orçamentária!A:A,0),2)</f>
        <v>Bucha de redução em ferro galvanizado 3” X 2 1/2”</v>
      </c>
      <c r="C7192" s="37"/>
      <c r="D7192" s="22" t="str">
        <f>TRIM(INDEX(Orçamentária!C:C,MATCH(Composições!A7192,Orçamentária!A:A,0),1))</f>
        <v>un</v>
      </c>
      <c r="E7192" s="23"/>
      <c r="F7192" s="38" t="s">
        <v>523</v>
      </c>
      <c r="G7192" s="24" t="str">
        <f t="shared" si="216"/>
        <v/>
      </c>
      <c r="H7192" s="25"/>
      <c r="I7192" s="26"/>
      <c r="J7192" s="141">
        <v>0</v>
      </c>
    </row>
    <row r="7193" spans="1:10" ht="15.75" hidden="1" thickBot="1" x14ac:dyDescent="0.3">
      <c r="A7193" s="226"/>
      <c r="B7193" s="229"/>
      <c r="C7193" s="28"/>
      <c r="D7193" s="28"/>
      <c r="E7193" s="29"/>
      <c r="F7193" s="39" t="s">
        <v>523</v>
      </c>
      <c r="G7193" s="27" t="str">
        <f t="shared" si="216"/>
        <v/>
      </c>
      <c r="H7193" s="31"/>
      <c r="I7193" s="27"/>
      <c r="J7193" s="141">
        <v>0</v>
      </c>
    </row>
    <row r="7194" spans="1:10" ht="26.25" hidden="1" thickBot="1" x14ac:dyDescent="0.3">
      <c r="A7194" s="226"/>
      <c r="B7194" s="229"/>
      <c r="C7194" s="161" t="s">
        <v>7581</v>
      </c>
      <c r="D7194" s="43" t="s">
        <v>20</v>
      </c>
      <c r="E7194" s="149">
        <v>1</v>
      </c>
      <c r="F7194" s="27">
        <v>64.115499999999997</v>
      </c>
      <c r="G7194" s="27">
        <f t="shared" si="216"/>
        <v>64.115499999999997</v>
      </c>
      <c r="H7194" s="35">
        <f t="shared" si="215"/>
        <v>64.115499999999997</v>
      </c>
      <c r="I7194" s="36"/>
      <c r="J7194" s="141">
        <v>0</v>
      </c>
    </row>
    <row r="7195" spans="1:10" ht="15.75" hidden="1" thickBot="1" x14ac:dyDescent="0.3">
      <c r="A7195" s="227"/>
      <c r="B7195" s="230"/>
      <c r="C7195" s="51"/>
      <c r="D7195" s="51"/>
      <c r="E7195" s="62"/>
      <c r="F7195" s="63" t="s">
        <v>523</v>
      </c>
      <c r="G7195" s="63" t="str">
        <f t="shared" si="216"/>
        <v/>
      </c>
      <c r="H7195" s="65"/>
      <c r="I7195" s="27"/>
      <c r="J7195" s="141">
        <v>0</v>
      </c>
    </row>
    <row r="7196" spans="1:10" ht="15.75" hidden="1" thickBot="1" x14ac:dyDescent="0.3">
      <c r="A7196" s="225" t="s">
        <v>7538</v>
      </c>
      <c r="B7196" s="228" t="str">
        <f>INDEX(Orçamentária!A:B,MATCH(Composições!A7196,Orçamentária!A:A,0),2)</f>
        <v>Tubo de aço-carbono galvanizado 1 1/2” – Água Potável e Combate a Incêndio</v>
      </c>
      <c r="C7196" s="37"/>
      <c r="D7196" s="22" t="str">
        <f>TRIM(INDEX(Orçamentária!C:C,MATCH(Composições!A7196,Orçamentária!A:A,0),1))</f>
        <v>m</v>
      </c>
      <c r="E7196" s="23"/>
      <c r="F7196" s="38" t="s">
        <v>523</v>
      </c>
      <c r="G7196" s="24" t="str">
        <f t="shared" si="216"/>
        <v/>
      </c>
      <c r="H7196" s="25"/>
      <c r="I7196" s="26"/>
      <c r="J7196" s="141">
        <v>0</v>
      </c>
    </row>
    <row r="7197" spans="1:10" ht="15.75" hidden="1" thickBot="1" x14ac:dyDescent="0.3">
      <c r="A7197" s="226"/>
      <c r="B7197" s="229"/>
      <c r="C7197" s="28"/>
      <c r="D7197" s="28"/>
      <c r="E7197" s="29"/>
      <c r="F7197" s="39" t="s">
        <v>523</v>
      </c>
      <c r="G7197" s="27" t="str">
        <f t="shared" si="216"/>
        <v/>
      </c>
      <c r="H7197" s="31"/>
      <c r="I7197" s="27"/>
      <c r="J7197" s="141">
        <v>0</v>
      </c>
    </row>
    <row r="7198" spans="1:10" ht="26.25" hidden="1" thickBot="1" x14ac:dyDescent="0.3">
      <c r="A7198" s="226"/>
      <c r="B7198" s="229"/>
      <c r="C7198" s="161" t="s">
        <v>7746</v>
      </c>
      <c r="D7198" s="43" t="s">
        <v>93</v>
      </c>
      <c r="E7198" s="149">
        <v>1</v>
      </c>
      <c r="F7198" s="27">
        <v>64.219999999999985</v>
      </c>
      <c r="G7198" s="27">
        <f t="shared" si="216"/>
        <v>64.219999999999985</v>
      </c>
      <c r="H7198" s="35">
        <f t="shared" ref="H7198" si="217">SUM(G7198:G7198)</f>
        <v>64.219999999999985</v>
      </c>
      <c r="I7198" s="36"/>
      <c r="J7198" s="141">
        <v>0</v>
      </c>
    </row>
    <row r="7199" spans="1:10" ht="15.75" hidden="1" thickBot="1" x14ac:dyDescent="0.3">
      <c r="A7199" s="227"/>
      <c r="B7199" s="230"/>
      <c r="C7199" s="51"/>
      <c r="D7199" s="51"/>
      <c r="E7199" s="62"/>
      <c r="F7199" s="63" t="s">
        <v>523</v>
      </c>
      <c r="G7199" s="63" t="str">
        <f t="shared" si="216"/>
        <v/>
      </c>
      <c r="H7199" s="65"/>
      <c r="I7199" s="27"/>
      <c r="J7199" s="141">
        <v>0</v>
      </c>
    </row>
    <row r="7200" spans="1:10" ht="15.75" thickBot="1" x14ac:dyDescent="0.3">
      <c r="A7200" s="225" t="s">
        <v>7556</v>
      </c>
      <c r="B7200" s="228" t="str">
        <f>INDEX(Orçamentária!A:B,MATCH(Composições!A7200,Orçamentária!A:A,0),2)</f>
        <v>Grelha para retorno quadrada 225x225 mm</v>
      </c>
      <c r="C7200" s="37"/>
      <c r="D7200" s="22" t="str">
        <f>TRIM(INDEX(Orçamentária!C:C,MATCH(Composições!A7200,Orçamentária!A:A,0),1))</f>
        <v>un</v>
      </c>
      <c r="E7200" s="23"/>
      <c r="F7200" s="38" t="s">
        <v>523</v>
      </c>
      <c r="G7200" s="24" t="str">
        <f t="shared" si="216"/>
        <v/>
      </c>
      <c r="H7200" s="25"/>
      <c r="I7200" s="26"/>
      <c r="J7200" s="141">
        <v>27</v>
      </c>
    </row>
    <row r="7201" spans="1:10" x14ac:dyDescent="0.25">
      <c r="A7201" s="226"/>
      <c r="B7201" s="229"/>
      <c r="C7201" s="146"/>
      <c r="D7201" s="146"/>
      <c r="E7201" s="147"/>
      <c r="F7201" s="39" t="s">
        <v>523</v>
      </c>
      <c r="G7201" s="27" t="str">
        <f t="shared" si="216"/>
        <v/>
      </c>
      <c r="H7201" s="31"/>
      <c r="I7201" s="27"/>
      <c r="J7201" s="141">
        <v>27</v>
      </c>
    </row>
    <row r="7202" spans="1:10" x14ac:dyDescent="0.25">
      <c r="A7202" s="226"/>
      <c r="B7202" s="229"/>
      <c r="C7202" s="148" t="s">
        <v>52</v>
      </c>
      <c r="D7202" s="150" t="s">
        <v>12</v>
      </c>
      <c r="E7202" s="149">
        <v>3.5</v>
      </c>
      <c r="F7202" s="27">
        <v>21.184999999999999</v>
      </c>
      <c r="G7202" s="30">
        <f t="shared" ref="G7202:G7210" si="218">IF(ISNUMBER(F7202),E7202*F7202,"")</f>
        <v>74.147499999999994</v>
      </c>
      <c r="H7202" s="35">
        <f>SUM(G7202:G7204)</f>
        <v>335.71574999999996</v>
      </c>
      <c r="I7202" s="36"/>
      <c r="J7202" s="141">
        <v>27</v>
      </c>
    </row>
    <row r="7203" spans="1:10" ht="25.5" x14ac:dyDescent="0.25">
      <c r="A7203" s="226"/>
      <c r="B7203" s="229"/>
      <c r="C7203" s="148" t="s">
        <v>571</v>
      </c>
      <c r="D7203" s="150" t="s">
        <v>12</v>
      </c>
      <c r="E7203" s="149">
        <v>3.5</v>
      </c>
      <c r="F7203" s="27">
        <v>26.419499999999999</v>
      </c>
      <c r="G7203" s="30">
        <f t="shared" si="218"/>
        <v>92.468249999999998</v>
      </c>
      <c r="H7203" s="31"/>
      <c r="I7203" s="27"/>
      <c r="J7203" s="141">
        <v>27</v>
      </c>
    </row>
    <row r="7204" spans="1:10" x14ac:dyDescent="0.25">
      <c r="A7204" s="226"/>
      <c r="B7204" s="229"/>
      <c r="C7204" s="148" t="s">
        <v>7771</v>
      </c>
      <c r="D7204" s="148" t="s">
        <v>144</v>
      </c>
      <c r="E7204" s="149">
        <v>1</v>
      </c>
      <c r="F7204" s="30">
        <v>169.1</v>
      </c>
      <c r="G7204" s="30">
        <f t="shared" si="218"/>
        <v>169.1</v>
      </c>
      <c r="H7204" s="31"/>
      <c r="I7204" s="27"/>
      <c r="J7204" s="141">
        <v>27</v>
      </c>
    </row>
    <row r="7205" spans="1:10" ht="15.75" thickBot="1" x14ac:dyDescent="0.3">
      <c r="A7205" s="227"/>
      <c r="B7205" s="230"/>
      <c r="C7205" s="51"/>
      <c r="D7205" s="51"/>
      <c r="E7205" s="62"/>
      <c r="F7205" s="63" t="s">
        <v>523</v>
      </c>
      <c r="G7205" s="63" t="str">
        <f t="shared" si="218"/>
        <v/>
      </c>
      <c r="H7205" s="65"/>
      <c r="I7205" s="27"/>
      <c r="J7205" s="141">
        <v>27</v>
      </c>
    </row>
    <row r="7206" spans="1:10" ht="15.75" hidden="1" thickBot="1" x14ac:dyDescent="0.3">
      <c r="A7206" s="225" t="s">
        <v>7560</v>
      </c>
      <c r="B7206" s="228" t="str">
        <f>INDEX(Orçamentária!A:B,MATCH(Composições!A7206,Orçamentária!A:A,0),2)</f>
        <v>Instalação de quadros elétricos ou de telecomunicações</v>
      </c>
      <c r="C7206" s="37"/>
      <c r="D7206" s="22" t="str">
        <f>TRIM(INDEX(Orçamentária!C:C,MATCH(Composições!A7206,Orçamentária!A:A,0),1))</f>
        <v>un</v>
      </c>
      <c r="E7206" s="23"/>
      <c r="F7206" s="45" t="s">
        <v>523</v>
      </c>
      <c r="G7206" s="24" t="str">
        <f t="shared" si="218"/>
        <v/>
      </c>
      <c r="H7206" s="25"/>
      <c r="I7206" s="26"/>
      <c r="J7206" s="141">
        <v>0</v>
      </c>
    </row>
    <row r="7207" spans="1:10" hidden="1" x14ac:dyDescent="0.25">
      <c r="A7207" s="231"/>
      <c r="B7207" s="229"/>
      <c r="C7207" s="155"/>
      <c r="D7207" s="155"/>
      <c r="E7207" s="156"/>
      <c r="F7207" s="50" t="s">
        <v>523</v>
      </c>
      <c r="G7207" s="50" t="str">
        <f t="shared" si="218"/>
        <v/>
      </c>
      <c r="H7207" s="69"/>
      <c r="I7207" s="70"/>
      <c r="J7207" s="141">
        <v>0</v>
      </c>
    </row>
    <row r="7208" spans="1:10" ht="38.25" hidden="1" x14ac:dyDescent="0.25">
      <c r="A7208" s="231"/>
      <c r="B7208" s="229"/>
      <c r="C7208" s="32" t="s">
        <v>3235</v>
      </c>
      <c r="D7208" s="43" t="s">
        <v>120</v>
      </c>
      <c r="E7208" s="33">
        <v>1.9199999999999998E-2</v>
      </c>
      <c r="F7208" s="27">
        <v>753.7486302599998</v>
      </c>
      <c r="G7208" s="50">
        <f t="shared" si="218"/>
        <v>14.471973700991995</v>
      </c>
      <c r="H7208" s="35">
        <f>SUM(G7208:G7210)</f>
        <v>42.706477200991998</v>
      </c>
      <c r="I7208" s="36"/>
      <c r="J7208" s="141">
        <v>0</v>
      </c>
    </row>
    <row r="7209" spans="1:10" hidden="1" x14ac:dyDescent="0.25">
      <c r="A7209" s="231"/>
      <c r="B7209" s="229"/>
      <c r="C7209" s="32" t="s">
        <v>74</v>
      </c>
      <c r="D7209" s="43" t="s">
        <v>12</v>
      </c>
      <c r="E7209" s="33">
        <v>0.63370000000000004</v>
      </c>
      <c r="F7209" s="27">
        <v>19.4085</v>
      </c>
      <c r="G7209" s="50">
        <f t="shared" si="218"/>
        <v>12.299166450000001</v>
      </c>
      <c r="H7209" s="40"/>
      <c r="I7209" s="36"/>
      <c r="J7209" s="141">
        <v>0</v>
      </c>
    </row>
    <row r="7210" spans="1:10" hidden="1" x14ac:dyDescent="0.25">
      <c r="A7210" s="231"/>
      <c r="B7210" s="229"/>
      <c r="C7210" s="32" t="s">
        <v>30</v>
      </c>
      <c r="D7210" s="43" t="s">
        <v>12</v>
      </c>
      <c r="E7210" s="33">
        <v>0.63370000000000004</v>
      </c>
      <c r="F7210" s="27">
        <v>25.146499999999996</v>
      </c>
      <c r="G7210" s="50">
        <f t="shared" si="218"/>
        <v>15.935337049999999</v>
      </c>
      <c r="H7210" s="40"/>
      <c r="I7210" s="36"/>
      <c r="J7210" s="141">
        <v>0</v>
      </c>
    </row>
    <row r="7211" spans="1:10" ht="15.75" hidden="1" thickBot="1" x14ac:dyDescent="0.3">
      <c r="A7211" s="232"/>
      <c r="B7211" s="230"/>
      <c r="C7211" s="32"/>
      <c r="D7211" s="148"/>
      <c r="E7211" s="149"/>
      <c r="F7211" s="27" t="s">
        <v>523</v>
      </c>
      <c r="G7211" s="50"/>
      <c r="H7211" s="40"/>
      <c r="I7211" s="36"/>
      <c r="J7211" s="141">
        <v>0</v>
      </c>
    </row>
    <row r="7212" spans="1:10" ht="15.75" hidden="1" thickBot="1" x14ac:dyDescent="0.3">
      <c r="A7212" s="225" t="s">
        <v>7561</v>
      </c>
      <c r="B7212" s="228" t="str">
        <f>INDEX(Orçamentária!A:B,MATCH(Composições!A7212,Orçamentária!A:A,0),2)</f>
        <v>Condulete de alumínio de 3" – fornecimento e instalação</v>
      </c>
      <c r="C7212" s="37"/>
      <c r="D7212" s="22" t="str">
        <f>TRIM(INDEX(Orçamentária!C:C,MATCH(Composições!A7212,Orçamentária!A:A,0),1))</f>
        <v>un</v>
      </c>
      <c r="E7212" s="23"/>
      <c r="F7212" s="45" t="s">
        <v>523</v>
      </c>
      <c r="G7212" s="24" t="str">
        <f t="shared" ref="G7212:G7218" si="219">IF(ISNUMBER(F7212),E7212*F7212,"")</f>
        <v/>
      </c>
      <c r="H7212" s="25"/>
      <c r="I7212" s="26"/>
      <c r="J7212" s="141">
        <v>0</v>
      </c>
    </row>
    <row r="7213" spans="1:10" hidden="1" x14ac:dyDescent="0.25">
      <c r="A7213" s="231"/>
      <c r="B7213" s="229"/>
      <c r="C7213" s="155"/>
      <c r="D7213" s="155"/>
      <c r="E7213" s="156"/>
      <c r="F7213" s="50" t="s">
        <v>523</v>
      </c>
      <c r="G7213" s="50" t="str">
        <f t="shared" si="219"/>
        <v/>
      </c>
      <c r="H7213" s="69"/>
      <c r="I7213" s="70"/>
      <c r="J7213" s="141">
        <v>0</v>
      </c>
    </row>
    <row r="7214" spans="1:10" ht="25.5" hidden="1" x14ac:dyDescent="0.25">
      <c r="A7214" s="231"/>
      <c r="B7214" s="229"/>
      <c r="C7214" s="32" t="s">
        <v>3280</v>
      </c>
      <c r="D7214" s="148" t="s">
        <v>20</v>
      </c>
      <c r="E7214" s="149">
        <v>1</v>
      </c>
      <c r="F7214" s="27">
        <v>119.26300000000001</v>
      </c>
      <c r="G7214" s="50">
        <f t="shared" si="219"/>
        <v>119.26300000000001</v>
      </c>
      <c r="H7214" s="35">
        <f>SUM(G7214:G7217)</f>
        <v>142.85861550000001</v>
      </c>
      <c r="I7214" s="36"/>
      <c r="J7214" s="141">
        <v>0</v>
      </c>
    </row>
    <row r="7215" spans="1:10" ht="38.25" hidden="1" x14ac:dyDescent="0.25">
      <c r="A7215" s="231"/>
      <c r="B7215" s="229"/>
      <c r="C7215" s="32" t="s">
        <v>3257</v>
      </c>
      <c r="D7215" s="32" t="s">
        <v>20</v>
      </c>
      <c r="E7215" s="33">
        <v>2</v>
      </c>
      <c r="F7215" s="30">
        <v>0.38949999999999996</v>
      </c>
      <c r="G7215" s="30">
        <f t="shared" si="219"/>
        <v>0.77899999999999991</v>
      </c>
      <c r="H7215" s="31"/>
      <c r="I7215" s="27"/>
      <c r="J7215" s="141">
        <v>0</v>
      </c>
    </row>
    <row r="7216" spans="1:10" hidden="1" x14ac:dyDescent="0.25">
      <c r="A7216" s="231"/>
      <c r="B7216" s="229"/>
      <c r="C7216" s="32" t="s">
        <v>1164</v>
      </c>
      <c r="D7216" s="148" t="s">
        <v>705</v>
      </c>
      <c r="E7216" s="33">
        <v>0.5121</v>
      </c>
      <c r="F7216" s="27">
        <v>19.4085</v>
      </c>
      <c r="G7216" s="50">
        <f t="shared" si="219"/>
        <v>9.9390928499999998</v>
      </c>
      <c r="H7216" s="40"/>
      <c r="I7216" s="36"/>
      <c r="J7216" s="141">
        <v>0</v>
      </c>
    </row>
    <row r="7217" spans="1:10" hidden="1" x14ac:dyDescent="0.25">
      <c r="A7217" s="231"/>
      <c r="B7217" s="229"/>
      <c r="C7217" s="32" t="s">
        <v>1165</v>
      </c>
      <c r="D7217" s="148" t="s">
        <v>705</v>
      </c>
      <c r="E7217" s="33">
        <v>0.5121</v>
      </c>
      <c r="F7217" s="27">
        <v>25.146499999999996</v>
      </c>
      <c r="G7217" s="50">
        <f t="shared" si="219"/>
        <v>12.877522649999998</v>
      </c>
      <c r="H7217" s="40"/>
      <c r="I7217" s="36"/>
      <c r="J7217" s="141">
        <v>0</v>
      </c>
    </row>
    <row r="7218" spans="1:10" ht="15.75" hidden="1" thickBot="1" x14ac:dyDescent="0.3">
      <c r="A7218" s="232"/>
      <c r="B7218" s="230"/>
      <c r="C7218" s="51"/>
      <c r="D7218" s="151"/>
      <c r="E7218" s="62"/>
      <c r="F7218" s="72" t="s">
        <v>523</v>
      </c>
      <c r="G7218" s="72" t="str">
        <f t="shared" si="219"/>
        <v/>
      </c>
      <c r="H7218" s="73"/>
      <c r="I7218" s="70"/>
      <c r="J7218" s="141">
        <v>0</v>
      </c>
    </row>
  </sheetData>
  <protectedRanges>
    <protectedRange sqref="C217 C108 C3204:C3205 C816 C3348 C1856 C1862 C1898 C1874 C1892 C1868 C1880 C1886 C1904 C1910 C1815 C1820 C1916 C2400 C3209 C3336 C3245 C3266 C3213 C3220 C3179 C3251 C3261 C3235 C3241 C3253 C3342 C1937 C1942 C1947 C2778 C2414 C2799 C2804 C2434 C2406 C2410 C2418 C2422 C2426 C2430 C2438 C2770 C118 C2738 C2746 C2758 C2750" name="COTACOES_92_6"/>
    <protectedRange sqref="C355" name="COTACOES_14_1_1"/>
    <protectedRange sqref="C421 C400" name="COTACOES_92_13_1"/>
    <protectedRange sqref="C507" name="COTACOES_92_4_1_1"/>
    <protectedRange sqref="C500" name="COTACOES_92_4_2_1"/>
    <protectedRange sqref="C794:C795 C762 C759:C760 C776:C777 C779 C800" name="COTACOES_92_3_1_1"/>
    <protectedRange sqref="C750" name="COTACOES_92_22_1"/>
    <protectedRange sqref="C1229" name="COTACOES_91_1_2_1"/>
    <protectedRange sqref="C1223" name="COTACOES_91_1_3_1"/>
    <protectedRange sqref="C1390:C1391" name="COTACOES_68_1_1"/>
    <protectedRange sqref="F1528 F1544 F1520 F1512 F1536" name="COTACOES_27_1_2_1_8_1"/>
    <protectedRange sqref="C1552 C1528 C1544 C1520 C1512 C1536" name="COTACOES_5_1_8_1"/>
    <protectedRange sqref="C1409:C1413 C1424:C1428 C1439:C1443 C1454:C1458 C1469:C1473 C1484:C1488 C1499:C1503" name="COTACOES_32_1_1"/>
    <protectedRange sqref="F1584 F1587 F1590" name="COTACOES_27_1_2_1_17_1"/>
    <protectedRange sqref="C1583:C1588 C1590:C1591" name="COTACOES_5_1_17_1"/>
    <protectedRange sqref="C1648 C1631 C1625 C1654 C5069 C5075" name="COTACOES_15_1_1"/>
    <protectedRange sqref="C1737 C1748 C1739 C1750" name="COTACOES_8_1_1"/>
    <protectedRange sqref="C1715 C4928:C4929 C4935:C4936 C4942:C4943 C4949:C4950 C4992:C4993 C5005:C5006 C5011 C5015:C5016 C5021:C5022 C5036:C5037 C5081:C5082 C5603 C5607 C5611 C5615 C1726 C1717 C1728" name="COTACOES_9_1_1_3"/>
    <protectedRange sqref="C1701" name="COTACOES_10_1_1"/>
    <protectedRange sqref="C1775" name="COTACOES_42_1_3"/>
    <protectedRange sqref="C1789" name="COTACOES_42_1_1_1"/>
    <protectedRange sqref="C1803" name="COTACOES_42_1_2_1"/>
    <protectedRange sqref="F1761" name="COTACOES_27_1_1_3_1"/>
    <protectedRange sqref="F1768" name="COTACOES_27_1_1_4_1"/>
    <protectedRange sqref="C1827" name="COTACOES_37_1_1"/>
    <protectedRange sqref="C1833" name="COTACOES_82_1_1"/>
    <protectedRange sqref="C1846" name="COTACOES_58_1_1"/>
    <protectedRange sqref="C1852" name="COTACOES_61_1_1"/>
    <protectedRange sqref="C1858" name="COTACOES_40_1_1"/>
    <protectedRange sqref="C1864" name="COTACOES_36_1_2"/>
    <protectedRange sqref="C1900" name="COTACOES_41_1_2"/>
    <protectedRange sqref="C1876 C1894" name="COTACOES_41_1_1_1"/>
    <protectedRange sqref="C1870" name="COTACOES_36_1_1_1"/>
    <protectedRange sqref="C1882 C1888" name="COTACOES_44_1_1"/>
    <protectedRange sqref="C1906" name="COTACOES_51_1_1"/>
    <protectedRange sqref="F1906" name="COTACOES_54_1_1"/>
    <protectedRange sqref="C1912 C2402 C3089:C3090 C3239 C3233 C3216 C3269 C3223:C3225 C2779 C2794 C2814" name="COTACOES_55_1_3"/>
    <protectedRange sqref="F1912" name="COTACOES_57_1_1"/>
    <protectedRange sqref="C1956" name="COTACOES_75_1_2"/>
    <protectedRange sqref="C1962" name="COTACOES_75_1_1_1"/>
    <protectedRange sqref="C1992 C1984" name="COTACOES_78_1_1"/>
    <protectedRange sqref="C1975" name="COTACOES_80_1_2"/>
    <protectedRange sqref="C1968" name="COTACOES_80_1_1_1"/>
    <protectedRange sqref="C2333" name="COTACOES_62_1_1"/>
    <protectedRange sqref="C2394" name="COTACOES_4_1_1"/>
    <protectedRange sqref="C834:C835" name="COTACOES_92_4_3"/>
    <protectedRange sqref="C785" name="COTACOES_92_2_7"/>
    <protectedRange sqref="C3362" name="COTACOES_92_2_3_2"/>
    <protectedRange sqref="C3365" name="COTACOES_55_1_1_3"/>
    <protectedRange sqref="C3370" name="COTACOES_92_2_5_1"/>
    <protectedRange sqref="C3376" name="COTACOES_55_1_2_1"/>
    <protectedRange sqref="C3678:C3680" name="COTACOES_55_1_1_1_1"/>
    <protectedRange sqref="C3698:C3700 C3713" name="COTACOES_55_1_1_2_1"/>
    <protectedRange sqref="C3704" name="COTACOES_92_1_2_1"/>
    <protectedRange sqref="C3832 C3772 C3711:C3712 C3714 C3706:C3709 C3778 C3784 C3790 C3796 C3802 C3808 C3814 C3820 C3826" name="COTACOES_55_1_1_4_1"/>
    <protectedRange sqref="C3861 C3870" name="COTACOES_92_12_1"/>
    <protectedRange sqref="C3864:C3865 C3873:C3874" name="COTACOES_55_1_5_1"/>
    <protectedRange sqref="C3878" name="COTACOES_92_14_1"/>
    <protectedRange sqref="C3880:C3882" name="COTACOES_55_1_6_1"/>
    <protectedRange sqref="C3890:C3900" name="COTACOES_92_15_1"/>
    <protectedRange sqref="C3955" name="COTACOES_9_1_1_1_1"/>
    <protectedRange sqref="C3965:C3966" name="COTACOES_9_1_1_2_1"/>
    <protectedRange sqref="C3997" name="COTACOES_92_16_1"/>
    <protectedRange sqref="C4000:C4001" name="COTACOES_55_1_7_2"/>
    <protectedRange sqref="C4010" name="COTACOES_92_17_2"/>
    <protectedRange sqref="C4016:C4018" name="COTACOES_55_1_8_1"/>
    <protectedRange sqref="C3982 C4154 C4187 C4201 C4219" name="COTACOES_55_1_7_1_2"/>
    <protectedRange sqref="C4036 C4045 C4054 C4063 C4072 C4081" name="COTACOES_92_17_1_1"/>
    <protectedRange sqref="C4102" name="COTACOES_55_1_7_1_1_1"/>
    <protectedRange sqref="C2442 C2654 C2450 C2462 C2466 C2470 C2474 C2478 C2482 C2486 C2490 C2494 C2498 C2502 C2506 C2510 C2514 C2518 C2522 C2526 C2530 C2534 C2538 C2542 C2546 C2550 C2554 C2558 C2658 C2454 C2458" name="COTACOES_92_3_2"/>
    <protectedRange sqref="C2562 C2566 C2570 C2590 C2582 C2584:C2585 C2592:C2593 C2598 C2600:C2601 C2610 C2614 C2618 C2626 C2630 C2634 C2638 C2646 C2622 C2650" name="COTACOES_92_5_2"/>
    <protectedRange sqref="C4119 C4109:C4111 C4115:C4116" name="COTACOES_55_1_7_1_1_1_1"/>
    <protectedRange sqref="C4368" name="COTACOES_92_17_1_1_1"/>
    <protectedRange sqref="C2662:C2664 C2668:C2670 C2674:C2676 C2680:C2682 C2686:C2688 C2692:C2694 C2704:C2706 C2710:C2712 C2716:C2718 C2698:C2700 C7126:C7128 C7132:C7134 C7139:C7140 C7145:C7146 C7151:C7152" name="COTACOES_92_3_2_1"/>
    <protectedRange sqref="C4350" name="COTACOES_92_17_1_1_1_1"/>
    <protectedRange sqref="C388" name="COTACOES_92_3_1_1_1"/>
    <protectedRange sqref="C409" name="COTACOES_92_3_1_1_2"/>
    <protectedRange sqref="C418" name="COTACOES_92_3_1_1_3"/>
    <protectedRange sqref="C797" name="COTACOES_92_3_1_1_4"/>
    <protectedRange sqref="C808" name="COTACOES_92_3_1_1_5"/>
    <protectedRange sqref="C2578" name="COTACOES_92_5_2_1"/>
    <protectedRange sqref="C4220" name="COTACOES_92_5_2_2"/>
    <protectedRange sqref="C1738" name="COTACOES_9_1_1_3_1"/>
    <protectedRange sqref="C1749" name="COTACOES_9_1_1_3_2"/>
    <protectedRange sqref="C1716 C1727" name="COTACOES_9_1_1_3_3"/>
    <protectedRange sqref="C5378 C5380 C5386 C5388 C5394 C5396 C5402 C5404 C5437:C5438 C5431:C5432 C5450:C5451 C5456:C5457" name="COTACOES_8_1_1_1"/>
    <protectedRange sqref="C5379 C5387 C5395 C5403" name="COTACOES_9_1_1_3_4"/>
    <protectedRange sqref="C6372 C6374 C6379:C6380 C6414 C6385 C6387 C6436" name="COTACOES_8_1_1_2"/>
    <protectedRange sqref="C6373 C6386" name="COTACOES_9_1_1_3_5"/>
    <protectedRange sqref="C6445 C6447" name="COTACOES_8_1_1_2_1"/>
    <protectedRange sqref="C6446" name="COTACOES_9_1_1_3_5_1"/>
    <protectedRange sqref="C6452 C6454" name="COTACOES_8_1_1_2_2"/>
    <protectedRange sqref="C6453" name="COTACOES_9_1_1_3_5_2"/>
    <protectedRange sqref="C7202" name="COTACOES_92_6_1"/>
    <protectedRange sqref="C7204" name="COTACOES_51_1_1_1"/>
    <protectedRange sqref="F7204" name="COTACOES_54_1_1_1"/>
    <protectedRange sqref="C6419" name="COTACOES_92_2_7_1"/>
    <protectedRange sqref="C6424" name="COTACOES_92_2_7_2"/>
  </protectedRanges>
  <autoFilter ref="A5:J7218">
    <filterColumn colId="9">
      <filters>
        <filter val="0,10"/>
        <filter val="0,25"/>
        <filter val="1,00"/>
        <filter val="1,10"/>
        <filter val="100,50"/>
        <filter val="1040,20"/>
        <filter val="1054,20"/>
        <filter val="108,00"/>
        <filter val="110,00"/>
        <filter val="115,00"/>
        <filter val="122,30"/>
        <filter val="1244,70"/>
        <filter val="125,00"/>
        <filter val="13,50"/>
        <filter val="14,10"/>
        <filter val="16,00"/>
        <filter val="1769,30"/>
        <filter val="2,00"/>
        <filter val="20,00"/>
        <filter val="200,00"/>
        <filter val="230,00"/>
        <filter val="25,00"/>
        <filter val="27,00"/>
        <filter val="30,00"/>
        <filter val="31,00"/>
        <filter val="32,00"/>
        <filter val="324,00"/>
        <filter val="326,00"/>
        <filter val="360,00"/>
        <filter val="404,00"/>
        <filter val="42,00"/>
        <filter val="4354,00"/>
        <filter val="44,90"/>
        <filter val="46,00"/>
        <filter val="5,00"/>
        <filter val="54,00"/>
        <filter val="59,00"/>
        <filter val="650,00"/>
        <filter val="67,00"/>
        <filter val="70,40"/>
        <filter val="79,00"/>
        <filter val="8,00"/>
        <filter val="800,00"/>
        <filter val="83,00"/>
        <filter val="831,00"/>
        <filter val="8998,50"/>
        <filter val="90,00"/>
      </filters>
    </filterColumn>
  </autoFilter>
  <mergeCells count="2346">
    <mergeCell ref="A6422:A6428"/>
    <mergeCell ref="B6422:B6428"/>
    <mergeCell ref="A7200:A7205"/>
    <mergeCell ref="B7200:B7205"/>
    <mergeCell ref="A7206:A7211"/>
    <mergeCell ref="B7206:B7211"/>
    <mergeCell ref="A7212:A7218"/>
    <mergeCell ref="B7212:B7218"/>
    <mergeCell ref="A4744:A4747"/>
    <mergeCell ref="B4744:B4747"/>
    <mergeCell ref="A6025:A6028"/>
    <mergeCell ref="B6025:B6028"/>
    <mergeCell ref="A6041:A6044"/>
    <mergeCell ref="B6041:B6044"/>
    <mergeCell ref="A6045:A6048"/>
    <mergeCell ref="B6045:B6048"/>
    <mergeCell ref="A6109:A6112"/>
    <mergeCell ref="B6109:B6112"/>
    <mergeCell ref="A6113:A6116"/>
    <mergeCell ref="B6113:B6116"/>
    <mergeCell ref="A6117:A6120"/>
    <mergeCell ref="B6117:B6120"/>
    <mergeCell ref="A6944:A6947"/>
    <mergeCell ref="B6944:B6947"/>
    <mergeCell ref="A6940:A6943"/>
    <mergeCell ref="B6940:B6943"/>
    <mergeCell ref="A6828:A6831"/>
    <mergeCell ref="B6828:B6831"/>
    <mergeCell ref="A6888:A6891"/>
    <mergeCell ref="B6888:B6891"/>
    <mergeCell ref="A6792:A6795"/>
    <mergeCell ref="B6792:B6795"/>
    <mergeCell ref="A6796:A6799"/>
    <mergeCell ref="B6796:B6799"/>
    <mergeCell ref="A6800:A6803"/>
    <mergeCell ref="B6800:B6803"/>
    <mergeCell ref="A6804:A6807"/>
    <mergeCell ref="B6804:B6807"/>
    <mergeCell ref="A6780:A6783"/>
    <mergeCell ref="B6780:B6783"/>
    <mergeCell ref="A2720:A2723"/>
    <mergeCell ref="B2720:B2723"/>
    <mergeCell ref="A2724:A2727"/>
    <mergeCell ref="B2724:B2727"/>
    <mergeCell ref="A2728:A2731"/>
    <mergeCell ref="B2728:B2731"/>
    <mergeCell ref="A2748:A2751"/>
    <mergeCell ref="B2748:B2751"/>
    <mergeCell ref="A2760:A2763"/>
    <mergeCell ref="B2760:B2763"/>
    <mergeCell ref="A3467:A3477"/>
    <mergeCell ref="B3467:B3477"/>
    <mergeCell ref="A3538:A3546"/>
    <mergeCell ref="B3538:B3546"/>
    <mergeCell ref="A2817:A2821"/>
    <mergeCell ref="B2817:B2821"/>
    <mergeCell ref="A2822:A2826"/>
    <mergeCell ref="B2822:B2826"/>
    <mergeCell ref="A2827:A2831"/>
    <mergeCell ref="B2827:B2831"/>
    <mergeCell ref="A2781:A2790"/>
    <mergeCell ref="B2781:B2790"/>
    <mergeCell ref="A2791:A2796"/>
    <mergeCell ref="B2791:B2796"/>
    <mergeCell ref="A2807:A2816"/>
    <mergeCell ref="B2807:B2816"/>
    <mergeCell ref="A2797:A2801"/>
    <mergeCell ref="B2797:B2801"/>
    <mergeCell ref="A2744:A2747"/>
    <mergeCell ref="B2744:B2747"/>
    <mergeCell ref="A2752:A2755"/>
    <mergeCell ref="B2752:B2755"/>
    <mergeCell ref="A7196:A7199"/>
    <mergeCell ref="B7196:B7199"/>
    <mergeCell ref="A7184:A7187"/>
    <mergeCell ref="B7184:B7187"/>
    <mergeCell ref="A7188:A7191"/>
    <mergeCell ref="B7188:B7191"/>
    <mergeCell ref="A7124:A7129"/>
    <mergeCell ref="B7124:B7129"/>
    <mergeCell ref="A7130:A7135"/>
    <mergeCell ref="B7130:B7135"/>
    <mergeCell ref="A7136:A7141"/>
    <mergeCell ref="B7136:B7141"/>
    <mergeCell ref="A7142:A7147"/>
    <mergeCell ref="B7142:B7147"/>
    <mergeCell ref="A7148:A7153"/>
    <mergeCell ref="B7148:B7153"/>
    <mergeCell ref="A7154:A7159"/>
    <mergeCell ref="B7154:B7159"/>
    <mergeCell ref="A7160:A7165"/>
    <mergeCell ref="B7160:B7165"/>
    <mergeCell ref="A7166:A7171"/>
    <mergeCell ref="B7166:B7171"/>
    <mergeCell ref="A7172:A7177"/>
    <mergeCell ref="B7172:B7177"/>
    <mergeCell ref="A7178:A7183"/>
    <mergeCell ref="B7178:B7183"/>
    <mergeCell ref="A7104:A7107"/>
    <mergeCell ref="B7104:B7107"/>
    <mergeCell ref="A7108:A7111"/>
    <mergeCell ref="B7108:B7111"/>
    <mergeCell ref="A7112:A7115"/>
    <mergeCell ref="B7112:B7115"/>
    <mergeCell ref="A7116:A7119"/>
    <mergeCell ref="B7116:B7119"/>
    <mergeCell ref="A7120:A7123"/>
    <mergeCell ref="B7120:B7123"/>
    <mergeCell ref="A7192:A7195"/>
    <mergeCell ref="B7192:B7195"/>
    <mergeCell ref="A7016:A7019"/>
    <mergeCell ref="B7016:B7019"/>
    <mergeCell ref="A7020:A7023"/>
    <mergeCell ref="B7020:B7023"/>
    <mergeCell ref="A7024:A7027"/>
    <mergeCell ref="B7024:B7027"/>
    <mergeCell ref="A7068:A7071"/>
    <mergeCell ref="B7068:B7071"/>
    <mergeCell ref="A7072:A7075"/>
    <mergeCell ref="B7072:B7075"/>
    <mergeCell ref="A7076:A7079"/>
    <mergeCell ref="B7076:B7079"/>
    <mergeCell ref="A7080:A7083"/>
    <mergeCell ref="B7080:B7083"/>
    <mergeCell ref="A7084:A7087"/>
    <mergeCell ref="B7084:B7087"/>
    <mergeCell ref="A7088:A7091"/>
    <mergeCell ref="B7088:B7091"/>
    <mergeCell ref="A7092:A7095"/>
    <mergeCell ref="B7092:B7095"/>
    <mergeCell ref="A7096:A7099"/>
    <mergeCell ref="B7096:B7099"/>
    <mergeCell ref="A7100:A7103"/>
    <mergeCell ref="B7100:B7103"/>
    <mergeCell ref="A7032:A7035"/>
    <mergeCell ref="B7032:B7035"/>
    <mergeCell ref="A7036:A7039"/>
    <mergeCell ref="B7036:B7039"/>
    <mergeCell ref="A7040:A7043"/>
    <mergeCell ref="B7040:B7043"/>
    <mergeCell ref="A7044:A7047"/>
    <mergeCell ref="B7044:B7047"/>
    <mergeCell ref="A7048:A7051"/>
    <mergeCell ref="B7048:B7051"/>
    <mergeCell ref="A7052:A7055"/>
    <mergeCell ref="B7052:B7055"/>
    <mergeCell ref="A7056:A7059"/>
    <mergeCell ref="B7056:B7059"/>
    <mergeCell ref="A7060:A7063"/>
    <mergeCell ref="B7060:B7063"/>
    <mergeCell ref="A7064:A7067"/>
    <mergeCell ref="B7064:B7067"/>
    <mergeCell ref="A6980:A6983"/>
    <mergeCell ref="B6980:B6983"/>
    <mergeCell ref="A6984:A6987"/>
    <mergeCell ref="B6984:B6987"/>
    <mergeCell ref="A6992:A6995"/>
    <mergeCell ref="B6992:B6995"/>
    <mergeCell ref="A6996:A6999"/>
    <mergeCell ref="B6996:B6999"/>
    <mergeCell ref="A7000:A7003"/>
    <mergeCell ref="B7000:B7003"/>
    <mergeCell ref="A7004:A7007"/>
    <mergeCell ref="B7004:B7007"/>
    <mergeCell ref="A7008:A7011"/>
    <mergeCell ref="B7008:B7011"/>
    <mergeCell ref="A7012:A7015"/>
    <mergeCell ref="B7012:B7015"/>
    <mergeCell ref="A7028:A7031"/>
    <mergeCell ref="B7028:B7031"/>
    <mergeCell ref="A6988:A6991"/>
    <mergeCell ref="B6988:B6991"/>
    <mergeCell ref="A6972:A6975"/>
    <mergeCell ref="B6972:B6975"/>
    <mergeCell ref="A6976:A6979"/>
    <mergeCell ref="B6976:B6979"/>
    <mergeCell ref="A6824:A6827"/>
    <mergeCell ref="B6824:B6827"/>
    <mergeCell ref="A6876:A6879"/>
    <mergeCell ref="B6876:B6879"/>
    <mergeCell ref="A6880:A6883"/>
    <mergeCell ref="B6880:B6883"/>
    <mergeCell ref="A6884:A6887"/>
    <mergeCell ref="B6884:B6887"/>
    <mergeCell ref="A6896:A6899"/>
    <mergeCell ref="B6896:B6899"/>
    <mergeCell ref="A6900:A6903"/>
    <mergeCell ref="B6900:B6903"/>
    <mergeCell ref="A6936:A6939"/>
    <mergeCell ref="B6936:B6939"/>
    <mergeCell ref="A6864:A6867"/>
    <mergeCell ref="B6864:B6867"/>
    <mergeCell ref="A6844:A6847"/>
    <mergeCell ref="B6844:B6847"/>
    <mergeCell ref="A6848:A6851"/>
    <mergeCell ref="B6848:B6851"/>
    <mergeCell ref="A6852:A6855"/>
    <mergeCell ref="B6852:B6855"/>
    <mergeCell ref="A6856:A6859"/>
    <mergeCell ref="B6856:B6859"/>
    <mergeCell ref="A6860:A6863"/>
    <mergeCell ref="B6860:B6863"/>
    <mergeCell ref="A6868:A6871"/>
    <mergeCell ref="B6868:B6871"/>
    <mergeCell ref="A6784:A6787"/>
    <mergeCell ref="B6784:B6787"/>
    <mergeCell ref="A6788:A6791"/>
    <mergeCell ref="B6788:B6791"/>
    <mergeCell ref="A6948:A6951"/>
    <mergeCell ref="B6948:B6951"/>
    <mergeCell ref="A6952:A6955"/>
    <mergeCell ref="B6952:B6955"/>
    <mergeCell ref="A6956:A6959"/>
    <mergeCell ref="B6956:B6959"/>
    <mergeCell ref="A6960:A6963"/>
    <mergeCell ref="B6960:B6963"/>
    <mergeCell ref="A6964:A6967"/>
    <mergeCell ref="B6964:B6967"/>
    <mergeCell ref="A6968:A6971"/>
    <mergeCell ref="B6968:B6971"/>
    <mergeCell ref="A6908:A6911"/>
    <mergeCell ref="B6908:B6911"/>
    <mergeCell ref="A6912:A6915"/>
    <mergeCell ref="B6912:B6915"/>
    <mergeCell ref="A6916:A6919"/>
    <mergeCell ref="B6916:B6919"/>
    <mergeCell ref="A6920:A6923"/>
    <mergeCell ref="B6920:B6923"/>
    <mergeCell ref="A6924:A6927"/>
    <mergeCell ref="B6924:B6927"/>
    <mergeCell ref="A6928:A6931"/>
    <mergeCell ref="B6928:B6931"/>
    <mergeCell ref="A6932:A6935"/>
    <mergeCell ref="B6932:B6935"/>
    <mergeCell ref="A6872:A6875"/>
    <mergeCell ref="B6872:B6875"/>
    <mergeCell ref="A6740:A6743"/>
    <mergeCell ref="B6740:B6743"/>
    <mergeCell ref="A6744:A6747"/>
    <mergeCell ref="B6744:B6747"/>
    <mergeCell ref="A6748:A6751"/>
    <mergeCell ref="B6748:B6751"/>
    <mergeCell ref="A6752:A6755"/>
    <mergeCell ref="B6752:B6755"/>
    <mergeCell ref="A6808:A6811"/>
    <mergeCell ref="B6808:B6811"/>
    <mergeCell ref="A6812:A6815"/>
    <mergeCell ref="B6812:B6815"/>
    <mergeCell ref="A6816:A6819"/>
    <mergeCell ref="B6816:B6819"/>
    <mergeCell ref="A6832:A6835"/>
    <mergeCell ref="B6832:B6835"/>
    <mergeCell ref="A6836:A6839"/>
    <mergeCell ref="B6836:B6839"/>
    <mergeCell ref="A6820:A6823"/>
    <mergeCell ref="B6820:B6823"/>
    <mergeCell ref="A6756:A6759"/>
    <mergeCell ref="B6756:B6759"/>
    <mergeCell ref="A6760:A6763"/>
    <mergeCell ref="B6760:B6763"/>
    <mergeCell ref="A6764:A6767"/>
    <mergeCell ref="B6764:B6767"/>
    <mergeCell ref="A6768:A6771"/>
    <mergeCell ref="B6768:B6771"/>
    <mergeCell ref="A6772:A6775"/>
    <mergeCell ref="B6772:B6775"/>
    <mergeCell ref="A6776:A6779"/>
    <mergeCell ref="B6776:B6779"/>
    <mergeCell ref="A6712:A6715"/>
    <mergeCell ref="B6712:B6715"/>
    <mergeCell ref="A6716:A6719"/>
    <mergeCell ref="B6716:B6719"/>
    <mergeCell ref="A6692:A6695"/>
    <mergeCell ref="B6692:B6695"/>
    <mergeCell ref="A6720:A6723"/>
    <mergeCell ref="B6720:B6723"/>
    <mergeCell ref="A6724:A6727"/>
    <mergeCell ref="B6724:B6727"/>
    <mergeCell ref="A6728:A6731"/>
    <mergeCell ref="B6728:B6731"/>
    <mergeCell ref="A6732:A6735"/>
    <mergeCell ref="B6732:B6735"/>
    <mergeCell ref="A6736:A6739"/>
    <mergeCell ref="B6736:B6739"/>
    <mergeCell ref="A6696:A6699"/>
    <mergeCell ref="B6696:B6699"/>
    <mergeCell ref="A6700:A6703"/>
    <mergeCell ref="B6700:B6703"/>
    <mergeCell ref="A6704:A6707"/>
    <mergeCell ref="B6704:B6707"/>
    <mergeCell ref="A6464:A6467"/>
    <mergeCell ref="B6464:B6467"/>
    <mergeCell ref="A6508:A6511"/>
    <mergeCell ref="B6508:B6511"/>
    <mergeCell ref="A6556:A6559"/>
    <mergeCell ref="B6556:B6559"/>
    <mergeCell ref="A6620:A6623"/>
    <mergeCell ref="B6620:B6623"/>
    <mergeCell ref="A6624:A6627"/>
    <mergeCell ref="B6624:B6627"/>
    <mergeCell ref="A6628:A6631"/>
    <mergeCell ref="B6628:B6631"/>
    <mergeCell ref="A6596:A6599"/>
    <mergeCell ref="B6596:B6599"/>
    <mergeCell ref="A6600:A6603"/>
    <mergeCell ref="B6600:B6603"/>
    <mergeCell ref="A6528:A6531"/>
    <mergeCell ref="B6528:B6531"/>
    <mergeCell ref="A6608:A6611"/>
    <mergeCell ref="B6608:B6611"/>
    <mergeCell ref="A6612:A6615"/>
    <mergeCell ref="B6612:B6615"/>
    <mergeCell ref="A6616:A6619"/>
    <mergeCell ref="B6616:B6619"/>
    <mergeCell ref="A6536:A6539"/>
    <mergeCell ref="B6536:B6539"/>
    <mergeCell ref="A6540:A6543"/>
    <mergeCell ref="B6540:B6543"/>
    <mergeCell ref="A6544:A6547"/>
    <mergeCell ref="B6544:B6547"/>
    <mergeCell ref="A6548:A6551"/>
    <mergeCell ref="B6548:B6551"/>
    <mergeCell ref="A2756:A2759"/>
    <mergeCell ref="B2756:B2759"/>
    <mergeCell ref="A4736:A4739"/>
    <mergeCell ref="B4736:B4739"/>
    <mergeCell ref="A4740:A4743"/>
    <mergeCell ref="B4740:B4743"/>
    <mergeCell ref="A4748:A4751"/>
    <mergeCell ref="B4748:B4751"/>
    <mergeCell ref="A2802:A2806"/>
    <mergeCell ref="B2802:B2806"/>
    <mergeCell ref="A2917:A2924"/>
    <mergeCell ref="B2917:B2924"/>
    <mergeCell ref="A2925:A2932"/>
    <mergeCell ref="B2925:B2932"/>
    <mergeCell ref="A2933:A2940"/>
    <mergeCell ref="B2933:B2940"/>
    <mergeCell ref="A2896:A2900"/>
    <mergeCell ref="B2896:B2900"/>
    <mergeCell ref="A2901:A2908"/>
    <mergeCell ref="B2901:B2908"/>
    <mergeCell ref="A2909:A2916"/>
    <mergeCell ref="B2909:B2916"/>
    <mergeCell ref="A3815:A3820"/>
    <mergeCell ref="B3815:B3820"/>
    <mergeCell ref="A3821:A3826"/>
    <mergeCell ref="B3821:B3826"/>
    <mergeCell ref="A4732:A4735"/>
    <mergeCell ref="B4732:B4735"/>
    <mergeCell ref="A2879:A2885"/>
    <mergeCell ref="B2879:B2885"/>
    <mergeCell ref="A2886:A2890"/>
    <mergeCell ref="B2886:B2890"/>
    <mergeCell ref="A6892:A6895"/>
    <mergeCell ref="B6892:B6895"/>
    <mergeCell ref="A6904:A6907"/>
    <mergeCell ref="B6904:B6907"/>
    <mergeCell ref="A6644:A6647"/>
    <mergeCell ref="B6644:B6647"/>
    <mergeCell ref="A6648:A6651"/>
    <mergeCell ref="B6648:B6651"/>
    <mergeCell ref="A6840:A6843"/>
    <mergeCell ref="B6840:B6843"/>
    <mergeCell ref="A6652:A6655"/>
    <mergeCell ref="B6652:B6655"/>
    <mergeCell ref="A6656:A6659"/>
    <mergeCell ref="B6656:B6659"/>
    <mergeCell ref="A6660:A6663"/>
    <mergeCell ref="B6660:B6663"/>
    <mergeCell ref="A6664:A6667"/>
    <mergeCell ref="B6664:B6667"/>
    <mergeCell ref="A6668:A6671"/>
    <mergeCell ref="B6668:B6671"/>
    <mergeCell ref="A6672:A6675"/>
    <mergeCell ref="B6672:B6675"/>
    <mergeCell ref="A6676:A6679"/>
    <mergeCell ref="B6676:B6679"/>
    <mergeCell ref="A6680:A6683"/>
    <mergeCell ref="B6680:B6683"/>
    <mergeCell ref="A6684:A6687"/>
    <mergeCell ref="B6684:B6687"/>
    <mergeCell ref="A6688:A6691"/>
    <mergeCell ref="B6688:B6691"/>
    <mergeCell ref="A6708:A6711"/>
    <mergeCell ref="B6708:B6711"/>
    <mergeCell ref="A6632:A6635"/>
    <mergeCell ref="B6632:B6635"/>
    <mergeCell ref="A6636:A6639"/>
    <mergeCell ref="B6636:B6639"/>
    <mergeCell ref="A6640:A6643"/>
    <mergeCell ref="B6640:B6643"/>
    <mergeCell ref="A6568:A6571"/>
    <mergeCell ref="B6568:B6571"/>
    <mergeCell ref="A6572:A6575"/>
    <mergeCell ref="B6572:B6575"/>
    <mergeCell ref="A6576:A6579"/>
    <mergeCell ref="B6576:B6579"/>
    <mergeCell ref="A6580:A6583"/>
    <mergeCell ref="B6580:B6583"/>
    <mergeCell ref="A6584:A6587"/>
    <mergeCell ref="B6584:B6587"/>
    <mergeCell ref="A6588:A6591"/>
    <mergeCell ref="B6588:B6591"/>
    <mergeCell ref="A6592:A6595"/>
    <mergeCell ref="B6592:B6595"/>
    <mergeCell ref="A6604:A6607"/>
    <mergeCell ref="B6604:B6607"/>
    <mergeCell ref="A6552:A6555"/>
    <mergeCell ref="B6552:B6555"/>
    <mergeCell ref="A6560:A6563"/>
    <mergeCell ref="B6560:B6563"/>
    <mergeCell ref="A6564:A6567"/>
    <mergeCell ref="B6564:B6567"/>
    <mergeCell ref="A6532:A6535"/>
    <mergeCell ref="B6532:B6535"/>
    <mergeCell ref="A6496:A6499"/>
    <mergeCell ref="B6496:B6499"/>
    <mergeCell ref="A6500:A6503"/>
    <mergeCell ref="B6500:B6503"/>
    <mergeCell ref="A6504:A6507"/>
    <mergeCell ref="B6504:B6507"/>
    <mergeCell ref="A6512:A6515"/>
    <mergeCell ref="B6512:B6515"/>
    <mergeCell ref="A6516:A6519"/>
    <mergeCell ref="B6516:B6519"/>
    <mergeCell ref="A6520:A6523"/>
    <mergeCell ref="B6520:B6523"/>
    <mergeCell ref="A6524:A6527"/>
    <mergeCell ref="B6524:B6527"/>
    <mergeCell ref="A6468:A6471"/>
    <mergeCell ref="B6468:B6471"/>
    <mergeCell ref="A6472:A6475"/>
    <mergeCell ref="B6472:B6475"/>
    <mergeCell ref="A6476:A6479"/>
    <mergeCell ref="B6476:B6479"/>
    <mergeCell ref="A6480:A6483"/>
    <mergeCell ref="B6480:B6483"/>
    <mergeCell ref="A6484:A6487"/>
    <mergeCell ref="B6484:B6487"/>
    <mergeCell ref="A6488:A6491"/>
    <mergeCell ref="B6488:B6491"/>
    <mergeCell ref="A6492:A6495"/>
    <mergeCell ref="B6492:B6495"/>
    <mergeCell ref="A6412:A6416"/>
    <mergeCell ref="B6412:B6416"/>
    <mergeCell ref="A5605:A5608"/>
    <mergeCell ref="B5605:B5608"/>
    <mergeCell ref="A5609:A5612"/>
    <mergeCell ref="B5609:B5612"/>
    <mergeCell ref="A5613:A5616"/>
    <mergeCell ref="B5613:B5616"/>
    <mergeCell ref="A6429:A6433"/>
    <mergeCell ref="B6429:B6433"/>
    <mergeCell ref="A6434:A6442"/>
    <mergeCell ref="B6434:B6442"/>
    <mergeCell ref="A6383:A6389"/>
    <mergeCell ref="B6383:B6389"/>
    <mergeCell ref="A6390:A6393"/>
    <mergeCell ref="B6390:B6393"/>
    <mergeCell ref="A6394:A6398"/>
    <mergeCell ref="B6394:B6398"/>
    <mergeCell ref="A6377:A6382"/>
    <mergeCell ref="B6377:B6382"/>
    <mergeCell ref="A6407:A6411"/>
    <mergeCell ref="B6407:B6411"/>
    <mergeCell ref="A5294:A5299"/>
    <mergeCell ref="B5294:B5299"/>
    <mergeCell ref="A5331:A5337"/>
    <mergeCell ref="B5331:B5337"/>
    <mergeCell ref="A5338:A5344"/>
    <mergeCell ref="B5338:B5344"/>
    <mergeCell ref="A5345:A5350"/>
    <mergeCell ref="B5345:B5350"/>
    <mergeCell ref="A5351:A5356"/>
    <mergeCell ref="B5351:B5356"/>
    <mergeCell ref="A5357:A5363"/>
    <mergeCell ref="B5357:B5363"/>
    <mergeCell ref="A5364:A5369"/>
    <mergeCell ref="B5364:B5369"/>
    <mergeCell ref="A5370:A5375"/>
    <mergeCell ref="B5370:B5375"/>
    <mergeCell ref="A5376:A5383"/>
    <mergeCell ref="B5376:B5383"/>
    <mergeCell ref="A5306:A5311"/>
    <mergeCell ref="B5306:B5311"/>
    <mergeCell ref="A5300:A5305"/>
    <mergeCell ref="B5300:B5305"/>
    <mergeCell ref="A5312:A5317"/>
    <mergeCell ref="B5312:B5317"/>
    <mergeCell ref="A5318:A5323"/>
    <mergeCell ref="B5318:B5323"/>
    <mergeCell ref="A5324:A5330"/>
    <mergeCell ref="B5324:B5330"/>
    <mergeCell ref="A5384:A5391"/>
    <mergeCell ref="B5384:B5391"/>
    <mergeCell ref="A5236:A5241"/>
    <mergeCell ref="B5236:B5241"/>
    <mergeCell ref="A5242:A5248"/>
    <mergeCell ref="B5242:B5248"/>
    <mergeCell ref="A5249:A5260"/>
    <mergeCell ref="B5249:B5260"/>
    <mergeCell ref="A5269:A5274"/>
    <mergeCell ref="B5269:B5274"/>
    <mergeCell ref="A5275:A5281"/>
    <mergeCell ref="B5275:B5281"/>
    <mergeCell ref="A5282:A5287"/>
    <mergeCell ref="B5282:B5287"/>
    <mergeCell ref="A5288:A5293"/>
    <mergeCell ref="B5288:B5293"/>
    <mergeCell ref="A5162:A5169"/>
    <mergeCell ref="B5162:B5169"/>
    <mergeCell ref="A5170:A5177"/>
    <mergeCell ref="B5170:B5177"/>
    <mergeCell ref="A5178:A5185"/>
    <mergeCell ref="B5178:B5185"/>
    <mergeCell ref="A5186:A5200"/>
    <mergeCell ref="B5186:B5200"/>
    <mergeCell ref="A5201:A5215"/>
    <mergeCell ref="B5201:B5215"/>
    <mergeCell ref="A5216:A5222"/>
    <mergeCell ref="B5216:B5222"/>
    <mergeCell ref="A5223:A5229"/>
    <mergeCell ref="B5223:B5229"/>
    <mergeCell ref="A5230:A5235"/>
    <mergeCell ref="B5230:B5235"/>
    <mergeCell ref="A5261:A5268"/>
    <mergeCell ref="B5261:B5268"/>
    <mergeCell ref="A5126:A5133"/>
    <mergeCell ref="B5126:B5133"/>
    <mergeCell ref="A5134:A5141"/>
    <mergeCell ref="B5134:B5141"/>
    <mergeCell ref="A5142:A5147"/>
    <mergeCell ref="B5142:B5147"/>
    <mergeCell ref="A5148:A5155"/>
    <mergeCell ref="B5148:B5155"/>
    <mergeCell ref="A5156:A5161"/>
    <mergeCell ref="B5156:B5161"/>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5104:A5109"/>
    <mergeCell ref="B5104:B5109"/>
    <mergeCell ref="A126:A130"/>
    <mergeCell ref="B126:B130"/>
    <mergeCell ref="A131:A134"/>
    <mergeCell ref="B131:B134"/>
    <mergeCell ref="A135:A138"/>
    <mergeCell ref="A111:A115"/>
    <mergeCell ref="B111:B115"/>
    <mergeCell ref="A116:A120"/>
    <mergeCell ref="B116:B120"/>
    <mergeCell ref="A121:A125"/>
    <mergeCell ref="B121:B125"/>
    <mergeCell ref="B248:B262"/>
    <mergeCell ref="A263:A267"/>
    <mergeCell ref="B263:B267"/>
    <mergeCell ref="A290:A304"/>
    <mergeCell ref="A5110:A5117"/>
    <mergeCell ref="B5110:B5117"/>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248:A262"/>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B290:B304"/>
    <mergeCell ref="A305:A319"/>
    <mergeCell ref="B305:B319"/>
    <mergeCell ref="A320:A325"/>
    <mergeCell ref="B320:B325"/>
    <mergeCell ref="A365:A370"/>
    <mergeCell ref="B365:B370"/>
    <mergeCell ref="A371:A379"/>
    <mergeCell ref="B371:B379"/>
    <mergeCell ref="A380:A393"/>
    <mergeCell ref="B380:B393"/>
    <mergeCell ref="A326:A340"/>
    <mergeCell ref="B326:B340"/>
    <mergeCell ref="A341:A350"/>
    <mergeCell ref="B341:B350"/>
    <mergeCell ref="A351:A364"/>
    <mergeCell ref="B351:B364"/>
    <mergeCell ref="A394:A400"/>
    <mergeCell ref="B394:B400"/>
    <mergeCell ref="A401:A414"/>
    <mergeCell ref="B401:B414"/>
    <mergeCell ref="A415:A421"/>
    <mergeCell ref="B415:B421"/>
    <mergeCell ref="A606:A614"/>
    <mergeCell ref="B606:B614"/>
    <mergeCell ref="A561:A568"/>
    <mergeCell ref="B561:B568"/>
    <mergeCell ref="A569:A578"/>
    <mergeCell ref="B569:B578"/>
    <mergeCell ref="A446:A453"/>
    <mergeCell ref="B446:B453"/>
    <mergeCell ref="A454:A463"/>
    <mergeCell ref="B454:B463"/>
    <mergeCell ref="A464:A470"/>
    <mergeCell ref="B464:B470"/>
    <mergeCell ref="A422:A433"/>
    <mergeCell ref="B422:B433"/>
    <mergeCell ref="A434:A439"/>
    <mergeCell ref="B434:B439"/>
    <mergeCell ref="A440:A445"/>
    <mergeCell ref="B440:B445"/>
    <mergeCell ref="A471:A482"/>
    <mergeCell ref="B471:B482"/>
    <mergeCell ref="A483:A488"/>
    <mergeCell ref="B483:B488"/>
    <mergeCell ref="A489:A496"/>
    <mergeCell ref="B489:B496"/>
    <mergeCell ref="A637:A643"/>
    <mergeCell ref="B637:B643"/>
    <mergeCell ref="A644:A647"/>
    <mergeCell ref="B644:B647"/>
    <mergeCell ref="A648:A651"/>
    <mergeCell ref="B648:B651"/>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537:A544"/>
    <mergeCell ref="B537:B544"/>
    <mergeCell ref="A545:A552"/>
    <mergeCell ref="B545:B552"/>
    <mergeCell ref="A553:A560"/>
    <mergeCell ref="B553:B560"/>
    <mergeCell ref="A588:A595"/>
    <mergeCell ref="B588:B595"/>
    <mergeCell ref="A596:A605"/>
    <mergeCell ref="B596:B605"/>
    <mergeCell ref="A736:A743"/>
    <mergeCell ref="B736:B743"/>
    <mergeCell ref="A744:A747"/>
    <mergeCell ref="B744:B747"/>
    <mergeCell ref="A748:A754"/>
    <mergeCell ref="B748:B754"/>
    <mergeCell ref="A579:A587"/>
    <mergeCell ref="B579:B587"/>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29:A636"/>
    <mergeCell ref="B629:B636"/>
    <mergeCell ref="A652:A655"/>
    <mergeCell ref="B652:B655"/>
    <mergeCell ref="A656:A659"/>
    <mergeCell ref="B656:B659"/>
    <mergeCell ref="A660:A663"/>
    <mergeCell ref="B660:B663"/>
    <mergeCell ref="A714:A722"/>
    <mergeCell ref="B714:B72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903:A906"/>
    <mergeCell ref="B903:B906"/>
    <mergeCell ref="A907:A912"/>
    <mergeCell ref="B907:B912"/>
    <mergeCell ref="A913:A921"/>
    <mergeCell ref="B913:B921"/>
    <mergeCell ref="A883:A890"/>
    <mergeCell ref="B883:B890"/>
    <mergeCell ref="A891:A895"/>
    <mergeCell ref="B891:B895"/>
    <mergeCell ref="A896:A902"/>
    <mergeCell ref="B896:B902"/>
    <mergeCell ref="A862:A866"/>
    <mergeCell ref="B862:B866"/>
    <mergeCell ref="A867:A874"/>
    <mergeCell ref="B867:B874"/>
    <mergeCell ref="A875:A882"/>
    <mergeCell ref="B875:B882"/>
    <mergeCell ref="A966:A972"/>
    <mergeCell ref="B966:B972"/>
    <mergeCell ref="A973:A979"/>
    <mergeCell ref="B973:B979"/>
    <mergeCell ref="A980:A990"/>
    <mergeCell ref="B980:B990"/>
    <mergeCell ref="A947:A952"/>
    <mergeCell ref="B947:B952"/>
    <mergeCell ref="A953:A958"/>
    <mergeCell ref="B953:B958"/>
    <mergeCell ref="A959:A965"/>
    <mergeCell ref="B959:B965"/>
    <mergeCell ref="A922:A928"/>
    <mergeCell ref="B922:B928"/>
    <mergeCell ref="A929:A937"/>
    <mergeCell ref="B929:B937"/>
    <mergeCell ref="A938:A946"/>
    <mergeCell ref="B938:B946"/>
    <mergeCell ref="A1036:A1044"/>
    <mergeCell ref="B1036:B1044"/>
    <mergeCell ref="A1045:A1051"/>
    <mergeCell ref="B1045:B1051"/>
    <mergeCell ref="A1052:A1058"/>
    <mergeCell ref="B1052:B1058"/>
    <mergeCell ref="A1012:A1020"/>
    <mergeCell ref="B1012:B1020"/>
    <mergeCell ref="A1021:A1025"/>
    <mergeCell ref="B1021:B1025"/>
    <mergeCell ref="A1026:A1035"/>
    <mergeCell ref="B1026:B1035"/>
    <mergeCell ref="A991:A1001"/>
    <mergeCell ref="B991:B1001"/>
    <mergeCell ref="A1002:A1006"/>
    <mergeCell ref="B1002:B1006"/>
    <mergeCell ref="A1007:A1011"/>
    <mergeCell ref="B1007:B1011"/>
    <mergeCell ref="A1108:A1115"/>
    <mergeCell ref="B1108:B1115"/>
    <mergeCell ref="A1116:A1120"/>
    <mergeCell ref="B1116:B1120"/>
    <mergeCell ref="A1121:A1125"/>
    <mergeCell ref="B1121:B1125"/>
    <mergeCell ref="A1082:A1089"/>
    <mergeCell ref="B1082:B1089"/>
    <mergeCell ref="A1090:A1097"/>
    <mergeCell ref="B1090:B1097"/>
    <mergeCell ref="A1098:A1107"/>
    <mergeCell ref="B1098:B1107"/>
    <mergeCell ref="A1059:A1065"/>
    <mergeCell ref="B1059:B1065"/>
    <mergeCell ref="A1066:A1072"/>
    <mergeCell ref="B1066:B1072"/>
    <mergeCell ref="A1073:A1081"/>
    <mergeCell ref="B1073:B1081"/>
    <mergeCell ref="A1165:A1171"/>
    <mergeCell ref="B1165:B1171"/>
    <mergeCell ref="A1172:A1178"/>
    <mergeCell ref="B1172:B1178"/>
    <mergeCell ref="A1179:A1185"/>
    <mergeCell ref="B1179:B1185"/>
    <mergeCell ref="A1144:A1150"/>
    <mergeCell ref="B1144:B1150"/>
    <mergeCell ref="A1151:A1157"/>
    <mergeCell ref="B1151:B1157"/>
    <mergeCell ref="A1158:A1164"/>
    <mergeCell ref="B1158:B1164"/>
    <mergeCell ref="A1126:A1131"/>
    <mergeCell ref="B1126:B1131"/>
    <mergeCell ref="A1132:A1136"/>
    <mergeCell ref="B1132:B1136"/>
    <mergeCell ref="A1137:A1143"/>
    <mergeCell ref="B1137:B1143"/>
    <mergeCell ref="A1227:A1232"/>
    <mergeCell ref="B1227:B1232"/>
    <mergeCell ref="A1233:A1238"/>
    <mergeCell ref="B1233:B1238"/>
    <mergeCell ref="A1239:A1244"/>
    <mergeCell ref="B1239:B1244"/>
    <mergeCell ref="A1207:A1213"/>
    <mergeCell ref="B1207:B1213"/>
    <mergeCell ref="A1214:A1220"/>
    <mergeCell ref="B1214:B1220"/>
    <mergeCell ref="A1221:A1226"/>
    <mergeCell ref="B1221:B1226"/>
    <mergeCell ref="A1186:A1192"/>
    <mergeCell ref="B1186:B1192"/>
    <mergeCell ref="A1193:A1199"/>
    <mergeCell ref="B1193:B1199"/>
    <mergeCell ref="A1200:A1206"/>
    <mergeCell ref="B1200:B1206"/>
    <mergeCell ref="A1286:A1292"/>
    <mergeCell ref="B1286:B1292"/>
    <mergeCell ref="A1293:A1299"/>
    <mergeCell ref="B1293:B1299"/>
    <mergeCell ref="A1300:A1307"/>
    <mergeCell ref="B1300:B1307"/>
    <mergeCell ref="A1266:A1271"/>
    <mergeCell ref="B1266:B1271"/>
    <mergeCell ref="A1272:A1278"/>
    <mergeCell ref="B1272:B1278"/>
    <mergeCell ref="A1279:A1285"/>
    <mergeCell ref="B1279:B1285"/>
    <mergeCell ref="A1245:A1251"/>
    <mergeCell ref="B1245:B1251"/>
    <mergeCell ref="A1252:A1258"/>
    <mergeCell ref="B1252:B1258"/>
    <mergeCell ref="A1259:A1265"/>
    <mergeCell ref="B1259:B1265"/>
    <mergeCell ref="A1348:A1353"/>
    <mergeCell ref="B1348:B1353"/>
    <mergeCell ref="A1354:A1360"/>
    <mergeCell ref="B1354:B1360"/>
    <mergeCell ref="A1361:A1366"/>
    <mergeCell ref="B1361:B1366"/>
    <mergeCell ref="A1329:A1334"/>
    <mergeCell ref="B1329:B1334"/>
    <mergeCell ref="A1335:A1340"/>
    <mergeCell ref="B1335:B1340"/>
    <mergeCell ref="A1341:A1347"/>
    <mergeCell ref="B1341:B1347"/>
    <mergeCell ref="A1308:A1316"/>
    <mergeCell ref="B1308:B1316"/>
    <mergeCell ref="A1317:A1322"/>
    <mergeCell ref="B1317:B1322"/>
    <mergeCell ref="A1323:A1328"/>
    <mergeCell ref="B1323:B1328"/>
    <mergeCell ref="A1405:A1419"/>
    <mergeCell ref="B1405:B1419"/>
    <mergeCell ref="A1420:A1434"/>
    <mergeCell ref="B1420:B1434"/>
    <mergeCell ref="A1435:A1449"/>
    <mergeCell ref="B1435:B1449"/>
    <mergeCell ref="A1386:A1391"/>
    <mergeCell ref="B1386:B1391"/>
    <mergeCell ref="A1392:A1397"/>
    <mergeCell ref="B1392:B1397"/>
    <mergeCell ref="A1398:A1404"/>
    <mergeCell ref="B1398:B1404"/>
    <mergeCell ref="A1367:A1372"/>
    <mergeCell ref="B1367:B1372"/>
    <mergeCell ref="A1373:A1379"/>
    <mergeCell ref="B1373:B1379"/>
    <mergeCell ref="A1380:A1385"/>
    <mergeCell ref="B1380:B1385"/>
    <mergeCell ref="A1526:A1533"/>
    <mergeCell ref="B1526:B1533"/>
    <mergeCell ref="A1534:A1541"/>
    <mergeCell ref="B1534:B1541"/>
    <mergeCell ref="A1542:A1549"/>
    <mergeCell ref="B1542:B1549"/>
    <mergeCell ref="A1495:A1509"/>
    <mergeCell ref="B1495:B1509"/>
    <mergeCell ref="A1510:A1517"/>
    <mergeCell ref="B1510:B1517"/>
    <mergeCell ref="A1518:A1525"/>
    <mergeCell ref="B1518:B1525"/>
    <mergeCell ref="A1450:A1464"/>
    <mergeCell ref="B1450:B1464"/>
    <mergeCell ref="A1465:A1479"/>
    <mergeCell ref="B1465:B1479"/>
    <mergeCell ref="A1480:A1494"/>
    <mergeCell ref="B1480:B1494"/>
    <mergeCell ref="A1599:A1604"/>
    <mergeCell ref="B1599:B1604"/>
    <mergeCell ref="A1605:A1610"/>
    <mergeCell ref="B1605:B1610"/>
    <mergeCell ref="A1611:A1617"/>
    <mergeCell ref="B1611:B1617"/>
    <mergeCell ref="A1571:A1577"/>
    <mergeCell ref="B1571:B1577"/>
    <mergeCell ref="A1578:A1592"/>
    <mergeCell ref="B1578:B1592"/>
    <mergeCell ref="A1593:A1598"/>
    <mergeCell ref="B1593:B1598"/>
    <mergeCell ref="A1550:A1556"/>
    <mergeCell ref="B1550:B1556"/>
    <mergeCell ref="A1557:A1563"/>
    <mergeCell ref="B1557:B1563"/>
    <mergeCell ref="A1564:A1570"/>
    <mergeCell ref="B1564:B1570"/>
    <mergeCell ref="A1652:A1657"/>
    <mergeCell ref="B1652:B1657"/>
    <mergeCell ref="A1658:A1663"/>
    <mergeCell ref="B1658:B1663"/>
    <mergeCell ref="A1664:A1668"/>
    <mergeCell ref="B1664:B1668"/>
    <mergeCell ref="A1635:A1639"/>
    <mergeCell ref="B1635:B1639"/>
    <mergeCell ref="A1640:A1645"/>
    <mergeCell ref="B1640:B1645"/>
    <mergeCell ref="A1646:A1651"/>
    <mergeCell ref="B1646:B1651"/>
    <mergeCell ref="A1618:A1622"/>
    <mergeCell ref="B1618:B1622"/>
    <mergeCell ref="A1623:A1628"/>
    <mergeCell ref="B1623:B1628"/>
    <mergeCell ref="A1629:A1634"/>
    <mergeCell ref="B1629:B1634"/>
    <mergeCell ref="A1705:A1712"/>
    <mergeCell ref="B1705:B1712"/>
    <mergeCell ref="A1713:A1723"/>
    <mergeCell ref="B1713:B1723"/>
    <mergeCell ref="A1724:A1734"/>
    <mergeCell ref="B1724:B1734"/>
    <mergeCell ref="A1685:A1691"/>
    <mergeCell ref="B1685:B1691"/>
    <mergeCell ref="A1692:A1698"/>
    <mergeCell ref="B1692:B1698"/>
    <mergeCell ref="A1699:A1704"/>
    <mergeCell ref="B1699:B1704"/>
    <mergeCell ref="A1669:A1673"/>
    <mergeCell ref="B1669:B1673"/>
    <mergeCell ref="A1674:A1678"/>
    <mergeCell ref="B1674:B1678"/>
    <mergeCell ref="A1679:A1684"/>
    <mergeCell ref="B1679:B1684"/>
    <mergeCell ref="A1785:A1791"/>
    <mergeCell ref="B1785:B1791"/>
    <mergeCell ref="A1792:A1798"/>
    <mergeCell ref="B1792:B1798"/>
    <mergeCell ref="A1799:A1805"/>
    <mergeCell ref="B1799:B1805"/>
    <mergeCell ref="A1764:A1770"/>
    <mergeCell ref="B1764:B1770"/>
    <mergeCell ref="A1771:A1777"/>
    <mergeCell ref="B1771:B1777"/>
    <mergeCell ref="A1778:A1784"/>
    <mergeCell ref="B1778:B1784"/>
    <mergeCell ref="A1735:A1745"/>
    <mergeCell ref="B1735:B1745"/>
    <mergeCell ref="A1746:A1756"/>
    <mergeCell ref="B1746:B1756"/>
    <mergeCell ref="A1757:A1763"/>
    <mergeCell ref="B1757:B1763"/>
    <mergeCell ref="A1842:A1847"/>
    <mergeCell ref="B1842:B1847"/>
    <mergeCell ref="A1848:A1853"/>
    <mergeCell ref="B1848:B1853"/>
    <mergeCell ref="A1854:A1859"/>
    <mergeCell ref="B1854:B1859"/>
    <mergeCell ref="A1823:A1828"/>
    <mergeCell ref="B1823:B1828"/>
    <mergeCell ref="A1829:A1834"/>
    <mergeCell ref="B1829:B1834"/>
    <mergeCell ref="A1835:A1841"/>
    <mergeCell ref="B1835:B1841"/>
    <mergeCell ref="A1806:A1812"/>
    <mergeCell ref="B1806:B1812"/>
    <mergeCell ref="A1813:A1817"/>
    <mergeCell ref="B1813:B1817"/>
    <mergeCell ref="A1818:A1822"/>
    <mergeCell ref="B1818:B1822"/>
    <mergeCell ref="A1896:A1901"/>
    <mergeCell ref="B1896:B1901"/>
    <mergeCell ref="A1902:A1907"/>
    <mergeCell ref="B1902:B1907"/>
    <mergeCell ref="A1908:A1913"/>
    <mergeCell ref="B1908:B1913"/>
    <mergeCell ref="A1878:A1883"/>
    <mergeCell ref="B1878:B1883"/>
    <mergeCell ref="A1884:A1889"/>
    <mergeCell ref="B1884:B1889"/>
    <mergeCell ref="A1890:A1895"/>
    <mergeCell ref="B1890:B1895"/>
    <mergeCell ref="A1860:A1865"/>
    <mergeCell ref="B1860:B1865"/>
    <mergeCell ref="A1866:A1871"/>
    <mergeCell ref="B1866:B1871"/>
    <mergeCell ref="A1872:A1877"/>
    <mergeCell ref="B1872:B1877"/>
    <mergeCell ref="A1945:A1951"/>
    <mergeCell ref="B1945:B1951"/>
    <mergeCell ref="A1952:A1957"/>
    <mergeCell ref="B1952:B1957"/>
    <mergeCell ref="A1958:A1963"/>
    <mergeCell ref="B1958:B1963"/>
    <mergeCell ref="A1929:A1934"/>
    <mergeCell ref="B1929:B1934"/>
    <mergeCell ref="A1935:A1939"/>
    <mergeCell ref="B1935:B1939"/>
    <mergeCell ref="A1940:A1944"/>
    <mergeCell ref="B1940:B1944"/>
    <mergeCell ref="A1914:A1918"/>
    <mergeCell ref="B1914:B1918"/>
    <mergeCell ref="A1919:A1923"/>
    <mergeCell ref="B1919:B1923"/>
    <mergeCell ref="A1924:A1928"/>
    <mergeCell ref="B1924:B1928"/>
    <mergeCell ref="A2008:A2014"/>
    <mergeCell ref="B2008:B2014"/>
    <mergeCell ref="A2015:A2021"/>
    <mergeCell ref="B2015:B2021"/>
    <mergeCell ref="A2022:A2027"/>
    <mergeCell ref="B2022:B2027"/>
    <mergeCell ref="A1986:A1993"/>
    <mergeCell ref="B1986:B1993"/>
    <mergeCell ref="A1994:A2000"/>
    <mergeCell ref="B1994:B2000"/>
    <mergeCell ref="A2001:A2007"/>
    <mergeCell ref="B2001:B2007"/>
    <mergeCell ref="A1964:A1970"/>
    <mergeCell ref="B1964:B1970"/>
    <mergeCell ref="A1971:A1977"/>
    <mergeCell ref="B1971:B1977"/>
    <mergeCell ref="A1978:A1985"/>
    <mergeCell ref="B1978:B1985"/>
    <mergeCell ref="A2076:A2083"/>
    <mergeCell ref="B2076:B2083"/>
    <mergeCell ref="A2084:A2091"/>
    <mergeCell ref="B2084:B2091"/>
    <mergeCell ref="A2092:A2099"/>
    <mergeCell ref="B2092:B2099"/>
    <mergeCell ref="A2052:A2059"/>
    <mergeCell ref="B2052:B2059"/>
    <mergeCell ref="A2060:A2067"/>
    <mergeCell ref="B2060:B2067"/>
    <mergeCell ref="A2068:A2075"/>
    <mergeCell ref="B2068:B2075"/>
    <mergeCell ref="A2028:A2035"/>
    <mergeCell ref="B2028:B2035"/>
    <mergeCell ref="A2036:A2043"/>
    <mergeCell ref="B2036:B2043"/>
    <mergeCell ref="A2044:A2051"/>
    <mergeCell ref="B2044:B2051"/>
    <mergeCell ref="A2140:A2145"/>
    <mergeCell ref="B2140:B2145"/>
    <mergeCell ref="A2146:A2153"/>
    <mergeCell ref="B2146:B2153"/>
    <mergeCell ref="A2154:A2161"/>
    <mergeCell ref="B2154:B2161"/>
    <mergeCell ref="A2122:A2127"/>
    <mergeCell ref="B2122:B2127"/>
    <mergeCell ref="A2128:A2133"/>
    <mergeCell ref="B2128:B2133"/>
    <mergeCell ref="A2134:A2139"/>
    <mergeCell ref="B2134:B2139"/>
    <mergeCell ref="A2100:A2107"/>
    <mergeCell ref="B2100:B2107"/>
    <mergeCell ref="A2108:A2115"/>
    <mergeCell ref="B2108:B2115"/>
    <mergeCell ref="A2116:A2121"/>
    <mergeCell ref="B2116:B2121"/>
    <mergeCell ref="A2210:A2214"/>
    <mergeCell ref="B2210:B2214"/>
    <mergeCell ref="A2215:A2221"/>
    <mergeCell ref="B2215:B2221"/>
    <mergeCell ref="A2222:A2228"/>
    <mergeCell ref="B2222:B2228"/>
    <mergeCell ref="A2186:A2193"/>
    <mergeCell ref="B2186:B2193"/>
    <mergeCell ref="A2194:A2201"/>
    <mergeCell ref="B2194:B2201"/>
    <mergeCell ref="A2202:A2209"/>
    <mergeCell ref="B2202:B2209"/>
    <mergeCell ref="A2162:A2169"/>
    <mergeCell ref="B2162:B2169"/>
    <mergeCell ref="A2170:A2177"/>
    <mergeCell ref="B2170:B2177"/>
    <mergeCell ref="A2178:A2185"/>
    <mergeCell ref="B2178:B2185"/>
    <mergeCell ref="A2281:A2290"/>
    <mergeCell ref="B2281:B2290"/>
    <mergeCell ref="A2291:A2300"/>
    <mergeCell ref="B2291:B2300"/>
    <mergeCell ref="A2301:A2310"/>
    <mergeCell ref="B2301:B2310"/>
    <mergeCell ref="A2255:A2260"/>
    <mergeCell ref="B2255:B2260"/>
    <mergeCell ref="A2261:A2270"/>
    <mergeCell ref="B2261:B2270"/>
    <mergeCell ref="A2271:A2280"/>
    <mergeCell ref="B2271:B2280"/>
    <mergeCell ref="A2229:A2234"/>
    <mergeCell ref="B2229:B2234"/>
    <mergeCell ref="A2235:A2240"/>
    <mergeCell ref="B2235:B2240"/>
    <mergeCell ref="A2241:A2254"/>
    <mergeCell ref="B2241:B2254"/>
    <mergeCell ref="A2349:A2353"/>
    <mergeCell ref="B2349:B2353"/>
    <mergeCell ref="A2354:A2358"/>
    <mergeCell ref="B2354:B2358"/>
    <mergeCell ref="A2359:A2363"/>
    <mergeCell ref="B2359:B2363"/>
    <mergeCell ref="A2331:A2336"/>
    <mergeCell ref="B2331:B2336"/>
    <mergeCell ref="A2337:A2342"/>
    <mergeCell ref="B2337:B2342"/>
    <mergeCell ref="A2343:A2348"/>
    <mergeCell ref="B2343:B2348"/>
    <mergeCell ref="A2311:A2317"/>
    <mergeCell ref="B2311:B2317"/>
    <mergeCell ref="A2318:A2324"/>
    <mergeCell ref="B2318:B2324"/>
    <mergeCell ref="A2325:A2330"/>
    <mergeCell ref="B2325:B2330"/>
    <mergeCell ref="A2385:A2390"/>
    <mergeCell ref="B2385:B2390"/>
    <mergeCell ref="A2391:A2397"/>
    <mergeCell ref="B2391:B2397"/>
    <mergeCell ref="A2398:A2403"/>
    <mergeCell ref="B2398:B2403"/>
    <mergeCell ref="A2364:A2369"/>
    <mergeCell ref="B2364:B2369"/>
    <mergeCell ref="A2370:A2377"/>
    <mergeCell ref="B2370:B2377"/>
    <mergeCell ref="A2378:A2384"/>
    <mergeCell ref="B2378:B2384"/>
    <mergeCell ref="A2404:A2407"/>
    <mergeCell ref="B2404:B2407"/>
    <mergeCell ref="A2408:A2411"/>
    <mergeCell ref="B2408:B2411"/>
    <mergeCell ref="A2412:A2415"/>
    <mergeCell ref="B2412:B2415"/>
    <mergeCell ref="A2440:A2443"/>
    <mergeCell ref="B2440:B2443"/>
    <mergeCell ref="A2560:A2563"/>
    <mergeCell ref="B2560:B2563"/>
    <mergeCell ref="A2416:A2419"/>
    <mergeCell ref="B2416:B2419"/>
    <mergeCell ref="A2420:A2423"/>
    <mergeCell ref="B2420:B2423"/>
    <mergeCell ref="A2424:A2427"/>
    <mergeCell ref="B2424:B2427"/>
    <mergeCell ref="A2428:A2431"/>
    <mergeCell ref="B2428:B2431"/>
    <mergeCell ref="A2432:A2435"/>
    <mergeCell ref="B2432:B2435"/>
    <mergeCell ref="A2436:A2439"/>
    <mergeCell ref="B2436:B2439"/>
    <mergeCell ref="A2444:A2447"/>
    <mergeCell ref="B2444:B2447"/>
    <mergeCell ref="A2488:A2491"/>
    <mergeCell ref="B2488:B2491"/>
    <mergeCell ref="A2544:A2547"/>
    <mergeCell ref="B2544:B2547"/>
    <mergeCell ref="A2548:A2551"/>
    <mergeCell ref="B2548:B2551"/>
    <mergeCell ref="A2452:A2455"/>
    <mergeCell ref="B2452:B2455"/>
    <mergeCell ref="A2456:A2459"/>
    <mergeCell ref="B2456:B2459"/>
    <mergeCell ref="A2448:A2451"/>
    <mergeCell ref="B2448:B2451"/>
    <mergeCell ref="A2460:A2463"/>
    <mergeCell ref="B2460:B2463"/>
    <mergeCell ref="A2620:A2623"/>
    <mergeCell ref="B2620:B2623"/>
    <mergeCell ref="A2596:A2603"/>
    <mergeCell ref="B2596:B2603"/>
    <mergeCell ref="A2604:A2607"/>
    <mergeCell ref="B2604:B2607"/>
    <mergeCell ref="A2608:A2611"/>
    <mergeCell ref="B2608:B2611"/>
    <mergeCell ref="A2576:A2579"/>
    <mergeCell ref="B2576:B2579"/>
    <mergeCell ref="A2580:A2587"/>
    <mergeCell ref="B2580:B2587"/>
    <mergeCell ref="A2588:A2595"/>
    <mergeCell ref="B2588:B2595"/>
    <mergeCell ref="A2564:A2567"/>
    <mergeCell ref="B2564:B2567"/>
    <mergeCell ref="A2568:A2571"/>
    <mergeCell ref="B2568:B2571"/>
    <mergeCell ref="A2572:A2575"/>
    <mergeCell ref="B2572:B2575"/>
    <mergeCell ref="A2690:A2695"/>
    <mergeCell ref="B2690:B2695"/>
    <mergeCell ref="A2696:A2701"/>
    <mergeCell ref="B2696:B2701"/>
    <mergeCell ref="A2702:A2707"/>
    <mergeCell ref="B2702:B2707"/>
    <mergeCell ref="A2672:A2677"/>
    <mergeCell ref="B2672:B2677"/>
    <mergeCell ref="A2678:A2683"/>
    <mergeCell ref="B2678:B2683"/>
    <mergeCell ref="A2684:A2689"/>
    <mergeCell ref="B2684:B2689"/>
    <mergeCell ref="A2652:A2655"/>
    <mergeCell ref="B2652:B2655"/>
    <mergeCell ref="A2660:A2665"/>
    <mergeCell ref="B2660:B2665"/>
    <mergeCell ref="A2666:A2671"/>
    <mergeCell ref="B2666:B2671"/>
    <mergeCell ref="A2656:A2659"/>
    <mergeCell ref="B2656:B2659"/>
    <mergeCell ref="A2708:A2713"/>
    <mergeCell ref="B2708:B2713"/>
    <mergeCell ref="A2714:A2719"/>
    <mergeCell ref="B2714:B2719"/>
    <mergeCell ref="A2776:A2780"/>
    <mergeCell ref="B2776:B2780"/>
    <mergeCell ref="A2768:A2771"/>
    <mergeCell ref="B2768:B2771"/>
    <mergeCell ref="A2864:A2868"/>
    <mergeCell ref="B2864:B2868"/>
    <mergeCell ref="A2869:A2873"/>
    <mergeCell ref="B2869:B2873"/>
    <mergeCell ref="A2874:A2878"/>
    <mergeCell ref="B2874:B2878"/>
    <mergeCell ref="A2849:A2853"/>
    <mergeCell ref="B2849:B2853"/>
    <mergeCell ref="A2854:A2858"/>
    <mergeCell ref="B2854:B2858"/>
    <mergeCell ref="A2859:A2863"/>
    <mergeCell ref="B2859:B2863"/>
    <mergeCell ref="A2832:A2838"/>
    <mergeCell ref="B2832:B2838"/>
    <mergeCell ref="A2839:A2843"/>
    <mergeCell ref="B2839:B2843"/>
    <mergeCell ref="A2844:A2848"/>
    <mergeCell ref="B2844:B2848"/>
    <mergeCell ref="A2732:A2735"/>
    <mergeCell ref="B2732:B2735"/>
    <mergeCell ref="A2736:A2739"/>
    <mergeCell ref="B2736:B2739"/>
    <mergeCell ref="A2740:A2743"/>
    <mergeCell ref="B2740:B2743"/>
    <mergeCell ref="A2891:A2895"/>
    <mergeCell ref="B2891:B2895"/>
    <mergeCell ref="A2971:A2975"/>
    <mergeCell ref="B2971:B2975"/>
    <mergeCell ref="A2976:A2980"/>
    <mergeCell ref="B2976:B2980"/>
    <mergeCell ref="A2981:A2985"/>
    <mergeCell ref="B2981:B2985"/>
    <mergeCell ref="A2956:A2960"/>
    <mergeCell ref="B2956:B2960"/>
    <mergeCell ref="A2961:A2965"/>
    <mergeCell ref="B2961:B2965"/>
    <mergeCell ref="A2966:A2970"/>
    <mergeCell ref="B2966:B2970"/>
    <mergeCell ref="A2941:A2945"/>
    <mergeCell ref="B2941:B2945"/>
    <mergeCell ref="A2946:A2950"/>
    <mergeCell ref="B2946:B2950"/>
    <mergeCell ref="A2951:A2955"/>
    <mergeCell ref="B2951:B2955"/>
    <mergeCell ref="A3021:A3025"/>
    <mergeCell ref="B3021:B3025"/>
    <mergeCell ref="A3026:A3030"/>
    <mergeCell ref="B3026:B3030"/>
    <mergeCell ref="A3031:A3035"/>
    <mergeCell ref="B3031:B3035"/>
    <mergeCell ref="A3006:A3010"/>
    <mergeCell ref="B3006:B3010"/>
    <mergeCell ref="A3011:A3015"/>
    <mergeCell ref="B3011:B3015"/>
    <mergeCell ref="A3016:A3020"/>
    <mergeCell ref="B3016:B3020"/>
    <mergeCell ref="A2986:A2990"/>
    <mergeCell ref="B2986:B2990"/>
    <mergeCell ref="A2991:A3000"/>
    <mergeCell ref="B2991:B3000"/>
    <mergeCell ref="A3001:A3005"/>
    <mergeCell ref="B3001:B3005"/>
    <mergeCell ref="A3071:A3078"/>
    <mergeCell ref="B3071:B3078"/>
    <mergeCell ref="A3079:A3083"/>
    <mergeCell ref="B3079:B3083"/>
    <mergeCell ref="A3084:A3091"/>
    <mergeCell ref="B3084:B3091"/>
    <mergeCell ref="A3054:A3058"/>
    <mergeCell ref="B3054:B3058"/>
    <mergeCell ref="A3059:A3066"/>
    <mergeCell ref="B3059:B3066"/>
    <mergeCell ref="A3067:A3070"/>
    <mergeCell ref="B3067:B3070"/>
    <mergeCell ref="A3036:A3040"/>
    <mergeCell ref="B3036:B3040"/>
    <mergeCell ref="A3041:A3045"/>
    <mergeCell ref="B3041:B3045"/>
    <mergeCell ref="A3046:A3053"/>
    <mergeCell ref="B3046:B3053"/>
    <mergeCell ref="A3122:A3126"/>
    <mergeCell ref="B3122:B3126"/>
    <mergeCell ref="A3127:A3131"/>
    <mergeCell ref="B3127:B3131"/>
    <mergeCell ref="A3132:A3136"/>
    <mergeCell ref="B3132:B3136"/>
    <mergeCell ref="A3107:A3111"/>
    <mergeCell ref="B3107:B3111"/>
    <mergeCell ref="A3112:A3116"/>
    <mergeCell ref="B3112:B3116"/>
    <mergeCell ref="A3117:A3121"/>
    <mergeCell ref="B3117:B3121"/>
    <mergeCell ref="A3092:A3096"/>
    <mergeCell ref="B3092:B3096"/>
    <mergeCell ref="A3097:A3101"/>
    <mergeCell ref="B3097:B3101"/>
    <mergeCell ref="A3102:A3106"/>
    <mergeCell ref="B3102:B3106"/>
    <mergeCell ref="A3172:A3176"/>
    <mergeCell ref="B3172:B3176"/>
    <mergeCell ref="A3177:A3185"/>
    <mergeCell ref="B3177:B3185"/>
    <mergeCell ref="A3186:A3193"/>
    <mergeCell ref="B3186:B3193"/>
    <mergeCell ref="A3155:A3160"/>
    <mergeCell ref="B3155:B3160"/>
    <mergeCell ref="A3161:A3165"/>
    <mergeCell ref="B3161:B3165"/>
    <mergeCell ref="A3166:A3171"/>
    <mergeCell ref="B3166:B3171"/>
    <mergeCell ref="A3137:A3142"/>
    <mergeCell ref="B3137:B3142"/>
    <mergeCell ref="A3143:A3148"/>
    <mergeCell ref="B3143:B3148"/>
    <mergeCell ref="A3149:A3154"/>
    <mergeCell ref="B3149:B3154"/>
    <mergeCell ref="A3237:A3242"/>
    <mergeCell ref="B3237:B3242"/>
    <mergeCell ref="A3243:A3248"/>
    <mergeCell ref="B3243:B3248"/>
    <mergeCell ref="A3249:A3258"/>
    <mergeCell ref="B3249:B3258"/>
    <mergeCell ref="A3211:A3217"/>
    <mergeCell ref="B3211:B3217"/>
    <mergeCell ref="A3218:A3230"/>
    <mergeCell ref="B3218:B3230"/>
    <mergeCell ref="A3231:A3236"/>
    <mergeCell ref="B3231:B3236"/>
    <mergeCell ref="A3194:A3201"/>
    <mergeCell ref="B3194:B3201"/>
    <mergeCell ref="A3202:A3206"/>
    <mergeCell ref="B3202:B3206"/>
    <mergeCell ref="A3207:A3210"/>
    <mergeCell ref="B3207:B3210"/>
    <mergeCell ref="A3299:A3305"/>
    <mergeCell ref="B3299:B3305"/>
    <mergeCell ref="A3306:A3312"/>
    <mergeCell ref="B3306:B3312"/>
    <mergeCell ref="A3313:A3319"/>
    <mergeCell ref="B3313:B3319"/>
    <mergeCell ref="A3278:A3284"/>
    <mergeCell ref="B3278:B3284"/>
    <mergeCell ref="A3285:A3291"/>
    <mergeCell ref="B3285:B3291"/>
    <mergeCell ref="A3292:A3298"/>
    <mergeCell ref="B3292:B3298"/>
    <mergeCell ref="A3259:A3263"/>
    <mergeCell ref="B3259:B3263"/>
    <mergeCell ref="A3264:A3270"/>
    <mergeCell ref="B3264:B3270"/>
    <mergeCell ref="A3271:A3277"/>
    <mergeCell ref="B3271:B3277"/>
    <mergeCell ref="A3360:A3366"/>
    <mergeCell ref="B3360:B3366"/>
    <mergeCell ref="A3367:A3373"/>
    <mergeCell ref="B3367:B3373"/>
    <mergeCell ref="A3374:A3380"/>
    <mergeCell ref="B3374:B3380"/>
    <mergeCell ref="A3340:A3345"/>
    <mergeCell ref="B3340:B3345"/>
    <mergeCell ref="A3346:A3354"/>
    <mergeCell ref="B3346:B3354"/>
    <mergeCell ref="A3355:A3359"/>
    <mergeCell ref="B3355:B3359"/>
    <mergeCell ref="A3320:A3326"/>
    <mergeCell ref="B3320:B3326"/>
    <mergeCell ref="A3327:A3333"/>
    <mergeCell ref="B3327:B3333"/>
    <mergeCell ref="A3334:A3339"/>
    <mergeCell ref="B3334:B3339"/>
    <mergeCell ref="A3409:A3415"/>
    <mergeCell ref="B3409:B3415"/>
    <mergeCell ref="A3416:A3422"/>
    <mergeCell ref="B3416:B3422"/>
    <mergeCell ref="A3423:A3427"/>
    <mergeCell ref="B3423:B3427"/>
    <mergeCell ref="A3394:A3397"/>
    <mergeCell ref="B3394:B3397"/>
    <mergeCell ref="A3398:A3401"/>
    <mergeCell ref="B3398:B3401"/>
    <mergeCell ref="A3402:A3408"/>
    <mergeCell ref="B3402:B3408"/>
    <mergeCell ref="A3381:A3384"/>
    <mergeCell ref="B3381:B3384"/>
    <mergeCell ref="A3385:A3388"/>
    <mergeCell ref="B3385:B3388"/>
    <mergeCell ref="A3389:A3393"/>
    <mergeCell ref="B3389:B3393"/>
    <mergeCell ref="A3478:A3485"/>
    <mergeCell ref="B3478:B3485"/>
    <mergeCell ref="A3486:A3502"/>
    <mergeCell ref="B3486:B3502"/>
    <mergeCell ref="A3503:A3510"/>
    <mergeCell ref="B3503:B3510"/>
    <mergeCell ref="A3442:A3445"/>
    <mergeCell ref="B3442:B3445"/>
    <mergeCell ref="A3446:A3455"/>
    <mergeCell ref="B3446:B3455"/>
    <mergeCell ref="A3456:A3466"/>
    <mergeCell ref="B3456:B3466"/>
    <mergeCell ref="A3428:A3432"/>
    <mergeCell ref="B3428:B3432"/>
    <mergeCell ref="A3433:A3437"/>
    <mergeCell ref="B3433:B3437"/>
    <mergeCell ref="A3438:A3441"/>
    <mergeCell ref="B3438:B3441"/>
    <mergeCell ref="A3582:A3589"/>
    <mergeCell ref="B3582:B3589"/>
    <mergeCell ref="A3590:A3596"/>
    <mergeCell ref="B3590:B3596"/>
    <mergeCell ref="A3597:A3601"/>
    <mergeCell ref="B3597:B3601"/>
    <mergeCell ref="A3554:A3569"/>
    <mergeCell ref="B3554:B3569"/>
    <mergeCell ref="A3570:A3575"/>
    <mergeCell ref="B3570:B3575"/>
    <mergeCell ref="A3576:A3581"/>
    <mergeCell ref="B3576:B3581"/>
    <mergeCell ref="A3511:A3527"/>
    <mergeCell ref="B3511:B3527"/>
    <mergeCell ref="A3528:A3537"/>
    <mergeCell ref="B3528:B3537"/>
    <mergeCell ref="A3547:A3553"/>
    <mergeCell ref="B3547:B3553"/>
    <mergeCell ref="A3644:A3648"/>
    <mergeCell ref="B3644:B3648"/>
    <mergeCell ref="A3649:A3656"/>
    <mergeCell ref="B3649:B3656"/>
    <mergeCell ref="A3657:A3660"/>
    <mergeCell ref="B3657:B3660"/>
    <mergeCell ref="A3623:A3628"/>
    <mergeCell ref="B3623:B3628"/>
    <mergeCell ref="A3629:A3638"/>
    <mergeCell ref="B3629:B3638"/>
    <mergeCell ref="A3639:A3643"/>
    <mergeCell ref="B3639:B3643"/>
    <mergeCell ref="A3602:A3609"/>
    <mergeCell ref="B3602:B3609"/>
    <mergeCell ref="A3610:A3615"/>
    <mergeCell ref="B3610:B3615"/>
    <mergeCell ref="A3616:A3622"/>
    <mergeCell ref="B3616:B3622"/>
    <mergeCell ref="A3726:A3729"/>
    <mergeCell ref="B3726:B3729"/>
    <mergeCell ref="A3730:A3739"/>
    <mergeCell ref="B3730:B3739"/>
    <mergeCell ref="A3740:A3744"/>
    <mergeCell ref="B3740:B3744"/>
    <mergeCell ref="A3690:A3701"/>
    <mergeCell ref="B3690:B3701"/>
    <mergeCell ref="A3702:A3714"/>
    <mergeCell ref="B3702:B3714"/>
    <mergeCell ref="A3715:A3725"/>
    <mergeCell ref="B3715:B3725"/>
    <mergeCell ref="A3661:A3666"/>
    <mergeCell ref="B3661:B3666"/>
    <mergeCell ref="A3667:A3681"/>
    <mergeCell ref="B3667:B3681"/>
    <mergeCell ref="A3682:A3689"/>
    <mergeCell ref="B3682:B3689"/>
    <mergeCell ref="A3833:A3837"/>
    <mergeCell ref="B3833:B3837"/>
    <mergeCell ref="A3838:A3848"/>
    <mergeCell ref="B3838:B3848"/>
    <mergeCell ref="A3849:A3858"/>
    <mergeCell ref="B3849:B3858"/>
    <mergeCell ref="A3765:A3768"/>
    <mergeCell ref="B3765:B3768"/>
    <mergeCell ref="A3769:A3772"/>
    <mergeCell ref="B3769:B3772"/>
    <mergeCell ref="A3827:A3832"/>
    <mergeCell ref="B3827:B3832"/>
    <mergeCell ref="A3745:A3753"/>
    <mergeCell ref="B3745:B3753"/>
    <mergeCell ref="A3754:A3760"/>
    <mergeCell ref="B3754:B3760"/>
    <mergeCell ref="A3761:A3764"/>
    <mergeCell ref="B3761:B3764"/>
    <mergeCell ref="A3773:A3778"/>
    <mergeCell ref="B3773:B3778"/>
    <mergeCell ref="A3779:A3784"/>
    <mergeCell ref="B3779:B3784"/>
    <mergeCell ref="A3785:A3790"/>
    <mergeCell ref="B3785:B3790"/>
    <mergeCell ref="A3791:A3796"/>
    <mergeCell ref="B3791:B3796"/>
    <mergeCell ref="A3797:A3802"/>
    <mergeCell ref="B3797:B3802"/>
    <mergeCell ref="A3803:A3808"/>
    <mergeCell ref="B3803:B3808"/>
    <mergeCell ref="A3809:A3814"/>
    <mergeCell ref="B3809:B3814"/>
    <mergeCell ref="A3928:A3933"/>
    <mergeCell ref="B3928:B3933"/>
    <mergeCell ref="A3934:A3939"/>
    <mergeCell ref="B3934:B3939"/>
    <mergeCell ref="A3940:A3945"/>
    <mergeCell ref="B3940:B3945"/>
    <mergeCell ref="A3888:A3902"/>
    <mergeCell ref="B3888:B3902"/>
    <mergeCell ref="A3903:A3909"/>
    <mergeCell ref="B3903:B3909"/>
    <mergeCell ref="A3910:A3927"/>
    <mergeCell ref="B3910:B3927"/>
    <mergeCell ref="A3859:A3867"/>
    <mergeCell ref="B3859:B3867"/>
    <mergeCell ref="A3868:A3875"/>
    <mergeCell ref="B3868:B3875"/>
    <mergeCell ref="A3876:A3887"/>
    <mergeCell ref="B3876:B3887"/>
    <mergeCell ref="A3995:A4007"/>
    <mergeCell ref="B3995:B4007"/>
    <mergeCell ref="A4008:A4020"/>
    <mergeCell ref="B4008:B4020"/>
    <mergeCell ref="A4021:A4025"/>
    <mergeCell ref="B4021:B4025"/>
    <mergeCell ref="A3970:A3979"/>
    <mergeCell ref="B3970:B3979"/>
    <mergeCell ref="A3980:A3986"/>
    <mergeCell ref="B3980:B3986"/>
    <mergeCell ref="A3987:A3994"/>
    <mergeCell ref="B3987:B3994"/>
    <mergeCell ref="A3946:A3952"/>
    <mergeCell ref="B3946:B3952"/>
    <mergeCell ref="A3953:A3961"/>
    <mergeCell ref="B3953:B3961"/>
    <mergeCell ref="A3962:A3969"/>
    <mergeCell ref="B3962:B3969"/>
    <mergeCell ref="A4070:A4078"/>
    <mergeCell ref="B4070:B4078"/>
    <mergeCell ref="A4079:A4087"/>
    <mergeCell ref="B4079:B4087"/>
    <mergeCell ref="A4088:A4093"/>
    <mergeCell ref="B4088:B4093"/>
    <mergeCell ref="A4043:A4051"/>
    <mergeCell ref="B4043:B4051"/>
    <mergeCell ref="A4052:A4060"/>
    <mergeCell ref="B4052:B4060"/>
    <mergeCell ref="A4061:A4069"/>
    <mergeCell ref="B4061:B4069"/>
    <mergeCell ref="A4026:A4029"/>
    <mergeCell ref="B4026:B4029"/>
    <mergeCell ref="A4030:A4033"/>
    <mergeCell ref="B4030:B4033"/>
    <mergeCell ref="A4034:A4042"/>
    <mergeCell ref="B4034:B4042"/>
    <mergeCell ref="A4132:A4139"/>
    <mergeCell ref="B4132:B4139"/>
    <mergeCell ref="A4140:A4147"/>
    <mergeCell ref="B4140:B4147"/>
    <mergeCell ref="A4148:A4151"/>
    <mergeCell ref="B4148:B4151"/>
    <mergeCell ref="A4113:A4116"/>
    <mergeCell ref="B4113:B4116"/>
    <mergeCell ref="A4117:A4123"/>
    <mergeCell ref="B4117:B4123"/>
    <mergeCell ref="A4124:A4131"/>
    <mergeCell ref="B4124:B4131"/>
    <mergeCell ref="A4094:A4099"/>
    <mergeCell ref="B4094:B4099"/>
    <mergeCell ref="A4100:A4106"/>
    <mergeCell ref="B4100:B4106"/>
    <mergeCell ref="A4107:A4112"/>
    <mergeCell ref="B4107:B4112"/>
    <mergeCell ref="A4199:A4204"/>
    <mergeCell ref="B4199:B4204"/>
    <mergeCell ref="A4205:A4210"/>
    <mergeCell ref="B4205:B4210"/>
    <mergeCell ref="A4211:A4216"/>
    <mergeCell ref="B4211:B4216"/>
    <mergeCell ref="A4181:A4184"/>
    <mergeCell ref="B4181:B4184"/>
    <mergeCell ref="A4185:A4191"/>
    <mergeCell ref="B4185:B4191"/>
    <mergeCell ref="A4192:A4198"/>
    <mergeCell ref="B4192:B4198"/>
    <mergeCell ref="A4152:A4158"/>
    <mergeCell ref="B4152:B4158"/>
    <mergeCell ref="A4159:A4169"/>
    <mergeCell ref="B4159:B4169"/>
    <mergeCell ref="A4170:A4180"/>
    <mergeCell ref="B4170:B4180"/>
    <mergeCell ref="A4278:A4286"/>
    <mergeCell ref="B4278:B4286"/>
    <mergeCell ref="A4287:A4302"/>
    <mergeCell ref="B4287:B4302"/>
    <mergeCell ref="A4303:A4329"/>
    <mergeCell ref="B4303:B4329"/>
    <mergeCell ref="A4258:A4264"/>
    <mergeCell ref="B4258:B4264"/>
    <mergeCell ref="A4265:A4269"/>
    <mergeCell ref="B4265:B4269"/>
    <mergeCell ref="A4270:A4277"/>
    <mergeCell ref="B4270:B4277"/>
    <mergeCell ref="A4241:A4248"/>
    <mergeCell ref="B4241:B4248"/>
    <mergeCell ref="A4249:A4257"/>
    <mergeCell ref="B4249:B4257"/>
    <mergeCell ref="A4217:A4226"/>
    <mergeCell ref="B4217:B4226"/>
    <mergeCell ref="A4227:A4232"/>
    <mergeCell ref="B4227:B4232"/>
    <mergeCell ref="A4233:A4240"/>
    <mergeCell ref="B4233:B4240"/>
    <mergeCell ref="A4384:A4393"/>
    <mergeCell ref="B4384:B4393"/>
    <mergeCell ref="A4394:A4401"/>
    <mergeCell ref="B4394:B4401"/>
    <mergeCell ref="A4402:A4409"/>
    <mergeCell ref="B4402:B4409"/>
    <mergeCell ref="A4357:A4365"/>
    <mergeCell ref="B4357:B4365"/>
    <mergeCell ref="A4366:A4374"/>
    <mergeCell ref="B4366:B4374"/>
    <mergeCell ref="A4375:A4383"/>
    <mergeCell ref="B4375:B4383"/>
    <mergeCell ref="A4330:A4336"/>
    <mergeCell ref="B4330:B4336"/>
    <mergeCell ref="A4337:A4347"/>
    <mergeCell ref="B4337:B4347"/>
    <mergeCell ref="A4348:A4356"/>
    <mergeCell ref="B4348:B4356"/>
    <mergeCell ref="A4472:A4477"/>
    <mergeCell ref="B4472:B4477"/>
    <mergeCell ref="A4478:A4497"/>
    <mergeCell ref="B4478:B4497"/>
    <mergeCell ref="A4498:A4505"/>
    <mergeCell ref="B4498:B4505"/>
    <mergeCell ref="A4440:A4447"/>
    <mergeCell ref="B4440:B4447"/>
    <mergeCell ref="A4448:A4459"/>
    <mergeCell ref="B4448:B4459"/>
    <mergeCell ref="A4460:A4471"/>
    <mergeCell ref="B4460:B4471"/>
    <mergeCell ref="A4410:A4419"/>
    <mergeCell ref="B4410:B4419"/>
    <mergeCell ref="A4420:A4429"/>
    <mergeCell ref="B4420:B4429"/>
    <mergeCell ref="A4430:A4439"/>
    <mergeCell ref="B4430:B4439"/>
    <mergeCell ref="A4546:A4550"/>
    <mergeCell ref="B4546:B4550"/>
    <mergeCell ref="A4551:A4556"/>
    <mergeCell ref="B4551:B4556"/>
    <mergeCell ref="A4557:A4568"/>
    <mergeCell ref="B4557:B4568"/>
    <mergeCell ref="A4525:A4529"/>
    <mergeCell ref="B4525:B4529"/>
    <mergeCell ref="A4530:A4537"/>
    <mergeCell ref="B4530:B4537"/>
    <mergeCell ref="A4538:A4545"/>
    <mergeCell ref="B4538:B4545"/>
    <mergeCell ref="A4506:A4513"/>
    <mergeCell ref="B4506:B4513"/>
    <mergeCell ref="A4514:A4519"/>
    <mergeCell ref="B4514:B4519"/>
    <mergeCell ref="A4520:A4524"/>
    <mergeCell ref="B4520:B4524"/>
    <mergeCell ref="A4631:A4642"/>
    <mergeCell ref="B4631:B4642"/>
    <mergeCell ref="A4643:A4650"/>
    <mergeCell ref="B4643:B4650"/>
    <mergeCell ref="A4651:A4656"/>
    <mergeCell ref="B4651:B4656"/>
    <mergeCell ref="A4608:A4616"/>
    <mergeCell ref="B4608:B4616"/>
    <mergeCell ref="A4617:A4624"/>
    <mergeCell ref="B4617:B4624"/>
    <mergeCell ref="A4625:A4630"/>
    <mergeCell ref="B4625:B4630"/>
    <mergeCell ref="A4569:A4580"/>
    <mergeCell ref="B4569:B4580"/>
    <mergeCell ref="A4581:A4599"/>
    <mergeCell ref="B4581:B4599"/>
    <mergeCell ref="A4600:A4607"/>
    <mergeCell ref="B4600:B4607"/>
    <mergeCell ref="A4706:A4717"/>
    <mergeCell ref="B4706:B4717"/>
    <mergeCell ref="A4718:A4723"/>
    <mergeCell ref="B4718:B4723"/>
    <mergeCell ref="A4724:A4731"/>
    <mergeCell ref="B4724:B4731"/>
    <mergeCell ref="A4683:A4688"/>
    <mergeCell ref="B4683:B4688"/>
    <mergeCell ref="A4689:A4696"/>
    <mergeCell ref="B4689:B4696"/>
    <mergeCell ref="A4697:A4705"/>
    <mergeCell ref="B4697:B4705"/>
    <mergeCell ref="A4657:A4664"/>
    <mergeCell ref="B4657:B4664"/>
    <mergeCell ref="A4665:A4672"/>
    <mergeCell ref="B4665:B4672"/>
    <mergeCell ref="A4673:A4682"/>
    <mergeCell ref="B4673:B4682"/>
    <mergeCell ref="A4768:A4777"/>
    <mergeCell ref="B4768:B4777"/>
    <mergeCell ref="A4778:A4787"/>
    <mergeCell ref="B4778:B4787"/>
    <mergeCell ref="A4788:A4792"/>
    <mergeCell ref="B4788:B4792"/>
    <mergeCell ref="A4793:A4797"/>
    <mergeCell ref="B4793:B4797"/>
    <mergeCell ref="A4798:A4802"/>
    <mergeCell ref="B4798:B4802"/>
    <mergeCell ref="A4811:A4818"/>
    <mergeCell ref="B4811:B4818"/>
    <mergeCell ref="A4819:A4826"/>
    <mergeCell ref="B4819:B4826"/>
    <mergeCell ref="A4827:A4834"/>
    <mergeCell ref="B4827:B4834"/>
    <mergeCell ref="A4752:A4762"/>
    <mergeCell ref="B4752:B4762"/>
    <mergeCell ref="A4763:A4767"/>
    <mergeCell ref="B4763:B4767"/>
    <mergeCell ref="A4835:A4842"/>
    <mergeCell ref="B4835:B4842"/>
    <mergeCell ref="A4843:A4850"/>
    <mergeCell ref="B4843:B4850"/>
    <mergeCell ref="A4851:A4858"/>
    <mergeCell ref="B4851:B4858"/>
    <mergeCell ref="A4859:A4866"/>
    <mergeCell ref="B4859:B4866"/>
    <mergeCell ref="A4803:A4810"/>
    <mergeCell ref="B4803:B4810"/>
    <mergeCell ref="A4867:A4876"/>
    <mergeCell ref="B4867:B4876"/>
    <mergeCell ref="A4877:A4885"/>
    <mergeCell ref="B4877:B4885"/>
    <mergeCell ref="A4886:A4892"/>
    <mergeCell ref="B4886:B4892"/>
    <mergeCell ref="A4893:A4899"/>
    <mergeCell ref="B4893:B4899"/>
    <mergeCell ref="A4900:A4906"/>
    <mergeCell ref="B4900:B4906"/>
    <mergeCell ref="A4907:A4913"/>
    <mergeCell ref="B4907:B4913"/>
    <mergeCell ref="A4914:A4920"/>
    <mergeCell ref="B4914:B4920"/>
    <mergeCell ref="A4921:A4925"/>
    <mergeCell ref="B4921:B4925"/>
    <mergeCell ref="A4926:A4932"/>
    <mergeCell ref="B4926:B4932"/>
    <mergeCell ref="B4933:B4939"/>
    <mergeCell ref="A4933:A4939"/>
    <mergeCell ref="A4940:A4946"/>
    <mergeCell ref="B4940:B4946"/>
    <mergeCell ref="A4947:A4953"/>
    <mergeCell ref="B4947:B4953"/>
    <mergeCell ref="A4954:A4958"/>
    <mergeCell ref="B4954:B4958"/>
    <mergeCell ref="A4959:A4964"/>
    <mergeCell ref="B4959:B4964"/>
    <mergeCell ref="A4965:A4970"/>
    <mergeCell ref="B4965:B4970"/>
    <mergeCell ref="A4971:A4976"/>
    <mergeCell ref="B4971:B4976"/>
    <mergeCell ref="A4977:A4982"/>
    <mergeCell ref="B4977:B4982"/>
    <mergeCell ref="A4983:A4989"/>
    <mergeCell ref="B4983:B4989"/>
    <mergeCell ref="A4990:A4994"/>
    <mergeCell ref="B4990:B4994"/>
    <mergeCell ref="A4995:A5002"/>
    <mergeCell ref="B4995:B5002"/>
    <mergeCell ref="A5003:A5008"/>
    <mergeCell ref="B5003:B5008"/>
    <mergeCell ref="A5009:A5012"/>
    <mergeCell ref="B5009:B5012"/>
    <mergeCell ref="A5093:A5103"/>
    <mergeCell ref="B5093:B5103"/>
    <mergeCell ref="A5073:A5078"/>
    <mergeCell ref="B5073:B5078"/>
    <mergeCell ref="A5079:A5085"/>
    <mergeCell ref="B5079:B5085"/>
    <mergeCell ref="A5013:A5018"/>
    <mergeCell ref="B5013:B5018"/>
    <mergeCell ref="A5019:A5024"/>
    <mergeCell ref="B5019:B5024"/>
    <mergeCell ref="A5025:A5032"/>
    <mergeCell ref="B5025:B5032"/>
    <mergeCell ref="A5033:A5039"/>
    <mergeCell ref="B5033:B5039"/>
    <mergeCell ref="A5040:A5046"/>
    <mergeCell ref="B5040:B5046"/>
    <mergeCell ref="A5047:A5054"/>
    <mergeCell ref="B5047:B5054"/>
    <mergeCell ref="A5055:A5060"/>
    <mergeCell ref="B5055:B5060"/>
    <mergeCell ref="A5061:A5066"/>
    <mergeCell ref="B5061:B5066"/>
    <mergeCell ref="A5067:A5072"/>
    <mergeCell ref="B5067:B5072"/>
    <mergeCell ref="A5118:A5125"/>
    <mergeCell ref="B5118:B5125"/>
    <mergeCell ref="A2648:A2651"/>
    <mergeCell ref="B2648:B2651"/>
    <mergeCell ref="A2516:A2519"/>
    <mergeCell ref="B2516:B2519"/>
    <mergeCell ref="A2520:A2523"/>
    <mergeCell ref="B2520:B2523"/>
    <mergeCell ref="A2524:A2527"/>
    <mergeCell ref="B2524:B2527"/>
    <mergeCell ref="A2528:A2531"/>
    <mergeCell ref="B2528:B2531"/>
    <mergeCell ref="A2532:A2535"/>
    <mergeCell ref="B2532:B2535"/>
    <mergeCell ref="A2536:A2539"/>
    <mergeCell ref="B2536:B2539"/>
    <mergeCell ref="A2540:A2543"/>
    <mergeCell ref="B2540:B2543"/>
    <mergeCell ref="A2556:A2559"/>
    <mergeCell ref="B2556:B2559"/>
    <mergeCell ref="A2624:A2627"/>
    <mergeCell ref="B2624:B2627"/>
    <mergeCell ref="A2628:A2631"/>
    <mergeCell ref="B2628:B2631"/>
    <mergeCell ref="A2632:A2635"/>
    <mergeCell ref="B2632:B2635"/>
    <mergeCell ref="A2612:A2615"/>
    <mergeCell ref="B2612:B2615"/>
    <mergeCell ref="A2616:A2619"/>
    <mergeCell ref="B2616:B2619"/>
    <mergeCell ref="A5086:A5092"/>
    <mergeCell ref="B5086:B5092"/>
    <mergeCell ref="A2464:A2467"/>
    <mergeCell ref="B2464:B2467"/>
    <mergeCell ref="A2468:A2471"/>
    <mergeCell ref="B2468:B2471"/>
    <mergeCell ref="A2472:A2475"/>
    <mergeCell ref="B2472:B2475"/>
    <mergeCell ref="A2476:A2479"/>
    <mergeCell ref="B2476:B2479"/>
    <mergeCell ref="A2480:A2483"/>
    <mergeCell ref="B2480:B2483"/>
    <mergeCell ref="A2484:A2487"/>
    <mergeCell ref="B2484:B2487"/>
    <mergeCell ref="A2636:A2639"/>
    <mergeCell ref="B2636:B2639"/>
    <mergeCell ref="A2640:A2643"/>
    <mergeCell ref="B2640:B2643"/>
    <mergeCell ref="A2644:A2647"/>
    <mergeCell ref="B2644:B2647"/>
    <mergeCell ref="A2492:A2495"/>
    <mergeCell ref="B2492:B2495"/>
    <mergeCell ref="A2496:A2499"/>
    <mergeCell ref="B2496:B2499"/>
    <mergeCell ref="A2500:A2503"/>
    <mergeCell ref="B2500:B2503"/>
    <mergeCell ref="A2504:A2507"/>
    <mergeCell ref="B2504:B2507"/>
    <mergeCell ref="A2508:A2511"/>
    <mergeCell ref="B2508:B2511"/>
    <mergeCell ref="A2512:A2515"/>
    <mergeCell ref="B2512:B2515"/>
    <mergeCell ref="A2552:A2555"/>
    <mergeCell ref="B2552:B2555"/>
    <mergeCell ref="A5392:A5399"/>
    <mergeCell ref="B5392:B5399"/>
    <mergeCell ref="A5400:A5406"/>
    <mergeCell ref="B5400:B5406"/>
    <mergeCell ref="A5407:A5416"/>
    <mergeCell ref="B5407:B5416"/>
    <mergeCell ref="A5417:A5428"/>
    <mergeCell ref="B5417:B5428"/>
    <mergeCell ref="A5429:A5434"/>
    <mergeCell ref="B5429:B5434"/>
    <mergeCell ref="A5435:A5440"/>
    <mergeCell ref="B5435:B5440"/>
    <mergeCell ref="A5441:A5447"/>
    <mergeCell ref="B5441:B5447"/>
    <mergeCell ref="A5617:A5620"/>
    <mergeCell ref="B5617:B5620"/>
    <mergeCell ref="A5448:A5453"/>
    <mergeCell ref="B5448:B5453"/>
    <mergeCell ref="A5454:A5459"/>
    <mergeCell ref="B5454:B5459"/>
    <mergeCell ref="A5460:A5465"/>
    <mergeCell ref="B5460:B5465"/>
    <mergeCell ref="A5466:A5469"/>
    <mergeCell ref="B5466:B5469"/>
    <mergeCell ref="A5477:A5480"/>
    <mergeCell ref="B5477:B5480"/>
    <mergeCell ref="A5470:A5476"/>
    <mergeCell ref="B5470:B5476"/>
    <mergeCell ref="A5601:A5604"/>
    <mergeCell ref="B5601:B5604"/>
    <mergeCell ref="A5621:A5624"/>
    <mergeCell ref="B5621:B5624"/>
    <mergeCell ref="A5625:A5628"/>
    <mergeCell ref="B5625:B5628"/>
    <mergeCell ref="A5629:A5632"/>
    <mergeCell ref="B5629:B5632"/>
    <mergeCell ref="A5633:A5636"/>
    <mergeCell ref="B5633:B5636"/>
    <mergeCell ref="A5637:A5640"/>
    <mergeCell ref="B5637:B5640"/>
    <mergeCell ref="A5641:A5644"/>
    <mergeCell ref="B5641:B5644"/>
    <mergeCell ref="A5645:A5648"/>
    <mergeCell ref="B5645:B5648"/>
    <mergeCell ref="A5649:A5652"/>
    <mergeCell ref="B5649:B5652"/>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5897:A5900"/>
    <mergeCell ref="B5897:B5900"/>
    <mergeCell ref="A5901:A5904"/>
    <mergeCell ref="B5901:B5904"/>
    <mergeCell ref="A5973:A5976"/>
    <mergeCell ref="B5973:B5976"/>
    <mergeCell ref="A5905:A5908"/>
    <mergeCell ref="B5905:B5908"/>
    <mergeCell ref="A5909:A5912"/>
    <mergeCell ref="B5909:B5912"/>
    <mergeCell ref="A5913:A5916"/>
    <mergeCell ref="B5913:B5916"/>
    <mergeCell ref="A5917:A5920"/>
    <mergeCell ref="B5917:B5920"/>
    <mergeCell ref="A5921:A5924"/>
    <mergeCell ref="B5921:B5924"/>
    <mergeCell ref="A5925:A5928"/>
    <mergeCell ref="B5925:B5928"/>
    <mergeCell ref="A5929:A5932"/>
    <mergeCell ref="B5929:B5932"/>
    <mergeCell ref="A5933:A5936"/>
    <mergeCell ref="B5933:B5936"/>
    <mergeCell ref="A5937:A5940"/>
    <mergeCell ref="B5937:B5940"/>
    <mergeCell ref="A5977:A5980"/>
    <mergeCell ref="A5981:A5984"/>
    <mergeCell ref="A5985:A5988"/>
    <mergeCell ref="B5985:B5988"/>
    <mergeCell ref="A5989:A5992"/>
    <mergeCell ref="B5989:B5992"/>
    <mergeCell ref="A5993:A5996"/>
    <mergeCell ref="B5993:B5996"/>
    <mergeCell ref="A5997:A6000"/>
    <mergeCell ref="B5997:B6000"/>
    <mergeCell ref="A6001:A6004"/>
    <mergeCell ref="B6001:B6004"/>
    <mergeCell ref="A6005:A6008"/>
    <mergeCell ref="B6005:B6008"/>
    <mergeCell ref="A6009:A6012"/>
    <mergeCell ref="B6009:B6012"/>
    <mergeCell ref="A5941:A5944"/>
    <mergeCell ref="B5941:B5944"/>
    <mergeCell ref="A5945:A5948"/>
    <mergeCell ref="B5945:B5948"/>
    <mergeCell ref="A5949:A5952"/>
    <mergeCell ref="B5949:B5952"/>
    <mergeCell ref="A5953:A5956"/>
    <mergeCell ref="B5953:B5956"/>
    <mergeCell ref="A5957:A5960"/>
    <mergeCell ref="B5957:B5960"/>
    <mergeCell ref="A5961:A5964"/>
    <mergeCell ref="B5961:B5964"/>
    <mergeCell ref="A5965:A5968"/>
    <mergeCell ref="B5965:B5968"/>
    <mergeCell ref="A5969:A5972"/>
    <mergeCell ref="B5969:B5972"/>
    <mergeCell ref="A6061:A6064"/>
    <mergeCell ref="B6061:B6064"/>
    <mergeCell ref="A6065:A6068"/>
    <mergeCell ref="B6065:B6068"/>
    <mergeCell ref="A6069:A6072"/>
    <mergeCell ref="B6069:B6072"/>
    <mergeCell ref="A6073:A6076"/>
    <mergeCell ref="B6073:B6076"/>
    <mergeCell ref="A6077:A6080"/>
    <mergeCell ref="B6077:B6080"/>
    <mergeCell ref="A6081:A6084"/>
    <mergeCell ref="B6081:B6084"/>
    <mergeCell ref="A6085:A6088"/>
    <mergeCell ref="B6085:B6088"/>
    <mergeCell ref="A6089:A6092"/>
    <mergeCell ref="B6089:B6092"/>
    <mergeCell ref="A6013:A6016"/>
    <mergeCell ref="B6013:B6016"/>
    <mergeCell ref="A6017:A6020"/>
    <mergeCell ref="B6017:B6020"/>
    <mergeCell ref="A6021:A6024"/>
    <mergeCell ref="B6021:B6024"/>
    <mergeCell ref="A6029:A6032"/>
    <mergeCell ref="B6029:B6032"/>
    <mergeCell ref="A6033:A6036"/>
    <mergeCell ref="B6033:B6036"/>
    <mergeCell ref="A6037:A6040"/>
    <mergeCell ref="B6037:B6040"/>
    <mergeCell ref="A6049:A6052"/>
    <mergeCell ref="B6049:B6052"/>
    <mergeCell ref="A6053:A6056"/>
    <mergeCell ref="B6053:B6056"/>
    <mergeCell ref="A6093:A6096"/>
    <mergeCell ref="B6093:B6096"/>
    <mergeCell ref="A6097:A6100"/>
    <mergeCell ref="B6097:B6100"/>
    <mergeCell ref="A6101:A6104"/>
    <mergeCell ref="B6101:B6104"/>
    <mergeCell ref="A6105:A6108"/>
    <mergeCell ref="B6105:B6108"/>
    <mergeCell ref="A6121:A6128"/>
    <mergeCell ref="B6121:B6128"/>
    <mergeCell ref="A6129:A6132"/>
    <mergeCell ref="B6129:B6132"/>
    <mergeCell ref="A6133:A6136"/>
    <mergeCell ref="B6133:B6136"/>
    <mergeCell ref="A2772:A2775"/>
    <mergeCell ref="B2772:B2775"/>
    <mergeCell ref="B5977:B5980"/>
    <mergeCell ref="B5981:B5984"/>
    <mergeCell ref="A5565:A5570"/>
    <mergeCell ref="B5565:B5570"/>
    <mergeCell ref="A5571:A5576"/>
    <mergeCell ref="B5571:B5576"/>
    <mergeCell ref="A5577:A5582"/>
    <mergeCell ref="B5577:B5582"/>
    <mergeCell ref="A5583:A5588"/>
    <mergeCell ref="B5583:B5588"/>
    <mergeCell ref="A5589:A5594"/>
    <mergeCell ref="B5589:B5594"/>
    <mergeCell ref="A5595:A5600"/>
    <mergeCell ref="B5595:B5600"/>
    <mergeCell ref="A6057:A6060"/>
    <mergeCell ref="B6057:B6060"/>
    <mergeCell ref="A6137:A6140"/>
    <mergeCell ref="B6137:B6140"/>
    <mergeCell ref="A2764:A2767"/>
    <mergeCell ref="B2764:B2767"/>
    <mergeCell ref="A5481:A5486"/>
    <mergeCell ref="B5481:B5486"/>
    <mergeCell ref="A5487:A5492"/>
    <mergeCell ref="B5487:B5492"/>
    <mergeCell ref="A5493:A5498"/>
    <mergeCell ref="B5493:B5498"/>
    <mergeCell ref="A5499:A5504"/>
    <mergeCell ref="B5499:B5504"/>
    <mergeCell ref="A5505:A5510"/>
    <mergeCell ref="B5505:B5510"/>
    <mergeCell ref="A5511:A5516"/>
    <mergeCell ref="B5511:B5516"/>
    <mergeCell ref="A5517:A5522"/>
    <mergeCell ref="B5517:B5522"/>
    <mergeCell ref="A5523:A5528"/>
    <mergeCell ref="B5523:B5528"/>
    <mergeCell ref="A5529:A5534"/>
    <mergeCell ref="B5529:B5534"/>
    <mergeCell ref="A5535:A5540"/>
    <mergeCell ref="B5535:B5540"/>
    <mergeCell ref="A5541:A5546"/>
    <mergeCell ref="B5541:B5546"/>
    <mergeCell ref="A5547:A5552"/>
    <mergeCell ref="B5547:B5552"/>
    <mergeCell ref="A5553:A5558"/>
    <mergeCell ref="B5553:B5558"/>
    <mergeCell ref="A5559:A5564"/>
    <mergeCell ref="B5559:B5564"/>
    <mergeCell ref="A6163:A6169"/>
    <mergeCell ref="B6163:B6169"/>
    <mergeCell ref="A6237:A6245"/>
    <mergeCell ref="B6237:B6245"/>
    <mergeCell ref="A6246:A6256"/>
    <mergeCell ref="B6246:B6256"/>
    <mergeCell ref="A6257:A6264"/>
    <mergeCell ref="B6257:B6264"/>
    <mergeCell ref="A6265:A6272"/>
    <mergeCell ref="B6265:B6272"/>
    <mergeCell ref="A6273:A6281"/>
    <mergeCell ref="B6273:B6281"/>
    <mergeCell ref="A6282:A6292"/>
    <mergeCell ref="B6282:B6292"/>
    <mergeCell ref="A6293:A6316"/>
    <mergeCell ref="B6293:B6316"/>
    <mergeCell ref="A6141:A6151"/>
    <mergeCell ref="B6141:B6151"/>
    <mergeCell ref="A6152:A6162"/>
    <mergeCell ref="B6152:B6162"/>
    <mergeCell ref="A6170:A6174"/>
    <mergeCell ref="B6170:B6174"/>
    <mergeCell ref="A6175:A6179"/>
    <mergeCell ref="B6175:B6179"/>
    <mergeCell ref="A6188:A6195"/>
    <mergeCell ref="B6188:B6195"/>
    <mergeCell ref="A6180:A6187"/>
    <mergeCell ref="B6180:B6187"/>
    <mergeCell ref="A6196:A6204"/>
    <mergeCell ref="B6196:B6204"/>
    <mergeCell ref="A6205:A6211"/>
    <mergeCell ref="B6205:B6211"/>
    <mergeCell ref="A6417:A6421"/>
    <mergeCell ref="B6417:B6421"/>
    <mergeCell ref="A6443:A6449"/>
    <mergeCell ref="B6443:B6449"/>
    <mergeCell ref="A6450:A6456"/>
    <mergeCell ref="B6450:B6456"/>
    <mergeCell ref="A6457:A6463"/>
    <mergeCell ref="B6457:B6463"/>
    <mergeCell ref="A6317:A6326"/>
    <mergeCell ref="B6317:B6326"/>
    <mergeCell ref="A6327:A6335"/>
    <mergeCell ref="B6327:B6335"/>
    <mergeCell ref="A6212:A6217"/>
    <mergeCell ref="B6212:B6217"/>
    <mergeCell ref="A6218:A6224"/>
    <mergeCell ref="B6218:B6224"/>
    <mergeCell ref="A6225:A6230"/>
    <mergeCell ref="B6225:B6230"/>
    <mergeCell ref="A6231:A6236"/>
    <mergeCell ref="B6231:B6236"/>
    <mergeCell ref="A6399:A6402"/>
    <mergeCell ref="B6399:B6402"/>
    <mergeCell ref="A6403:A6406"/>
    <mergeCell ref="B6403:B6406"/>
    <mergeCell ref="A6336:A6340"/>
    <mergeCell ref="B6336:B6340"/>
    <mergeCell ref="A6341:A6354"/>
    <mergeCell ref="B6341:B6354"/>
    <mergeCell ref="A6355:A6369"/>
    <mergeCell ref="B6355:B6369"/>
    <mergeCell ref="A6370:A6376"/>
    <mergeCell ref="B6370:B6376"/>
  </mergeCells>
  <conditionalFormatting sqref="D3388 D262 D2415 D2254:E2254 D4881:D4882 E4881 D4994 D5008 D5253 D5260 D861:E861 D878:E878 D888 D6166:D6168">
    <cfRule type="containsText" dxfId="2987" priority="5974" operator="containsText" text="Pesquisa de Preços">
      <formula>NOT(ISERROR(SEARCH("Pesquisa de Preços",D262)))</formula>
    </cfRule>
  </conditionalFormatting>
  <conditionalFormatting sqref="D9">
    <cfRule type="containsText" dxfId="2986" priority="5973" operator="containsText" text="Pesquisa de Preços">
      <formula>NOT(ISERROR(SEARCH("Pesquisa de Preços",D9)))</formula>
    </cfRule>
  </conditionalFormatting>
  <conditionalFormatting sqref="D7">
    <cfRule type="containsText" dxfId="2985" priority="5972"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3 D891 D896 D903 D907 D913 D922 D929 D938 D947 D953 D959 D966 D973 D980 D991 D1002 D1007 D1012 D1021 D1026 D1036 D1045 D1052 D1059 D1066 D1073 D1082 D1090 D1098 D1108 D1116 D1121 D1126 D1132 D1137 D1144 D1151 D1158 D1165 D1172 D1179 D1186 D1193 D1200 D1207 D1214 D1221 D1227 D1233 D1245 D1252 D1259 D1266 D1272 D1279 D1286 D1293 D1300 D1308 D1317 D1323 D1329 D1335 D1341 D1348 D1354 D1361 D1367 D1373 D1380 D1386 D1392 D1398 D1405 D1420 D1435 D1450 D1465 D1480 D1495 D1510 D1518 D1526 D1534 D1542 D1550 D1557 D1564 D1571 D1578 D1593 D1599 D1605 D1611 D1618 D1623 D1629 D1635 D1640 D1646 D1652 D1658 D1664 D1669 D1674 D1679 D1685 D1692 D1699 D1705 D1713 D1724 D1735 D1746 D1757 D1764 D1771 D1778 D1785 D1792 D1799 D1806 D1813 D1818 D1823 D1829 D1835 D1842 D1848 D1854 D1860 D1866 D1872 D1878 D1884 D1890 D1896 D1902 D1908 D1914 D1919 D1924 D1929 D1935 D1940 D1945 D1952 D1958 D1964 D1971 D1978 D1986 D1994 D2001 D2008 D2015 D2022 D2028 D2036 D2044 D2052 D2060 D2068 D2076 D2084 D2092 D2100 D2108 D2116 D2122 D2128 D2134 D2140 D2146 D2154 D2162 D2170 D2178 D2186 D2194 D2202 D2210 D2215 D2222 D2229 D2235 D2241 D2255 D2261 D2271 D2281 D2291 D2301 D2311 D2318 D2325 D2331 D2337 D2343 D2349 D2354 D2359 D2364 D2370 D2378 D2385 D2391 D2398 D2412 D2440 D2560 D2564 D2568 D2572 D2576 D2580 D2588 D2596 D2604 D2608 D2612 D2616 D2620 D2624 D2628 D2632 D2636 D2640 D2644 D2652 D2660 D2666 D2672 D2678 D2684 D2690 D2696 D2702 D2708 D2714 D2776 D2781 D2791 D2807 D2817 D2822 D2827 D2832 D2839 D2844 D2849 D2854 D2859 D2864 D2869 D2874 D2879 D2886 D2891 D2896 D2901 D2909 D2917 D2925 D2933 D2941 D2946 D2951 D2956 D2961 D2966 D2971 D2976 D2981 D2986 D2991 D3001 D3006 D3011 D3016 D3021 D3026 D3031 D3036 D3041 D3046 D3054 D3059 D3067 D3071 D3079 D3084 D3092 D3097 D3102 D3107 D3112 D3117 D3122 D3127 D3132 D3137 D3143 D3149 D3155 D3161 D3166 D3172 D3177 D3186 D3194 D3202 D3207 D3211 D3218 D3231 D3237 D3243 D3249 D3259 D3264 D3271 D3278 D3285 D3292 D3299 D3306 D3313 D3320 D3327 D3334 D3340 D3346 D3355 D3360 D3367 D3374 D3381 D3385 D3389 D3394 D3398 D3402 D3409 D3416 D3423 D3428 D3433 D3438 D3442 D3446 D3456 D3478 D3486 D3503 D3511 D3528 D3547 D3554 D3570 D3576 D3582 D3590 D3597 D3602 D3610 D3616 D3623 D3629 D3639 D3644 D3649 D3657 D3661 D3667 D3682 D3690 D3702 D3715 D3726 D3730 D3740 D3745 D3754 D3761 D3765 D3769 D3827 D3833 D3838 D3849 D3859 D3868 D3876 D3888 D3903 D3910 D3928 D3934 D3940 D3946 D3953 D3962 D3970 D3980 D3987 D3995 D4008 D4021 D4026 D4030 D4034 D4043 D4052 D4061 D4070 D4079 D4088 D4094 D4100 D4107 D4113 D4117 D4124 D4132 D4140 D4148 D4152 D4159 D4170 D4181 D4185 D4192 D4199 D4205 D4211 D4217 D4227 D4233 D4241 D4249 D4258 D4265 D4270 D4278 D4287 D4303 D4330 D4337 D4348 D4357 D4366 D4375 D4384 D4394 D4402 D4410 D4420 D4430 D4440 D4448 D4460 D4472 D4478 D4498 D4506 D4514 D4520 D4525 D4530 D4538 D4546 D4551 D4557 D4569 D4581 D4600 D4608 D4617 D4625 D4631 D4643 D4651 D4657 D4665 D4673 D4683 D4689 D4697 D4706 D4718 D4724 D4752 D4763">
    <cfRule type="containsText" dxfId="2984" priority="5971" operator="containsText" text="Pesquisa de Preços">
      <formula>NOT(ISERROR(SEARCH("Pesquisa de Preços",D6)))</formula>
    </cfRule>
  </conditionalFormatting>
  <conditionalFormatting sqref="D8">
    <cfRule type="containsText" dxfId="2983" priority="5970" operator="containsText" text="Pesquisa de Preços">
      <formula>NOT(ISERROR(SEARCH("Pesquisa de Preços",D8)))</formula>
    </cfRule>
  </conditionalFormatting>
  <conditionalFormatting sqref="D15">
    <cfRule type="containsText" dxfId="2982" priority="5969" operator="containsText" text="Pesquisa de Preços">
      <formula>NOT(ISERROR(SEARCH("Pesquisa de Preços",D15)))</formula>
    </cfRule>
  </conditionalFormatting>
  <conditionalFormatting sqref="D16">
    <cfRule type="containsText" dxfId="2981" priority="5968" operator="containsText" text="Pesquisa de Preços">
      <formula>NOT(ISERROR(SEARCH("Pesquisa de Preços",D16)))</formula>
    </cfRule>
  </conditionalFormatting>
  <conditionalFormatting sqref="D12">
    <cfRule type="containsText" dxfId="2980" priority="5967" operator="containsText" text="Pesquisa de Preços">
      <formula>NOT(ISERROR(SEARCH("Pesquisa de Preços",D12)))</formula>
    </cfRule>
  </conditionalFormatting>
  <conditionalFormatting sqref="D94:D95">
    <cfRule type="containsText" dxfId="2979" priority="5465" operator="containsText" text="Pesquisa de Preços">
      <formula>NOT(ISERROR(SEARCH("Pesquisa de Preços",D94)))</formula>
    </cfRule>
  </conditionalFormatting>
  <conditionalFormatting sqref="D13">
    <cfRule type="containsText" dxfId="2978" priority="5966" operator="containsText" text="Pesquisa de Preços">
      <formula>NOT(ISERROR(SEARCH("Pesquisa de Preços",D13)))</formula>
    </cfRule>
  </conditionalFormatting>
  <conditionalFormatting sqref="D11">
    <cfRule type="containsText" dxfId="2977" priority="5965" operator="containsText" text="Pesquisa de Preços">
      <formula>NOT(ISERROR(SEARCH("Pesquisa de Preços",D11)))</formula>
    </cfRule>
  </conditionalFormatting>
  <conditionalFormatting sqref="D225">
    <cfRule type="containsText" dxfId="2976" priority="5963" operator="containsText" text="Pesquisa de Preços">
      <formula>NOT(ISERROR(SEARCH("Pesquisa de Preços",D225)))</formula>
    </cfRule>
  </conditionalFormatting>
  <conditionalFormatting sqref="D227">
    <cfRule type="containsText" dxfId="2975" priority="5964" operator="containsText" text="Pesquisa de Preços">
      <formula>NOT(ISERROR(SEARCH("Pesquisa de Preços",D227)))</formula>
    </cfRule>
  </conditionalFormatting>
  <conditionalFormatting sqref="D1383">
    <cfRule type="containsText" dxfId="2974" priority="5461" operator="containsText" text="Pesquisa de Preços">
      <formula>NOT(ISERROR(SEARCH("Pesquisa de Preços",D1383)))</formula>
    </cfRule>
  </conditionalFormatting>
  <conditionalFormatting sqref="D514">
    <cfRule type="containsText" dxfId="2973" priority="5869" operator="containsText" text="Pesquisa de Preços">
      <formula>NOT(ISERROR(SEARCH("Pesquisa de Preços",D514)))</formula>
    </cfRule>
  </conditionalFormatting>
  <conditionalFormatting sqref="D150">
    <cfRule type="containsText" dxfId="2972" priority="5959" operator="containsText" text="Pesquisa de Preços">
      <formula>NOT(ISERROR(SEARCH("Pesquisa de Preços",D150)))</formula>
    </cfRule>
  </conditionalFormatting>
  <conditionalFormatting sqref="D490:D491 D493:D496">
    <cfRule type="containsText" dxfId="2971" priority="5866" operator="containsText" text="Pesquisa de Preços">
      <formula>NOT(ISERROR(SEARCH("Pesquisa de Preços",D490)))</formula>
    </cfRule>
  </conditionalFormatting>
  <conditionalFormatting sqref="D78">
    <cfRule type="containsText" dxfId="2970" priority="5960" operator="containsText" text="Pesquisa de Preços">
      <formula>NOT(ISERROR(SEARCH("Pesquisa de Preços",D78)))</formula>
    </cfRule>
  </conditionalFormatting>
  <conditionalFormatting sqref="D162">
    <cfRule type="containsText" dxfId="2969" priority="5958" operator="containsText" text="Pesquisa de Preços">
      <formula>NOT(ISERROR(SEARCH("Pesquisa de Preços",D162)))</formula>
    </cfRule>
  </conditionalFormatting>
  <conditionalFormatting sqref="D79">
    <cfRule type="containsText" dxfId="2968" priority="5962" operator="containsText" text="Pesquisa de Preços">
      <formula>NOT(ISERROR(SEARCH("Pesquisa de Preços",D79)))</formula>
    </cfRule>
  </conditionalFormatting>
  <conditionalFormatting sqref="D81">
    <cfRule type="containsText" dxfId="2967" priority="5961" operator="containsText" text="Pesquisa de Preços">
      <formula>NOT(ISERROR(SEARCH("Pesquisa de Preços",D81)))</formula>
    </cfRule>
  </conditionalFormatting>
  <conditionalFormatting sqref="D88">
    <cfRule type="containsText" dxfId="2966" priority="5957" operator="containsText" text="Pesquisa de Preços">
      <formula>NOT(ISERROR(SEARCH("Pesquisa de Preços",D88)))</formula>
    </cfRule>
  </conditionalFormatting>
  <conditionalFormatting sqref="D60">
    <cfRule type="containsText" dxfId="2965" priority="5956" operator="containsText" text="Pesquisa de Preços">
      <formula>NOT(ISERROR(SEARCH("Pesquisa de Preços",D60)))</formula>
    </cfRule>
  </conditionalFormatting>
  <conditionalFormatting sqref="D53">
    <cfRule type="containsText" dxfId="2964" priority="5955" operator="containsText" text="Pesquisa de Preços">
      <formula>NOT(ISERROR(SEARCH("Pesquisa de Preços",D53)))</formula>
    </cfRule>
  </conditionalFormatting>
  <conditionalFormatting sqref="D34:D35">
    <cfRule type="containsText" dxfId="2963" priority="5954" operator="containsText" text="Pesquisa de Preços">
      <formula>NOT(ISERROR(SEARCH("Pesquisa de Preços",D34)))</formula>
    </cfRule>
  </conditionalFormatting>
  <conditionalFormatting sqref="D98:D99">
    <cfRule type="containsText" dxfId="2962" priority="5952" operator="containsText" text="Pesquisa de Preços">
      <formula>NOT(ISERROR(SEARCH("Pesquisa de Preços",D98)))</formula>
    </cfRule>
  </conditionalFormatting>
  <conditionalFormatting sqref="D29">
    <cfRule type="containsText" dxfId="2961" priority="5953" operator="containsText" text="Pesquisa de Preços">
      <formula>NOT(ISERROR(SEARCH("Pesquisa de Preços",D29)))</formula>
    </cfRule>
  </conditionalFormatting>
  <conditionalFormatting sqref="D145:D146">
    <cfRule type="containsText" dxfId="2960" priority="5950" operator="containsText" text="Pesquisa de Preços">
      <formula>NOT(ISERROR(SEARCH("Pesquisa de Preços",D145)))</formula>
    </cfRule>
  </conditionalFormatting>
  <conditionalFormatting sqref="D100">
    <cfRule type="containsText" dxfId="2959" priority="5951" operator="containsText" text="Pesquisa de Preços">
      <formula>NOT(ISERROR(SEARCH("Pesquisa de Preços",D100)))</formula>
    </cfRule>
  </conditionalFormatting>
  <conditionalFormatting sqref="D180">
    <cfRule type="containsText" dxfId="2958" priority="5945" operator="containsText" text="Pesquisa de Preços">
      <formula>NOT(ISERROR(SEARCH("Pesquisa de Preços",D180)))</formula>
    </cfRule>
  </conditionalFormatting>
  <conditionalFormatting sqref="D24">
    <cfRule type="containsText" dxfId="2957" priority="5947" operator="containsText" text="Pesquisa de Preços">
      <formula>NOT(ISERROR(SEARCH("Pesquisa de Preços",D24)))</formula>
    </cfRule>
  </conditionalFormatting>
  <conditionalFormatting sqref="D147">
    <cfRule type="containsText" dxfId="2956" priority="5949" operator="containsText" text="Pesquisa de Preços">
      <formula>NOT(ISERROR(SEARCH("Pesquisa de Preços",D147)))</formula>
    </cfRule>
  </conditionalFormatting>
  <conditionalFormatting sqref="D43:D45">
    <cfRule type="containsText" dxfId="2955" priority="5948" operator="containsText" text="Pesquisa de Preços">
      <formula>NOT(ISERROR(SEARCH("Pesquisa de Preços",D43)))</formula>
    </cfRule>
  </conditionalFormatting>
  <conditionalFormatting sqref="D117">
    <cfRule type="containsText" dxfId="2954" priority="5944" operator="containsText" text="Pesquisa de Preços">
      <formula>NOT(ISERROR(SEARCH("Pesquisa de Preços",D117)))</formula>
    </cfRule>
  </conditionalFormatting>
  <conditionalFormatting sqref="D38:D40">
    <cfRule type="containsText" dxfId="2953" priority="5946" operator="containsText" text="Pesquisa de Preços">
      <formula>NOT(ISERROR(SEARCH("Pesquisa de Preços",D38)))</formula>
    </cfRule>
  </conditionalFormatting>
  <conditionalFormatting sqref="D677">
    <cfRule type="containsText" dxfId="2952" priority="5850" operator="containsText" text="Pesquisa de Preços">
      <formula>NOT(ISERROR(SEARCH("Pesquisa de Preços",D677)))</formula>
    </cfRule>
  </conditionalFormatting>
  <conditionalFormatting sqref="D669">
    <cfRule type="containsText" dxfId="2951" priority="5849" operator="containsText" text="Pesquisa de Preços">
      <formula>NOT(ISERROR(SEARCH("Pesquisa de Preços",D669)))</formula>
    </cfRule>
  </conditionalFormatting>
  <conditionalFormatting sqref="D176:D177">
    <cfRule type="containsText" dxfId="2950" priority="5943" operator="containsText" text="Pesquisa de Preços">
      <formula>NOT(ISERROR(SEARCH("Pesquisa de Preços",D176)))</formula>
    </cfRule>
  </conditionalFormatting>
  <conditionalFormatting sqref="D220:D221">
    <cfRule type="containsText" dxfId="2949" priority="5942" operator="containsText" text="Pesquisa de Preços">
      <formula>NOT(ISERROR(SEARCH("Pesquisa de Preços",D220)))</formula>
    </cfRule>
  </conditionalFormatting>
  <conditionalFormatting sqref="D687:D688 D694:D695">
    <cfRule type="containsText" dxfId="2948" priority="5848" operator="containsText" text="Pesquisa de Preços">
      <formula>NOT(ISERROR(SEARCH("Pesquisa de Preços",D687)))</formula>
    </cfRule>
  </conditionalFormatting>
  <conditionalFormatting sqref="D222">
    <cfRule type="containsText" dxfId="2947" priority="5941" operator="containsText" text="Pesquisa de Preços">
      <formula>NOT(ISERROR(SEARCH("Pesquisa de Preços",D222)))</formula>
    </cfRule>
  </conditionalFormatting>
  <conditionalFormatting sqref="D127">
    <cfRule type="containsText" dxfId="2946" priority="5940" operator="containsText" text="Pesquisa de Preços">
      <formula>NOT(ISERROR(SEARCH("Pesquisa de Preços",D127)))</formula>
    </cfRule>
  </conditionalFormatting>
  <conditionalFormatting sqref="D715">
    <cfRule type="containsText" dxfId="2945" priority="5846" operator="containsText" text="Pesquisa de Preços">
      <formula>NOT(ISERROR(SEARCH("Pesquisa de Preços",D715)))</formula>
    </cfRule>
  </conditionalFormatting>
  <conditionalFormatting sqref="D167:D168">
    <cfRule type="containsText" dxfId="2944" priority="5939" operator="containsText" text="Pesquisa de Preços">
      <formula>NOT(ISERROR(SEARCH("Pesquisa de Preços",D167)))</formula>
    </cfRule>
  </conditionalFormatting>
  <conditionalFormatting sqref="D731">
    <cfRule type="containsText" dxfId="2943" priority="5845" operator="containsText" text="Pesquisa de Preços">
      <formula>NOT(ISERROR(SEARCH("Pesquisa de Preços",D731)))</formula>
    </cfRule>
  </conditionalFormatting>
  <conditionalFormatting sqref="D169">
    <cfRule type="containsText" dxfId="2942" priority="5938" operator="containsText" text="Pesquisa de Preços">
      <formula>NOT(ISERROR(SEARCH("Pesquisa de Preços",D169)))</formula>
    </cfRule>
  </conditionalFormatting>
  <conditionalFormatting sqref="D83">
    <cfRule type="containsText" dxfId="2941" priority="5937" operator="containsText" text="Pesquisa de Preços">
      <formula>NOT(ISERROR(SEARCH("Pesquisa de Preços",D83)))</formula>
    </cfRule>
  </conditionalFormatting>
  <conditionalFormatting sqref="D112">
    <cfRule type="containsText" dxfId="2940" priority="5936" operator="containsText" text="Pesquisa de Preços">
      <formula>NOT(ISERROR(SEARCH("Pesquisa de Preços",D112)))</formula>
    </cfRule>
  </conditionalFormatting>
  <conditionalFormatting sqref="D211:D212">
    <cfRule type="containsText" dxfId="2939" priority="5935" operator="containsText" text="Pesquisa de Preços">
      <formula>NOT(ISERROR(SEARCH("Pesquisa de Preços",D211)))</formula>
    </cfRule>
  </conditionalFormatting>
  <conditionalFormatting sqref="D202">
    <cfRule type="containsText" dxfId="2938" priority="5934" operator="containsText" text="Pesquisa de Preços">
      <formula>NOT(ISERROR(SEARCH("Pesquisa de Preços",D202)))</formula>
    </cfRule>
  </conditionalFormatting>
  <conditionalFormatting sqref="D198:D199">
    <cfRule type="containsText" dxfId="2937" priority="5932" operator="containsText" text="Pesquisa de Preços">
      <formula>NOT(ISERROR(SEARCH("Pesquisa de Preços",D198)))</formula>
    </cfRule>
  </conditionalFormatting>
  <conditionalFormatting sqref="D203:D204">
    <cfRule type="containsText" dxfId="2936" priority="5933" operator="containsText" text="Pesquisa de Preços">
      <formula>NOT(ISERROR(SEARCH("Pesquisa de Preços",D203)))</formula>
    </cfRule>
  </conditionalFormatting>
  <conditionalFormatting sqref="D70:D71 D75:D76">
    <cfRule type="containsText" dxfId="2935" priority="5931" operator="containsText" text="Pesquisa de Preços">
      <formula>NOT(ISERROR(SEARCH("Pesquisa de Preços",D70)))</formula>
    </cfRule>
  </conditionalFormatting>
  <conditionalFormatting sqref="D72:D74">
    <cfRule type="containsText" dxfId="2934" priority="5930" operator="containsText" text="Pesquisa de Preços">
      <formula>NOT(ISERROR(SEARCH("Pesquisa de Preços",D72)))</formula>
    </cfRule>
  </conditionalFormatting>
  <conditionalFormatting sqref="D136:D137">
    <cfRule type="containsText" dxfId="2933" priority="5929" operator="containsText" text="Pesquisa de Preços">
      <formula>NOT(ISERROR(SEARCH("Pesquisa de Preços",D136)))</formula>
    </cfRule>
  </conditionalFormatting>
  <conditionalFormatting sqref="D140:D141">
    <cfRule type="containsText" dxfId="2932" priority="5928" operator="containsText" text="Pesquisa de Preços">
      <formula>NOT(ISERROR(SEARCH("Pesquisa de Preços",D140)))</formula>
    </cfRule>
  </conditionalFormatting>
  <conditionalFormatting sqref="D791 D793:D802">
    <cfRule type="containsText" dxfId="2931" priority="5842" operator="containsText" text="Pesquisa de Preços">
      <formula>NOT(ISERROR(SEARCH("Pesquisa de Preços",D791)))</formula>
    </cfRule>
  </conditionalFormatting>
  <conditionalFormatting sqref="D155:D157">
    <cfRule type="containsText" dxfId="2930" priority="5927" operator="containsText" text="Pesquisa de Preços">
      <formula>NOT(ISERROR(SEARCH("Pesquisa de Preços",D155)))</formula>
    </cfRule>
  </conditionalFormatting>
  <conditionalFormatting sqref="D833">
    <cfRule type="containsText" dxfId="2929" priority="5841" operator="containsText" text="Pesquisa de Preços">
      <formula>NOT(ISERROR(SEARCH("Pesquisa de Preços",D833)))</formula>
    </cfRule>
  </conditionalFormatting>
  <conditionalFormatting sqref="D93">
    <cfRule type="containsText" dxfId="2928" priority="5926" operator="containsText" text="Pesquisa de Preços">
      <formula>NOT(ISERROR(SEARCH("Pesquisa de Preços",D93)))</formula>
    </cfRule>
  </conditionalFormatting>
  <conditionalFormatting sqref="D815:D816">
    <cfRule type="containsText" dxfId="2927" priority="5840" operator="containsText" text="Pesquisa de Preços">
      <formula>NOT(ISERROR(SEARCH("Pesquisa de Preços",D815)))</formula>
    </cfRule>
  </conditionalFormatting>
  <conditionalFormatting sqref="D48:D49">
    <cfRule type="containsText" dxfId="2926" priority="5925" operator="containsText" text="Pesquisa de Preços">
      <formula>NOT(ISERROR(SEARCH("Pesquisa de Preços",D48)))</formula>
    </cfRule>
  </conditionalFormatting>
  <conditionalFormatting sqref="D50">
    <cfRule type="containsText" dxfId="2925" priority="5924" operator="containsText" text="Pesquisa de Preços">
      <formula>NOT(ISERROR(SEARCH("Pesquisa de Preços",D50)))</formula>
    </cfRule>
  </conditionalFormatting>
  <conditionalFormatting sqref="D191:D192">
    <cfRule type="containsText" dxfId="2924" priority="5923" operator="containsText" text="Pesquisa de Preços">
      <formula>NOT(ISERROR(SEARCH("Pesquisa de Preços",D191)))</formula>
    </cfRule>
  </conditionalFormatting>
  <conditionalFormatting sqref="D749:D750 D753:D754">
    <cfRule type="containsText" dxfId="2923" priority="5839" operator="containsText" text="Pesquisa de Preços">
      <formula>NOT(ISERROR(SEARCH("Pesquisa de Preços",D749)))</formula>
    </cfRule>
  </conditionalFormatting>
  <conditionalFormatting sqref="D193">
    <cfRule type="containsText" dxfId="2922" priority="5922" operator="containsText" text="Pesquisa de Preços">
      <formula>NOT(ISERROR(SEARCH("Pesquisa de Preços",D193)))</formula>
    </cfRule>
  </conditionalFormatting>
  <conditionalFormatting sqref="D215">
    <cfRule type="containsText" dxfId="2921" priority="5921" operator="containsText" text="Pesquisa de Preços">
      <formula>NOT(ISERROR(SEARCH("Pesquisa de Preços",D215)))</formula>
    </cfRule>
  </conditionalFormatting>
  <conditionalFormatting sqref="D217">
    <cfRule type="containsText" dxfId="2920" priority="5920" operator="containsText" text="Pesquisa de Preços">
      <formula>NOT(ISERROR(SEARCH("Pesquisa de Preços",D217)))</formula>
    </cfRule>
  </conditionalFormatting>
  <conditionalFormatting sqref="D122">
    <cfRule type="containsText" dxfId="2919" priority="5919" operator="containsText" text="Pesquisa de Preços">
      <formula>NOT(ISERROR(SEARCH("Pesquisa de Preços",D122)))</formula>
    </cfRule>
  </conditionalFormatting>
  <conditionalFormatting sqref="D756:D757">
    <cfRule type="containsText" dxfId="2918" priority="5837" operator="containsText" text="Pesquisa de Preços">
      <formula>NOT(ISERROR(SEARCH("Pesquisa de Preços",D756)))</formula>
    </cfRule>
  </conditionalFormatting>
  <conditionalFormatting sqref="D124">
    <cfRule type="containsText" dxfId="2917" priority="5918" operator="containsText" text="Pesquisa de Preços">
      <formula>NOT(ISERROR(SEARCH("Pesquisa de Preços",D124)))</formula>
    </cfRule>
  </conditionalFormatting>
  <conditionalFormatting sqref="D107:D108">
    <cfRule type="containsText" dxfId="2916" priority="5917" operator="containsText" text="Pesquisa de Preços">
      <formula>NOT(ISERROR(SEARCH("Pesquisa de Preços",D107)))</formula>
    </cfRule>
  </conditionalFormatting>
  <conditionalFormatting sqref="D824 D826">
    <cfRule type="containsText" dxfId="2915" priority="5835" operator="containsText" text="Pesquisa de Preços">
      <formula>NOT(ISERROR(SEARCH("Pesquisa de Preços",D824)))</formula>
    </cfRule>
  </conditionalFormatting>
  <conditionalFormatting sqref="D109">
    <cfRule type="containsText" dxfId="2914" priority="5916" operator="containsText" text="Pesquisa de Preços">
      <formula>NOT(ISERROR(SEARCH("Pesquisa de Preços",D109)))</formula>
    </cfRule>
  </conditionalFormatting>
  <conditionalFormatting sqref="D132">
    <cfRule type="containsText" dxfId="2913" priority="5915" operator="containsText" text="Pesquisa de Preços">
      <formula>NOT(ISERROR(SEARCH("Pesquisa de Preços",D132)))</formula>
    </cfRule>
  </conditionalFormatting>
  <conditionalFormatting sqref="D828">
    <cfRule type="containsText" dxfId="2912" priority="5834" operator="containsText" text="Pesquisa de Preços">
      <formula>NOT(ISERROR(SEARCH("Pesquisa de Preços",D828)))</formula>
    </cfRule>
  </conditionalFormatting>
  <conditionalFormatting sqref="D65">
    <cfRule type="containsText" dxfId="2911" priority="5914" operator="containsText" text="Pesquisa de Preços">
      <formula>NOT(ISERROR(SEARCH("Pesquisa de Preços",D65)))</formula>
    </cfRule>
  </conditionalFormatting>
  <conditionalFormatting sqref="D805">
    <cfRule type="containsText" dxfId="2910" priority="5833" operator="containsText" text="Pesquisa de Preços">
      <formula>NOT(ISERROR(SEARCH("Pesquisa de Preços",D805)))</formula>
    </cfRule>
  </conditionalFormatting>
  <conditionalFormatting sqref="D67">
    <cfRule type="containsText" dxfId="2909" priority="5913" operator="containsText" text="Pesquisa de Preços">
      <formula>NOT(ISERROR(SEARCH("Pesquisa de Preços",D67)))</formula>
    </cfRule>
  </conditionalFormatting>
  <conditionalFormatting sqref="D321">
    <cfRule type="containsText" dxfId="2908" priority="5902" operator="containsText" text="Pesquisa de Preços">
      <formula>NOT(ISERROR(SEARCH("Pesquisa de Preços",D321)))</formula>
    </cfRule>
  </conditionalFormatting>
  <conditionalFormatting sqref="D342">
    <cfRule type="containsText" dxfId="2907" priority="5899" operator="containsText" text="Pesquisa de Preços">
      <formula>NOT(ISERROR(SEARCH("Pesquisa de Preços",D342)))</formula>
    </cfRule>
  </conditionalFormatting>
  <conditionalFormatting sqref="D327:D328">
    <cfRule type="containsText" dxfId="2906" priority="5894" operator="containsText" text="Pesquisa de Preços">
      <formula>NOT(ISERROR(SEARCH("Pesquisa de Preços",D327)))</formula>
    </cfRule>
  </conditionalFormatting>
  <conditionalFormatting sqref="D416 D421">
    <cfRule type="containsText" dxfId="2905" priority="5887" operator="containsText" text="Pesquisa de Preços">
      <formula>NOT(ISERROR(SEARCH("Pesquisa de Preços",D416)))</formula>
    </cfRule>
  </conditionalFormatting>
  <conditionalFormatting sqref="D247">
    <cfRule type="containsText" dxfId="2904" priority="5912" operator="containsText" text="Pesquisa de Preços">
      <formula>NOT(ISERROR(SEARCH("Pesquisa de Preços",D247)))</formula>
    </cfRule>
  </conditionalFormatting>
  <conditionalFormatting sqref="D249:D250">
    <cfRule type="containsText" dxfId="2903" priority="5911" operator="containsText" text="Pesquisa de Preços">
      <formula>NOT(ISERROR(SEARCH("Pesquisa de Preços",D249)))</formula>
    </cfRule>
  </conditionalFormatting>
  <conditionalFormatting sqref="D1093:D1094">
    <cfRule type="containsText" dxfId="2902" priority="5797" operator="containsText" text="Pesquisa de Preços">
      <formula>NOT(ISERROR(SEARCH("Pesquisa de Preços",D1093)))</formula>
    </cfRule>
  </conditionalFormatting>
  <conditionalFormatting sqref="D251:D256 D258:D261">
    <cfRule type="containsText" dxfId="2901" priority="5910" operator="containsText" text="Pesquisa de Preços">
      <formula>NOT(ISERROR(SEARCH("Pesquisa de Preços",D251)))</formula>
    </cfRule>
  </conditionalFormatting>
  <conditionalFormatting sqref="D264:D265">
    <cfRule type="containsText" dxfId="2900" priority="5909" operator="containsText" text="Pesquisa de Preços">
      <formula>NOT(ISERROR(SEARCH("Pesquisa de Preços",D264)))</formula>
    </cfRule>
  </conditionalFormatting>
  <conditionalFormatting sqref="D277:D278 D282">
    <cfRule type="containsText" dxfId="2899" priority="5908" operator="containsText" text="Pesquisa de Preços">
      <formula>NOT(ISERROR(SEARCH("Pesquisa de Preços",D277)))</formula>
    </cfRule>
  </conditionalFormatting>
  <conditionalFormatting sqref="D279:D280">
    <cfRule type="containsText" dxfId="2898" priority="5907" operator="containsText" text="Pesquisa de Preços">
      <formula>NOT(ISERROR(SEARCH("Pesquisa de Preços",D279)))</formula>
    </cfRule>
  </conditionalFormatting>
  <conditionalFormatting sqref="D284:D285 D289">
    <cfRule type="containsText" dxfId="2897" priority="5906" operator="containsText" text="Pesquisa de Preços">
      <formula>NOT(ISERROR(SEARCH("Pesquisa de Preços",D284)))</formula>
    </cfRule>
  </conditionalFormatting>
  <conditionalFormatting sqref="D286:D287">
    <cfRule type="containsText" dxfId="2896" priority="5905" operator="containsText" text="Pesquisa de Preços">
      <formula>NOT(ISERROR(SEARCH("Pesquisa de Preços",D286)))</formula>
    </cfRule>
  </conditionalFormatting>
  <conditionalFormatting sqref="D269:D270 D274:D275">
    <cfRule type="containsText" dxfId="2895" priority="5904" operator="containsText" text="Pesquisa de Preços">
      <formula>NOT(ISERROR(SEARCH("Pesquisa de Preços",D269)))</formula>
    </cfRule>
  </conditionalFormatting>
  <conditionalFormatting sqref="D271:D272">
    <cfRule type="containsText" dxfId="2894" priority="5903" operator="containsText" text="Pesquisa de Preços">
      <formula>NOT(ISERROR(SEARCH("Pesquisa de Preços",D271)))</formula>
    </cfRule>
  </conditionalFormatting>
  <conditionalFormatting sqref="D532 D536">
    <cfRule type="containsText" dxfId="2893" priority="5868" operator="containsText" text="Pesquisa de Preços">
      <formula>NOT(ISERROR(SEARCH("Pesquisa de Preços",D532)))</formula>
    </cfRule>
  </conditionalFormatting>
  <conditionalFormatting sqref="D306">
    <cfRule type="containsText" dxfId="2892" priority="5901" operator="containsText" text="Pesquisa de Preços">
      <formula>NOT(ISERROR(SEARCH("Pesquisa de Preços",D306)))</formula>
    </cfRule>
  </conditionalFormatting>
  <conditionalFormatting sqref="D312:D314">
    <cfRule type="containsText" dxfId="2891" priority="5900" operator="containsText" text="Pesquisa de Preços">
      <formula>NOT(ISERROR(SEARCH("Pesquisa de Preços",D312)))</formula>
    </cfRule>
  </conditionalFormatting>
  <conditionalFormatting sqref="D352">
    <cfRule type="containsText" dxfId="2890" priority="5898" operator="containsText" text="Pesquisa de Preços">
      <formula>NOT(ISERROR(SEARCH("Pesquisa de Preços",D352)))</formula>
    </cfRule>
  </conditionalFormatting>
  <conditionalFormatting sqref="D355:D358">
    <cfRule type="containsText" dxfId="2889" priority="5897" operator="containsText" text="Pesquisa de Preços">
      <formula>NOT(ISERROR(SEARCH("Pesquisa de Preços",D355)))</formula>
    </cfRule>
  </conditionalFormatting>
  <conditionalFormatting sqref="D291">
    <cfRule type="containsText" dxfId="2888" priority="5896" operator="containsText" text="Pesquisa de Preços">
      <formula>NOT(ISERROR(SEARCH("Pesquisa de Preços",D291)))</formula>
    </cfRule>
  </conditionalFormatting>
  <conditionalFormatting sqref="D298:D299">
    <cfRule type="containsText" dxfId="2887" priority="5895" operator="containsText" text="Pesquisa de Preços">
      <formula>NOT(ISERROR(SEARCH("Pesquisa de Preços",D298)))</formula>
    </cfRule>
  </conditionalFormatting>
  <conditionalFormatting sqref="D329:D339">
    <cfRule type="containsText" dxfId="2886" priority="5893" operator="containsText" text="Pesquisa de Preços">
      <formula>NOT(ISERROR(SEARCH("Pesquisa de Preços",D329)))</formula>
    </cfRule>
  </conditionalFormatting>
  <conditionalFormatting sqref="D366:D367 D369:D370">
    <cfRule type="containsText" dxfId="2885" priority="5892" operator="containsText" text="Pesquisa de Preços">
      <formula>NOT(ISERROR(SEARCH("Pesquisa de Preços",D366)))</formula>
    </cfRule>
  </conditionalFormatting>
  <conditionalFormatting sqref="D368">
    <cfRule type="containsText" dxfId="2884" priority="5891" operator="containsText" text="Pesquisa de Preços">
      <formula>NOT(ISERROR(SEARCH("Pesquisa de Preços",D368)))</formula>
    </cfRule>
  </conditionalFormatting>
  <conditionalFormatting sqref="D372 D378:D379">
    <cfRule type="containsText" dxfId="2883" priority="5890" operator="containsText" text="Pesquisa de Preços">
      <formula>NOT(ISERROR(SEARCH("Pesquisa de Preços",D372)))</formula>
    </cfRule>
  </conditionalFormatting>
  <conditionalFormatting sqref="D374:D377">
    <cfRule type="containsText" dxfId="2882" priority="5889" operator="containsText" text="Pesquisa de Preços">
      <formula>NOT(ISERROR(SEARCH("Pesquisa de Preços",D374)))</formula>
    </cfRule>
  </conditionalFormatting>
  <conditionalFormatting sqref="D402">
    <cfRule type="containsText" dxfId="2881" priority="5888" operator="containsText" text="Pesquisa de Preços">
      <formula>NOT(ISERROR(SEARCH("Pesquisa de Preços",D402)))</formula>
    </cfRule>
  </conditionalFormatting>
  <conditionalFormatting sqref="D441:D442 D444:D445">
    <cfRule type="containsText" dxfId="2880" priority="5886" operator="containsText" text="Pesquisa de Preços">
      <formula>NOT(ISERROR(SEARCH("Pesquisa de Preços",D441)))</formula>
    </cfRule>
  </conditionalFormatting>
  <conditionalFormatting sqref="D443">
    <cfRule type="containsText" dxfId="2879" priority="5885" operator="containsText" text="Pesquisa de Preços">
      <formula>NOT(ISERROR(SEARCH("Pesquisa de Preços",D443)))</formula>
    </cfRule>
  </conditionalFormatting>
  <conditionalFormatting sqref="D435:D436 D438:D439">
    <cfRule type="containsText" dxfId="2878" priority="5884" operator="containsText" text="Pesquisa de Preços">
      <formula>NOT(ISERROR(SEARCH("Pesquisa de Preços",D435)))</formula>
    </cfRule>
  </conditionalFormatting>
  <conditionalFormatting sqref="D437">
    <cfRule type="containsText" dxfId="2877" priority="5883" operator="containsText" text="Pesquisa de Preços">
      <formula>NOT(ISERROR(SEARCH("Pesquisa de Preços",D437)))</formula>
    </cfRule>
  </conditionalFormatting>
  <conditionalFormatting sqref="D455:D456 D459:D463">
    <cfRule type="containsText" dxfId="2876" priority="5882" operator="containsText" text="Pesquisa de Preços">
      <formula>NOT(ISERROR(SEARCH("Pesquisa de Preços",D455)))</formula>
    </cfRule>
  </conditionalFormatting>
  <conditionalFormatting sqref="D458">
    <cfRule type="containsText" dxfId="2875" priority="5881" operator="containsText" text="Pesquisa de Preços">
      <formula>NOT(ISERROR(SEARCH("Pesquisa de Preços",D458)))</formula>
    </cfRule>
  </conditionalFormatting>
  <conditionalFormatting sqref="D465:D466 D469:D470">
    <cfRule type="containsText" dxfId="2874" priority="5880" operator="containsText" text="Pesquisa de Preços">
      <formula>NOT(ISERROR(SEARCH("Pesquisa de Preços",D465)))</formula>
    </cfRule>
  </conditionalFormatting>
  <conditionalFormatting sqref="D468">
    <cfRule type="containsText" dxfId="2873" priority="5879" operator="containsText" text="Pesquisa de Preços">
      <formula>NOT(ISERROR(SEARCH("Pesquisa de Preços",D468)))</formula>
    </cfRule>
  </conditionalFormatting>
  <conditionalFormatting sqref="D472 D482">
    <cfRule type="containsText" dxfId="2872" priority="5878" operator="containsText" text="Pesquisa de Preços">
      <formula>NOT(ISERROR(SEARCH("Pesquisa de Preços",D472)))</formula>
    </cfRule>
  </conditionalFormatting>
  <conditionalFormatting sqref="D447 D451 D453">
    <cfRule type="containsText" dxfId="2871" priority="5877" operator="containsText" text="Pesquisa de Preços">
      <formula>NOT(ISERROR(SEARCH("Pesquisa de Preços",D447)))</formula>
    </cfRule>
  </conditionalFormatting>
  <conditionalFormatting sqref="D484:D485 D488">
    <cfRule type="containsText" dxfId="2870" priority="5876" operator="containsText" text="Pesquisa de Preços">
      <formula>NOT(ISERROR(SEARCH("Pesquisa de Preços",D484)))</formula>
    </cfRule>
  </conditionalFormatting>
  <conditionalFormatting sqref="D486">
    <cfRule type="containsText" dxfId="2869" priority="5875" operator="containsText" text="Pesquisa de Preços">
      <formula>NOT(ISERROR(SEARCH("Pesquisa de Preços",D486)))</formula>
    </cfRule>
  </conditionalFormatting>
  <conditionalFormatting sqref="D505:D506 D509:D510">
    <cfRule type="containsText" dxfId="2868" priority="5874" operator="containsText" text="Pesquisa de Preços">
      <formula>NOT(ISERROR(SEARCH("Pesquisa de Preços",D505)))</formula>
    </cfRule>
  </conditionalFormatting>
  <conditionalFormatting sqref="D507:D508">
    <cfRule type="containsText" dxfId="2867" priority="5873" operator="containsText" text="Pesquisa de Preços">
      <formula>NOT(ISERROR(SEARCH("Pesquisa de Preços",D507)))</formula>
    </cfRule>
  </conditionalFormatting>
  <conditionalFormatting sqref="D502:D503 D498:D499">
    <cfRule type="containsText" dxfId="2866" priority="5872" operator="containsText" text="Pesquisa de Preços">
      <formula>NOT(ISERROR(SEARCH("Pesquisa de Preços",D498)))</formula>
    </cfRule>
  </conditionalFormatting>
  <conditionalFormatting sqref="D500:D501">
    <cfRule type="containsText" dxfId="2865" priority="5871" operator="containsText" text="Pesquisa de Preços">
      <formula>NOT(ISERROR(SEARCH("Pesquisa de Preços",D500)))</formula>
    </cfRule>
  </conditionalFormatting>
  <conditionalFormatting sqref="D512:D513 D516">
    <cfRule type="containsText" dxfId="2864" priority="5870" operator="containsText" text="Pesquisa de Preços">
      <formula>NOT(ISERROR(SEARCH("Pesquisa de Preços",D512)))</formula>
    </cfRule>
  </conditionalFormatting>
  <conditionalFormatting sqref="D525 D530">
    <cfRule type="containsText" dxfId="2863" priority="5865" operator="containsText" text="Pesquisa de Preços">
      <formula>NOT(ISERROR(SEARCH("Pesquisa de Preços",D525)))</formula>
    </cfRule>
  </conditionalFormatting>
  <conditionalFormatting sqref="D518 D523">
    <cfRule type="containsText" dxfId="2862" priority="5863" operator="containsText" text="Pesquisa de Preços">
      <formula>NOT(ISERROR(SEARCH("Pesquisa de Preços",D518)))</formula>
    </cfRule>
  </conditionalFormatting>
  <conditionalFormatting sqref="D546:D547 D552">
    <cfRule type="containsText" dxfId="2861" priority="5862" operator="containsText" text="Pesquisa de Preços">
      <formula>NOT(ISERROR(SEARCH("Pesquisa de Preços",D546)))</formula>
    </cfRule>
  </conditionalFormatting>
  <conditionalFormatting sqref="D548:D550">
    <cfRule type="containsText" dxfId="2860" priority="5861" operator="containsText" text="Pesquisa de Preços">
      <formula>NOT(ISERROR(SEARCH("Pesquisa de Preços",D548)))</formula>
    </cfRule>
  </conditionalFormatting>
  <conditionalFormatting sqref="D554:D555 D559:D560">
    <cfRule type="containsText" dxfId="2859" priority="5860" operator="containsText" text="Pesquisa de Preços">
      <formula>NOT(ISERROR(SEARCH("Pesquisa de Preços",D554)))</formula>
    </cfRule>
  </conditionalFormatting>
  <conditionalFormatting sqref="D557:D558">
    <cfRule type="containsText" dxfId="2858" priority="5859" operator="containsText" text="Pesquisa de Preços">
      <formula>NOT(ISERROR(SEARCH("Pesquisa de Preços",D557)))</formula>
    </cfRule>
  </conditionalFormatting>
  <conditionalFormatting sqref="D538:D539 D543:D544">
    <cfRule type="containsText" dxfId="2857" priority="5858" operator="containsText" text="Pesquisa de Preços">
      <formula>NOT(ISERROR(SEARCH("Pesquisa de Preços",D538)))</formula>
    </cfRule>
  </conditionalFormatting>
  <conditionalFormatting sqref="D540:D542">
    <cfRule type="containsText" dxfId="2856" priority="5857" operator="containsText" text="Pesquisa de Preços">
      <formula>NOT(ISERROR(SEARCH("Pesquisa de Preços",D540)))</formula>
    </cfRule>
  </conditionalFormatting>
  <conditionalFormatting sqref="D562:D563 D567:D568">
    <cfRule type="containsText" dxfId="2855" priority="5856" operator="containsText" text="Pesquisa de Preços">
      <formula>NOT(ISERROR(SEARCH("Pesquisa de Preços",D562)))</formula>
    </cfRule>
  </conditionalFormatting>
  <conditionalFormatting sqref="D564:D566">
    <cfRule type="containsText" dxfId="2854" priority="5855" operator="containsText" text="Pesquisa de Preços">
      <formula>NOT(ISERROR(SEARCH("Pesquisa de Preços",D564)))</formula>
    </cfRule>
  </conditionalFormatting>
  <conditionalFormatting sqref="D570:D571">
    <cfRule type="containsText" dxfId="2853" priority="5854" operator="containsText" text="Pesquisa de Preços">
      <formula>NOT(ISERROR(SEARCH("Pesquisa de Preços",D570)))</formula>
    </cfRule>
  </conditionalFormatting>
  <conditionalFormatting sqref="D580:D581 D584:D587">
    <cfRule type="containsText" dxfId="2852" priority="5853" operator="containsText" text="Pesquisa de Preços">
      <formula>NOT(ISERROR(SEARCH("Pesquisa de Preços",D580)))</formula>
    </cfRule>
  </conditionalFormatting>
  <conditionalFormatting sqref="D582:D583">
    <cfRule type="containsText" dxfId="2851" priority="5852" operator="containsText" text="Pesquisa de Preços">
      <formula>NOT(ISERROR(SEARCH("Pesquisa de Preços",D582)))</formula>
    </cfRule>
  </conditionalFormatting>
  <conditionalFormatting sqref="D622 D627:D628">
    <cfRule type="containsText" dxfId="2850" priority="5851" operator="containsText" text="Pesquisa de Preços">
      <formula>NOT(ISERROR(SEARCH("Pesquisa de Preços",D622)))</formula>
    </cfRule>
  </conditionalFormatting>
  <conditionalFormatting sqref="D758:D764">
    <cfRule type="containsText" dxfId="2849" priority="5836" operator="containsText" text="Pesquisa de Preços">
      <formula>NOT(ISERROR(SEARCH("Pesquisa de Preços",D758)))</formula>
    </cfRule>
  </conditionalFormatting>
  <conditionalFormatting sqref="D689:D691">
    <cfRule type="containsText" dxfId="2848" priority="5847" operator="containsText" text="Pesquisa de Preços">
      <formula>NOT(ISERROR(SEARCH("Pesquisa de Preços",D689)))</formula>
    </cfRule>
  </conditionalFormatting>
  <conditionalFormatting sqref="D724">
    <cfRule type="containsText" dxfId="2847" priority="5844" operator="containsText" text="Pesquisa de Preços">
      <formula>NOT(ISERROR(SEARCH("Pesquisa de Preços",D724)))</formula>
    </cfRule>
  </conditionalFormatting>
  <conditionalFormatting sqref="D767">
    <cfRule type="containsText" dxfId="2846" priority="5831" operator="containsText" text="Pesquisa de Preços">
      <formula>NOT(ISERROR(SEARCH("Pesquisa de Preços",D767)))</formula>
    </cfRule>
  </conditionalFormatting>
  <conditionalFormatting sqref="D745:D746">
    <cfRule type="containsText" dxfId="2845" priority="5843" operator="containsText" text="Pesquisa de Preços">
      <formula>NOT(ISERROR(SEARCH("Pesquisa de Preços",D745)))</formula>
    </cfRule>
  </conditionalFormatting>
  <conditionalFormatting sqref="D751:D752">
    <cfRule type="containsText" dxfId="2844" priority="5838" operator="containsText" text="Pesquisa de Preços">
      <formula>NOT(ISERROR(SEARCH("Pesquisa de Preços",D751)))</formula>
    </cfRule>
  </conditionalFormatting>
  <conditionalFormatting sqref="D948">
    <cfRule type="containsText" dxfId="2843" priority="5818" operator="containsText" text="Pesquisa de Preços">
      <formula>NOT(ISERROR(SEARCH("Pesquisa de Preços",D948)))</formula>
    </cfRule>
  </conditionalFormatting>
  <conditionalFormatting sqref="D819 D822">
    <cfRule type="containsText" dxfId="2842" priority="5832" operator="containsText" text="Pesquisa de Preços">
      <formula>NOT(ISERROR(SEARCH("Pesquisa de Preços",D819)))</formula>
    </cfRule>
  </conditionalFormatting>
  <conditionalFormatting sqref="D984:D988">
    <cfRule type="containsText" dxfId="2841" priority="5814" operator="containsText" text="Pesquisa de Preços">
      <formula>NOT(ISERROR(SEARCH("Pesquisa de Preços",D984)))</formula>
    </cfRule>
  </conditionalFormatting>
  <conditionalFormatting sqref="D184:D185">
    <cfRule type="containsText" dxfId="2840" priority="5830" operator="containsText" text="Pesquisa de Preços">
      <formula>NOT(ISERROR(SEARCH("Pesquisa de Preços",D184)))</formula>
    </cfRule>
  </conditionalFormatting>
  <conditionalFormatting sqref="D1016:D1018">
    <cfRule type="containsText" dxfId="2839" priority="5810" operator="containsText" text="Pesquisa de Preços">
      <formula>NOT(ISERROR(SEARCH("Pesquisa de Preços",D1016)))</formula>
    </cfRule>
  </conditionalFormatting>
  <conditionalFormatting sqref="D186:D188">
    <cfRule type="containsText" dxfId="2838" priority="5829" operator="containsText" text="Pesquisa de Preços">
      <formula>NOT(ISERROR(SEARCH("Pesquisa de Preços",D186)))</formula>
    </cfRule>
  </conditionalFormatting>
  <conditionalFormatting sqref="D840 D843:D844">
    <cfRule type="containsText" dxfId="2837" priority="5828" operator="containsText" text="Pesquisa de Preços">
      <formula>NOT(ISERROR(SEARCH("Pesquisa de Preços",D840)))</formula>
    </cfRule>
  </conditionalFormatting>
  <conditionalFormatting sqref="D842">
    <cfRule type="containsText" dxfId="2836" priority="5827" operator="containsText" text="Pesquisa de Preços">
      <formula>NOT(ISERROR(SEARCH("Pesquisa de Preços",D842)))</formula>
    </cfRule>
  </conditionalFormatting>
  <conditionalFormatting sqref="D914:D919">
    <cfRule type="containsText" dxfId="2835" priority="5826" operator="containsText" text="Pesquisa de Preços">
      <formula>NOT(ISERROR(SEARCH("Pesquisa de Preços",D914)))</formula>
    </cfRule>
  </conditionalFormatting>
  <conditionalFormatting sqref="D939:D944">
    <cfRule type="containsText" dxfId="2834" priority="5825" operator="containsText" text="Pesquisa de Preços">
      <formula>NOT(ISERROR(SEARCH("Pesquisa de Preços",D939)))</formula>
    </cfRule>
  </conditionalFormatting>
  <conditionalFormatting sqref="D930">
    <cfRule type="containsText" dxfId="2833" priority="5824" operator="containsText" text="Pesquisa de Preços">
      <formula>NOT(ISERROR(SEARCH("Pesquisa de Preços",D930)))</formula>
    </cfRule>
  </conditionalFormatting>
  <conditionalFormatting sqref="D923 D928">
    <cfRule type="containsText" dxfId="2832" priority="5823" operator="containsText" text="Pesquisa de Preços">
      <formula>NOT(ISERROR(SEARCH("Pesquisa de Preços",D923)))</formula>
    </cfRule>
  </conditionalFormatting>
  <conditionalFormatting sqref="D969:D970">
    <cfRule type="containsText" dxfId="2831" priority="5821" operator="containsText" text="Pesquisa de Preços">
      <formula>NOT(ISERROR(SEARCH("Pesquisa de Preços",D969)))</formula>
    </cfRule>
  </conditionalFormatting>
  <conditionalFormatting sqref="D967:D968">
    <cfRule type="containsText" dxfId="2830" priority="5822" operator="containsText" text="Pesquisa de Preços">
      <formula>NOT(ISERROR(SEARCH("Pesquisa de Preços",D967)))</formula>
    </cfRule>
  </conditionalFormatting>
  <conditionalFormatting sqref="D960">
    <cfRule type="containsText" dxfId="2829" priority="5820" operator="containsText" text="Pesquisa de Preços">
      <formula>NOT(ISERROR(SEARCH("Pesquisa de Preços",D960)))</formula>
    </cfRule>
  </conditionalFormatting>
  <conditionalFormatting sqref="D954 D958">
    <cfRule type="containsText" dxfId="2828" priority="5819" operator="containsText" text="Pesquisa de Preços">
      <formula>NOT(ISERROR(SEARCH("Pesquisa de Preços",D954)))</formula>
    </cfRule>
  </conditionalFormatting>
  <conditionalFormatting sqref="D974:D975 D978:D979">
    <cfRule type="containsText" dxfId="2827" priority="5817" operator="containsText" text="Pesquisa de Preços">
      <formula>NOT(ISERROR(SEARCH("Pesquisa de Preços",D974)))</formula>
    </cfRule>
  </conditionalFormatting>
  <conditionalFormatting sqref="D976">
    <cfRule type="containsText" dxfId="2826" priority="5816" operator="containsText" text="Pesquisa de Preços">
      <formula>NOT(ISERROR(SEARCH("Pesquisa de Preços",D976)))</formula>
    </cfRule>
  </conditionalFormatting>
  <conditionalFormatting sqref="D981:D982 D989:D990">
    <cfRule type="containsText" dxfId="2825" priority="5815" operator="containsText" text="Pesquisa de Preços">
      <formula>NOT(ISERROR(SEARCH("Pesquisa de Preços",D981)))</formula>
    </cfRule>
  </conditionalFormatting>
  <conditionalFormatting sqref="D992:D993 D1000:D1001">
    <cfRule type="containsText" dxfId="2824" priority="5813" operator="containsText" text="Pesquisa de Preços">
      <formula>NOT(ISERROR(SEARCH("Pesquisa de Preços",D992)))</formula>
    </cfRule>
  </conditionalFormatting>
  <conditionalFormatting sqref="D995:D996 D998:D999">
    <cfRule type="containsText" dxfId="2823" priority="5812" operator="containsText" text="Pesquisa de Preços">
      <formula>NOT(ISERROR(SEARCH("Pesquisa de Preços",D995)))</formula>
    </cfRule>
  </conditionalFormatting>
  <conditionalFormatting sqref="D1013:D1014 D1019:D1020">
    <cfRule type="containsText" dxfId="2822" priority="5811" operator="containsText" text="Pesquisa de Preços">
      <formula>NOT(ISERROR(SEARCH("Pesquisa de Preços",D1013)))</formula>
    </cfRule>
  </conditionalFormatting>
  <conditionalFormatting sqref="D1003:D1004">
    <cfRule type="containsText" dxfId="2821" priority="5809" operator="containsText" text="Pesquisa de Preços">
      <formula>NOT(ISERROR(SEARCH("Pesquisa de Preços",D1003)))</formula>
    </cfRule>
  </conditionalFormatting>
  <conditionalFormatting sqref="D1008:D1009">
    <cfRule type="containsText" dxfId="2820" priority="5808" operator="containsText" text="Pesquisa de Preços">
      <formula>NOT(ISERROR(SEARCH("Pesquisa de Preços",D1008)))</formula>
    </cfRule>
  </conditionalFormatting>
  <conditionalFormatting sqref="D1027:D1028 D1035">
    <cfRule type="containsText" dxfId="2819" priority="5807" operator="containsText" text="Pesquisa de Preços">
      <formula>NOT(ISERROR(SEARCH("Pesquisa de Preços",D1027)))</formula>
    </cfRule>
  </conditionalFormatting>
  <conditionalFormatting sqref="D1030:D1032">
    <cfRule type="containsText" dxfId="2818" priority="5806" operator="containsText" text="Pesquisa de Preços">
      <formula>NOT(ISERROR(SEARCH("Pesquisa de Preços",D1030)))</formula>
    </cfRule>
  </conditionalFormatting>
  <conditionalFormatting sqref="D1037:D1038 D1043:D1044">
    <cfRule type="containsText" dxfId="2817" priority="5805" operator="containsText" text="Pesquisa de Preços">
      <formula>NOT(ISERROR(SEARCH("Pesquisa de Preços",D1037)))</formula>
    </cfRule>
  </conditionalFormatting>
  <conditionalFormatting sqref="D1022:D1023">
    <cfRule type="containsText" dxfId="2816" priority="5804" operator="containsText" text="Pesquisa de Preços">
      <formula>NOT(ISERROR(SEARCH("Pesquisa de Preços",D1022)))</formula>
    </cfRule>
  </conditionalFormatting>
  <conditionalFormatting sqref="D1024">
    <cfRule type="containsText" dxfId="2815" priority="5803" operator="containsText" text="Pesquisa de Preços">
      <formula>NOT(ISERROR(SEARCH("Pesquisa de Preços",D1024)))</formula>
    </cfRule>
  </conditionalFormatting>
  <conditionalFormatting sqref="D1099:D1100 D1107">
    <cfRule type="containsText" dxfId="2814" priority="5802" operator="containsText" text="Pesquisa de Preços">
      <formula>NOT(ISERROR(SEARCH("Pesquisa de Preços",D1099)))</formula>
    </cfRule>
  </conditionalFormatting>
  <conditionalFormatting sqref="D1046:D1047 D1050:D1051">
    <cfRule type="containsText" dxfId="2813" priority="5801" operator="containsText" text="Pesquisa de Preços">
      <formula>NOT(ISERROR(SEARCH("Pesquisa de Preços",D1046)))</formula>
    </cfRule>
  </conditionalFormatting>
  <conditionalFormatting sqref="D1048:D1049">
    <cfRule type="containsText" dxfId="2812" priority="5800" operator="containsText" text="Pesquisa de Preços">
      <formula>NOT(ISERROR(SEARCH("Pesquisa de Preços",D1048)))</formula>
    </cfRule>
  </conditionalFormatting>
  <conditionalFormatting sqref="D1060:D1061 D1065">
    <cfRule type="containsText" dxfId="2811" priority="5799" operator="containsText" text="Pesquisa de Preços">
      <formula>NOT(ISERROR(SEARCH("Pesquisa de Preços",D1060)))</formula>
    </cfRule>
  </conditionalFormatting>
  <conditionalFormatting sqref="D1091:D1092 D1097">
    <cfRule type="containsText" dxfId="2810" priority="5798" operator="containsText" text="Pesquisa de Preços">
      <formula>NOT(ISERROR(SEARCH("Pesquisa de Preços",D1091)))</formula>
    </cfRule>
  </conditionalFormatting>
  <conditionalFormatting sqref="D1053:D1054">
    <cfRule type="containsText" dxfId="2809" priority="5796" operator="containsText" text="Pesquisa de Preços">
      <formula>NOT(ISERROR(SEARCH("Pesquisa de Preços",D1053)))</formula>
    </cfRule>
  </conditionalFormatting>
  <conditionalFormatting sqref="D1055:D1057">
    <cfRule type="containsText" dxfId="2808" priority="5795" operator="containsText" text="Pesquisa de Preços">
      <formula>NOT(ISERROR(SEARCH("Pesquisa de Preços",D1055)))</formula>
    </cfRule>
  </conditionalFormatting>
  <conditionalFormatting sqref="D1067">
    <cfRule type="containsText" dxfId="2807" priority="5794" operator="containsText" text="Pesquisa de Preços">
      <formula>NOT(ISERROR(SEARCH("Pesquisa de Preços",D1067)))</formula>
    </cfRule>
  </conditionalFormatting>
  <conditionalFormatting sqref="D1083 D1089">
    <cfRule type="containsText" dxfId="2806" priority="5793" operator="containsText" text="Pesquisa de Preços">
      <formula>NOT(ISERROR(SEARCH("Pesquisa de Preços",D1083)))</formula>
    </cfRule>
  </conditionalFormatting>
  <conditionalFormatting sqref="D1074 D1081">
    <cfRule type="containsText" dxfId="2805" priority="5792" operator="containsText" text="Pesquisa de Preços">
      <formula>NOT(ISERROR(SEARCH("Pesquisa de Preços",D1074)))</formula>
    </cfRule>
  </conditionalFormatting>
  <conditionalFormatting sqref="D1122:D1123">
    <cfRule type="containsText" dxfId="2804" priority="5791" operator="containsText" text="Pesquisa de Preços">
      <formula>NOT(ISERROR(SEARCH("Pesquisa de Preços",D1122)))</formula>
    </cfRule>
  </conditionalFormatting>
  <conditionalFormatting sqref="D1117:D1118">
    <cfRule type="containsText" dxfId="2803" priority="5790" operator="containsText" text="Pesquisa de Preços">
      <formula>NOT(ISERROR(SEARCH("Pesquisa de Preços",D1117)))</formula>
    </cfRule>
  </conditionalFormatting>
  <conditionalFormatting sqref="D1244">
    <cfRule type="containsText" dxfId="2802" priority="5789" operator="containsText" text="Pesquisa de Preços">
      <formula>NOT(ISERROR(SEARCH("Pesquisa de Preços",D1244)))</formula>
    </cfRule>
  </conditionalFormatting>
  <conditionalFormatting sqref="D1234:D1235 D1238">
    <cfRule type="containsText" dxfId="2801" priority="5788" operator="containsText" text="Pesquisa de Preços">
      <formula>NOT(ISERROR(SEARCH("Pesquisa de Preços",D1234)))</formula>
    </cfRule>
  </conditionalFormatting>
  <conditionalFormatting sqref="D1228:D1229 D1232">
    <cfRule type="containsText" dxfId="2800" priority="5787" operator="containsText" text="Pesquisa de Preços">
      <formula>NOT(ISERROR(SEARCH("Pesquisa de Preços",D1228)))</formula>
    </cfRule>
  </conditionalFormatting>
  <conditionalFormatting sqref="D1222:D1223 D1226">
    <cfRule type="containsText" dxfId="2799" priority="5786" operator="containsText" text="Pesquisa de Preços">
      <formula>NOT(ISERROR(SEARCH("Pesquisa de Preços",D1222)))</formula>
    </cfRule>
  </conditionalFormatting>
  <conditionalFormatting sqref="D1138:D1139 D1142:D1143">
    <cfRule type="containsText" dxfId="2798" priority="5785" operator="containsText" text="Pesquisa de Preços">
      <formula>NOT(ISERROR(SEARCH("Pesquisa de Preços",D1138)))</formula>
    </cfRule>
  </conditionalFormatting>
  <conditionalFormatting sqref="D1127:D1128 D1130:D1131">
    <cfRule type="containsText" dxfId="2797" priority="5784" operator="containsText" text="Pesquisa de Preços">
      <formula>NOT(ISERROR(SEARCH("Pesquisa de Preços",D1127)))</formula>
    </cfRule>
  </conditionalFormatting>
  <conditionalFormatting sqref="D1260 D1265">
    <cfRule type="containsText" dxfId="2796" priority="5783" operator="containsText" text="Pesquisa de Preços">
      <formula>NOT(ISERROR(SEARCH("Pesquisa de Preços",D1260)))</formula>
    </cfRule>
  </conditionalFormatting>
  <conditionalFormatting sqref="D1246:D1247 D1250:D1251">
    <cfRule type="containsText" dxfId="2795" priority="5782" operator="containsText" text="Pesquisa de Preços">
      <formula>NOT(ISERROR(SEARCH("Pesquisa de Preços",D1246)))</formula>
    </cfRule>
  </conditionalFormatting>
  <conditionalFormatting sqref="D1152:D1153 D1156:D1157">
    <cfRule type="containsText" dxfId="2794" priority="5781" operator="containsText" text="Pesquisa de Preços">
      <formula>NOT(ISERROR(SEARCH("Pesquisa de Preços",D1152)))</formula>
    </cfRule>
  </conditionalFormatting>
  <conditionalFormatting sqref="D1187:D1188 D1191:D1192">
    <cfRule type="containsText" dxfId="2793" priority="5780" operator="containsText" text="Pesquisa de Preços">
      <formula>NOT(ISERROR(SEARCH("Pesquisa de Preços",D1187)))</formula>
    </cfRule>
  </conditionalFormatting>
  <conditionalFormatting sqref="D1194:D1195 D1198:D1199">
    <cfRule type="containsText" dxfId="2792" priority="5779" operator="containsText" text="Pesquisa de Preços">
      <formula>NOT(ISERROR(SEARCH("Pesquisa de Preços",D1194)))</formula>
    </cfRule>
  </conditionalFormatting>
  <conditionalFormatting sqref="D1201:D1202 D1205:D1206">
    <cfRule type="containsText" dxfId="2791" priority="5778" operator="containsText" text="Pesquisa de Preços">
      <formula>NOT(ISERROR(SEARCH("Pesquisa de Preços",D1201)))</formula>
    </cfRule>
  </conditionalFormatting>
  <conditionalFormatting sqref="D1180:D1181 D1184:D1185">
    <cfRule type="containsText" dxfId="2790" priority="5777" operator="containsText" text="Pesquisa de Preços">
      <formula>NOT(ISERROR(SEARCH("Pesquisa de Preços",D1180)))</formula>
    </cfRule>
  </conditionalFormatting>
  <conditionalFormatting sqref="D1145:D1146 D1150">
    <cfRule type="containsText" dxfId="2789" priority="5776" operator="containsText" text="Pesquisa de Preços">
      <formula>NOT(ISERROR(SEARCH("Pesquisa de Preços",D1145)))</formula>
    </cfRule>
  </conditionalFormatting>
  <conditionalFormatting sqref="D1148">
    <cfRule type="containsText" dxfId="2788" priority="5775" operator="containsText" text="Pesquisa de Preços">
      <formula>NOT(ISERROR(SEARCH("Pesquisa de Preços",D1148)))</formula>
    </cfRule>
  </conditionalFormatting>
  <conditionalFormatting sqref="D1166:D1167 D1170:D1171">
    <cfRule type="containsText" dxfId="2787" priority="5774" operator="containsText" text="Pesquisa de Preços">
      <formula>NOT(ISERROR(SEARCH("Pesquisa de Preços",D1166)))</formula>
    </cfRule>
  </conditionalFormatting>
  <conditionalFormatting sqref="D1173 D1178">
    <cfRule type="containsText" dxfId="2786" priority="5773" operator="containsText" text="Pesquisa de Preços">
      <formula>NOT(ISERROR(SEARCH("Pesquisa de Preços",D1173)))</formula>
    </cfRule>
  </conditionalFormatting>
  <conditionalFormatting sqref="D1208:D1209 D1213">
    <cfRule type="containsText" dxfId="2785" priority="5772" operator="containsText" text="Pesquisa de Preços">
      <formula>NOT(ISERROR(SEARCH("Pesquisa de Preços",D1208)))</formula>
    </cfRule>
  </conditionalFormatting>
  <conditionalFormatting sqref="D1133">
    <cfRule type="containsText" dxfId="2784" priority="5771" operator="containsText" text="Pesquisa de Preços">
      <formula>NOT(ISERROR(SEARCH("Pesquisa de Preços",D1133)))</formula>
    </cfRule>
  </conditionalFormatting>
  <conditionalFormatting sqref="D1267:D1268 D1270:D1271">
    <cfRule type="containsText" dxfId="2783" priority="5770" operator="containsText" text="Pesquisa de Preços">
      <formula>NOT(ISERROR(SEARCH("Pesquisa de Preços",D1267)))</formula>
    </cfRule>
  </conditionalFormatting>
  <conditionalFormatting sqref="D1269">
    <cfRule type="containsText" dxfId="2782" priority="5769" operator="containsText" text="Pesquisa de Preços">
      <formula>NOT(ISERROR(SEARCH("Pesquisa de Preços",D1269)))</formula>
    </cfRule>
  </conditionalFormatting>
  <conditionalFormatting sqref="D1301:D1302 D1306:D1307">
    <cfRule type="containsText" dxfId="2781" priority="5768" operator="containsText" text="Pesquisa de Preços">
      <formula>NOT(ISERROR(SEARCH("Pesquisa de Preços",D1301)))</formula>
    </cfRule>
  </conditionalFormatting>
  <conditionalFormatting sqref="D1303:D1304">
    <cfRule type="containsText" dxfId="2780" priority="5767" operator="containsText" text="Pesquisa de Preços">
      <formula>NOT(ISERROR(SEARCH("Pesquisa de Preços",D1303)))</formula>
    </cfRule>
  </conditionalFormatting>
  <conditionalFormatting sqref="D1309 D1315:D1316">
    <cfRule type="containsText" dxfId="2779" priority="5766" operator="containsText" text="Pesquisa de Preços">
      <formula>NOT(ISERROR(SEARCH("Pesquisa de Preços",D1309)))</formula>
    </cfRule>
  </conditionalFormatting>
  <conditionalFormatting sqref="D1399:D1400 D1403:D1404">
    <cfRule type="containsText" dxfId="2778" priority="5750" operator="containsText" text="Pesquisa de Preços">
      <formula>NOT(ISERROR(SEARCH("Pesquisa de Preços",D1399)))</formula>
    </cfRule>
  </conditionalFormatting>
  <conditionalFormatting sqref="D1273:D1274">
    <cfRule type="containsText" dxfId="2777" priority="5765" operator="containsText" text="Pesquisa de Preços">
      <formula>NOT(ISERROR(SEARCH("Pesquisa de Preços",D1273)))</formula>
    </cfRule>
  </conditionalFormatting>
  <conditionalFormatting sqref="D1275:D1277">
    <cfRule type="containsText" dxfId="2776" priority="5764" operator="containsText" text="Pesquisa de Preços">
      <formula>NOT(ISERROR(SEARCH("Pesquisa de Preços",D1275)))</formula>
    </cfRule>
  </conditionalFormatting>
  <conditionalFormatting sqref="D1280:D1281 D1285">
    <cfRule type="containsText" dxfId="2775" priority="5763" operator="containsText" text="Pesquisa de Preços">
      <formula>NOT(ISERROR(SEARCH("Pesquisa de Preços",D1280)))</formula>
    </cfRule>
  </conditionalFormatting>
  <conditionalFormatting sqref="D1287:D1288 D1292">
    <cfRule type="containsText" dxfId="2774" priority="5762" operator="containsText" text="Pesquisa de Preços">
      <formula>NOT(ISERROR(SEARCH("Pesquisa de Preços",D1287)))</formula>
    </cfRule>
  </conditionalFormatting>
  <conditionalFormatting sqref="D1294 D1297 D1299">
    <cfRule type="containsText" dxfId="2773" priority="5761" operator="containsText" text="Pesquisa de Preços">
      <formula>NOT(ISERROR(SEARCH("Pesquisa de Preços",D1294)))</formula>
    </cfRule>
  </conditionalFormatting>
  <conditionalFormatting sqref="D1376">
    <cfRule type="containsText" dxfId="2772" priority="5743" operator="containsText" text="Pesquisa de Preços">
      <formula>NOT(ISERROR(SEARCH("Pesquisa de Preços",D1376)))</formula>
    </cfRule>
  </conditionalFormatting>
  <conditionalFormatting sqref="D1330:D1331">
    <cfRule type="containsText" dxfId="2771" priority="5759" operator="containsText" text="Pesquisa de Preços">
      <formula>NOT(ISERROR(SEARCH("Pesquisa de Preços",D1330)))</formula>
    </cfRule>
  </conditionalFormatting>
  <conditionalFormatting sqref="D1336:D1337">
    <cfRule type="containsText" dxfId="2770" priority="5760" operator="containsText" text="Pesquisa de Preços">
      <formula>NOT(ISERROR(SEARCH("Pesquisa de Preços",D1336)))</formula>
    </cfRule>
  </conditionalFormatting>
  <conditionalFormatting sqref="D1318:D1319">
    <cfRule type="containsText" dxfId="2769" priority="5757" operator="containsText" text="Pesquisa de Preços">
      <formula>NOT(ISERROR(SEARCH("Pesquisa de Preços",D1318)))</formula>
    </cfRule>
  </conditionalFormatting>
  <conditionalFormatting sqref="D1324:D1325">
    <cfRule type="containsText" dxfId="2768" priority="5758" operator="containsText" text="Pesquisa de Preços">
      <formula>NOT(ISERROR(SEARCH("Pesquisa de Preços",D1324)))</formula>
    </cfRule>
  </conditionalFormatting>
  <conditionalFormatting sqref="D1342:D1343 D1346:D1347">
    <cfRule type="containsText" dxfId="2767" priority="5756" operator="containsText" text="Pesquisa de Preços">
      <formula>NOT(ISERROR(SEARCH("Pesquisa de Preços",D1342)))</formula>
    </cfRule>
  </conditionalFormatting>
  <conditionalFormatting sqref="D1517">
    <cfRule type="containsText" dxfId="2766" priority="5735" operator="containsText" text="Pesquisa de Preços">
      <formula>NOT(ISERROR(SEARCH("Pesquisa de Preços",D1517)))</formula>
    </cfRule>
  </conditionalFormatting>
  <conditionalFormatting sqref="D1344:D1345">
    <cfRule type="containsText" dxfId="2765" priority="5755" operator="containsText" text="Pesquisa de Preços">
      <formula>NOT(ISERROR(SEARCH("Pesquisa de Preços",D1344)))</formula>
    </cfRule>
  </conditionalFormatting>
  <conditionalFormatting sqref="D1355:D1356 D1359:D1360">
    <cfRule type="containsText" dxfId="2764" priority="5754" operator="containsText" text="Pesquisa de Preços">
      <formula>NOT(ISERROR(SEARCH("Pesquisa de Preços",D1355)))</formula>
    </cfRule>
  </conditionalFormatting>
  <conditionalFormatting sqref="D1525">
    <cfRule type="containsText" dxfId="2763" priority="5736" operator="containsText" text="Pesquisa de Preços">
      <formula>NOT(ISERROR(SEARCH("Pesquisa de Preços",D1525)))</formula>
    </cfRule>
  </conditionalFormatting>
  <conditionalFormatting sqref="D1357:D1358">
    <cfRule type="containsText" dxfId="2762" priority="5753" operator="containsText" text="Pesquisa de Preços">
      <formula>NOT(ISERROR(SEARCH("Pesquisa de Preços",D1357)))</formula>
    </cfRule>
  </conditionalFormatting>
  <conditionalFormatting sqref="D1349 D1352:D1353">
    <cfRule type="containsText" dxfId="2761" priority="5752" operator="containsText" text="Pesquisa de Preços">
      <formula>NOT(ISERROR(SEARCH("Pesquisa de Preços",D1349)))</formula>
    </cfRule>
  </conditionalFormatting>
  <conditionalFormatting sqref="D1362 D1365:D1366">
    <cfRule type="containsText" dxfId="2760" priority="5751" operator="containsText" text="Pesquisa de Preços">
      <formula>NOT(ISERROR(SEARCH("Pesquisa de Preços",D1362)))</formula>
    </cfRule>
  </conditionalFormatting>
  <conditionalFormatting sqref="D1401:D1402">
    <cfRule type="containsText" dxfId="2759" priority="5749" operator="containsText" text="Pesquisa de Preços">
      <formula>NOT(ISERROR(SEARCH("Pesquisa de Preços",D1401)))</formula>
    </cfRule>
  </conditionalFormatting>
  <conditionalFormatting sqref="D1390:D1391 D1387:D1388">
    <cfRule type="containsText" dxfId="2758" priority="5748" operator="containsText" text="Pesquisa de Preços">
      <formula>NOT(ISERROR(SEARCH("Pesquisa de Preços",D1387)))</formula>
    </cfRule>
  </conditionalFormatting>
  <conditionalFormatting sqref="D1389">
    <cfRule type="containsText" dxfId="2757" priority="5747" operator="containsText" text="Pesquisa de Preços">
      <formula>NOT(ISERROR(SEARCH("Pesquisa de Preços",D1389)))</formula>
    </cfRule>
  </conditionalFormatting>
  <conditionalFormatting sqref="D1368:D1369 D1371:D1372">
    <cfRule type="containsText" dxfId="2756" priority="5746" operator="containsText" text="Pesquisa de Preços">
      <formula>NOT(ISERROR(SEARCH("Pesquisa de Preços",D1368)))</formula>
    </cfRule>
  </conditionalFormatting>
  <conditionalFormatting sqref="D1370">
    <cfRule type="containsText" dxfId="2755" priority="5745" operator="containsText" text="Pesquisa de Preços">
      <formula>NOT(ISERROR(SEARCH("Pesquisa de Preços",D1370)))</formula>
    </cfRule>
  </conditionalFormatting>
  <conditionalFormatting sqref="D1374:D1375 D1379">
    <cfRule type="containsText" dxfId="2754" priority="5744" operator="containsText" text="Pesquisa de Preços">
      <formula>NOT(ISERROR(SEARCH("Pesquisa de Preços",D1374)))</formula>
    </cfRule>
  </conditionalFormatting>
  <conditionalFormatting sqref="D1381 D1384:D1385">
    <cfRule type="containsText" dxfId="2753" priority="5742" operator="containsText" text="Pesquisa de Preços">
      <formula>NOT(ISERROR(SEARCH("Pesquisa de Preços",D1381)))</formula>
    </cfRule>
  </conditionalFormatting>
  <conditionalFormatting sqref="D1406 D1419">
    <cfRule type="containsText" dxfId="2752" priority="5728" operator="containsText" text="Pesquisa de Preços">
      <formula>NOT(ISERROR(SEARCH("Pesquisa de Preços",D1406)))</formula>
    </cfRule>
  </conditionalFormatting>
  <conditionalFormatting sqref="D1558:D1559">
    <cfRule type="containsText" dxfId="2751" priority="5741" operator="containsText" text="Pesquisa de Preços">
      <formula>NOT(ISERROR(SEARCH("Pesquisa de Preços",D1558)))</formula>
    </cfRule>
  </conditionalFormatting>
  <conditionalFormatting sqref="D1560 D1562">
    <cfRule type="containsText" dxfId="2750" priority="5740" operator="containsText" text="Pesquisa de Preços">
      <formula>NOT(ISERROR(SEARCH("Pesquisa de Preços",D1560)))</formula>
    </cfRule>
  </conditionalFormatting>
  <conditionalFormatting sqref="D1551:D1552">
    <cfRule type="containsText" dxfId="2749" priority="5739" operator="containsText" text="Pesquisa de Preços">
      <formula>NOT(ISERROR(SEARCH("Pesquisa de Preços",D1551)))</formula>
    </cfRule>
  </conditionalFormatting>
  <conditionalFormatting sqref="D1543 D1549">
    <cfRule type="containsText" dxfId="2748" priority="5738" operator="containsText" text="Pesquisa de Preços">
      <formula>NOT(ISERROR(SEARCH("Pesquisa de Preços",D1543)))</formula>
    </cfRule>
  </conditionalFormatting>
  <conditionalFormatting sqref="D1527">
    <cfRule type="containsText" dxfId="2747" priority="5737" operator="containsText" text="Pesquisa de Preços">
      <formula>NOT(ISERROR(SEARCH("Pesquisa de Preços",D1527)))</formula>
    </cfRule>
  </conditionalFormatting>
  <conditionalFormatting sqref="D1565:D1566 D1569:D1570">
    <cfRule type="containsText" dxfId="2746" priority="5731" operator="containsText" text="Pesquisa de Preços">
      <formula>NOT(ISERROR(SEARCH("Pesquisa de Preços",D1565)))</formula>
    </cfRule>
  </conditionalFormatting>
  <conditionalFormatting sqref="D1494">
    <cfRule type="containsText" dxfId="2745" priority="5723" operator="containsText" text="Pesquisa de Preços">
      <formula>NOT(ISERROR(SEARCH("Pesquisa de Preços",D1494)))</formula>
    </cfRule>
  </conditionalFormatting>
  <conditionalFormatting sqref="D1496 D1509">
    <cfRule type="containsText" dxfId="2744" priority="5729" operator="containsText" text="Pesquisa de Preços">
      <formula>NOT(ISERROR(SEARCH("Pesquisa de Preços",D1496)))</formula>
    </cfRule>
  </conditionalFormatting>
  <conditionalFormatting sqref="D1541">
    <cfRule type="containsText" dxfId="2743" priority="5734" operator="containsText" text="Pesquisa de Preços">
      <formula>NOT(ISERROR(SEARCH("Pesquisa de Preços",D1541)))</formula>
    </cfRule>
  </conditionalFormatting>
  <conditionalFormatting sqref="D1572:D1573 D1576:D1577">
    <cfRule type="containsText" dxfId="2742" priority="5733" operator="containsText" text="Pesquisa de Preços">
      <formula>NOT(ISERROR(SEARCH("Pesquisa de Preços",D1572)))</formula>
    </cfRule>
  </conditionalFormatting>
  <conditionalFormatting sqref="D1575">
    <cfRule type="containsText" dxfId="2741" priority="5732" operator="containsText" text="Pesquisa de Preços">
      <formula>NOT(ISERROR(SEARCH("Pesquisa de Preços",D1575)))</formula>
    </cfRule>
  </conditionalFormatting>
  <conditionalFormatting sqref="D1567:D1568">
    <cfRule type="containsText" dxfId="2740" priority="5730" operator="containsText" text="Pesquisa de Preços">
      <formula>NOT(ISERROR(SEARCH("Pesquisa de Preços",D1567)))</formula>
    </cfRule>
  </conditionalFormatting>
  <conditionalFormatting sqref="D1612 D1616:D1617">
    <cfRule type="containsText" dxfId="2739" priority="5706" operator="containsText" text="Pesquisa de Preços">
      <formula>NOT(ISERROR(SEARCH("Pesquisa de Preços",D1612)))</formula>
    </cfRule>
  </conditionalFormatting>
  <conditionalFormatting sqref="D1436 D1449">
    <cfRule type="containsText" dxfId="2738" priority="5727" operator="containsText" text="Pesquisa de Preços">
      <formula>NOT(ISERROR(SEARCH("Pesquisa de Preços",D1436)))</formula>
    </cfRule>
  </conditionalFormatting>
  <conditionalFormatting sqref="D1630 D1634">
    <cfRule type="containsText" dxfId="2737" priority="5712" operator="containsText" text="Pesquisa de Preços">
      <formula>NOT(ISERROR(SEARCH("Pesquisa de Preços",D1630)))</formula>
    </cfRule>
  </conditionalFormatting>
  <conditionalFormatting sqref="D1421 D1434">
    <cfRule type="containsText" dxfId="2736" priority="5726" operator="containsText" text="Pesquisa de Preços">
      <formula>NOT(ISERROR(SEARCH("Pesquisa de Preços",D1421)))</formula>
    </cfRule>
  </conditionalFormatting>
  <conditionalFormatting sqref="D1466 D1479">
    <cfRule type="containsText" dxfId="2735" priority="5725" operator="containsText" text="Pesquisa de Preços">
      <formula>NOT(ISERROR(SEARCH("Pesquisa de Preços",D1466)))</formula>
    </cfRule>
  </conditionalFormatting>
  <conditionalFormatting sqref="D1693 D1696:D1698">
    <cfRule type="containsText" dxfId="2734" priority="5713" operator="containsText" text="Pesquisa de Preços">
      <formula>NOT(ISERROR(SEARCH("Pesquisa de Preços",D1693)))</formula>
    </cfRule>
  </conditionalFormatting>
  <conditionalFormatting sqref="D1464">
    <cfRule type="containsText" dxfId="2733" priority="5724" operator="containsText" text="Pesquisa de Preços">
      <formula>NOT(ISERROR(SEARCH("Pesquisa de Preços",D1464)))</formula>
    </cfRule>
  </conditionalFormatting>
  <conditionalFormatting sqref="D1594 D1598">
    <cfRule type="containsText" dxfId="2732" priority="5718" operator="containsText" text="Pesquisa de Preços">
      <formula>NOT(ISERROR(SEARCH("Pesquisa de Preços",D1594)))</formula>
    </cfRule>
  </conditionalFormatting>
  <conditionalFormatting sqref="D1579:D1580 D1591:D1592">
    <cfRule type="containsText" dxfId="2731" priority="5722" operator="containsText" text="Pesquisa de Preços">
      <formula>NOT(ISERROR(SEARCH("Pesquisa de Preços",D1579)))</formula>
    </cfRule>
  </conditionalFormatting>
  <conditionalFormatting sqref="D1581:D1588 D1590">
    <cfRule type="containsText" dxfId="2730" priority="5721" operator="containsText" text="Pesquisa de Preços">
      <formula>NOT(ISERROR(SEARCH("Pesquisa de Preços",D1581)))</formula>
    </cfRule>
  </conditionalFormatting>
  <conditionalFormatting sqref="D1393:D1394 D1396:D1397">
    <cfRule type="containsText" dxfId="2729" priority="5720" operator="containsText" text="Pesquisa de Preços">
      <formula>NOT(ISERROR(SEARCH("Pesquisa de Preços",D1393)))</formula>
    </cfRule>
  </conditionalFormatting>
  <conditionalFormatting sqref="D1395">
    <cfRule type="containsText" dxfId="2728" priority="5719" operator="containsText" text="Pesquisa de Preços">
      <formula>NOT(ISERROR(SEARCH("Pesquisa de Preços",D1395)))</formula>
    </cfRule>
  </conditionalFormatting>
  <conditionalFormatting sqref="D1636 D1638:D1639">
    <cfRule type="containsText" dxfId="2727" priority="5709" operator="containsText" text="Pesquisa de Preços">
      <formula>NOT(ISERROR(SEARCH("Pesquisa de Preços",D1636)))</formula>
    </cfRule>
  </conditionalFormatting>
  <conditionalFormatting sqref="D1600 D1604">
    <cfRule type="containsText" dxfId="2726" priority="5717" operator="containsText" text="Pesquisa de Preços">
      <formula>NOT(ISERROR(SEARCH("Pesquisa de Preços",D1600)))</formula>
    </cfRule>
  </conditionalFormatting>
  <conditionalFormatting sqref="D1610">
    <cfRule type="containsText" dxfId="2725" priority="5716" operator="containsText" text="Pesquisa de Preços">
      <formula>NOT(ISERROR(SEARCH("Pesquisa de Preços",D1610)))</formula>
    </cfRule>
  </conditionalFormatting>
  <conditionalFormatting sqref="D1647:D1648">
    <cfRule type="containsText" dxfId="2724" priority="5715" operator="containsText" text="Pesquisa de Preços">
      <formula>NOT(ISERROR(SEARCH("Pesquisa de Preços",D1647)))</formula>
    </cfRule>
  </conditionalFormatting>
  <conditionalFormatting sqref="D1649:D1650">
    <cfRule type="containsText" dxfId="2723" priority="5714" operator="containsText" text="Pesquisa de Preços">
      <formula>NOT(ISERROR(SEARCH("Pesquisa de Preços",D1649)))</formula>
    </cfRule>
  </conditionalFormatting>
  <conditionalFormatting sqref="D1624 D1628">
    <cfRule type="containsText" dxfId="2722" priority="5711" operator="containsText" text="Pesquisa de Preços">
      <formula>NOT(ISERROR(SEARCH("Pesquisa de Preços",D1624)))</formula>
    </cfRule>
  </conditionalFormatting>
  <conditionalFormatting sqref="D1619 D1621:D1622">
    <cfRule type="containsText" dxfId="2721" priority="5710" operator="containsText" text="Pesquisa de Preços">
      <formula>NOT(ISERROR(SEARCH("Pesquisa de Preços",D1619)))</formula>
    </cfRule>
  </conditionalFormatting>
  <conditionalFormatting sqref="D1641 D1644:D1645">
    <cfRule type="containsText" dxfId="2720" priority="5708" operator="containsText" text="Pesquisa de Preços">
      <formula>NOT(ISERROR(SEARCH("Pesquisa de Preços",D1641)))</formula>
    </cfRule>
  </conditionalFormatting>
  <conditionalFormatting sqref="D1744:D1745 D1736:D1738">
    <cfRule type="containsText" dxfId="2719" priority="5700" operator="containsText" text="Pesquisa de Preços">
      <formula>NOT(ISERROR(SEARCH("Pesquisa de Preços",D1736)))</formula>
    </cfRule>
  </conditionalFormatting>
  <conditionalFormatting sqref="D1686 D1690:D1691">
    <cfRule type="containsText" dxfId="2718" priority="5707" operator="containsText" text="Pesquisa de Preços">
      <formula>NOT(ISERROR(SEARCH("Pesquisa de Preços",D1686)))</formula>
    </cfRule>
  </conditionalFormatting>
  <conditionalFormatting sqref="D1680 D1683:D1684">
    <cfRule type="containsText" dxfId="2717" priority="5705" operator="containsText" text="Pesquisa de Preços">
      <formula>NOT(ISERROR(SEARCH("Pesquisa de Preços",D1680)))</formula>
    </cfRule>
  </conditionalFormatting>
  <conditionalFormatting sqref="D1675 D1677:D1678">
    <cfRule type="containsText" dxfId="2716" priority="5704" operator="containsText" text="Pesquisa de Preços">
      <formula>NOT(ISERROR(SEARCH("Pesquisa de Preços",D1675)))</formula>
    </cfRule>
  </conditionalFormatting>
  <conditionalFormatting sqref="D1725:D1726 D1733:D1734">
    <cfRule type="containsText" dxfId="2715" priority="5697" operator="containsText" text="Pesquisa de Preços">
      <formula>NOT(ISERROR(SEARCH("Pesquisa de Preços",D1725)))</formula>
    </cfRule>
  </conditionalFormatting>
  <conditionalFormatting sqref="D1670">
    <cfRule type="containsText" dxfId="2714" priority="5702" operator="containsText" text="Pesquisa de Preços">
      <formula>NOT(ISERROR(SEARCH("Pesquisa de Preços",D1670)))</formula>
    </cfRule>
  </conditionalFormatting>
  <conditionalFormatting sqref="D1665">
    <cfRule type="containsText" dxfId="2713" priority="5703" operator="containsText" text="Pesquisa de Preços">
      <formula>NOT(ISERROR(SEARCH("Pesquisa de Preços",D1665)))</formula>
    </cfRule>
  </conditionalFormatting>
  <conditionalFormatting sqref="D1659 D1662:D1663">
    <cfRule type="containsText" dxfId="2712" priority="5701" operator="containsText" text="Pesquisa de Preços">
      <formula>NOT(ISERROR(SEARCH("Pesquisa de Preços",D1659)))</formula>
    </cfRule>
  </conditionalFormatting>
  <conditionalFormatting sqref="D1755:D1756 D1747:D1748">
    <cfRule type="containsText" dxfId="2711" priority="5699" operator="containsText" text="Pesquisa de Preços">
      <formula>NOT(ISERROR(SEARCH("Pesquisa de Preços",D1747)))</formula>
    </cfRule>
  </conditionalFormatting>
  <conditionalFormatting sqref="D1714:D1715 D1723">
    <cfRule type="containsText" dxfId="2710" priority="5698" operator="containsText" text="Pesquisa de Preços">
      <formula>NOT(ISERROR(SEARCH("Pesquisa de Preços",D1714)))</formula>
    </cfRule>
  </conditionalFormatting>
  <conditionalFormatting sqref="D1700:D1701 D1703:D1704">
    <cfRule type="containsText" dxfId="2709" priority="5696" operator="containsText" text="Pesquisa de Preços">
      <formula>NOT(ISERROR(SEARCH("Pesquisa de Preços",D1700)))</formula>
    </cfRule>
  </conditionalFormatting>
  <conditionalFormatting sqref="D1706">
    <cfRule type="containsText" dxfId="2708" priority="5695" operator="containsText" text="Pesquisa de Preços">
      <formula>NOT(ISERROR(SEARCH("Pesquisa de Preços",D1706)))</formula>
    </cfRule>
  </conditionalFormatting>
  <conditionalFormatting sqref="D1709:D1710">
    <cfRule type="containsText" dxfId="2707" priority="5694" operator="containsText" text="Pesquisa de Preços">
      <formula>NOT(ISERROR(SEARCH("Pesquisa de Preços",D1709)))</formula>
    </cfRule>
  </conditionalFormatting>
  <conditionalFormatting sqref="D1819">
    <cfRule type="containsText" dxfId="2706" priority="5693" operator="containsText" text="Pesquisa de Preços">
      <formula>NOT(ISERROR(SEARCH("Pesquisa de Preços",D1819)))</formula>
    </cfRule>
  </conditionalFormatting>
  <conditionalFormatting sqref="D1845">
    <cfRule type="containsText" dxfId="2705" priority="5687" operator="containsText" text="Pesquisa de Preços">
      <formula>NOT(ISERROR(SEARCH("Pesquisa de Preços",D1845)))</formula>
    </cfRule>
  </conditionalFormatting>
  <conditionalFormatting sqref="D1814">
    <cfRule type="containsText" dxfId="2704" priority="5692" operator="containsText" text="Pesquisa de Preços">
      <formula>NOT(ISERROR(SEARCH("Pesquisa de Preços",D1814)))</formula>
    </cfRule>
  </conditionalFormatting>
  <conditionalFormatting sqref="D1824 D1827:D1828">
    <cfRule type="containsText" dxfId="2703" priority="5691" operator="containsText" text="Pesquisa de Preços">
      <formula>NOT(ISERROR(SEARCH("Pesquisa de Preços",D1824)))</formula>
    </cfRule>
  </conditionalFormatting>
  <conditionalFormatting sqref="D1826">
    <cfRule type="containsText" dxfId="2702" priority="5690" operator="containsText" text="Pesquisa de Preços">
      <formula>NOT(ISERROR(SEARCH("Pesquisa de Preços",D1826)))</formula>
    </cfRule>
  </conditionalFormatting>
  <conditionalFormatting sqref="D1830 D1833:D1834">
    <cfRule type="containsText" dxfId="2701" priority="5689" operator="containsText" text="Pesquisa de Preços">
      <formula>NOT(ISERROR(SEARCH("Pesquisa de Preços",D1830)))</formula>
    </cfRule>
  </conditionalFormatting>
  <conditionalFormatting sqref="D1843:D1844 D1846:D1847">
    <cfRule type="containsText" dxfId="2700" priority="5688" operator="containsText" text="Pesquisa de Preços">
      <formula>NOT(ISERROR(SEARCH("Pesquisa de Preços",D1843)))</formula>
    </cfRule>
  </conditionalFormatting>
  <conditionalFormatting sqref="D1849:D1850 D1852:D1853">
    <cfRule type="containsText" dxfId="2699" priority="5686" operator="containsText" text="Pesquisa de Preços">
      <formula>NOT(ISERROR(SEARCH("Pesquisa de Preços",D1849)))</formula>
    </cfRule>
  </conditionalFormatting>
  <conditionalFormatting sqref="D1857">
    <cfRule type="containsText" dxfId="2698" priority="5682" operator="containsText" text="Pesquisa de Preços">
      <formula>NOT(ISERROR(SEARCH("Pesquisa de Preços",D1857)))</formula>
    </cfRule>
  </conditionalFormatting>
  <conditionalFormatting sqref="D1851">
    <cfRule type="containsText" dxfId="2697" priority="5685" operator="containsText" text="Pesquisa de Preços">
      <formula>NOT(ISERROR(SEARCH("Pesquisa de Preços",D1851)))</formula>
    </cfRule>
  </conditionalFormatting>
  <conditionalFormatting sqref="D1836:D1837 D1841">
    <cfRule type="containsText" dxfId="2696" priority="5684" operator="containsText" text="Pesquisa de Preços">
      <formula>NOT(ISERROR(SEARCH("Pesquisa de Preços",D1836)))</formula>
    </cfRule>
  </conditionalFormatting>
  <conditionalFormatting sqref="D1899">
    <cfRule type="containsText" dxfId="2695" priority="5679" operator="containsText" text="Pesquisa de Preços">
      <formula>NOT(ISERROR(SEARCH("Pesquisa de Preços",D1899)))</formula>
    </cfRule>
  </conditionalFormatting>
  <conditionalFormatting sqref="D1855:D1856 D1858:D1859">
    <cfRule type="containsText" dxfId="2694" priority="5683" operator="containsText" text="Pesquisa de Preços">
      <formula>NOT(ISERROR(SEARCH("Pesquisa de Preços",D1855)))</formula>
    </cfRule>
  </conditionalFormatting>
  <conditionalFormatting sqref="D1861 D1865">
    <cfRule type="containsText" dxfId="2693" priority="5681" operator="containsText" text="Pesquisa de Preços">
      <formula>NOT(ISERROR(SEARCH("Pesquisa de Preços",D1861)))</formula>
    </cfRule>
  </conditionalFormatting>
  <conditionalFormatting sqref="D1897:D1898 D1900:D1901">
    <cfRule type="containsText" dxfId="2692" priority="5680" operator="containsText" text="Pesquisa de Preços">
      <formula>NOT(ISERROR(SEARCH("Pesquisa de Preços",D1897)))</formula>
    </cfRule>
  </conditionalFormatting>
  <conditionalFormatting sqref="D1873:D1874 D1876:D1877">
    <cfRule type="containsText" dxfId="2691" priority="5678" operator="containsText" text="Pesquisa de Preços">
      <formula>NOT(ISERROR(SEARCH("Pesquisa de Preços",D1873)))</formula>
    </cfRule>
  </conditionalFormatting>
  <conditionalFormatting sqref="D1875">
    <cfRule type="containsText" dxfId="2690" priority="5677" operator="containsText" text="Pesquisa de Preços">
      <formula>NOT(ISERROR(SEARCH("Pesquisa de Preços",D1875)))</formula>
    </cfRule>
  </conditionalFormatting>
  <conditionalFormatting sqref="D1891 D1895">
    <cfRule type="containsText" dxfId="2689" priority="5676" operator="containsText" text="Pesquisa de Preços">
      <formula>NOT(ISERROR(SEARCH("Pesquisa de Preços",D1891)))</formula>
    </cfRule>
  </conditionalFormatting>
  <conditionalFormatting sqref="D1867:D1868 D1870:D1871">
    <cfRule type="containsText" dxfId="2688" priority="5675" operator="containsText" text="Pesquisa de Preços">
      <formula>NOT(ISERROR(SEARCH("Pesquisa de Preços",D1867)))</formula>
    </cfRule>
  </conditionalFormatting>
  <conditionalFormatting sqref="D1869">
    <cfRule type="containsText" dxfId="2687" priority="5674" operator="containsText" text="Pesquisa de Preços">
      <formula>NOT(ISERROR(SEARCH("Pesquisa de Preços",D1869)))</formula>
    </cfRule>
  </conditionalFormatting>
  <conditionalFormatting sqref="D1879:D1880 D1882:D1883">
    <cfRule type="containsText" dxfId="2686" priority="5673" operator="containsText" text="Pesquisa de Preços">
      <formula>NOT(ISERROR(SEARCH("Pesquisa de Preços",D1879)))</formula>
    </cfRule>
  </conditionalFormatting>
  <conditionalFormatting sqref="D1905">
    <cfRule type="containsText" dxfId="2685" priority="5669" operator="containsText" text="Pesquisa de Preços">
      <formula>NOT(ISERROR(SEARCH("Pesquisa de Preços",D1905)))</formula>
    </cfRule>
  </conditionalFormatting>
  <conditionalFormatting sqref="D1881">
    <cfRule type="containsText" dxfId="2684" priority="5672" operator="containsText" text="Pesquisa de Preços">
      <formula>NOT(ISERROR(SEARCH("Pesquisa de Preços",D1881)))</formula>
    </cfRule>
  </conditionalFormatting>
  <conditionalFormatting sqref="D1885 D1889">
    <cfRule type="containsText" dxfId="2683" priority="5671" operator="containsText" text="Pesquisa de Preços">
      <formula>NOT(ISERROR(SEARCH("Pesquisa de Preços",D1885)))</formula>
    </cfRule>
  </conditionalFormatting>
  <conditionalFormatting sqref="D1930 D1933:D1934">
    <cfRule type="containsText" dxfId="2682" priority="5663" operator="containsText" text="Pesquisa de Preços">
      <formula>NOT(ISERROR(SEARCH("Pesquisa de Preços",D1930)))</formula>
    </cfRule>
  </conditionalFormatting>
  <conditionalFormatting sqref="D1903:D1904 D1906:D1907">
    <cfRule type="containsText" dxfId="2681" priority="5670" operator="containsText" text="Pesquisa de Preços">
      <formula>NOT(ISERROR(SEARCH("Pesquisa de Preços",D1903)))</formula>
    </cfRule>
  </conditionalFormatting>
  <conditionalFormatting sqref="D1911">
    <cfRule type="containsText" dxfId="2680" priority="5667" operator="containsText" text="Pesquisa de Preços">
      <formula>NOT(ISERROR(SEARCH("Pesquisa de Preços",D1911)))</formula>
    </cfRule>
  </conditionalFormatting>
  <conditionalFormatting sqref="D1909:D1910 D1912:D1913">
    <cfRule type="containsText" dxfId="2679" priority="5668" operator="containsText" text="Pesquisa de Preços">
      <formula>NOT(ISERROR(SEARCH("Pesquisa de Preços",D1909)))</formula>
    </cfRule>
  </conditionalFormatting>
  <conditionalFormatting sqref="D1915">
    <cfRule type="containsText" dxfId="2678" priority="5666" operator="containsText" text="Pesquisa de Preços">
      <formula>NOT(ISERROR(SEARCH("Pesquisa de Preços",D1915)))</formula>
    </cfRule>
  </conditionalFormatting>
  <conditionalFormatting sqref="D1925:D1926 D1928">
    <cfRule type="containsText" dxfId="2677" priority="5665" operator="containsText" text="Pesquisa de Preços">
      <formula>NOT(ISERROR(SEARCH("Pesquisa de Preços",D1925)))</formula>
    </cfRule>
  </conditionalFormatting>
  <conditionalFormatting sqref="D1920">
    <cfRule type="containsText" dxfId="2676" priority="5664" operator="containsText" text="Pesquisa de Preços">
      <formula>NOT(ISERROR(SEARCH("Pesquisa de Preços",D1920)))</formula>
    </cfRule>
  </conditionalFormatting>
  <conditionalFormatting sqref="D1953:D1954 D1956:D1957">
    <cfRule type="containsText" dxfId="2675" priority="5662" operator="containsText" text="Pesquisa de Preços">
      <formula>NOT(ISERROR(SEARCH("Pesquisa de Preços",D1953)))</formula>
    </cfRule>
  </conditionalFormatting>
  <conditionalFormatting sqref="D1955">
    <cfRule type="containsText" dxfId="2674" priority="5661" operator="containsText" text="Pesquisa de Preços">
      <formula>NOT(ISERROR(SEARCH("Pesquisa de Preços",D1955)))</formula>
    </cfRule>
  </conditionalFormatting>
  <conditionalFormatting sqref="D1962:D1963">
    <cfRule type="containsText" dxfId="2673" priority="5660" operator="containsText" text="Pesquisa de Preços">
      <formula>NOT(ISERROR(SEARCH("Pesquisa de Preços",D1962)))</formula>
    </cfRule>
  </conditionalFormatting>
  <conditionalFormatting sqref="D1972:D1973 D1977">
    <cfRule type="containsText" dxfId="2672" priority="5657" operator="containsText" text="Pesquisa de Preços">
      <formula>NOT(ISERROR(SEARCH("Pesquisa de Preços",D1972)))</formula>
    </cfRule>
  </conditionalFormatting>
  <conditionalFormatting sqref="D1975">
    <cfRule type="containsText" dxfId="2671" priority="5656" operator="containsText" text="Pesquisa de Preços">
      <formula>NOT(ISERROR(SEARCH("Pesquisa de Preços",D1975)))</formula>
    </cfRule>
  </conditionalFormatting>
  <conditionalFormatting sqref="D1987:D1988 D1992:D1993">
    <cfRule type="containsText" dxfId="2670" priority="5659" operator="containsText" text="Pesquisa de Preços">
      <formula>NOT(ISERROR(SEARCH("Pesquisa de Preços",D1987)))</formula>
    </cfRule>
  </conditionalFormatting>
  <conditionalFormatting sqref="D1979 D1985">
    <cfRule type="containsText" dxfId="2669" priority="5658" operator="containsText" text="Pesquisa de Preços">
      <formula>NOT(ISERROR(SEARCH("Pesquisa de Preços",D1979)))</formula>
    </cfRule>
  </conditionalFormatting>
  <conditionalFormatting sqref="D1965:D1966 D1970">
    <cfRule type="containsText" dxfId="2668" priority="5655" operator="containsText" text="Pesquisa de Preços">
      <formula>NOT(ISERROR(SEARCH("Pesquisa de Preços",D1965)))</formula>
    </cfRule>
  </conditionalFormatting>
  <conditionalFormatting sqref="D1968">
    <cfRule type="containsText" dxfId="2667" priority="5654" operator="containsText" text="Pesquisa de Preços">
      <formula>NOT(ISERROR(SEARCH("Pesquisa de Preços",D1968)))</formula>
    </cfRule>
  </conditionalFormatting>
  <conditionalFormatting sqref="D2016 D2021">
    <cfRule type="containsText" dxfId="2666" priority="5653" operator="containsText" text="Pesquisa de Preços">
      <formula>NOT(ISERROR(SEARCH("Pesquisa de Preços",D2016)))</formula>
    </cfRule>
  </conditionalFormatting>
  <conditionalFormatting sqref="D2011:D2012">
    <cfRule type="containsText" dxfId="2665" priority="5651" operator="containsText" text="Pesquisa de Preços">
      <formula>NOT(ISERROR(SEARCH("Pesquisa de Preços",D2011)))</formula>
    </cfRule>
  </conditionalFormatting>
  <conditionalFormatting sqref="D2009 D2014">
    <cfRule type="containsText" dxfId="2664" priority="5652" operator="containsText" text="Pesquisa de Preços">
      <formula>NOT(ISERROR(SEARCH("Pesquisa de Preços",D2009)))</formula>
    </cfRule>
  </conditionalFormatting>
  <conditionalFormatting sqref="D2004:D2005">
    <cfRule type="containsText" dxfId="2663" priority="5649" operator="containsText" text="Pesquisa de Preços">
      <formula>NOT(ISERROR(SEARCH("Pesquisa de Preços",D2004)))</formula>
    </cfRule>
  </conditionalFormatting>
  <conditionalFormatting sqref="D2002 D2007">
    <cfRule type="containsText" dxfId="2662" priority="5650" operator="containsText" text="Pesquisa de Preços">
      <formula>NOT(ISERROR(SEARCH("Pesquisa de Preços",D2002)))</formula>
    </cfRule>
  </conditionalFormatting>
  <conditionalFormatting sqref="D1995 D2000">
    <cfRule type="containsText" dxfId="2661" priority="5648" operator="containsText" text="Pesquisa de Preços">
      <formula>NOT(ISERROR(SEARCH("Pesquisa de Preços",D1995)))</formula>
    </cfRule>
  </conditionalFormatting>
  <conditionalFormatting sqref="D2141">
    <cfRule type="containsText" dxfId="2660" priority="5647" operator="containsText" text="Pesquisa de Preços">
      <formula>NOT(ISERROR(SEARCH("Pesquisa de Preços",D2141)))</formula>
    </cfRule>
  </conditionalFormatting>
  <conditionalFormatting sqref="D2143:D2144">
    <cfRule type="containsText" dxfId="2659" priority="5646" operator="containsText" text="Pesquisa de Preços">
      <formula>NOT(ISERROR(SEARCH("Pesquisa de Preços",D2143)))</formula>
    </cfRule>
  </conditionalFormatting>
  <conditionalFormatting sqref="D2135">
    <cfRule type="containsText" dxfId="2658" priority="5645" operator="containsText" text="Pesquisa de Preços">
      <formula>NOT(ISERROR(SEARCH("Pesquisa de Preços",D2135)))</formula>
    </cfRule>
  </conditionalFormatting>
  <conditionalFormatting sqref="D2137">
    <cfRule type="containsText" dxfId="2657" priority="5644" operator="containsText" text="Pesquisa de Preços">
      <formula>NOT(ISERROR(SEARCH("Pesquisa de Preços",D2137)))</formula>
    </cfRule>
  </conditionalFormatting>
  <conditionalFormatting sqref="D2129">
    <cfRule type="containsText" dxfId="2656" priority="5643" operator="containsText" text="Pesquisa de Preços">
      <formula>NOT(ISERROR(SEARCH("Pesquisa de Preços",D2129)))</formula>
    </cfRule>
  </conditionalFormatting>
  <conditionalFormatting sqref="D2131">
    <cfRule type="containsText" dxfId="2655" priority="5642" operator="containsText" text="Pesquisa de Preços">
      <formula>NOT(ISERROR(SEARCH("Pesquisa de Preços",D2131)))</formula>
    </cfRule>
  </conditionalFormatting>
  <conditionalFormatting sqref="D2123">
    <cfRule type="containsText" dxfId="2654" priority="5641" operator="containsText" text="Pesquisa de Preços">
      <formula>NOT(ISERROR(SEARCH("Pesquisa de Preços",D2123)))</formula>
    </cfRule>
  </conditionalFormatting>
  <conditionalFormatting sqref="D2125:D2126">
    <cfRule type="containsText" dxfId="2653" priority="5640" operator="containsText" text="Pesquisa de Preços">
      <formula>NOT(ISERROR(SEARCH("Pesquisa de Preços",D2125)))</formula>
    </cfRule>
  </conditionalFormatting>
  <conditionalFormatting sqref="D2155 D2159:D2161">
    <cfRule type="containsText" dxfId="2652" priority="5639" operator="containsText" text="Pesquisa de Preços">
      <formula>NOT(ISERROR(SEARCH("Pesquisa de Preços",D2155)))</formula>
    </cfRule>
  </conditionalFormatting>
  <conditionalFormatting sqref="D2171 D2175:D2177">
    <cfRule type="containsText" dxfId="2651" priority="5638" operator="containsText" text="Pesquisa de Preços">
      <formula>NOT(ISERROR(SEARCH("Pesquisa de Preços",D2171)))</formula>
    </cfRule>
  </conditionalFormatting>
  <conditionalFormatting sqref="D2151:D2153">
    <cfRule type="containsText" dxfId="2650" priority="5637" operator="containsText" text="Pesquisa de Preços">
      <formula>NOT(ISERROR(SEARCH("Pesquisa de Preços",D2151)))</formula>
    </cfRule>
  </conditionalFormatting>
  <conditionalFormatting sqref="D2183:D2185">
    <cfRule type="containsText" dxfId="2649" priority="5636" operator="containsText" text="Pesquisa de Preços">
      <formula>NOT(ISERROR(SEARCH("Pesquisa de Preços",D2183)))</formula>
    </cfRule>
  </conditionalFormatting>
  <conditionalFormatting sqref="D2061 D2065:D2067">
    <cfRule type="containsText" dxfId="2648" priority="5632" operator="containsText" text="Pesquisa de Preços">
      <formula>NOT(ISERROR(SEARCH("Pesquisa de Preços",D2061)))</formula>
    </cfRule>
  </conditionalFormatting>
  <conditionalFormatting sqref="D2167:D2169">
    <cfRule type="containsText" dxfId="2647" priority="5635" operator="containsText" text="Pesquisa de Preços">
      <formula>NOT(ISERROR(SEARCH("Pesquisa de Preços",D2167)))</formula>
    </cfRule>
  </conditionalFormatting>
  <conditionalFormatting sqref="D2191:D2193">
    <cfRule type="containsText" dxfId="2646" priority="5634" operator="containsText" text="Pesquisa de Preços">
      <formula>NOT(ISERROR(SEARCH("Pesquisa de Preços",D2191)))</formula>
    </cfRule>
  </conditionalFormatting>
  <conditionalFormatting sqref="D2245:D2247 D2249">
    <cfRule type="containsText" dxfId="2645" priority="5609" operator="containsText" text="Pesquisa de Preços">
      <formula>NOT(ISERROR(SEARCH("Pesquisa de Preços",D2245)))</formula>
    </cfRule>
  </conditionalFormatting>
  <conditionalFormatting sqref="D2045 D2049:D2051">
    <cfRule type="containsText" dxfId="2644" priority="5633" operator="containsText" text="Pesquisa de Preços">
      <formula>NOT(ISERROR(SEARCH("Pesquisa de Preços",D2045)))</formula>
    </cfRule>
  </conditionalFormatting>
  <conditionalFormatting sqref="D2053 D2057:D2059">
    <cfRule type="containsText" dxfId="2643" priority="5629" operator="containsText" text="Pesquisa de Preços">
      <formula>NOT(ISERROR(SEARCH("Pesquisa de Preços",D2053)))</formula>
    </cfRule>
  </conditionalFormatting>
  <conditionalFormatting sqref="D2338:D2339 D2341:D2342">
    <cfRule type="containsText" dxfId="2642" priority="5604" operator="containsText" text="Pesquisa de Preços">
      <formula>NOT(ISERROR(SEARCH("Pesquisa de Preços",D2338)))</formula>
    </cfRule>
  </conditionalFormatting>
  <conditionalFormatting sqref="D2037 D2041:D2043">
    <cfRule type="containsText" dxfId="2641" priority="5631" operator="containsText" text="Pesquisa de Preços">
      <formula>NOT(ISERROR(SEARCH("Pesquisa de Preços",D2037)))</formula>
    </cfRule>
  </conditionalFormatting>
  <conditionalFormatting sqref="D2069 D2073:D2075">
    <cfRule type="containsText" dxfId="2640" priority="5630" operator="containsText" text="Pesquisa de Preços">
      <formula>NOT(ISERROR(SEARCH("Pesquisa de Preços",D2069)))</formula>
    </cfRule>
  </conditionalFormatting>
  <conditionalFormatting sqref="D2317">
    <cfRule type="containsText" dxfId="2639" priority="5606" operator="containsText" text="Pesquisa de Preços">
      <formula>NOT(ISERROR(SEARCH("Pesquisa de Preços",D2317)))</formula>
    </cfRule>
  </conditionalFormatting>
  <conditionalFormatting sqref="D2334">
    <cfRule type="containsText" dxfId="2638" priority="5601" operator="containsText" text="Pesquisa de Preços">
      <formula>NOT(ISERROR(SEARCH("Pesquisa de Preços",D2334)))</formula>
    </cfRule>
  </conditionalFormatting>
  <conditionalFormatting sqref="D2077 D2081:D2083">
    <cfRule type="containsText" dxfId="2637" priority="5628" operator="containsText" text="Pesquisa de Preços">
      <formula>NOT(ISERROR(SEARCH("Pesquisa de Preços",D2077)))</formula>
    </cfRule>
  </conditionalFormatting>
  <conditionalFormatting sqref="D2256">
    <cfRule type="containsText" dxfId="2636" priority="5616" operator="containsText" text="Pesquisa de Preços">
      <formula>NOT(ISERROR(SEARCH("Pesquisa de Preços",D2256)))</formula>
    </cfRule>
  </conditionalFormatting>
  <conditionalFormatting sqref="D2035">
    <cfRule type="containsText" dxfId="2635" priority="5627" operator="containsText" text="Pesquisa de Preços">
      <formula>NOT(ISERROR(SEARCH("Pesquisa de Preços",D2035)))</formula>
    </cfRule>
  </conditionalFormatting>
  <conditionalFormatting sqref="D2113:D2115">
    <cfRule type="containsText" dxfId="2634" priority="5626" operator="containsText" text="Pesquisa de Preços">
      <formula>NOT(ISERROR(SEARCH("Pesquisa de Preços",D2113)))</formula>
    </cfRule>
  </conditionalFormatting>
  <conditionalFormatting sqref="D2105:D2107">
    <cfRule type="containsText" dxfId="2633" priority="5625" operator="containsText" text="Pesquisa de Preços">
      <formula>NOT(ISERROR(SEARCH("Pesquisa de Preços",D2105)))</formula>
    </cfRule>
  </conditionalFormatting>
  <conditionalFormatting sqref="D2220">
    <cfRule type="containsText" dxfId="2632" priority="5619" operator="containsText" text="Pesquisa de Preços">
      <formula>NOT(ISERROR(SEARCH("Pesquisa de Preços",D2220)))</formula>
    </cfRule>
  </conditionalFormatting>
  <conditionalFormatting sqref="D2099">
    <cfRule type="containsText" dxfId="2631" priority="5624" operator="containsText" text="Pesquisa de Preços">
      <formula>NOT(ISERROR(SEARCH("Pesquisa de Preços",D2099)))</formula>
    </cfRule>
  </conditionalFormatting>
  <conditionalFormatting sqref="D2023:D2024 D2026:D2027">
    <cfRule type="containsText" dxfId="2630" priority="5623" operator="containsText" text="Pesquisa de Preços">
      <formula>NOT(ISERROR(SEARCH("Pesquisa de Preços",D2023)))</formula>
    </cfRule>
  </conditionalFormatting>
  <conditionalFormatting sqref="D2117">
    <cfRule type="containsText" dxfId="2629" priority="5622" operator="containsText" text="Pesquisa de Preços">
      <formula>NOT(ISERROR(SEARCH("Pesquisa de Preços",D2117)))</formula>
    </cfRule>
  </conditionalFormatting>
  <conditionalFormatting sqref="D2211:D2212">
    <cfRule type="containsText" dxfId="2628" priority="5621" operator="containsText" text="Pesquisa de Preços">
      <formula>NOT(ISERROR(SEARCH("Pesquisa de Preços",D2211)))</formula>
    </cfRule>
  </conditionalFormatting>
  <conditionalFormatting sqref="D2216:D2217">
    <cfRule type="containsText" dxfId="2627" priority="5620" operator="containsText" text="Pesquisa de Preços">
      <formula>NOT(ISERROR(SEARCH("Pesquisa de Preços",D2216)))</formula>
    </cfRule>
  </conditionalFormatting>
  <conditionalFormatting sqref="D2236 D2239:D2240">
    <cfRule type="containsText" dxfId="2626" priority="5618" operator="containsText" text="Pesquisa de Preços">
      <formula>NOT(ISERROR(SEARCH("Pesquisa de Preços",D2236)))</formula>
    </cfRule>
  </conditionalFormatting>
  <conditionalFormatting sqref="D2230 D2234">
    <cfRule type="containsText" dxfId="2625" priority="5617" operator="containsText" text="Pesquisa de Preços">
      <formula>NOT(ISERROR(SEARCH("Pesquisa de Preços",D2230)))</formula>
    </cfRule>
  </conditionalFormatting>
  <conditionalFormatting sqref="D2302">
    <cfRule type="containsText" dxfId="2624" priority="5614" operator="containsText" text="Pesquisa de Preços">
      <formula>NOT(ISERROR(SEARCH("Pesquisa de Preços",D2302)))</formula>
    </cfRule>
  </conditionalFormatting>
  <conditionalFormatting sqref="D2259">
    <cfRule type="containsText" dxfId="2623" priority="5615" operator="containsText" text="Pesquisa de Preços">
      <formula>NOT(ISERROR(SEARCH("Pesquisa de Preços",D2259)))</formula>
    </cfRule>
  </conditionalFormatting>
  <conditionalFormatting sqref="D2292">
    <cfRule type="containsText" dxfId="2622" priority="5613" operator="containsText" text="Pesquisa de Preços">
      <formula>NOT(ISERROR(SEARCH("Pesquisa de Preços",D2292)))</formula>
    </cfRule>
  </conditionalFormatting>
  <conditionalFormatting sqref="D2282 D2290">
    <cfRule type="containsText" dxfId="2621" priority="5611" operator="containsText" text="Pesquisa de Preços">
      <formula>NOT(ISERROR(SEARCH("Pesquisa de Preços",D2282)))</formula>
    </cfRule>
  </conditionalFormatting>
  <conditionalFormatting sqref="D2242:D2243">
    <cfRule type="containsText" dxfId="2620" priority="5610" operator="containsText" text="Pesquisa de Preços">
      <formula>NOT(ISERROR(SEARCH("Pesquisa de Preços",D2242)))</formula>
    </cfRule>
  </conditionalFormatting>
  <conditionalFormatting sqref="D2319:D2320">
    <cfRule type="containsText" dxfId="2619" priority="5608" operator="containsText" text="Pesquisa de Preços">
      <formula>NOT(ISERROR(SEARCH("Pesquisa de Preços",D2319)))</formula>
    </cfRule>
  </conditionalFormatting>
  <conditionalFormatting sqref="D2323">
    <cfRule type="containsText" dxfId="2618" priority="5607" operator="containsText" text="Pesquisa de Preços">
      <formula>NOT(ISERROR(SEARCH("Pesquisa de Preços",D2323)))</formula>
    </cfRule>
  </conditionalFormatting>
  <conditionalFormatting sqref="D2350">
    <cfRule type="containsText" dxfId="2617" priority="5605" operator="containsText" text="Pesquisa de Preços">
      <formula>NOT(ISERROR(SEARCH("Pesquisa de Preços",D2350)))</formula>
    </cfRule>
  </conditionalFormatting>
  <conditionalFormatting sqref="D2340">
    <cfRule type="containsText" dxfId="2616" priority="5603" operator="containsText" text="Pesquisa de Preços">
      <formula>NOT(ISERROR(SEARCH("Pesquisa de Preços",D2340)))</formula>
    </cfRule>
  </conditionalFormatting>
  <conditionalFormatting sqref="D2332:D2333 D2335:D2336">
    <cfRule type="containsText" dxfId="2615" priority="5602" operator="containsText" text="Pesquisa de Preços">
      <formula>NOT(ISERROR(SEARCH("Pesquisa de Preços",D2332)))</formula>
    </cfRule>
  </conditionalFormatting>
  <conditionalFormatting sqref="D2344:D2345 D2347:D2348">
    <cfRule type="containsText" dxfId="2614" priority="5600" operator="containsText" text="Pesquisa de Preços">
      <formula>NOT(ISERROR(SEARCH("Pesquisa de Preços",D2344)))</formula>
    </cfRule>
  </conditionalFormatting>
  <conditionalFormatting sqref="D2346">
    <cfRule type="containsText" dxfId="2613" priority="5599" operator="containsText" text="Pesquisa de Preços">
      <formula>NOT(ISERROR(SEARCH("Pesquisa de Preços",D2346)))</formula>
    </cfRule>
  </conditionalFormatting>
  <conditionalFormatting sqref="D2326 D2329:D2330">
    <cfRule type="containsText" dxfId="2612" priority="5598" operator="containsText" text="Pesquisa de Preços">
      <formula>NOT(ISERROR(SEARCH("Pesquisa de Preços",D2326)))</formula>
    </cfRule>
  </conditionalFormatting>
  <conditionalFormatting sqref="D2328">
    <cfRule type="containsText" dxfId="2611" priority="5597" operator="containsText" text="Pesquisa de Preços">
      <formula>NOT(ISERROR(SEARCH("Pesquisa de Preços",D2328)))</formula>
    </cfRule>
  </conditionalFormatting>
  <conditionalFormatting sqref="D2355:D2358">
    <cfRule type="containsText" dxfId="2610" priority="5596" operator="containsText" text="Pesquisa de Preços">
      <formula>NOT(ISERROR(SEARCH("Pesquisa de Preços",D2355)))</formula>
    </cfRule>
  </conditionalFormatting>
  <conditionalFormatting sqref="D2360 D2362:D2363">
    <cfRule type="containsText" dxfId="2609" priority="5595" operator="containsText" text="Pesquisa de Preços">
      <formula>NOT(ISERROR(SEARCH("Pesquisa de Preços",D2360)))</formula>
    </cfRule>
  </conditionalFormatting>
  <conditionalFormatting sqref="D897:D898 D900:D902">
    <cfRule type="containsText" dxfId="2608" priority="5594" operator="containsText" text="Pesquisa de Preços">
      <formula>NOT(ISERROR(SEARCH("Pesquisa de Preços",D897)))</formula>
    </cfRule>
  </conditionalFormatting>
  <conditionalFormatting sqref="D857:D858">
    <cfRule type="containsText" dxfId="2607" priority="5589" operator="containsText" text="Pesquisa de Preços">
      <formula>NOT(ISERROR(SEARCH("Pesquisa de Preços",D857)))</formula>
    </cfRule>
  </conditionalFormatting>
  <conditionalFormatting sqref="D876 D881:D882">
    <cfRule type="containsText" dxfId="2606" priority="5593" operator="containsText" text="Pesquisa de Preços">
      <formula>NOT(ISERROR(SEARCH("Pesquisa de Preços",D876)))</formula>
    </cfRule>
  </conditionalFormatting>
  <conditionalFormatting sqref="D884 D889:D890">
    <cfRule type="containsText" dxfId="2605" priority="5591" operator="containsText" text="Pesquisa de Preços">
      <formula>NOT(ISERROR(SEARCH("Pesquisa de Preços",D884)))</formula>
    </cfRule>
  </conditionalFormatting>
  <conditionalFormatting sqref="D858:D860">
    <cfRule type="containsText" dxfId="2604" priority="5588" operator="containsText" text="Pesquisa de Preços">
      <formula>NOT(ISERROR(SEARCH("Pesquisa de Preços",D858)))</formula>
    </cfRule>
  </conditionalFormatting>
  <conditionalFormatting sqref="D846 D848:D849">
    <cfRule type="containsText" dxfId="2603" priority="5587" operator="containsText" text="Pesquisa de Preços">
      <formula>NOT(ISERROR(SEARCH("Pesquisa de Preços",D846)))</formula>
    </cfRule>
  </conditionalFormatting>
  <conditionalFormatting sqref="D851 D854:D855">
    <cfRule type="containsText" dxfId="2602" priority="5586" operator="containsText" text="Pesquisa de Preços">
      <formula>NOT(ISERROR(SEARCH("Pesquisa de Preços",D851)))</formula>
    </cfRule>
  </conditionalFormatting>
  <conditionalFormatting sqref="D868">
    <cfRule type="containsText" dxfId="2601" priority="5585" operator="containsText" text="Pesquisa de Preços">
      <formula>NOT(ISERROR(SEARCH("Pesquisa de Preços",D868)))</formula>
    </cfRule>
  </conditionalFormatting>
  <conditionalFormatting sqref="D863">
    <cfRule type="containsText" dxfId="2600" priority="5584" operator="containsText" text="Pesquisa de Preços">
      <formula>NOT(ISERROR(SEARCH("Pesquisa de Preços",D863)))</formula>
    </cfRule>
  </conditionalFormatting>
  <conditionalFormatting sqref="D894">
    <cfRule type="containsText" dxfId="2599" priority="5582" operator="containsText" text="Pesquisa de Preços">
      <formula>NOT(ISERROR(SEARCH("Pesquisa de Preços",D894)))</formula>
    </cfRule>
  </conditionalFormatting>
  <conditionalFormatting sqref="D892:D893">
    <cfRule type="containsText" dxfId="2598" priority="5583" operator="containsText" text="Pesquisa de Preços">
      <formula>NOT(ISERROR(SEARCH("Pesquisa de Preços",D892)))</formula>
    </cfRule>
  </conditionalFormatting>
  <conditionalFormatting sqref="D904:D905">
    <cfRule type="containsText" dxfId="2597" priority="5581" operator="containsText" text="Pesquisa de Preços">
      <formula>NOT(ISERROR(SEARCH("Pesquisa de Preços",D904)))</formula>
    </cfRule>
  </conditionalFormatting>
  <conditionalFormatting sqref="D2371:D2372">
    <cfRule type="containsText" dxfId="2596" priority="5580" operator="containsText" text="Pesquisa de Preços">
      <formula>NOT(ISERROR(SEARCH("Pesquisa de Preços",D2371)))</formula>
    </cfRule>
  </conditionalFormatting>
  <conditionalFormatting sqref="D2379 D2382 D2384">
    <cfRule type="containsText" dxfId="2595" priority="5579" operator="containsText" text="Pesquisa de Preços">
      <formula>NOT(ISERROR(SEARCH("Pesquisa de Preços",D2379)))</formula>
    </cfRule>
  </conditionalFormatting>
  <conditionalFormatting sqref="D2365:D2366 D2368:D2369">
    <cfRule type="containsText" dxfId="2594" priority="5578" operator="containsText" text="Pesquisa de Preços">
      <formula>NOT(ISERROR(SEARCH("Pesquisa de Preços",D2365)))</formula>
    </cfRule>
  </conditionalFormatting>
  <conditionalFormatting sqref="D2392 D2396:D2397">
    <cfRule type="containsText" dxfId="2593" priority="5576" operator="containsText" text="Pesquisa de Preços">
      <formula>NOT(ISERROR(SEARCH("Pesquisa de Preços",D2392)))</formula>
    </cfRule>
  </conditionalFormatting>
  <conditionalFormatting sqref="D2367">
    <cfRule type="containsText" dxfId="2592" priority="5577" operator="containsText" text="Pesquisa de Preços">
      <formula>NOT(ISERROR(SEARCH("Pesquisa de Preços",D2367)))</formula>
    </cfRule>
  </conditionalFormatting>
  <conditionalFormatting sqref="D2386">
    <cfRule type="containsText" dxfId="2591" priority="5575" operator="containsText" text="Pesquisa de Preços">
      <formula>NOT(ISERROR(SEARCH("Pesquisa de Preços",D2386)))</formula>
    </cfRule>
  </conditionalFormatting>
  <conditionalFormatting sqref="D1772:D1773 D1776:D1777">
    <cfRule type="containsText" dxfId="2590" priority="5573" operator="containsText" text="Pesquisa de Preços">
      <formula>NOT(ISERROR(SEARCH("Pesquisa de Preços",D1772)))</formula>
    </cfRule>
  </conditionalFormatting>
  <conditionalFormatting sqref="D1774:D1775">
    <cfRule type="containsText" dxfId="2589" priority="5572" operator="containsText" text="Pesquisa de Preços">
      <formula>NOT(ISERROR(SEARCH("Pesquisa de Preços",D1774)))</formula>
    </cfRule>
  </conditionalFormatting>
  <conditionalFormatting sqref="D1786:D1787 D1790:D1791">
    <cfRule type="containsText" dxfId="2588" priority="5570" operator="containsText" text="Pesquisa de Preços">
      <formula>NOT(ISERROR(SEARCH("Pesquisa de Preços",D1786)))</formula>
    </cfRule>
  </conditionalFormatting>
  <conditionalFormatting sqref="D1788:D1789">
    <cfRule type="containsText" dxfId="2587" priority="5569" operator="containsText" text="Pesquisa de Preços">
      <formula>NOT(ISERROR(SEARCH("Pesquisa de Preços",D1788)))</formula>
    </cfRule>
  </conditionalFormatting>
  <conditionalFormatting sqref="D1800:D1801 D1804:D1805">
    <cfRule type="containsText" dxfId="2586" priority="5567" operator="containsText" text="Pesquisa de Preços">
      <formula>NOT(ISERROR(SEARCH("Pesquisa de Preços",D1800)))</formula>
    </cfRule>
  </conditionalFormatting>
  <conditionalFormatting sqref="D1802:D1803">
    <cfRule type="containsText" dxfId="2585" priority="5566" operator="containsText" text="Pesquisa de Preços">
      <formula>NOT(ISERROR(SEARCH("Pesquisa de Preços",D1802)))</formula>
    </cfRule>
  </conditionalFormatting>
  <conditionalFormatting sqref="D1758:D1759 D1762:D1763">
    <cfRule type="containsText" dxfId="2584" priority="5564" operator="containsText" text="Pesquisa de Preços">
      <formula>NOT(ISERROR(SEARCH("Pesquisa de Preços",D1758)))</formula>
    </cfRule>
  </conditionalFormatting>
  <conditionalFormatting sqref="D1760:D1761">
    <cfRule type="containsText" dxfId="2583" priority="5563" operator="containsText" text="Pesquisa de Preços">
      <formula>NOT(ISERROR(SEARCH("Pesquisa de Preços",D1760)))</formula>
    </cfRule>
  </conditionalFormatting>
  <conditionalFormatting sqref="D1765:D1766 D1769:D1770">
    <cfRule type="containsText" dxfId="2582" priority="5561" operator="containsText" text="Pesquisa de Preços">
      <formula>NOT(ISERROR(SEARCH("Pesquisa de Preços",D1765)))</formula>
    </cfRule>
  </conditionalFormatting>
  <conditionalFormatting sqref="D590 D594">
    <cfRule type="containsText" dxfId="2581" priority="5499" operator="containsText" text="Pesquisa de Preços">
      <formula>NOT(ISERROR(SEARCH("Pesquisa de Preços",D590)))</formula>
    </cfRule>
  </conditionalFormatting>
  <conditionalFormatting sqref="D1767:D1768">
    <cfRule type="containsText" dxfId="2580" priority="5560" operator="containsText" text="Pesquisa de Preços">
      <formula>NOT(ISERROR(SEARCH("Pesquisa de Preços",D1767)))</formula>
    </cfRule>
  </conditionalFormatting>
  <conditionalFormatting sqref="D1783:D1784 D1779:D1780">
    <cfRule type="containsText" dxfId="2579" priority="5558" operator="containsText" text="Pesquisa de Preços">
      <formula>NOT(ISERROR(SEARCH("Pesquisa de Preços",D1779)))</formula>
    </cfRule>
  </conditionalFormatting>
  <conditionalFormatting sqref="D1781:D1782">
    <cfRule type="containsText" dxfId="2578" priority="5557" operator="containsText" text="Pesquisa de Preços">
      <formula>NOT(ISERROR(SEARCH("Pesquisa de Preços",D1781)))</formula>
    </cfRule>
  </conditionalFormatting>
  <conditionalFormatting sqref="D1793:D1794 D1797:D1798">
    <cfRule type="containsText" dxfId="2577" priority="5556" operator="containsText" text="Pesquisa de Preços">
      <formula>NOT(ISERROR(SEARCH("Pesquisa de Preços",D1793)))</formula>
    </cfRule>
  </conditionalFormatting>
  <conditionalFormatting sqref="D1795:D1796">
    <cfRule type="containsText" dxfId="2576" priority="5555" operator="containsText" text="Pesquisa de Preços">
      <formula>NOT(ISERROR(SEARCH("Pesquisa de Preços",D1795)))</formula>
    </cfRule>
  </conditionalFormatting>
  <conditionalFormatting sqref="D1174">
    <cfRule type="containsText" dxfId="2575" priority="5554" operator="containsText" text="Pesquisa de Preços">
      <formula>NOT(ISERROR(SEARCH("Pesquisa de Preços",D1174)))</formula>
    </cfRule>
  </conditionalFormatting>
  <conditionalFormatting sqref="D1862 D1864">
    <cfRule type="containsText" dxfId="2574" priority="5553" operator="containsText" text="Pesquisa de Preços">
      <formula>NOT(ISERROR(SEARCH("Pesquisa de Preços",D1862)))</formula>
    </cfRule>
  </conditionalFormatting>
  <conditionalFormatting sqref="D1863">
    <cfRule type="containsText" dxfId="2573" priority="5552" operator="containsText" text="Pesquisa de Preços">
      <formula>NOT(ISERROR(SEARCH("Pesquisa de Preços",D1863)))</formula>
    </cfRule>
  </conditionalFormatting>
  <conditionalFormatting sqref="D1984">
    <cfRule type="containsText" dxfId="2572" priority="5551" operator="containsText" text="Pesquisa de Preços">
      <formula>NOT(ISERROR(SEARCH("Pesquisa de Preços",D1984)))</formula>
    </cfRule>
  </conditionalFormatting>
  <conditionalFormatting sqref="D2018:D2019">
    <cfRule type="containsText" dxfId="2571" priority="5550" operator="containsText" text="Pesquisa de Preços">
      <formula>NOT(ISERROR(SEARCH("Pesquisa de Preços",D2018)))</formula>
    </cfRule>
  </conditionalFormatting>
  <conditionalFormatting sqref="D1997:D1998">
    <cfRule type="containsText" dxfId="2570" priority="5549" operator="containsText" text="Pesquisa de Preços">
      <formula>NOT(ISERROR(SEARCH("Pesquisa de Preços",D1997)))</formula>
    </cfRule>
  </conditionalFormatting>
  <conditionalFormatting sqref="D2097:D2098">
    <cfRule type="containsText" dxfId="2569" priority="5548" operator="containsText" text="Pesquisa de Preços">
      <formula>NOT(ISERROR(SEARCH("Pesquisa de Preços",D2097)))</formula>
    </cfRule>
  </conditionalFormatting>
  <conditionalFormatting sqref="D2033:D2034">
    <cfRule type="containsText" dxfId="2568" priority="5547" operator="containsText" text="Pesquisa de Preços">
      <formula>NOT(ISERROR(SEARCH("Pesquisa de Preços",D2033)))</formula>
    </cfRule>
  </conditionalFormatting>
  <conditionalFormatting sqref="D829">
    <cfRule type="containsText" dxfId="2567" priority="5474" operator="containsText" text="Pesquisa de Preços">
      <formula>NOT(ISERROR(SEARCH("Pesquisa de Preços",D829)))</formula>
    </cfRule>
  </conditionalFormatting>
  <conditionalFormatting sqref="D830">
    <cfRule type="containsText" dxfId="2566" priority="5473" operator="containsText" text="Pesquisa de Preços">
      <formula>NOT(ISERROR(SEARCH("Pesquisa de Preços",D830)))</formula>
    </cfRule>
  </conditionalFormatting>
  <conditionalFormatting sqref="D1295">
    <cfRule type="containsText" dxfId="2565" priority="5469" operator="containsText" text="Pesquisa de Preços">
      <formula>NOT(ISERROR(SEARCH("Pesquisa de Preços",D1295)))</formula>
    </cfRule>
  </conditionalFormatting>
  <conditionalFormatting sqref="D1161">
    <cfRule type="containsText" dxfId="2564" priority="5466" operator="containsText" text="Pesquisa de Preços">
      <formula>NOT(ISERROR(SEARCH("Pesquisa de Preços",D1161)))</formula>
    </cfRule>
  </conditionalFormatting>
  <conditionalFormatting sqref="D1350">
    <cfRule type="containsText" dxfId="2563" priority="5468" operator="containsText" text="Pesquisa de Preços">
      <formula>NOT(ISERROR(SEARCH("Pesquisa de Preços",D1350)))</formula>
    </cfRule>
  </conditionalFormatting>
  <conditionalFormatting sqref="D1382">
    <cfRule type="containsText" dxfId="2562" priority="5462" operator="containsText" text="Pesquisa de Preços">
      <formula>NOT(ISERROR(SEARCH("Pesquisa de Preços",D1382)))</formula>
    </cfRule>
  </conditionalFormatting>
  <conditionalFormatting sqref="D207">
    <cfRule type="containsText" dxfId="2561" priority="5463" operator="containsText" text="Pesquisa de Preços">
      <formula>NOT(ISERROR(SEARCH("Pesquisa de Preços",D207)))</formula>
    </cfRule>
  </conditionalFormatting>
  <conditionalFormatting sqref="D1637">
    <cfRule type="containsText" dxfId="2560" priority="5459" operator="containsText" text="Pesquisa de Preços">
      <formula>NOT(ISERROR(SEARCH("Pesquisa de Preços",D1637)))</formula>
    </cfRule>
  </conditionalFormatting>
  <conditionalFormatting sqref="D1687">
    <cfRule type="containsText" dxfId="2559" priority="5458" operator="containsText" text="Pesquisa de Preços">
      <formula>NOT(ISERROR(SEARCH("Pesquisa de Preços",D1687)))</formula>
    </cfRule>
  </conditionalFormatting>
  <conditionalFormatting sqref="D1688">
    <cfRule type="containsText" dxfId="2558" priority="5457" operator="containsText" text="Pesquisa de Preços">
      <formula>NOT(ISERROR(SEARCH("Pesquisa de Preços",D1688)))</formula>
    </cfRule>
  </conditionalFormatting>
  <conditionalFormatting sqref="D1614">
    <cfRule type="containsText" dxfId="2557" priority="5455" operator="containsText" text="Pesquisa de Preços">
      <formula>NOT(ISERROR(SEARCH("Pesquisa de Preços",D1614)))</formula>
    </cfRule>
  </conditionalFormatting>
  <conditionalFormatting sqref="D1689">
    <cfRule type="containsText" dxfId="2556" priority="5453" operator="containsText" text="Pesquisa de Preços">
      <formula>NOT(ISERROR(SEARCH("Pesquisa de Preços",D1689)))</formula>
    </cfRule>
  </conditionalFormatting>
  <conditionalFormatting sqref="D820">
    <cfRule type="containsText" dxfId="2555" priority="5546" operator="containsText" text="Pesquisa de Preços">
      <formula>NOT(ISERROR(SEARCH("Pesquisa de Preços",D820)))</formula>
    </cfRule>
  </conditionalFormatting>
  <conditionalFormatting sqref="D821">
    <cfRule type="containsText" dxfId="2554" priority="5545" operator="containsText" text="Pesquisa de Preços">
      <formula>NOT(ISERROR(SEARCH("Pesquisa de Preços",D821)))</formula>
    </cfRule>
  </conditionalFormatting>
  <conditionalFormatting sqref="D54">
    <cfRule type="containsText" dxfId="2553" priority="5528" operator="containsText" text="Pesquisa de Preços">
      <formula>NOT(ISERROR(SEARCH("Pesquisa de Preços",D54)))</formula>
    </cfRule>
  </conditionalFormatting>
  <conditionalFormatting sqref="D450">
    <cfRule type="containsText" dxfId="2552" priority="5544" operator="containsText" text="Pesquisa de Preços">
      <formula>NOT(ISERROR(SEARCH("Pesquisa de Preços",D450)))</formula>
    </cfRule>
  </conditionalFormatting>
  <conditionalFormatting sqref="D449">
    <cfRule type="containsText" dxfId="2551" priority="5543" operator="containsText" text="Pesquisa de Preços">
      <formula>NOT(ISERROR(SEARCH("Pesquisa de Preços",D449)))</formula>
    </cfRule>
  </conditionalFormatting>
  <conditionalFormatting sqref="D448">
    <cfRule type="containsText" dxfId="2550" priority="5542" operator="containsText" text="Pesquisa de Preços">
      <formula>NOT(ISERROR(SEARCH("Pesquisa de Preços",D448)))</formula>
    </cfRule>
  </conditionalFormatting>
  <conditionalFormatting sqref="D206">
    <cfRule type="containsText" dxfId="2549" priority="5541" operator="containsText" text="Pesquisa de Preços">
      <formula>NOT(ISERROR(SEARCH("Pesquisa de Preços",D206)))</formula>
    </cfRule>
  </conditionalFormatting>
  <conditionalFormatting sqref="D103:D104">
    <cfRule type="containsText" dxfId="2548" priority="5540" operator="containsText" text="Pesquisa de Preços">
      <formula>NOT(ISERROR(SEARCH("Pesquisa de Preços",D103)))</formula>
    </cfRule>
  </conditionalFormatting>
  <conditionalFormatting sqref="D423:D424">
    <cfRule type="containsText" dxfId="2547" priority="5539" operator="containsText" text="Pesquisa de Preços">
      <formula>NOT(ISERROR(SEARCH("Pesquisa de Preços",D423)))</formula>
    </cfRule>
  </conditionalFormatting>
  <conditionalFormatting sqref="D425:D427">
    <cfRule type="containsText" dxfId="2546" priority="5538" operator="containsText" text="Pesquisa de Preços">
      <formula>NOT(ISERROR(SEARCH("Pesquisa de Preços",D425)))</formula>
    </cfRule>
  </conditionalFormatting>
  <conditionalFormatting sqref="D616 D620">
    <cfRule type="containsText" dxfId="2545" priority="5537" operator="containsText" text="Pesquisa de Preços">
      <formula>NOT(ISERROR(SEARCH("Pesquisa de Preços",D616)))</formula>
    </cfRule>
  </conditionalFormatting>
  <conditionalFormatting sqref="D589 D595">
    <cfRule type="containsText" dxfId="2544" priority="5535" operator="containsText" text="Pesquisa de Preços">
      <formula>NOT(ISERROR(SEARCH("Pesquisa de Preços",D589)))</formula>
    </cfRule>
  </conditionalFormatting>
  <conditionalFormatting sqref="D638:D639 D642:D643">
    <cfRule type="containsText" dxfId="2543" priority="5533" operator="containsText" text="Pesquisa de Preços">
      <formula>NOT(ISERROR(SEARCH("Pesquisa de Preços",D638)))</formula>
    </cfRule>
  </conditionalFormatting>
  <conditionalFormatting sqref="D641">
    <cfRule type="containsText" dxfId="2542" priority="5532" operator="containsText" text="Pesquisa de Preços">
      <formula>NOT(ISERROR(SEARCH("Pesquisa de Preços",D641)))</formula>
    </cfRule>
  </conditionalFormatting>
  <conditionalFormatting sqref="D1721">
    <cfRule type="containsText" dxfId="2541" priority="5439" operator="containsText" text="Pesquisa de Preços">
      <formula>NOT(ISERROR(SEARCH("Pesquisa de Preços",D1721)))</formula>
    </cfRule>
  </conditionalFormatting>
  <conditionalFormatting sqref="D226">
    <cfRule type="containsText" dxfId="2540" priority="5531" operator="containsText" text="Pesquisa de Preços">
      <formula>NOT(ISERROR(SEARCH("Pesquisa de Preços",D226)))</formula>
    </cfRule>
  </conditionalFormatting>
  <conditionalFormatting sqref="D152">
    <cfRule type="containsText" dxfId="2539" priority="5530" operator="containsText" text="Pesquisa de Preços">
      <formula>NOT(ISERROR(SEARCH("Pesquisa de Preços",D152)))</formula>
    </cfRule>
  </conditionalFormatting>
  <conditionalFormatting sqref="D164">
    <cfRule type="containsText" dxfId="2538" priority="5529" operator="containsText" text="Pesquisa de Preços">
      <formula>NOT(ISERROR(SEARCH("Pesquisa de Preços",D164)))</formula>
    </cfRule>
  </conditionalFormatting>
  <conditionalFormatting sqref="D55:D57">
    <cfRule type="containsText" dxfId="2537" priority="5527" operator="containsText" text="Pesquisa de Preços">
      <formula>NOT(ISERROR(SEARCH("Pesquisa de Preços",D55)))</formula>
    </cfRule>
  </conditionalFormatting>
  <conditionalFormatting sqref="D30:D31">
    <cfRule type="containsText" dxfId="2536" priority="5526" operator="containsText" text="Pesquisa de Preços">
      <formula>NOT(ISERROR(SEARCH("Pesquisa de Preços",D30)))</formula>
    </cfRule>
  </conditionalFormatting>
  <conditionalFormatting sqref="D25:D26">
    <cfRule type="containsText" dxfId="2535" priority="5525" operator="containsText" text="Pesquisa de Preços">
      <formula>NOT(ISERROR(SEARCH("Pesquisa de Preços",D25)))</formula>
    </cfRule>
  </conditionalFormatting>
  <conditionalFormatting sqref="D181">
    <cfRule type="containsText" dxfId="2534" priority="5524" operator="containsText" text="Pesquisa de Preços">
      <formula>NOT(ISERROR(SEARCH("Pesquisa de Preços",D181)))</formula>
    </cfRule>
  </conditionalFormatting>
  <conditionalFormatting sqref="D128:D129">
    <cfRule type="containsText" dxfId="2533" priority="5523" operator="containsText" text="Pesquisa de Preços">
      <formula>NOT(ISERROR(SEARCH("Pesquisa de Preços",D128)))</formula>
    </cfRule>
  </conditionalFormatting>
  <conditionalFormatting sqref="D1922">
    <cfRule type="containsText" dxfId="2532" priority="5431" operator="containsText" text="Pesquisa de Preços">
      <formula>NOT(ISERROR(SEARCH("Pesquisa de Preços",D1922)))</formula>
    </cfRule>
  </conditionalFormatting>
  <conditionalFormatting sqref="D84">
    <cfRule type="containsText" dxfId="2531" priority="5522" operator="containsText" text="Pesquisa de Preços">
      <formula>NOT(ISERROR(SEARCH("Pesquisa de Preços",D84)))</formula>
    </cfRule>
  </conditionalFormatting>
  <conditionalFormatting sqref="D85">
    <cfRule type="containsText" dxfId="2530" priority="5521" operator="containsText" text="Pesquisa de Preços">
      <formula>NOT(ISERROR(SEARCH("Pesquisa de Preços",D85)))</formula>
    </cfRule>
  </conditionalFormatting>
  <conditionalFormatting sqref="D61">
    <cfRule type="containsText" dxfId="2529" priority="5520" operator="containsText" text="Pesquisa de Preços">
      <formula>NOT(ISERROR(SEARCH("Pesquisa de Preços",D61)))</formula>
    </cfRule>
  </conditionalFormatting>
  <conditionalFormatting sqref="D62">
    <cfRule type="containsText" dxfId="2528" priority="5519" operator="containsText" text="Pesquisa de Preços">
      <formula>NOT(ISERROR(SEARCH("Pesquisa de Preços",D62)))</formula>
    </cfRule>
  </conditionalFormatting>
  <conditionalFormatting sqref="D2351">
    <cfRule type="containsText" dxfId="2527" priority="5428" operator="containsText" text="Pesquisa de Preços">
      <formula>NOT(ISERROR(SEARCH("Pesquisa de Preços",D2351)))</formula>
    </cfRule>
  </conditionalFormatting>
  <conditionalFormatting sqref="D311">
    <cfRule type="containsText" dxfId="2526" priority="5518" operator="containsText" text="Pesquisa de Preços">
      <formula>NOT(ISERROR(SEARCH("Pesquisa de Preços",D311)))</formula>
    </cfRule>
  </conditionalFormatting>
  <conditionalFormatting sqref="D297">
    <cfRule type="containsText" dxfId="2525" priority="5516" operator="containsText" text="Pesquisa de Preços">
      <formula>NOT(ISERROR(SEARCH("Pesquisa de Preços",D297)))</formula>
    </cfRule>
  </conditionalFormatting>
  <conditionalFormatting sqref="D457">
    <cfRule type="containsText" dxfId="2524" priority="5515" operator="containsText" text="Pesquisa de Preços">
      <formula>NOT(ISERROR(SEARCH("Pesquisa de Preços",D457)))</formula>
    </cfRule>
  </conditionalFormatting>
  <conditionalFormatting sqref="D467">
    <cfRule type="containsText" dxfId="2523" priority="5514" operator="containsText" text="Pesquisa de Preços">
      <formula>NOT(ISERROR(SEARCH("Pesquisa de Preços",D467)))</formula>
    </cfRule>
  </conditionalFormatting>
  <conditionalFormatting sqref="D623">
    <cfRule type="containsText" dxfId="2522" priority="5513" operator="containsText" text="Pesquisa de Preços">
      <formula>NOT(ISERROR(SEARCH("Pesquisa de Preços",D623)))</formula>
    </cfRule>
  </conditionalFormatting>
  <conditionalFormatting sqref="D624:D626">
    <cfRule type="containsText" dxfId="2521" priority="5512" operator="containsText" text="Pesquisa de Preços">
      <formula>NOT(ISERROR(SEARCH("Pesquisa de Preços",D624)))</formula>
    </cfRule>
  </conditionalFormatting>
  <conditionalFormatting sqref="D733:D734">
    <cfRule type="containsText" dxfId="2520" priority="5511" operator="containsText" text="Pesquisa de Preços">
      <formula>NOT(ISERROR(SEARCH("Pesquisa de Preços",D733)))</formula>
    </cfRule>
  </conditionalFormatting>
  <conditionalFormatting sqref="D732">
    <cfRule type="containsText" dxfId="2519" priority="5510" operator="containsText" text="Pesquisa de Preços">
      <formula>NOT(ISERROR(SEARCH("Pesquisa de Preços",D732)))</formula>
    </cfRule>
  </conditionalFormatting>
  <conditionalFormatting sqref="D997">
    <cfRule type="containsText" dxfId="2518" priority="5509" operator="containsText" text="Pesquisa de Preços">
      <formula>NOT(ISERROR(SEARCH("Pesquisa de Preços",D997)))</formula>
    </cfRule>
  </conditionalFormatting>
  <conditionalFormatting sqref="D607 D614">
    <cfRule type="containsText" dxfId="2517" priority="5493" operator="containsText" text="Pesquisa de Preços">
      <formula>NOT(ISERROR(SEARCH("Pesquisa de Preços",D607)))</formula>
    </cfRule>
  </conditionalFormatting>
  <conditionalFormatting sqref="D737">
    <cfRule type="containsText" dxfId="2516" priority="5489" operator="containsText" text="Pesquisa de Preços">
      <formula>NOT(ISERROR(SEARCH("Pesquisa de Preços",D737)))</formula>
    </cfRule>
  </conditionalFormatting>
  <conditionalFormatting sqref="D591:D593">
    <cfRule type="containsText" dxfId="2515" priority="5498" operator="containsText" text="Pesquisa de Preços">
      <formula>NOT(ISERROR(SEARCH("Pesquisa de Preços",D591)))</formula>
    </cfRule>
  </conditionalFormatting>
  <conditionalFormatting sqref="D1626:D1627">
    <cfRule type="containsText" dxfId="2514" priority="5504" operator="containsText" text="Pesquisa de Preços">
      <formula>NOT(ISERROR(SEARCH("Pesquisa de Preços",D1626)))</formula>
    </cfRule>
  </conditionalFormatting>
  <conditionalFormatting sqref="D1602">
    <cfRule type="containsText" dxfId="2513" priority="5508" operator="containsText" text="Pesquisa de Preços">
      <formula>NOT(ISERROR(SEARCH("Pesquisa de Preços",D1602)))</formula>
    </cfRule>
  </conditionalFormatting>
  <conditionalFormatting sqref="D1631">
    <cfRule type="containsText" dxfId="2512" priority="5507" operator="containsText" text="Pesquisa de Preços">
      <formula>NOT(ISERROR(SEARCH("Pesquisa de Preços",D1631)))</formula>
    </cfRule>
  </conditionalFormatting>
  <conditionalFormatting sqref="D1632:D1633">
    <cfRule type="containsText" dxfId="2511" priority="5506" operator="containsText" text="Pesquisa de Preços">
      <formula>NOT(ISERROR(SEARCH("Pesquisa de Preços",D1632)))</formula>
    </cfRule>
  </conditionalFormatting>
  <conditionalFormatting sqref="D1625">
    <cfRule type="containsText" dxfId="2510" priority="5505" operator="containsText" text="Pesquisa de Preços">
      <formula>NOT(ISERROR(SEARCH("Pesquisa de Preços",D1625)))</formula>
    </cfRule>
  </conditionalFormatting>
  <conditionalFormatting sqref="D1892 D1894">
    <cfRule type="containsText" dxfId="2509" priority="5503" operator="containsText" text="Pesquisa de Preços">
      <formula>NOT(ISERROR(SEARCH("Pesquisa de Preços",D1892)))</formula>
    </cfRule>
  </conditionalFormatting>
  <conditionalFormatting sqref="D1893">
    <cfRule type="containsText" dxfId="2508" priority="5502" operator="containsText" text="Pesquisa de Preços">
      <formula>NOT(ISERROR(SEARCH("Pesquisa de Preços",D1893)))</formula>
    </cfRule>
  </conditionalFormatting>
  <conditionalFormatting sqref="D1886 D1888">
    <cfRule type="containsText" dxfId="2507" priority="5501" operator="containsText" text="Pesquisa de Preços">
      <formula>NOT(ISERROR(SEARCH("Pesquisa de Preços",D1886)))</formula>
    </cfRule>
  </conditionalFormatting>
  <conditionalFormatting sqref="D1887">
    <cfRule type="containsText" dxfId="2506" priority="5500" operator="containsText" text="Pesquisa de Preços">
      <formula>NOT(ISERROR(SEARCH("Pesquisa de Preços",D1887)))</formula>
    </cfRule>
  </conditionalFormatting>
  <conditionalFormatting sqref="D382:D392">
    <cfRule type="containsText" dxfId="2505" priority="5496" operator="containsText" text="Pesquisa de Preços">
      <formula>NOT(ISERROR(SEARCH("Pesquisa de Preços",D382)))</formula>
    </cfRule>
  </conditionalFormatting>
  <conditionalFormatting sqref="D381">
    <cfRule type="containsText" dxfId="2504" priority="5497" operator="containsText" text="Pesquisa de Preços">
      <formula>NOT(ISERROR(SEARCH("Pesquisa de Preços",D381)))</formula>
    </cfRule>
  </conditionalFormatting>
  <conditionalFormatting sqref="D1071:D1072">
    <cfRule type="containsText" dxfId="2503" priority="5397" operator="containsText" text="Pesquisa de Preços">
      <formula>NOT(ISERROR(SEARCH("Pesquisa de Preços",D1071)))</formula>
    </cfRule>
  </conditionalFormatting>
  <conditionalFormatting sqref="D605">
    <cfRule type="containsText" dxfId="2502" priority="5495" operator="containsText" text="Pesquisa de Preços">
      <formula>NOT(ISERROR(SEARCH("Pesquisa de Preços",D605)))</formula>
    </cfRule>
  </conditionalFormatting>
  <conditionalFormatting sqref="D597">
    <cfRule type="containsText" dxfId="2501" priority="5494" operator="containsText" text="Pesquisa de Preços">
      <formula>NOT(ISERROR(SEARCH("Pesquisa de Preços",D597)))</formula>
    </cfRule>
  </conditionalFormatting>
  <conditionalFormatting sqref="D1084:D1086 D1088">
    <cfRule type="containsText" dxfId="2500" priority="5396" operator="containsText" text="Pesquisa de Preços">
      <formula>NOT(ISERROR(SEARCH("Pesquisa de Preços",D1084)))</formula>
    </cfRule>
  </conditionalFormatting>
  <conditionalFormatting sqref="D598">
    <cfRule type="containsText" dxfId="2499" priority="5492" operator="containsText" text="Pesquisa de Preços">
      <formula>NOT(ISERROR(SEARCH("Pesquisa de Preços",D598)))</formula>
    </cfRule>
  </conditionalFormatting>
  <conditionalFormatting sqref="D608">
    <cfRule type="containsText" dxfId="2498" priority="5491" operator="containsText" text="Pesquisa de Preços">
      <formula>NOT(ISERROR(SEARCH("Pesquisa de Preços",D608)))</formula>
    </cfRule>
  </conditionalFormatting>
  <conditionalFormatting sqref="D631">
    <cfRule type="containsText" dxfId="2497" priority="5486" operator="containsText" text="Pesquisa de Preços">
      <formula>NOT(ISERROR(SEARCH("Pesquisa de Preços",D631)))</formula>
    </cfRule>
  </conditionalFormatting>
  <conditionalFormatting sqref="D630 D635:D636">
    <cfRule type="containsText" dxfId="2496" priority="5487" operator="containsText" text="Pesquisa de Preços">
      <formula>NOT(ISERROR(SEARCH("Pesquisa de Preços",D630)))</formula>
    </cfRule>
  </conditionalFormatting>
  <conditionalFormatting sqref="D1253 D1257:D1258">
    <cfRule type="containsText" dxfId="2495" priority="5483" operator="containsText" text="Pesquisa de Preços">
      <formula>NOT(ISERROR(SEARCH("Pesquisa de Preços",D1253)))</formula>
    </cfRule>
  </conditionalFormatting>
  <conditionalFormatting sqref="D632:D634">
    <cfRule type="containsText" dxfId="2494" priority="5485" operator="containsText" text="Pesquisa de Preços">
      <formula>NOT(ISERROR(SEARCH("Pesquisa de Preços",D632)))</formula>
    </cfRule>
  </conditionalFormatting>
  <conditionalFormatting sqref="D1255">
    <cfRule type="containsText" dxfId="2493" priority="5482" operator="containsText" text="Pesquisa de Preços">
      <formula>NOT(ISERROR(SEARCH("Pesquisa de Preços",D1255)))</formula>
    </cfRule>
  </conditionalFormatting>
  <conditionalFormatting sqref="D1159 D1163:D1164">
    <cfRule type="containsText" dxfId="2492" priority="5480" operator="containsText" text="Pesquisa de Preços">
      <formula>NOT(ISERROR(SEARCH("Pesquisa de Preços",D1159)))</formula>
    </cfRule>
  </conditionalFormatting>
  <conditionalFormatting sqref="D1215 D1219:D1220">
    <cfRule type="containsText" dxfId="2491" priority="5478" operator="containsText" text="Pesquisa de Preços">
      <formula>NOT(ISERROR(SEARCH("Pesquisa de Preços",D1215)))</formula>
    </cfRule>
  </conditionalFormatting>
  <conditionalFormatting sqref="D1218">
    <cfRule type="containsText" dxfId="2490" priority="5477" operator="containsText" text="Pesquisa de Preços">
      <formula>NOT(ISERROR(SEARCH("Pesquisa de Preços",D1218)))</formula>
    </cfRule>
  </conditionalFormatting>
  <conditionalFormatting sqref="D670">
    <cfRule type="containsText" dxfId="2489" priority="5476" operator="containsText" text="Pesquisa de Preços">
      <formula>NOT(ISERROR(SEARCH("Pesquisa de Preços",D670)))</formula>
    </cfRule>
  </conditionalFormatting>
  <conditionalFormatting sqref="D738">
    <cfRule type="containsText" dxfId="2488" priority="5475" operator="containsText" text="Pesquisa de Preços">
      <formula>NOT(ISERROR(SEARCH("Pesquisa de Preços",D738)))</formula>
    </cfRule>
  </conditionalFormatting>
  <conditionalFormatting sqref="D865:D866">
    <cfRule type="containsText" dxfId="2487" priority="5472" operator="containsText" text="Pesquisa de Preços">
      <formula>NOT(ISERROR(SEARCH("Pesquisa de Preços",D865)))</formula>
    </cfRule>
  </conditionalFormatting>
  <conditionalFormatting sqref="D1296">
    <cfRule type="containsText" dxfId="2486" priority="5470" operator="containsText" text="Pesquisa de Preços">
      <formula>NOT(ISERROR(SEARCH("Pesquisa de Preços",D1296)))</formula>
    </cfRule>
  </conditionalFormatting>
  <conditionalFormatting sqref="D1351">
    <cfRule type="containsText" dxfId="2485" priority="5467" operator="containsText" text="Pesquisa de Preços">
      <formula>NOT(ISERROR(SEARCH("Pesquisa de Preços",D1351)))</formula>
    </cfRule>
  </conditionalFormatting>
  <conditionalFormatting sqref="D1511">
    <cfRule type="containsText" dxfId="2484" priority="5395" operator="containsText" text="Pesquisa de Preços">
      <formula>NOT(ISERROR(SEARCH("Pesquisa de Preços",D1511)))</formula>
    </cfRule>
  </conditionalFormatting>
  <conditionalFormatting sqref="D208">
    <cfRule type="containsText" dxfId="2483" priority="5464" operator="containsText" text="Pesquisa de Preços">
      <formula>NOT(ISERROR(SEARCH("Pesquisa de Preços",D208)))</formula>
    </cfRule>
  </conditionalFormatting>
  <conditionalFormatting sqref="D1620">
    <cfRule type="containsText" dxfId="2482" priority="5460" operator="containsText" text="Pesquisa de Preços">
      <formula>NOT(ISERROR(SEARCH("Pesquisa de Preços",D1620)))</formula>
    </cfRule>
  </conditionalFormatting>
  <conditionalFormatting sqref="D1613">
    <cfRule type="containsText" dxfId="2481" priority="5456" operator="containsText" text="Pesquisa de Preços">
      <formula>NOT(ISERROR(SEARCH("Pesquisa de Preços",D1613)))</formula>
    </cfRule>
  </conditionalFormatting>
  <conditionalFormatting sqref="D1676">
    <cfRule type="containsText" dxfId="2480" priority="5454" operator="containsText" text="Pesquisa de Preços">
      <formula>NOT(ISERROR(SEARCH("Pesquisa de Preços",D1676)))</formula>
    </cfRule>
  </conditionalFormatting>
  <conditionalFormatting sqref="D1615">
    <cfRule type="containsText" dxfId="2479" priority="5452" operator="containsText" text="Pesquisa de Preços">
      <formula>NOT(ISERROR(SEARCH("Pesquisa de Preços",D1615)))</formula>
    </cfRule>
  </conditionalFormatting>
  <conditionalFormatting sqref="D142">
    <cfRule type="containsText" dxfId="2478" priority="5451" operator="containsText" text="Pesquisa de Preços">
      <formula>NOT(ISERROR(SEARCH("Pesquisa de Preços",D142)))</formula>
    </cfRule>
  </conditionalFormatting>
  <conditionalFormatting sqref="D802">
    <cfRule type="containsText" dxfId="2477" priority="5450" operator="containsText" text="Pesquisa de Preços">
      <formula>NOT(ISERROR(SEARCH("Pesquisa de Preços",D802)))</formula>
    </cfRule>
  </conditionalFormatting>
  <conditionalFormatting sqref="D1005">
    <cfRule type="containsText" dxfId="2476" priority="5449" operator="containsText" text="Pesquisa de Preços">
      <formula>NOT(ISERROR(SEARCH("Pesquisa de Preços",D1005)))</formula>
    </cfRule>
  </conditionalFormatting>
  <conditionalFormatting sqref="D1010">
    <cfRule type="containsText" dxfId="2475" priority="5448" operator="containsText" text="Pesquisa de Preços">
      <formula>NOT(ISERROR(SEARCH("Pesquisa de Preços",D1010)))</formula>
    </cfRule>
  </conditionalFormatting>
  <conditionalFormatting sqref="D89">
    <cfRule type="containsText" dxfId="2474" priority="5447" operator="containsText" text="Pesquisa de Preços">
      <formula>NOT(ISERROR(SEARCH("Pesquisa de Preços",D89)))</formula>
    </cfRule>
  </conditionalFormatting>
  <conditionalFormatting sqref="D90">
    <cfRule type="containsText" dxfId="2473" priority="5446" operator="containsText" text="Pesquisa de Preços">
      <formula>NOT(ISERROR(SEARCH("Pesquisa de Preços",D90)))</formula>
    </cfRule>
  </conditionalFormatting>
  <conditionalFormatting sqref="D1459">
    <cfRule type="containsText" dxfId="2472" priority="5394" operator="containsText" text="Pesquisa de Preços">
      <formula>NOT(ISERROR(SEARCH("Pesquisa de Preços",D1459)))</formula>
    </cfRule>
  </conditionalFormatting>
  <conditionalFormatting sqref="D113">
    <cfRule type="containsText" dxfId="2471" priority="5445" operator="containsText" text="Pesquisa de Preços">
      <formula>NOT(ISERROR(SEARCH("Pesquisa de Preços",D113)))</formula>
    </cfRule>
  </conditionalFormatting>
  <conditionalFormatting sqref="D114">
    <cfRule type="containsText" dxfId="2470" priority="5444" operator="containsText" text="Pesquisa de Preços">
      <formula>NOT(ISERROR(SEARCH("Pesquisa de Preços",D114)))</formula>
    </cfRule>
  </conditionalFormatting>
  <conditionalFormatting sqref="D1482">
    <cfRule type="containsText" dxfId="2469" priority="5393" operator="containsText" text="Pesquisa de Preços">
      <formula>NOT(ISERROR(SEARCH("Pesquisa de Preços",D1482)))</formula>
    </cfRule>
  </conditionalFormatting>
  <conditionalFormatting sqref="D1694:D1695">
    <cfRule type="containsText" dxfId="2468" priority="5443" operator="containsText" text="Pesquisa de Preços">
      <formula>NOT(ISERROR(SEARCH("Pesquisa de Preços",D1694)))</formula>
    </cfRule>
  </conditionalFormatting>
  <conditionalFormatting sqref="D1660">
    <cfRule type="containsText" dxfId="2467" priority="5442" operator="containsText" text="Pesquisa de Preços">
      <formula>NOT(ISERROR(SEARCH("Pesquisa de Preços",D1660)))</formula>
    </cfRule>
  </conditionalFormatting>
  <conditionalFormatting sqref="D1743">
    <cfRule type="containsText" dxfId="2466" priority="5441" operator="containsText" text="Pesquisa de Preços">
      <formula>NOT(ISERROR(SEARCH("Pesquisa de Preços",D1743)))</formula>
    </cfRule>
  </conditionalFormatting>
  <conditionalFormatting sqref="D1722">
    <cfRule type="containsText" dxfId="2465" priority="5440" operator="containsText" text="Pesquisa de Preços">
      <formula>NOT(ISERROR(SEARCH("Pesquisa de Preços",D1722)))</formula>
    </cfRule>
  </conditionalFormatting>
  <conditionalFormatting sqref="D1707">
    <cfRule type="containsText" dxfId="2464" priority="5438" operator="containsText" text="Pesquisa de Preços">
      <formula>NOT(ISERROR(SEARCH("Pesquisa de Preços",D1707)))</formula>
    </cfRule>
  </conditionalFormatting>
  <conditionalFormatting sqref="D1708">
    <cfRule type="containsText" dxfId="2463" priority="5437" operator="containsText" text="Pesquisa de Preços">
      <formula>NOT(ISERROR(SEARCH("Pesquisa de Preços",D1708)))</formula>
    </cfRule>
  </conditionalFormatting>
  <conditionalFormatting sqref="D1825">
    <cfRule type="containsText" dxfId="2462" priority="5436" operator="containsText" text="Pesquisa de Preços">
      <formula>NOT(ISERROR(SEARCH("Pesquisa de Preços",D1825)))</formula>
    </cfRule>
  </conditionalFormatting>
  <conditionalFormatting sqref="D1832">
    <cfRule type="containsText" dxfId="2461" priority="5435" operator="containsText" text="Pesquisa de Preços">
      <formula>NOT(ISERROR(SEARCH("Pesquisa de Preços",D1832)))</formula>
    </cfRule>
  </conditionalFormatting>
  <conditionalFormatting sqref="D1831">
    <cfRule type="containsText" dxfId="2460" priority="5434" operator="containsText" text="Pesquisa de Preços">
      <formula>NOT(ISERROR(SEARCH("Pesquisa de Preços",D1831)))</formula>
    </cfRule>
  </conditionalFormatting>
  <conditionalFormatting sqref="D1839">
    <cfRule type="containsText" dxfId="2459" priority="5433" operator="containsText" text="Pesquisa de Preços">
      <formula>NOT(ISERROR(SEARCH("Pesquisa de Preços",D1839)))</formula>
    </cfRule>
  </conditionalFormatting>
  <conditionalFormatting sqref="D1838">
    <cfRule type="containsText" dxfId="2458" priority="5432" operator="containsText" text="Pesquisa de Preços">
      <formula>NOT(ISERROR(SEARCH("Pesquisa de Preços",D1838)))</formula>
    </cfRule>
  </conditionalFormatting>
  <conditionalFormatting sqref="D1921">
    <cfRule type="containsText" dxfId="2457" priority="5430" operator="containsText" text="Pesquisa de Preços">
      <formula>NOT(ISERROR(SEARCH("Pesquisa de Preços",D1921)))</formula>
    </cfRule>
  </conditionalFormatting>
  <conditionalFormatting sqref="D841">
    <cfRule type="containsText" dxfId="2456" priority="5429" operator="containsText" text="Pesquisa de Preços">
      <formula>NOT(ISERROR(SEARCH("Pesquisa de Preços",D841)))</formula>
    </cfRule>
  </conditionalFormatting>
  <conditionalFormatting sqref="D2388">
    <cfRule type="containsText" dxfId="2455" priority="5427" operator="containsText" text="Pesquisa de Preços">
      <formula>NOT(ISERROR(SEARCH("Pesquisa de Preços",D2388)))</formula>
    </cfRule>
  </conditionalFormatting>
  <conditionalFormatting sqref="D2387">
    <cfRule type="containsText" dxfId="2454" priority="5426" operator="containsText" text="Pesquisa de Preços">
      <formula>NOT(ISERROR(SEARCH("Pesquisa de Preços",D2387)))</formula>
    </cfRule>
  </conditionalFormatting>
  <conditionalFormatting sqref="D2258">
    <cfRule type="containsText" dxfId="2453" priority="5425" operator="containsText" text="Pesquisa de Preços">
      <formula>NOT(ISERROR(SEARCH("Pesquisa de Preços",D2258)))</formula>
    </cfRule>
  </conditionalFormatting>
  <conditionalFormatting sqref="D2257">
    <cfRule type="containsText" dxfId="2452" priority="5424" operator="containsText" text="Pesquisa de Preços">
      <formula>NOT(ISERROR(SEARCH("Pesquisa de Preços",D2257)))</formula>
    </cfRule>
  </conditionalFormatting>
  <conditionalFormatting sqref="D2380">
    <cfRule type="containsText" dxfId="2451" priority="5423" operator="containsText" text="Pesquisa de Preços">
      <formula>NOT(ISERROR(SEARCH("Pesquisa de Preços",D2380)))</formula>
    </cfRule>
  </conditionalFormatting>
  <conditionalFormatting sqref="D2381">
    <cfRule type="containsText" dxfId="2450" priority="5422" operator="containsText" text="Pesquisa de Preços">
      <formula>NOT(ISERROR(SEARCH("Pesquisa de Preços",D2381)))</formula>
    </cfRule>
  </conditionalFormatting>
  <conditionalFormatting sqref="D133">
    <cfRule type="containsText" dxfId="2449" priority="5421" operator="containsText" text="Pesquisa de Preços">
      <formula>NOT(ISERROR(SEARCH("Pesquisa de Preços",D133)))</formula>
    </cfRule>
  </conditionalFormatting>
  <conditionalFormatting sqref="D1642">
    <cfRule type="containsText" dxfId="2448" priority="5420" operator="containsText" text="Pesquisa de Preços">
      <formula>NOT(ISERROR(SEARCH("Pesquisa de Preços",D1642)))</formula>
    </cfRule>
  </conditionalFormatting>
  <conditionalFormatting sqref="D1643">
    <cfRule type="containsText" dxfId="2447" priority="5419" operator="containsText" text="Pesquisa de Preços">
      <formula>NOT(ISERROR(SEARCH("Pesquisa de Preços",D1643)))</formula>
    </cfRule>
  </conditionalFormatting>
  <conditionalFormatting sqref="D1961">
    <cfRule type="containsText" dxfId="2446" priority="5392" operator="containsText" text="Pesquisa de Preços">
      <formula>NOT(ISERROR(SEARCH("Pesquisa de Preços",D1961)))</formula>
    </cfRule>
  </conditionalFormatting>
  <conditionalFormatting sqref="D80">
    <cfRule type="containsText" dxfId="2445" priority="5418" operator="containsText" text="Pesquisa de Preços">
      <formula>NOT(ISERROR(SEARCH("Pesquisa de Preços",D80)))</formula>
    </cfRule>
  </conditionalFormatting>
  <conditionalFormatting sqref="D1135">
    <cfRule type="containsText" dxfId="2444" priority="5417" operator="containsText" text="Pesquisa de Preços">
      <formula>NOT(ISERROR(SEARCH("Pesquisa de Preços",D1135)))</formula>
    </cfRule>
  </conditionalFormatting>
  <conditionalFormatting sqref="D403:D413">
    <cfRule type="containsText" dxfId="2443" priority="5416" operator="containsText" text="Pesquisa de Preços">
      <formula>NOT(ISERROR(SEARCH("Pesquisa de Preços",D403)))</formula>
    </cfRule>
  </conditionalFormatting>
  <conditionalFormatting sqref="D417">
    <cfRule type="containsText" dxfId="2442" priority="5415" operator="containsText" text="Pesquisa de Preços">
      <formula>NOT(ISERROR(SEARCH("Pesquisa de Preços",D417)))</formula>
    </cfRule>
  </conditionalFormatting>
  <conditionalFormatting sqref="D418">
    <cfRule type="containsText" dxfId="2441" priority="5414" operator="containsText" text="Pesquisa de Preços">
      <formula>NOT(ISERROR(SEARCH("Pesquisa de Preços",D418)))</formula>
    </cfRule>
  </conditionalFormatting>
  <conditionalFormatting sqref="D417">
    <cfRule type="containsText" dxfId="2440" priority="5413" operator="containsText" text="Pesquisa de Preços">
      <formula>NOT(ISERROR(SEARCH("Pesquisa de Preços",D417)))</formula>
    </cfRule>
  </conditionalFormatting>
  <conditionalFormatting sqref="D418">
    <cfRule type="containsText" dxfId="2439" priority="5412" operator="containsText" text="Pesquisa de Preços">
      <formula>NOT(ISERROR(SEARCH("Pesquisa de Preços",D418)))</formula>
    </cfRule>
  </conditionalFormatting>
  <conditionalFormatting sqref="D419:D420">
    <cfRule type="containsText" dxfId="2438" priority="5411" operator="containsText" text="Pesquisa de Preços">
      <formula>NOT(ISERROR(SEARCH("Pesquisa de Preços",D419)))</formula>
    </cfRule>
  </conditionalFormatting>
  <conditionalFormatting sqref="D195">
    <cfRule type="containsText" dxfId="2437" priority="5410" operator="containsText" text="Pesquisa de Preços">
      <formula>NOT(ISERROR(SEARCH("Pesquisa de Preços",D195)))</formula>
    </cfRule>
  </conditionalFormatting>
  <conditionalFormatting sqref="D834:D838">
    <cfRule type="containsText" dxfId="2436" priority="5409" operator="containsText" text="Pesquisa de Preços">
      <formula>NOT(ISERROR(SEARCH("Pesquisa de Preços",D834)))</formula>
    </cfRule>
  </conditionalFormatting>
  <conditionalFormatting sqref="D834:D838">
    <cfRule type="containsText" dxfId="2435" priority="5408" operator="containsText" text="Pesquisa de Preços">
      <formula>NOT(ISERROR(SEARCH("Pesquisa de Preços",D834)))</formula>
    </cfRule>
  </conditionalFormatting>
  <conditionalFormatting sqref="D1931">
    <cfRule type="containsText" dxfId="2434" priority="5407" operator="containsText" text="Pesquisa de Preços">
      <formula>NOT(ISERROR(SEARCH("Pesquisa de Preços",D1931)))</formula>
    </cfRule>
  </conditionalFormatting>
  <conditionalFormatting sqref="D1932">
    <cfRule type="containsText" dxfId="2433" priority="5406" operator="containsText" text="Pesquisa de Preços">
      <formula>NOT(ISERROR(SEARCH("Pesquisa de Preços",D1932)))</formula>
    </cfRule>
  </conditionalFormatting>
  <conditionalFormatting sqref="D812">
    <cfRule type="containsText" dxfId="2432" priority="5405" operator="containsText" text="Pesquisa de Preços">
      <formula>NOT(ISERROR(SEARCH("Pesquisa de Preços",D812)))</formula>
    </cfRule>
  </conditionalFormatting>
  <conditionalFormatting sqref="D769">
    <cfRule type="containsText" dxfId="2431" priority="5404" operator="containsText" text="Pesquisa de Preços">
      <formula>NOT(ISERROR(SEARCH("Pesquisa de Preços",D769)))</formula>
    </cfRule>
  </conditionalFormatting>
  <conditionalFormatting sqref="D768">
    <cfRule type="containsText" dxfId="2430" priority="5403" operator="containsText" text="Pesquisa de Preços">
      <formula>NOT(ISERROR(SEARCH("Pesquisa de Preços",D768)))</formula>
    </cfRule>
  </conditionalFormatting>
  <conditionalFormatting sqref="D852">
    <cfRule type="containsText" dxfId="2429" priority="5402" operator="containsText" text="Pesquisa de Preços">
      <formula>NOT(ISERROR(SEARCH("Pesquisa de Preços",D852)))</formula>
    </cfRule>
  </conditionalFormatting>
  <conditionalFormatting sqref="D869">
    <cfRule type="containsText" dxfId="2428" priority="5401" operator="containsText" text="Pesquisa de Preços">
      <formula>NOT(ISERROR(SEARCH("Pesquisa de Preços",D869)))</formula>
    </cfRule>
  </conditionalFormatting>
  <conditionalFormatting sqref="D871:D872">
    <cfRule type="containsText" dxfId="2427" priority="5400" operator="containsText" text="Pesquisa de Preços">
      <formula>NOT(ISERROR(SEARCH("Pesquisa de Preços",D871)))</formula>
    </cfRule>
  </conditionalFormatting>
  <conditionalFormatting sqref="D847">
    <cfRule type="containsText" dxfId="2426" priority="5399" operator="containsText" text="Pesquisa de Preços">
      <formula>NOT(ISERROR(SEARCH("Pesquisa de Preços",D847)))</formula>
    </cfRule>
  </conditionalFormatting>
  <conditionalFormatting sqref="G2951">
    <cfRule type="notContainsText" dxfId="2425" priority="5391" operator="notContains" text="Sinapi">
      <formula>ISERROR(SEARCH("Sinapi",G2951))</formula>
    </cfRule>
  </conditionalFormatting>
  <conditionalFormatting sqref="G2956">
    <cfRule type="notContainsText" dxfId="2424" priority="5390" operator="notContains" text="Sinapi">
      <formula>ISERROR(SEARCH("Sinapi",G2956))</formula>
    </cfRule>
  </conditionalFormatting>
  <conditionalFormatting sqref="G2961">
    <cfRule type="notContainsText" dxfId="2423" priority="5389" operator="notContains" text="Sinapi">
      <formula>ISERROR(SEARCH("Sinapi",G2961))</formula>
    </cfRule>
  </conditionalFormatting>
  <conditionalFormatting sqref="G2966">
    <cfRule type="notContainsText" dxfId="2422" priority="5388" operator="notContains" text="Sinapi">
      <formula>ISERROR(SEARCH("Sinapi",G2966))</formula>
    </cfRule>
  </conditionalFormatting>
  <conditionalFormatting sqref="G2971">
    <cfRule type="notContainsText" dxfId="2421" priority="5387" operator="notContains" text="Sinapi">
      <formula>ISERROR(SEARCH("Sinapi",G2971))</formula>
    </cfRule>
  </conditionalFormatting>
  <conditionalFormatting sqref="G2976">
    <cfRule type="notContainsText" dxfId="2420" priority="5386" operator="notContains" text="Sinapi">
      <formula>ISERROR(SEARCH("Sinapi",G2976))</formula>
    </cfRule>
  </conditionalFormatting>
  <conditionalFormatting sqref="G2981">
    <cfRule type="notContainsText" dxfId="2419" priority="5385" operator="notContains" text="Sinapi">
      <formula>ISERROR(SEARCH("Sinapi",G2981))</formula>
    </cfRule>
  </conditionalFormatting>
  <conditionalFormatting sqref="G2986">
    <cfRule type="notContainsText" dxfId="2418" priority="5384" operator="notContains" text="Sinapi">
      <formula>ISERROR(SEARCH("Sinapi",G2986))</formula>
    </cfRule>
  </conditionalFormatting>
  <conditionalFormatting sqref="G3006">
    <cfRule type="notContainsText" dxfId="2417" priority="5382" operator="notContains" text="Sinapi">
      <formula>ISERROR(SEARCH("Sinapi",G3006))</formula>
    </cfRule>
  </conditionalFormatting>
  <conditionalFormatting sqref="G3001">
    <cfRule type="notContainsText" dxfId="2416" priority="5383" operator="notContains" text="Sinapi">
      <formula>ISERROR(SEARCH("Sinapi",G3001))</formula>
    </cfRule>
  </conditionalFormatting>
  <conditionalFormatting sqref="G3011">
    <cfRule type="notContainsText" dxfId="2415" priority="5381" operator="notContains" text="Sinapi">
      <formula>ISERROR(SEARCH("Sinapi",G3011))</formula>
    </cfRule>
  </conditionalFormatting>
  <conditionalFormatting sqref="G3016">
    <cfRule type="notContainsText" dxfId="2414" priority="5380" operator="notContains" text="Sinapi">
      <formula>ISERROR(SEARCH("Sinapi",G3016))</formula>
    </cfRule>
  </conditionalFormatting>
  <conditionalFormatting sqref="G3021">
    <cfRule type="notContainsText" dxfId="2413" priority="5379" operator="notContains" text="Sinapi">
      <formula>ISERROR(SEARCH("Sinapi",G3021))</formula>
    </cfRule>
  </conditionalFormatting>
  <conditionalFormatting sqref="G3026">
    <cfRule type="notContainsText" dxfId="2412" priority="5378" operator="notContains" text="Sinapi">
      <formula>ISERROR(SEARCH("Sinapi",G3026))</formula>
    </cfRule>
  </conditionalFormatting>
  <conditionalFormatting sqref="G3031">
    <cfRule type="notContainsText" dxfId="2411" priority="5377" operator="notContains" text="Sinapi">
      <formula>ISERROR(SEARCH("Sinapi",G3031))</formula>
    </cfRule>
  </conditionalFormatting>
  <conditionalFormatting sqref="G3036">
    <cfRule type="notContainsText" dxfId="2410" priority="5376" operator="notContains" text="Sinapi">
      <formula>ISERROR(SEARCH("Sinapi",G3036))</formula>
    </cfRule>
  </conditionalFormatting>
  <conditionalFormatting sqref="G3041">
    <cfRule type="notContainsText" dxfId="2409" priority="5375" operator="notContains" text="Sinapi">
      <formula>ISERROR(SEARCH("Sinapi",G3041))</formula>
    </cfRule>
  </conditionalFormatting>
  <conditionalFormatting sqref="G3054">
    <cfRule type="notContainsText" dxfId="2408" priority="5374" operator="notContains" text="Sinapi">
      <formula>ISERROR(SEARCH("Sinapi",G3054))</formula>
    </cfRule>
  </conditionalFormatting>
  <conditionalFormatting sqref="G3079">
    <cfRule type="notContainsText" dxfId="2407" priority="5373" operator="notContains" text="Sinapi">
      <formula>ISERROR(SEARCH("Sinapi",G3079))</formula>
    </cfRule>
  </conditionalFormatting>
  <conditionalFormatting sqref="G3092">
    <cfRule type="notContainsText" dxfId="2406" priority="5372" operator="notContains" text="Sinapi">
      <formula>ISERROR(SEARCH("Sinapi",G3092))</formula>
    </cfRule>
  </conditionalFormatting>
  <conditionalFormatting sqref="G3097">
    <cfRule type="notContainsText" dxfId="2405" priority="5371" operator="notContains" text="Sinapi">
      <formula>ISERROR(SEARCH("Sinapi",G3097))</formula>
    </cfRule>
  </conditionalFormatting>
  <conditionalFormatting sqref="G3102">
    <cfRule type="notContainsText" dxfId="2404" priority="5370" operator="notContains" text="Sinapi">
      <formula>ISERROR(SEARCH("Sinapi",G3102))</formula>
    </cfRule>
  </conditionalFormatting>
  <conditionalFormatting sqref="G3107">
    <cfRule type="notContainsText" dxfId="2403" priority="5369" operator="notContains" text="Sinapi">
      <formula>ISERROR(SEARCH("Sinapi",G3107))</formula>
    </cfRule>
  </conditionalFormatting>
  <conditionalFormatting sqref="G3112">
    <cfRule type="notContainsText" dxfId="2402" priority="5368" operator="notContains" text="Sinapi">
      <formula>ISERROR(SEARCH("Sinapi",G3112))</formula>
    </cfRule>
  </conditionalFormatting>
  <conditionalFormatting sqref="G3117">
    <cfRule type="notContainsText" dxfId="2401" priority="5367" operator="notContains" text="Sinapi">
      <formula>ISERROR(SEARCH("Sinapi",G3117))</formula>
    </cfRule>
  </conditionalFormatting>
  <conditionalFormatting sqref="G3122">
    <cfRule type="notContainsText" dxfId="2400" priority="5366" operator="notContains" text="Sinapi">
      <formula>ISERROR(SEARCH("Sinapi",G3122))</formula>
    </cfRule>
  </conditionalFormatting>
  <conditionalFormatting sqref="G3127">
    <cfRule type="notContainsText" dxfId="2399" priority="5365" operator="notContains" text="Sinapi">
      <formula>ISERROR(SEARCH("Sinapi",G3127))</formula>
    </cfRule>
  </conditionalFormatting>
  <conditionalFormatting sqref="G3132">
    <cfRule type="notContainsText" dxfId="2398" priority="5364" operator="notContains" text="Sinapi">
      <formula>ISERROR(SEARCH("Sinapi",G3132))</formula>
    </cfRule>
  </conditionalFormatting>
  <conditionalFormatting sqref="G3172">
    <cfRule type="notContainsText" dxfId="2397" priority="5363" operator="notContains" text="Sinapi">
      <formula>ISERROR(SEARCH("Sinapi",G3172))</formula>
    </cfRule>
  </conditionalFormatting>
  <conditionalFormatting sqref="G3355">
    <cfRule type="notContainsText" dxfId="2396" priority="5362" operator="notContains" text="Sinapi">
      <formula>ISERROR(SEARCH("Sinapi",G3355))</formula>
    </cfRule>
  </conditionalFormatting>
  <conditionalFormatting sqref="G3374">
    <cfRule type="notContainsText" dxfId="2395" priority="5361" operator="notContains" text="Sinapi">
      <formula>ISERROR(SEARCH("Sinapi",G3374))</formula>
    </cfRule>
  </conditionalFormatting>
  <conditionalFormatting sqref="G3385">
    <cfRule type="notContainsText" dxfId="2394" priority="5360" operator="notContains" text="Sinapi">
      <formula>ISERROR(SEARCH("Sinapi",G3385))</formula>
    </cfRule>
  </conditionalFormatting>
  <conditionalFormatting sqref="G3389">
    <cfRule type="notContainsText" dxfId="2393" priority="5359" operator="notContains" text="Sinapi">
      <formula>ISERROR(SEARCH("Sinapi",G3389))</formula>
    </cfRule>
  </conditionalFormatting>
  <conditionalFormatting sqref="D172:D173">
    <cfRule type="containsText" dxfId="2392" priority="5338" operator="containsText" text="Pesquisa de Preços">
      <formula>NOT(ISERROR(SEARCH("Pesquisa de Preços",D172)))</formula>
    </cfRule>
  </conditionalFormatting>
  <conditionalFormatting sqref="G3067">
    <cfRule type="notContainsText" dxfId="2391" priority="5337" operator="notContains" text="Sinapi">
      <formula>ISERROR(SEARCH("Sinapi",G3067))</formula>
    </cfRule>
  </conditionalFormatting>
  <conditionalFormatting sqref="E18 E3388 E262 E2415">
    <cfRule type="containsText" dxfId="2390" priority="5328" operator="containsText" text="Pesquisa de Preços">
      <formula>NOT(ISERROR(SEARCH("Pesquisa de Preços",E18)))</formula>
    </cfRule>
  </conditionalFormatting>
  <conditionalFormatting sqref="E9">
    <cfRule type="containsText" dxfId="2389" priority="5327" operator="containsText" text="Pesquisa de Preços">
      <formula>NOT(ISERROR(SEARCH("Pesquisa de Preços",E9)))</formula>
    </cfRule>
  </conditionalFormatting>
  <conditionalFormatting sqref="E7">
    <cfRule type="containsText" dxfId="2388" priority="5326" operator="containsText" text="Pesquisa de Preços">
      <formula>NOT(ISERROR(SEARCH("Pesquisa de Preços",E7)))</formula>
    </cfRule>
  </conditionalFormatting>
  <conditionalFormatting sqref="E6">
    <cfRule type="containsText" dxfId="2387" priority="5325" operator="containsText" text="Pesquisa de Preços">
      <formula>NOT(ISERROR(SEARCH("Pesquisa de Preços",E6)))</formula>
    </cfRule>
  </conditionalFormatting>
  <conditionalFormatting sqref="E8">
    <cfRule type="containsText" dxfId="2386" priority="5324" operator="containsText" text="Pesquisa de Preços">
      <formula>NOT(ISERROR(SEARCH("Pesquisa de Preços",E8)))</formula>
    </cfRule>
  </conditionalFormatting>
  <conditionalFormatting sqref="E15">
    <cfRule type="containsText" dxfId="2385" priority="5323" operator="containsText" text="Pesquisa de Preços">
      <formula>NOT(ISERROR(SEARCH("Pesquisa de Preços",E15)))</formula>
    </cfRule>
  </conditionalFormatting>
  <conditionalFormatting sqref="E14">
    <cfRule type="containsText" dxfId="2384" priority="5322" operator="containsText" text="Pesquisa de Preços">
      <formula>NOT(ISERROR(SEARCH("Pesquisa de Preços",E14)))</formula>
    </cfRule>
  </conditionalFormatting>
  <conditionalFormatting sqref="E16">
    <cfRule type="containsText" dxfId="2383" priority="5321" operator="containsText" text="Pesquisa de Preços">
      <formula>NOT(ISERROR(SEARCH("Pesquisa de Preços",E16)))</formula>
    </cfRule>
  </conditionalFormatting>
  <conditionalFormatting sqref="E12">
    <cfRule type="containsText" dxfId="2382" priority="5320" operator="containsText" text="Pesquisa de Preços">
      <formula>NOT(ISERROR(SEARCH("Pesquisa de Preços",E12)))</formula>
    </cfRule>
  </conditionalFormatting>
  <conditionalFormatting sqref="E10">
    <cfRule type="containsText" dxfId="2381" priority="5317" operator="containsText" text="Pesquisa de Preços">
      <formula>NOT(ISERROR(SEARCH("Pesquisa de Preços",E10)))</formula>
    </cfRule>
  </conditionalFormatting>
  <conditionalFormatting sqref="E13">
    <cfRule type="containsText" dxfId="2380" priority="5319" operator="containsText" text="Pesquisa de Preços">
      <formula>NOT(ISERROR(SEARCH("Pesquisa de Preços",E13)))</formula>
    </cfRule>
  </conditionalFormatting>
  <conditionalFormatting sqref="E11">
    <cfRule type="containsText" dxfId="2379" priority="5318" operator="containsText" text="Pesquisa de Preços">
      <formula>NOT(ISERROR(SEARCH("Pesquisa de Preços",E11)))</formula>
    </cfRule>
  </conditionalFormatting>
  <conditionalFormatting sqref="E225">
    <cfRule type="containsText" dxfId="2378" priority="5315" operator="containsText" text="Pesquisa de Preços">
      <formula>NOT(ISERROR(SEARCH("Pesquisa de Preços",E225)))</formula>
    </cfRule>
  </conditionalFormatting>
  <conditionalFormatting sqref="E227">
    <cfRule type="containsText" dxfId="2377" priority="5316" operator="containsText" text="Pesquisa de Preços">
      <formula>NOT(ISERROR(SEARCH("Pesquisa de Preços",E227)))</formula>
    </cfRule>
  </conditionalFormatting>
  <conditionalFormatting sqref="E224">
    <cfRule type="containsText" dxfId="2376" priority="5314" operator="containsText" text="Pesquisa de Preços">
      <formula>NOT(ISERROR(SEARCH("Pesquisa de Preços",E224)))</formula>
    </cfRule>
  </conditionalFormatting>
  <conditionalFormatting sqref="E514">
    <cfRule type="containsText" dxfId="2375" priority="5160" operator="containsText" text="Pesquisa de Preços">
      <formula>NOT(ISERROR(SEARCH("Pesquisa de Preços",E514)))</formula>
    </cfRule>
  </conditionalFormatting>
  <conditionalFormatting sqref="E150">
    <cfRule type="containsText" dxfId="2374" priority="5309" operator="containsText" text="Pesquisa de Preços">
      <formula>NOT(ISERROR(SEARCH("Pesquisa de Preços",E150)))</formula>
    </cfRule>
  </conditionalFormatting>
  <conditionalFormatting sqref="E490:E496">
    <cfRule type="containsText" dxfId="2373" priority="5156" operator="containsText" text="Pesquisa de Preços">
      <formula>NOT(ISERROR(SEARCH("Pesquisa de Preços",E490)))</formula>
    </cfRule>
  </conditionalFormatting>
  <conditionalFormatting sqref="E149">
    <cfRule type="containsText" dxfId="2372" priority="5308" operator="containsText" text="Pesquisa de Preços">
      <formula>NOT(ISERROR(SEARCH("Pesquisa de Preços",E149)))</formula>
    </cfRule>
  </conditionalFormatting>
  <conditionalFormatting sqref="E78">
    <cfRule type="containsText" dxfId="2371" priority="5311" operator="containsText" text="Pesquisa de Preços">
      <formula>NOT(ISERROR(SEARCH("Pesquisa de Preços",E78)))</formula>
    </cfRule>
  </conditionalFormatting>
  <conditionalFormatting sqref="E162">
    <cfRule type="containsText" dxfId="2370" priority="5307" operator="containsText" text="Pesquisa de Preços">
      <formula>NOT(ISERROR(SEARCH("Pesquisa de Preços",E162)))</formula>
    </cfRule>
  </conditionalFormatting>
  <conditionalFormatting sqref="E79">
    <cfRule type="containsText" dxfId="2369" priority="5313" operator="containsText" text="Pesquisa de Preços">
      <formula>NOT(ISERROR(SEARCH("Pesquisa de Preços",E79)))</formula>
    </cfRule>
  </conditionalFormatting>
  <conditionalFormatting sqref="E77">
    <cfRule type="containsText" dxfId="2368" priority="5310" operator="containsText" text="Pesquisa de Preços">
      <formula>NOT(ISERROR(SEARCH("Pesquisa de Preços",E77)))</formula>
    </cfRule>
  </conditionalFormatting>
  <conditionalFormatting sqref="E81">
    <cfRule type="containsText" dxfId="2367" priority="5312" operator="containsText" text="Pesquisa de Preços">
      <formula>NOT(ISERROR(SEARCH("Pesquisa de Preços",E81)))</formula>
    </cfRule>
  </conditionalFormatting>
  <conditionalFormatting sqref="E545">
    <cfRule type="containsText" dxfId="2366" priority="5148" operator="containsText" text="Pesquisa de Preços">
      <formula>NOT(ISERROR(SEARCH("Pesquisa de Preços",E545)))</formula>
    </cfRule>
  </conditionalFormatting>
  <conditionalFormatting sqref="E87">
    <cfRule type="containsText" dxfId="2365" priority="5304" operator="containsText" text="Pesquisa de Preços">
      <formula>NOT(ISERROR(SEARCH("Pesquisa de Preços",E87)))</formula>
    </cfRule>
  </conditionalFormatting>
  <conditionalFormatting sqref="E161">
    <cfRule type="containsText" dxfId="2364" priority="5306" operator="containsText" text="Pesquisa de Preços">
      <formula>NOT(ISERROR(SEARCH("Pesquisa de Preços",E161)))</formula>
    </cfRule>
  </conditionalFormatting>
  <conditionalFormatting sqref="E553">
    <cfRule type="containsText" dxfId="2363" priority="5145" operator="containsText" text="Pesquisa de Preços">
      <formula>NOT(ISERROR(SEARCH("Pesquisa de Preços",E553)))</formula>
    </cfRule>
  </conditionalFormatting>
  <conditionalFormatting sqref="E88">
    <cfRule type="containsText" dxfId="2362" priority="5305" operator="containsText" text="Pesquisa de Preços">
      <formula>NOT(ISERROR(SEARCH("Pesquisa de Preços",E88)))</formula>
    </cfRule>
  </conditionalFormatting>
  <conditionalFormatting sqref="E60">
    <cfRule type="containsText" dxfId="2361" priority="5303" operator="containsText" text="Pesquisa de Preços">
      <formula>NOT(ISERROR(SEARCH("Pesquisa de Preços",E60)))</formula>
    </cfRule>
  </conditionalFormatting>
  <conditionalFormatting sqref="E569">
    <cfRule type="containsText" dxfId="2360" priority="5136" operator="containsText" text="Pesquisa de Preços">
      <formula>NOT(ISERROR(SEARCH("Pesquisa de Preços",E569)))</formula>
    </cfRule>
  </conditionalFormatting>
  <conditionalFormatting sqref="E59">
    <cfRule type="containsText" dxfId="2359" priority="5302" operator="containsText" text="Pesquisa de Preços">
      <formula>NOT(ISERROR(SEARCH("Pesquisa de Preços",E59)))</formula>
    </cfRule>
  </conditionalFormatting>
  <conditionalFormatting sqref="E53">
    <cfRule type="containsText" dxfId="2358" priority="5301" operator="containsText" text="Pesquisa de Preços">
      <formula>NOT(ISERROR(SEARCH("Pesquisa de Preços",E53)))</formula>
    </cfRule>
  </conditionalFormatting>
  <conditionalFormatting sqref="E33">
    <cfRule type="containsText" dxfId="2357" priority="5298" operator="containsText" text="Pesquisa de Preços">
      <formula>NOT(ISERROR(SEARCH("Pesquisa de Preços",E33)))</formula>
    </cfRule>
  </conditionalFormatting>
  <conditionalFormatting sqref="E52">
    <cfRule type="containsText" dxfId="2356" priority="5300" operator="containsText" text="Pesquisa de Preços">
      <formula>NOT(ISERROR(SEARCH("Pesquisa de Preços",E52)))</formula>
    </cfRule>
  </conditionalFormatting>
  <conditionalFormatting sqref="E579">
    <cfRule type="containsText" dxfId="2355" priority="5134" operator="containsText" text="Pesquisa de Preços">
      <formula>NOT(ISERROR(SEARCH("Pesquisa de Preços",E579)))</formula>
    </cfRule>
  </conditionalFormatting>
  <conditionalFormatting sqref="E34:E35">
    <cfRule type="containsText" dxfId="2354" priority="5299" operator="containsText" text="Pesquisa de Preços">
      <formula>NOT(ISERROR(SEARCH("Pesquisa de Preços",E34)))</formula>
    </cfRule>
  </conditionalFormatting>
  <conditionalFormatting sqref="E98:E99">
    <cfRule type="containsText" dxfId="2353" priority="5295" operator="containsText" text="Pesquisa de Preços">
      <formula>NOT(ISERROR(SEARCH("Pesquisa de Preços",E98)))</formula>
    </cfRule>
  </conditionalFormatting>
  <conditionalFormatting sqref="E29">
    <cfRule type="containsText" dxfId="2352" priority="5297" operator="containsText" text="Pesquisa de Preços">
      <formula>NOT(ISERROR(SEARCH("Pesquisa de Preços",E29)))</formula>
    </cfRule>
  </conditionalFormatting>
  <conditionalFormatting sqref="E28">
    <cfRule type="containsText" dxfId="2351" priority="5296" operator="containsText" text="Pesquisa de Preços">
      <formula>NOT(ISERROR(SEARCH("Pesquisa de Preços",E28)))</formula>
    </cfRule>
  </conditionalFormatting>
  <conditionalFormatting sqref="E145:E146">
    <cfRule type="containsText" dxfId="2350" priority="5292" operator="containsText" text="Pesquisa de Preços">
      <formula>NOT(ISERROR(SEARCH("Pesquisa de Preços",E145)))</formula>
    </cfRule>
  </conditionalFormatting>
  <conditionalFormatting sqref="E42">
    <cfRule type="containsText" dxfId="2349" priority="5288" operator="containsText" text="Pesquisa de Preços">
      <formula>NOT(ISERROR(SEARCH("Pesquisa de Preços",E42)))</formula>
    </cfRule>
  </conditionalFormatting>
  <conditionalFormatting sqref="E97">
    <cfRule type="containsText" dxfId="2348" priority="5294" operator="containsText" text="Pesquisa de Preços">
      <formula>NOT(ISERROR(SEARCH("Pesquisa de Preços",E97)))</formula>
    </cfRule>
  </conditionalFormatting>
  <conditionalFormatting sqref="E100">
    <cfRule type="containsText" dxfId="2347" priority="5293" operator="containsText" text="Pesquisa de Preços">
      <formula>NOT(ISERROR(SEARCH("Pesquisa de Preços",E100)))</formula>
    </cfRule>
  </conditionalFormatting>
  <conditionalFormatting sqref="E180">
    <cfRule type="containsText" dxfId="2346" priority="5283" operator="containsText" text="Pesquisa de Preços">
      <formula>NOT(ISERROR(SEARCH("Pesquisa de Preços",E180)))</formula>
    </cfRule>
  </conditionalFormatting>
  <conditionalFormatting sqref="E144">
    <cfRule type="containsText" dxfId="2345" priority="5291" operator="containsText" text="Pesquisa de Preços">
      <formula>NOT(ISERROR(SEARCH("Pesquisa de Preços",E144)))</formula>
    </cfRule>
  </conditionalFormatting>
  <conditionalFormatting sqref="E24">
    <cfRule type="containsText" dxfId="2344" priority="5287" operator="containsText" text="Pesquisa de Preços">
      <formula>NOT(ISERROR(SEARCH("Pesquisa de Preços",E24)))</formula>
    </cfRule>
  </conditionalFormatting>
  <conditionalFormatting sqref="E147">
    <cfRule type="containsText" dxfId="2343" priority="5290" operator="containsText" text="Pesquisa de Preços">
      <formula>NOT(ISERROR(SEARCH("Pesquisa de Preços",E147)))</formula>
    </cfRule>
  </conditionalFormatting>
  <conditionalFormatting sqref="E43">
    <cfRule type="containsText" dxfId="2342" priority="5289" operator="containsText" text="Pesquisa de Preços">
      <formula>NOT(ISERROR(SEARCH("Pesquisa de Preços",E43)))</formula>
    </cfRule>
  </conditionalFormatting>
  <conditionalFormatting sqref="E23">
    <cfRule type="containsText" dxfId="2341" priority="5286" operator="containsText" text="Pesquisa de Preços">
      <formula>NOT(ISERROR(SEARCH("Pesquisa de Preços",E23)))</formula>
    </cfRule>
  </conditionalFormatting>
  <conditionalFormatting sqref="E117">
    <cfRule type="containsText" dxfId="2340" priority="5281" operator="containsText" text="Pesquisa de Preços">
      <formula>NOT(ISERROR(SEARCH("Pesquisa de Preços",E117)))</formula>
    </cfRule>
  </conditionalFormatting>
  <conditionalFormatting sqref="E179">
    <cfRule type="containsText" dxfId="2339" priority="5282" operator="containsText" text="Pesquisa de Preços">
      <formula>NOT(ISERROR(SEARCH("Pesquisa de Preços",E179)))</formula>
    </cfRule>
  </conditionalFormatting>
  <conditionalFormatting sqref="E38:E40">
    <cfRule type="containsText" dxfId="2338" priority="5285" operator="containsText" text="Pesquisa de Preços">
      <formula>NOT(ISERROR(SEARCH("Pesquisa de Preços",E38)))</formula>
    </cfRule>
  </conditionalFormatting>
  <conditionalFormatting sqref="E37">
    <cfRule type="containsText" dxfId="2337" priority="5284" operator="containsText" text="Pesquisa de Preços">
      <formula>NOT(ISERROR(SEARCH("Pesquisa de Preços",E37)))</formula>
    </cfRule>
  </conditionalFormatting>
  <conditionalFormatting sqref="E116">
    <cfRule type="containsText" dxfId="2336" priority="5280" operator="containsText" text="Pesquisa de Preços">
      <formula>NOT(ISERROR(SEARCH("Pesquisa de Preços",E116)))</formula>
    </cfRule>
  </conditionalFormatting>
  <conditionalFormatting sqref="E677">
    <cfRule type="containsText" dxfId="2335" priority="5130" operator="containsText" text="Pesquisa de Preços">
      <formula>NOT(ISERROR(SEARCH("Pesquisa de Preços",E677)))</formula>
    </cfRule>
  </conditionalFormatting>
  <conditionalFormatting sqref="E669">
    <cfRule type="containsText" dxfId="2334" priority="5128" operator="containsText" text="Pesquisa de Preços">
      <formula>NOT(ISERROR(SEARCH("Pesquisa de Preços",E669)))</formula>
    </cfRule>
  </conditionalFormatting>
  <conditionalFormatting sqref="E175">
    <cfRule type="containsText" dxfId="2333" priority="5278" operator="containsText" text="Pesquisa de Preços">
      <formula>NOT(ISERROR(SEARCH("Pesquisa de Preços",E175)))</formula>
    </cfRule>
  </conditionalFormatting>
  <conditionalFormatting sqref="E176:E177">
    <cfRule type="containsText" dxfId="2332" priority="5279" operator="containsText" text="Pesquisa de Preços">
      <formula>NOT(ISERROR(SEARCH("Pesquisa de Preços",E176)))</formula>
    </cfRule>
  </conditionalFormatting>
  <conditionalFormatting sqref="E219">
    <cfRule type="containsText" dxfId="2331" priority="5276" operator="containsText" text="Pesquisa de Preços">
      <formula>NOT(ISERROR(SEARCH("Pesquisa de Preços",E219)))</formula>
    </cfRule>
  </conditionalFormatting>
  <conditionalFormatting sqref="E220:E221">
    <cfRule type="containsText" dxfId="2330" priority="5277" operator="containsText" text="Pesquisa de Preços">
      <formula>NOT(ISERROR(SEARCH("Pesquisa de Preços",E220)))</formula>
    </cfRule>
  </conditionalFormatting>
  <conditionalFormatting sqref="E126">
    <cfRule type="containsText" dxfId="2329" priority="5273" operator="containsText" text="Pesquisa de Preços">
      <formula>NOT(ISERROR(SEARCH("Pesquisa de Preços",E126)))</formula>
    </cfRule>
  </conditionalFormatting>
  <conditionalFormatting sqref="E687:E688 E694:E695">
    <cfRule type="containsText" dxfId="2328" priority="5126" operator="containsText" text="Pesquisa de Preços">
      <formula>NOT(ISERROR(SEARCH("Pesquisa de Preços",E687)))</formula>
    </cfRule>
  </conditionalFormatting>
  <conditionalFormatting sqref="E222">
    <cfRule type="containsText" dxfId="2327" priority="5275" operator="containsText" text="Pesquisa de Preços">
      <formula>NOT(ISERROR(SEARCH("Pesquisa de Preços",E222)))</formula>
    </cfRule>
  </conditionalFormatting>
  <conditionalFormatting sqref="E127">
    <cfRule type="containsText" dxfId="2326" priority="5274" operator="containsText" text="Pesquisa de Preços">
      <formula>NOT(ISERROR(SEARCH("Pesquisa de Preços",E127)))</formula>
    </cfRule>
  </conditionalFormatting>
  <conditionalFormatting sqref="E715">
    <cfRule type="containsText" dxfId="2325" priority="5123" operator="containsText" text="Pesquisa de Preços">
      <formula>NOT(ISERROR(SEARCH("Pesquisa de Preços",E715)))</formula>
    </cfRule>
  </conditionalFormatting>
  <conditionalFormatting sqref="E167:E168">
    <cfRule type="containsText" dxfId="2324" priority="5272" operator="containsText" text="Pesquisa de Preços">
      <formula>NOT(ISERROR(SEARCH("Pesquisa de Preços",E167)))</formula>
    </cfRule>
  </conditionalFormatting>
  <conditionalFormatting sqref="E166">
    <cfRule type="containsText" dxfId="2323" priority="5271" operator="containsText" text="Pesquisa de Preços">
      <formula>NOT(ISERROR(SEARCH("Pesquisa de Preços",E166)))</formula>
    </cfRule>
  </conditionalFormatting>
  <conditionalFormatting sqref="E731">
    <cfRule type="containsText" dxfId="2322" priority="5121" operator="containsText" text="Pesquisa de Preços">
      <formula>NOT(ISERROR(SEARCH("Pesquisa de Preços",E731)))</formula>
    </cfRule>
  </conditionalFormatting>
  <conditionalFormatting sqref="E169">
    <cfRule type="containsText" dxfId="2321" priority="5270" operator="containsText" text="Pesquisa de Preços">
      <formula>NOT(ISERROR(SEARCH("Pesquisa de Preços",E169)))</formula>
    </cfRule>
  </conditionalFormatting>
  <conditionalFormatting sqref="E83">
    <cfRule type="containsText" dxfId="2320" priority="5269" operator="containsText" text="Pesquisa de Preços">
      <formula>NOT(ISERROR(SEARCH("Pesquisa de Preços",E83)))</formula>
    </cfRule>
  </conditionalFormatting>
  <conditionalFormatting sqref="E82">
    <cfRule type="containsText" dxfId="2319" priority="5268" operator="containsText" text="Pesquisa de Preços">
      <formula>NOT(ISERROR(SEARCH("Pesquisa de Preços",E82)))</formula>
    </cfRule>
  </conditionalFormatting>
  <conditionalFormatting sqref="E112">
    <cfRule type="containsText" dxfId="2318" priority="5267" operator="containsText" text="Pesquisa de Preços">
      <formula>NOT(ISERROR(SEARCH("Pesquisa de Preços",E112)))</formula>
    </cfRule>
  </conditionalFormatting>
  <conditionalFormatting sqref="E211:E212">
    <cfRule type="containsText" dxfId="2317" priority="5265" operator="containsText" text="Pesquisa de Preços">
      <formula>NOT(ISERROR(SEARCH("Pesquisa de Preços",E211)))</formula>
    </cfRule>
  </conditionalFormatting>
  <conditionalFormatting sqref="E111">
    <cfRule type="containsText" dxfId="2316" priority="5266" operator="containsText" text="Pesquisa de Preços">
      <formula>NOT(ISERROR(SEARCH("Pesquisa de Preços",E111)))</formula>
    </cfRule>
  </conditionalFormatting>
  <conditionalFormatting sqref="E201">
    <cfRule type="containsText" dxfId="2315" priority="5262" operator="containsText" text="Pesquisa de Preços">
      <formula>NOT(ISERROR(SEARCH("Pesquisa de Preços",E201)))</formula>
    </cfRule>
  </conditionalFormatting>
  <conditionalFormatting sqref="E210">
    <cfRule type="containsText" dxfId="2314" priority="5264" operator="containsText" text="Pesquisa de Preços">
      <formula>NOT(ISERROR(SEARCH("Pesquisa de Preços",E210)))</formula>
    </cfRule>
  </conditionalFormatting>
  <conditionalFormatting sqref="E202">
    <cfRule type="containsText" dxfId="2313" priority="5263" operator="containsText" text="Pesquisa de Preços">
      <formula>NOT(ISERROR(SEARCH("Pesquisa de Preços",E202)))</formula>
    </cfRule>
  </conditionalFormatting>
  <conditionalFormatting sqref="E198:E199">
    <cfRule type="containsText" dxfId="2312" priority="5260" operator="containsText" text="Pesquisa de Preços">
      <formula>NOT(ISERROR(SEARCH("Pesquisa de Preços",E198)))</formula>
    </cfRule>
  </conditionalFormatting>
  <conditionalFormatting sqref="E203:E204">
    <cfRule type="containsText" dxfId="2311" priority="5261" operator="containsText" text="Pesquisa de Preços">
      <formula>NOT(ISERROR(SEARCH("Pesquisa de Preços",E203)))</formula>
    </cfRule>
  </conditionalFormatting>
  <conditionalFormatting sqref="E197">
    <cfRule type="containsText" dxfId="2310" priority="5259" operator="containsText" text="Pesquisa de Preços">
      <formula>NOT(ISERROR(SEARCH("Pesquisa de Preços",E197)))</formula>
    </cfRule>
  </conditionalFormatting>
  <conditionalFormatting sqref="E70:E71 E75:E76">
    <cfRule type="containsText" dxfId="2309" priority="5258" operator="containsText" text="Pesquisa de Preços">
      <formula>NOT(ISERROR(SEARCH("Pesquisa de Preços",E70)))</formula>
    </cfRule>
  </conditionalFormatting>
  <conditionalFormatting sqref="E69">
    <cfRule type="containsText" dxfId="2308" priority="5257" operator="containsText" text="Pesquisa de Preços">
      <formula>NOT(ISERROR(SEARCH("Pesquisa de Preços",E69)))</formula>
    </cfRule>
  </conditionalFormatting>
  <conditionalFormatting sqref="E72:E74">
    <cfRule type="containsText" dxfId="2307" priority="5256" operator="containsText" text="Pesquisa de Preços">
      <formula>NOT(ISERROR(SEARCH("Pesquisa de Preços",E72)))</formula>
    </cfRule>
  </conditionalFormatting>
  <conditionalFormatting sqref="E136:E137">
    <cfRule type="containsText" dxfId="2306" priority="5255" operator="containsText" text="Pesquisa de Preços">
      <formula>NOT(ISERROR(SEARCH("Pesquisa de Preços",E136)))</formula>
    </cfRule>
  </conditionalFormatting>
  <conditionalFormatting sqref="E135">
    <cfRule type="containsText" dxfId="2305" priority="5254" operator="containsText" text="Pesquisa de Preços">
      <formula>NOT(ISERROR(SEARCH("Pesquisa de Preços",E135)))</formula>
    </cfRule>
  </conditionalFormatting>
  <conditionalFormatting sqref="E140:E141">
    <cfRule type="containsText" dxfId="2304" priority="5253" operator="containsText" text="Pesquisa de Preços">
      <formula>NOT(ISERROR(SEARCH("Pesquisa de Preços",E140)))</formula>
    </cfRule>
  </conditionalFormatting>
  <conditionalFormatting sqref="E139">
    <cfRule type="containsText" dxfId="2303" priority="5252" operator="containsText" text="Pesquisa de Preços">
      <formula>NOT(ISERROR(SEARCH("Pesquisa de Preços",E139)))</formula>
    </cfRule>
  </conditionalFormatting>
  <conditionalFormatting sqref="E791 E793:E802">
    <cfRule type="containsText" dxfId="2302" priority="5115" operator="containsText" text="Pesquisa de Preços">
      <formula>NOT(ISERROR(SEARCH("Pesquisa de Preços",E791)))</formula>
    </cfRule>
  </conditionalFormatting>
  <conditionalFormatting sqref="E155:E157">
    <cfRule type="containsText" dxfId="2301" priority="5251" operator="containsText" text="Pesquisa de Preços">
      <formula>NOT(ISERROR(SEARCH("Pesquisa de Preços",E155)))</formula>
    </cfRule>
  </conditionalFormatting>
  <conditionalFormatting sqref="E154">
    <cfRule type="containsText" dxfId="2300" priority="5250" operator="containsText" text="Pesquisa de Preços">
      <formula>NOT(ISERROR(SEARCH("Pesquisa de Preços",E154)))</formula>
    </cfRule>
  </conditionalFormatting>
  <conditionalFormatting sqref="E833">
    <cfRule type="containsText" dxfId="2299" priority="5113" operator="containsText" text="Pesquisa de Preços">
      <formula>NOT(ISERROR(SEARCH("Pesquisa de Preços",E833)))</formula>
    </cfRule>
  </conditionalFormatting>
  <conditionalFormatting sqref="E93">
    <cfRule type="containsText" dxfId="2298" priority="5249" operator="containsText" text="Pesquisa de Preços">
      <formula>NOT(ISERROR(SEARCH("Pesquisa de Preços",E93)))</formula>
    </cfRule>
  </conditionalFormatting>
  <conditionalFormatting sqref="E92">
    <cfRule type="containsText" dxfId="2297" priority="5248" operator="containsText" text="Pesquisa de Preços">
      <formula>NOT(ISERROR(SEARCH("Pesquisa de Preços",E92)))</formula>
    </cfRule>
  </conditionalFormatting>
  <conditionalFormatting sqref="E815:E816">
    <cfRule type="containsText" dxfId="2296" priority="5111" operator="containsText" text="Pesquisa de Preços">
      <formula>NOT(ISERROR(SEARCH("Pesquisa de Preços",E815)))</formula>
    </cfRule>
  </conditionalFormatting>
  <conditionalFormatting sqref="E48:E49">
    <cfRule type="containsText" dxfId="2295" priority="5247" operator="containsText" text="Pesquisa de Preços">
      <formula>NOT(ISERROR(SEARCH("Pesquisa de Preços",E48)))</formula>
    </cfRule>
  </conditionalFormatting>
  <conditionalFormatting sqref="E47">
    <cfRule type="containsText" dxfId="2294" priority="5246" operator="containsText" text="Pesquisa de Preços">
      <formula>NOT(ISERROR(SEARCH("Pesquisa de Preços",E47)))</formula>
    </cfRule>
  </conditionalFormatting>
  <conditionalFormatting sqref="E50">
    <cfRule type="containsText" dxfId="2293" priority="5245" operator="containsText" text="Pesquisa de Preços">
      <formula>NOT(ISERROR(SEARCH("Pesquisa de Preços",E50)))</formula>
    </cfRule>
  </conditionalFormatting>
  <conditionalFormatting sqref="E191:E192">
    <cfRule type="containsText" dxfId="2292" priority="5244" operator="containsText" text="Pesquisa de Preços">
      <formula>NOT(ISERROR(SEARCH("Pesquisa de Preços",E191)))</formula>
    </cfRule>
  </conditionalFormatting>
  <conditionalFormatting sqref="E190">
    <cfRule type="containsText" dxfId="2291" priority="5243" operator="containsText" text="Pesquisa de Preços">
      <formula>NOT(ISERROR(SEARCH("Pesquisa de Preços",E190)))</formula>
    </cfRule>
  </conditionalFormatting>
  <conditionalFormatting sqref="E749:E750 E753:E754">
    <cfRule type="containsText" dxfId="2290" priority="5109" operator="containsText" text="Pesquisa de Preços">
      <formula>NOT(ISERROR(SEARCH("Pesquisa de Preços",E749)))</formula>
    </cfRule>
  </conditionalFormatting>
  <conditionalFormatting sqref="E193">
    <cfRule type="containsText" dxfId="2289" priority="5242" operator="containsText" text="Pesquisa de Preços">
      <formula>NOT(ISERROR(SEARCH("Pesquisa de Preços",E193)))</formula>
    </cfRule>
  </conditionalFormatting>
  <conditionalFormatting sqref="E215:E216">
    <cfRule type="containsText" dxfId="2288" priority="5241" operator="containsText" text="Pesquisa de Preços">
      <formula>NOT(ISERROR(SEARCH("Pesquisa de Preços",E215)))</formula>
    </cfRule>
  </conditionalFormatting>
  <conditionalFormatting sqref="E214">
    <cfRule type="containsText" dxfId="2287" priority="5240" operator="containsText" text="Pesquisa de Preços">
      <formula>NOT(ISERROR(SEARCH("Pesquisa de Preços",E214)))</formula>
    </cfRule>
  </conditionalFormatting>
  <conditionalFormatting sqref="E217">
    <cfRule type="containsText" dxfId="2286" priority="5239" operator="containsText" text="Pesquisa de Preços">
      <formula>NOT(ISERROR(SEARCH("Pesquisa de Preços",E217)))</formula>
    </cfRule>
  </conditionalFormatting>
  <conditionalFormatting sqref="E122:E123">
    <cfRule type="containsText" dxfId="2285" priority="5238" operator="containsText" text="Pesquisa de Preços">
      <formula>NOT(ISERROR(SEARCH("Pesquisa de Preços",E122)))</formula>
    </cfRule>
  </conditionalFormatting>
  <conditionalFormatting sqref="E121">
    <cfRule type="containsText" dxfId="2284" priority="5237" operator="containsText" text="Pesquisa de Preços">
      <formula>NOT(ISERROR(SEARCH("Pesquisa de Preços",E121)))</formula>
    </cfRule>
  </conditionalFormatting>
  <conditionalFormatting sqref="E756:E757">
    <cfRule type="containsText" dxfId="2283" priority="5106" operator="containsText" text="Pesquisa de Preços">
      <formula>NOT(ISERROR(SEARCH("Pesquisa de Preços",E756)))</formula>
    </cfRule>
  </conditionalFormatting>
  <conditionalFormatting sqref="E124">
    <cfRule type="containsText" dxfId="2282" priority="5236" operator="containsText" text="Pesquisa de Preços">
      <formula>NOT(ISERROR(SEARCH("Pesquisa de Preços",E124)))</formula>
    </cfRule>
  </conditionalFormatting>
  <conditionalFormatting sqref="E107:E108">
    <cfRule type="containsText" dxfId="2281" priority="5235" operator="containsText" text="Pesquisa de Preços">
      <formula>NOT(ISERROR(SEARCH("Pesquisa de Preços",E107)))</formula>
    </cfRule>
  </conditionalFormatting>
  <conditionalFormatting sqref="E106">
    <cfRule type="containsText" dxfId="2280" priority="5234" operator="containsText" text="Pesquisa de Preços">
      <formula>NOT(ISERROR(SEARCH("Pesquisa de Preços",E106)))</formula>
    </cfRule>
  </conditionalFormatting>
  <conditionalFormatting sqref="E824 E826">
    <cfRule type="containsText" dxfId="2279" priority="5103" operator="containsText" text="Pesquisa de Preços">
      <formula>NOT(ISERROR(SEARCH("Pesquisa de Preços",E824)))</formula>
    </cfRule>
  </conditionalFormatting>
  <conditionalFormatting sqref="E109">
    <cfRule type="containsText" dxfId="2278" priority="5233" operator="containsText" text="Pesquisa de Preços">
      <formula>NOT(ISERROR(SEARCH("Pesquisa de Preços",E109)))</formula>
    </cfRule>
  </conditionalFormatting>
  <conditionalFormatting sqref="E132">
    <cfRule type="containsText" dxfId="2277" priority="5232" operator="containsText" text="Pesquisa de Preços">
      <formula>NOT(ISERROR(SEARCH("Pesquisa de Preços",E132)))</formula>
    </cfRule>
  </conditionalFormatting>
  <conditionalFormatting sqref="E131">
    <cfRule type="containsText" dxfId="2276" priority="5231" operator="containsText" text="Pesquisa de Preços">
      <formula>NOT(ISERROR(SEARCH("Pesquisa de Preços",E131)))</formula>
    </cfRule>
  </conditionalFormatting>
  <conditionalFormatting sqref="E828">
    <cfRule type="containsText" dxfId="2275" priority="5101" operator="containsText" text="Pesquisa de Preços">
      <formula>NOT(ISERROR(SEARCH("Pesquisa de Preços",E828)))</formula>
    </cfRule>
  </conditionalFormatting>
  <conditionalFormatting sqref="E65:E66">
    <cfRule type="containsText" dxfId="2274" priority="5230" operator="containsText" text="Pesquisa de Preços">
      <formula>NOT(ISERROR(SEARCH("Pesquisa de Preços",E65)))</formula>
    </cfRule>
  </conditionalFormatting>
  <conditionalFormatting sqref="E64">
    <cfRule type="containsText" dxfId="2273" priority="5229" operator="containsText" text="Pesquisa de Preços">
      <formula>NOT(ISERROR(SEARCH("Pesquisa de Preços",E64)))</formula>
    </cfRule>
  </conditionalFormatting>
  <conditionalFormatting sqref="E805">
    <cfRule type="containsText" dxfId="2272" priority="5099" operator="containsText" text="Pesquisa de Preços">
      <formula>NOT(ISERROR(SEARCH("Pesquisa de Preços",E805)))</formula>
    </cfRule>
  </conditionalFormatting>
  <conditionalFormatting sqref="E67">
    <cfRule type="containsText" dxfId="2271" priority="5228" operator="containsText" text="Pesquisa de Preços">
      <formula>NOT(ISERROR(SEARCH("Pesquisa de Preços",E67)))</formula>
    </cfRule>
  </conditionalFormatting>
  <conditionalFormatting sqref="E283">
    <cfRule type="containsText" dxfId="2270" priority="5217" operator="containsText" text="Pesquisa de Preços">
      <formula>NOT(ISERROR(SEARCH("Pesquisa de Preços",E283)))</formula>
    </cfRule>
  </conditionalFormatting>
  <conditionalFormatting sqref="E268">
    <cfRule type="containsText" dxfId="2269" priority="5214" operator="containsText" text="Pesquisa de Preços">
      <formula>NOT(ISERROR(SEARCH("Pesquisa de Preços",E268)))</formula>
    </cfRule>
  </conditionalFormatting>
  <conditionalFormatting sqref="E321">
    <cfRule type="containsText" dxfId="2268" priority="5212" operator="containsText" text="Pesquisa de Preços">
      <formula>NOT(ISERROR(SEARCH("Pesquisa de Preços",E321)))</formula>
    </cfRule>
  </conditionalFormatting>
  <conditionalFormatting sqref="E305">
    <cfRule type="containsText" dxfId="2267" priority="5209" operator="containsText" text="Pesquisa de Preços">
      <formula>NOT(ISERROR(SEARCH("Pesquisa de Preços",E305)))</formula>
    </cfRule>
  </conditionalFormatting>
  <conditionalFormatting sqref="E342:E343">
    <cfRule type="containsText" dxfId="2266" priority="5207" operator="containsText" text="Pesquisa de Preços">
      <formula>NOT(ISERROR(SEARCH("Pesquisa de Preços",E342)))</formula>
    </cfRule>
  </conditionalFormatting>
  <conditionalFormatting sqref="E290">
    <cfRule type="containsText" dxfId="2265" priority="5201" operator="containsText" text="Pesquisa de Preços">
      <formula>NOT(ISERROR(SEARCH("Pesquisa de Preços",E290)))</formula>
    </cfRule>
  </conditionalFormatting>
  <conditionalFormatting sqref="E327:E328">
    <cfRule type="containsText" dxfId="2264" priority="5199" operator="containsText" text="Pesquisa de Preços">
      <formula>NOT(ISERROR(SEARCH("Pesquisa de Preços",E327)))</formula>
    </cfRule>
  </conditionalFormatting>
  <conditionalFormatting sqref="E401">
    <cfRule type="containsText" dxfId="2263" priority="5189" operator="containsText" text="Pesquisa de Preços">
      <formula>NOT(ISERROR(SEARCH("Pesquisa de Preços",E401)))</formula>
    </cfRule>
  </conditionalFormatting>
  <conditionalFormatting sqref="E416 E421">
    <cfRule type="containsText" dxfId="2262" priority="5188" operator="containsText" text="Pesquisa de Preços">
      <formula>NOT(ISERROR(SEARCH("Pesquisa de Preços",E416)))</formula>
    </cfRule>
  </conditionalFormatting>
  <conditionalFormatting sqref="E434">
    <cfRule type="containsText" dxfId="2261" priority="5182" operator="containsText" text="Pesquisa de Preços">
      <formula>NOT(ISERROR(SEARCH("Pesquisa de Preços",E434)))</formula>
    </cfRule>
  </conditionalFormatting>
  <conditionalFormatting sqref="E247">
    <cfRule type="containsText" dxfId="2260" priority="5227" operator="containsText" text="Pesquisa de Preços">
      <formula>NOT(ISERROR(SEARCH("Pesquisa de Preços",E247)))</formula>
    </cfRule>
  </conditionalFormatting>
  <conditionalFormatting sqref="E249:E250">
    <cfRule type="containsText" dxfId="2259" priority="5226" operator="containsText" text="Pesquisa de Preços">
      <formula>NOT(ISERROR(SEARCH("Pesquisa de Preços",E249)))</formula>
    </cfRule>
  </conditionalFormatting>
  <conditionalFormatting sqref="E248">
    <cfRule type="containsText" dxfId="2258" priority="5225" operator="containsText" text="Pesquisa de Preços">
      <formula>NOT(ISERROR(SEARCH("Pesquisa de Preços",E248)))</formula>
    </cfRule>
  </conditionalFormatting>
  <conditionalFormatting sqref="E1093:E1095">
    <cfRule type="containsText" dxfId="2257" priority="5037" operator="containsText" text="Pesquisa de Preços">
      <formula>NOT(ISERROR(SEARCH("Pesquisa de Preços",E1093)))</formula>
    </cfRule>
  </conditionalFormatting>
  <conditionalFormatting sqref="E251:E261">
    <cfRule type="containsText" dxfId="2256" priority="5224" operator="containsText" text="Pesquisa de Preços">
      <formula>NOT(ISERROR(SEARCH("Pesquisa de Preços",E251)))</formula>
    </cfRule>
  </conditionalFormatting>
  <conditionalFormatting sqref="E264:E265">
    <cfRule type="containsText" dxfId="2255" priority="5223" operator="containsText" text="Pesquisa de Preços">
      <formula>NOT(ISERROR(SEARCH("Pesquisa de Preços",E264)))</formula>
    </cfRule>
  </conditionalFormatting>
  <conditionalFormatting sqref="E263">
    <cfRule type="containsText" dxfId="2254" priority="5222" operator="containsText" text="Pesquisa de Preços">
      <formula>NOT(ISERROR(SEARCH("Pesquisa de Preços",E263)))</formula>
    </cfRule>
  </conditionalFormatting>
  <conditionalFormatting sqref="E277:E278 E281:E282">
    <cfRule type="containsText" dxfId="2253" priority="5221" operator="containsText" text="Pesquisa de Preços">
      <formula>NOT(ISERROR(SEARCH("Pesquisa de Preços",E277)))</formula>
    </cfRule>
  </conditionalFormatting>
  <conditionalFormatting sqref="E276">
    <cfRule type="containsText" dxfId="2252" priority="5220" operator="containsText" text="Pesquisa de Preços">
      <formula>NOT(ISERROR(SEARCH("Pesquisa de Preços",E276)))</formula>
    </cfRule>
  </conditionalFormatting>
  <conditionalFormatting sqref="E279:E280">
    <cfRule type="containsText" dxfId="2251" priority="5219" operator="containsText" text="Pesquisa de Preços">
      <formula>NOT(ISERROR(SEARCH("Pesquisa de Preços",E279)))</formula>
    </cfRule>
  </conditionalFormatting>
  <conditionalFormatting sqref="E284:E285 E288:E289">
    <cfRule type="containsText" dxfId="2250" priority="5218" operator="containsText" text="Pesquisa de Preços">
      <formula>NOT(ISERROR(SEARCH("Pesquisa de Preços",E284)))</formula>
    </cfRule>
  </conditionalFormatting>
  <conditionalFormatting sqref="E286:E287">
    <cfRule type="containsText" dxfId="2249" priority="5216" operator="containsText" text="Pesquisa de Preços">
      <formula>NOT(ISERROR(SEARCH("Pesquisa de Preços",E286)))</formula>
    </cfRule>
  </conditionalFormatting>
  <conditionalFormatting sqref="E269:E270 E274:E275">
    <cfRule type="containsText" dxfId="2248" priority="5215" operator="containsText" text="Pesquisa de Preços">
      <formula>NOT(ISERROR(SEARCH("Pesquisa de Preços",E269)))</formula>
    </cfRule>
  </conditionalFormatting>
  <conditionalFormatting sqref="E271:E273">
    <cfRule type="containsText" dxfId="2247" priority="5213" operator="containsText" text="Pesquisa de Preços">
      <formula>NOT(ISERROR(SEARCH("Pesquisa de Preços",E271)))</formula>
    </cfRule>
  </conditionalFormatting>
  <conditionalFormatting sqref="E320">
    <cfRule type="containsText" dxfId="2246" priority="5211" operator="containsText" text="Pesquisa de Preços">
      <formula>NOT(ISERROR(SEARCH("Pesquisa de Preços",E320)))</formula>
    </cfRule>
  </conditionalFormatting>
  <conditionalFormatting sqref="E532:E533 E535:E536">
    <cfRule type="containsText" dxfId="2245" priority="5159" operator="containsText" text="Pesquisa de Preços">
      <formula>NOT(ISERROR(SEARCH("Pesquisa de Preços",E532)))</formula>
    </cfRule>
  </conditionalFormatting>
  <conditionalFormatting sqref="E306">
    <cfRule type="containsText" dxfId="2244" priority="5210" operator="containsText" text="Pesquisa de Preços">
      <formula>NOT(ISERROR(SEARCH("Pesquisa de Preços",E306)))</formula>
    </cfRule>
  </conditionalFormatting>
  <conditionalFormatting sqref="E312:E314">
    <cfRule type="containsText" dxfId="2243" priority="5208" operator="containsText" text="Pesquisa de Preços">
      <formula>NOT(ISERROR(SEARCH("Pesquisa de Preços",E312)))</formula>
    </cfRule>
  </conditionalFormatting>
  <conditionalFormatting sqref="E341">
    <cfRule type="containsText" dxfId="2242" priority="5206" operator="containsText" text="Pesquisa de Preços">
      <formula>NOT(ISERROR(SEARCH("Pesquisa de Preços",E341)))</formula>
    </cfRule>
  </conditionalFormatting>
  <conditionalFormatting sqref="E1286">
    <cfRule type="containsText" dxfId="2241" priority="4961" operator="containsText" text="Pesquisa de Preços">
      <formula>NOT(ISERROR(SEARCH("Pesquisa de Preços",E1286)))</formula>
    </cfRule>
  </conditionalFormatting>
  <conditionalFormatting sqref="E352">
    <cfRule type="containsText" dxfId="2240" priority="5205" operator="containsText" text="Pesquisa de Preços">
      <formula>NOT(ISERROR(SEARCH("Pesquisa de Preços",E352)))</formula>
    </cfRule>
  </conditionalFormatting>
  <conditionalFormatting sqref="E351">
    <cfRule type="containsText" dxfId="2239" priority="5204" operator="containsText" text="Pesquisa de Preços">
      <formula>NOT(ISERROR(SEARCH("Pesquisa de Preços",E351)))</formula>
    </cfRule>
  </conditionalFormatting>
  <conditionalFormatting sqref="E355:E358">
    <cfRule type="containsText" dxfId="2238" priority="5203" operator="containsText" text="Pesquisa de Preços">
      <formula>NOT(ISERROR(SEARCH("Pesquisa de Preços",E355)))</formula>
    </cfRule>
  </conditionalFormatting>
  <conditionalFormatting sqref="E291:E292">
    <cfRule type="containsText" dxfId="2237" priority="5202" operator="containsText" text="Pesquisa de Preços">
      <formula>NOT(ISERROR(SEARCH("Pesquisa de Preços",E291)))</formula>
    </cfRule>
  </conditionalFormatting>
  <conditionalFormatting sqref="E298:E299">
    <cfRule type="containsText" dxfId="2236" priority="5200" operator="containsText" text="Pesquisa de Preços">
      <formula>NOT(ISERROR(SEARCH("Pesquisa de Preços",E298)))</formula>
    </cfRule>
  </conditionalFormatting>
  <conditionalFormatting sqref="E326">
    <cfRule type="containsText" dxfId="2235" priority="5198" operator="containsText" text="Pesquisa de Preços">
      <formula>NOT(ISERROR(SEARCH("Pesquisa de Preços",E326)))</formula>
    </cfRule>
  </conditionalFormatting>
  <conditionalFormatting sqref="E329:E339">
    <cfRule type="containsText" dxfId="2234" priority="5197" operator="containsText" text="Pesquisa de Preços">
      <formula>NOT(ISERROR(SEARCH("Pesquisa de Preços",E329)))</formula>
    </cfRule>
  </conditionalFormatting>
  <conditionalFormatting sqref="E366:E367 E369:E370">
    <cfRule type="containsText" dxfId="2233" priority="5196" operator="containsText" text="Pesquisa de Preços">
      <formula>NOT(ISERROR(SEARCH("Pesquisa de Preços",E366)))</formula>
    </cfRule>
  </conditionalFormatting>
  <conditionalFormatting sqref="E365">
    <cfRule type="containsText" dxfId="2232" priority="5195" operator="containsText" text="Pesquisa de Preços">
      <formula>NOT(ISERROR(SEARCH("Pesquisa de Preços",E365)))</formula>
    </cfRule>
  </conditionalFormatting>
  <conditionalFormatting sqref="E368">
    <cfRule type="containsText" dxfId="2231" priority="5194" operator="containsText" text="Pesquisa de Preços">
      <formula>NOT(ISERROR(SEARCH("Pesquisa de Preços",E368)))</formula>
    </cfRule>
  </conditionalFormatting>
  <conditionalFormatting sqref="E372:E373 E378:E379">
    <cfRule type="containsText" dxfId="2230" priority="5193" operator="containsText" text="Pesquisa de Preços">
      <formula>NOT(ISERROR(SEARCH("Pesquisa de Preços",E372)))</formula>
    </cfRule>
  </conditionalFormatting>
  <conditionalFormatting sqref="E371">
    <cfRule type="containsText" dxfId="2229" priority="5192" operator="containsText" text="Pesquisa de Preços">
      <formula>NOT(ISERROR(SEARCH("Pesquisa de Preços",E371)))</formula>
    </cfRule>
  </conditionalFormatting>
  <conditionalFormatting sqref="E374:E377">
    <cfRule type="containsText" dxfId="2228" priority="5191" operator="containsText" text="Pesquisa de Preços">
      <formula>NOT(ISERROR(SEARCH("Pesquisa de Preços",E374)))</formula>
    </cfRule>
  </conditionalFormatting>
  <conditionalFormatting sqref="E402">
    <cfRule type="containsText" dxfId="2227" priority="5190" operator="containsText" text="Pesquisa de Preços">
      <formula>NOT(ISERROR(SEARCH("Pesquisa de Preços",E402)))</formula>
    </cfRule>
  </conditionalFormatting>
  <conditionalFormatting sqref="E415">
    <cfRule type="containsText" dxfId="2226" priority="5187" operator="containsText" text="Pesquisa de Preços">
      <formula>NOT(ISERROR(SEARCH("Pesquisa de Preços",E415)))</formula>
    </cfRule>
  </conditionalFormatting>
  <conditionalFormatting sqref="E441:E442 E444:E445">
    <cfRule type="containsText" dxfId="2225" priority="5186" operator="containsText" text="Pesquisa de Preços">
      <formula>NOT(ISERROR(SEARCH("Pesquisa de Preços",E441)))</formula>
    </cfRule>
  </conditionalFormatting>
  <conditionalFormatting sqref="E440">
    <cfRule type="containsText" dxfId="2224" priority="5185" operator="containsText" text="Pesquisa de Preços">
      <formula>NOT(ISERROR(SEARCH("Pesquisa de Preços",E440)))</formula>
    </cfRule>
  </conditionalFormatting>
  <conditionalFormatting sqref="E443">
    <cfRule type="containsText" dxfId="2223" priority="5184" operator="containsText" text="Pesquisa de Preços">
      <formula>NOT(ISERROR(SEARCH("Pesquisa de Preços",E443)))</formula>
    </cfRule>
  </conditionalFormatting>
  <conditionalFormatting sqref="E435:E436 E438:E439">
    <cfRule type="containsText" dxfId="2222" priority="5183" operator="containsText" text="Pesquisa de Preços">
      <formula>NOT(ISERROR(SEARCH("Pesquisa de Preços",E435)))</formula>
    </cfRule>
  </conditionalFormatting>
  <conditionalFormatting sqref="E437">
    <cfRule type="containsText" dxfId="2221" priority="5181" operator="containsText" text="Pesquisa de Preços">
      <formula>NOT(ISERROR(SEARCH("Pesquisa de Preços",E437)))</formula>
    </cfRule>
  </conditionalFormatting>
  <conditionalFormatting sqref="E455:E456 E459:E463">
    <cfRule type="containsText" dxfId="2220" priority="5180" operator="containsText" text="Pesquisa de Preços">
      <formula>NOT(ISERROR(SEARCH("Pesquisa de Preços",E455)))</formula>
    </cfRule>
  </conditionalFormatting>
  <conditionalFormatting sqref="E454">
    <cfRule type="containsText" dxfId="2219" priority="5179" operator="containsText" text="Pesquisa de Preços">
      <formula>NOT(ISERROR(SEARCH("Pesquisa de Preços",E454)))</formula>
    </cfRule>
  </conditionalFormatting>
  <conditionalFormatting sqref="E458">
    <cfRule type="containsText" dxfId="2218" priority="5178" operator="containsText" text="Pesquisa de Preços">
      <formula>NOT(ISERROR(SEARCH("Pesquisa de Preços",E458)))</formula>
    </cfRule>
  </conditionalFormatting>
  <conditionalFormatting sqref="E465:E466 E469:E470">
    <cfRule type="containsText" dxfId="2217" priority="5177" operator="containsText" text="Pesquisa de Preços">
      <formula>NOT(ISERROR(SEARCH("Pesquisa de Preços",E465)))</formula>
    </cfRule>
  </conditionalFormatting>
  <conditionalFormatting sqref="E464">
    <cfRule type="containsText" dxfId="2216" priority="5176" operator="containsText" text="Pesquisa de Preços">
      <formula>NOT(ISERROR(SEARCH("Pesquisa de Preços",E464)))</formula>
    </cfRule>
  </conditionalFormatting>
  <conditionalFormatting sqref="E468">
    <cfRule type="containsText" dxfId="2215" priority="5175" operator="containsText" text="Pesquisa de Preços">
      <formula>NOT(ISERROR(SEARCH("Pesquisa de Preços",E468)))</formula>
    </cfRule>
  </conditionalFormatting>
  <conditionalFormatting sqref="E472 E482">
    <cfRule type="containsText" dxfId="2214" priority="5174" operator="containsText" text="Pesquisa de Preços">
      <formula>NOT(ISERROR(SEARCH("Pesquisa de Preços",E472)))</formula>
    </cfRule>
  </conditionalFormatting>
  <conditionalFormatting sqref="E471">
    <cfRule type="containsText" dxfId="2213" priority="5173" operator="containsText" text="Pesquisa de Preços">
      <formula>NOT(ISERROR(SEARCH("Pesquisa de Preços",E471)))</formula>
    </cfRule>
  </conditionalFormatting>
  <conditionalFormatting sqref="E447 E451 E453">
    <cfRule type="containsText" dxfId="2212" priority="5172" operator="containsText" text="Pesquisa de Preços">
      <formula>NOT(ISERROR(SEARCH("Pesquisa de Preços",E447)))</formula>
    </cfRule>
  </conditionalFormatting>
  <conditionalFormatting sqref="E446">
    <cfRule type="containsText" dxfId="2211" priority="5171" operator="containsText" text="Pesquisa de Preços">
      <formula>NOT(ISERROR(SEARCH("Pesquisa de Preços",E446)))</formula>
    </cfRule>
  </conditionalFormatting>
  <conditionalFormatting sqref="E484:E485 E487:E488">
    <cfRule type="containsText" dxfId="2210" priority="5170" operator="containsText" text="Pesquisa de Preços">
      <formula>NOT(ISERROR(SEARCH("Pesquisa de Preços",E484)))</formula>
    </cfRule>
  </conditionalFormatting>
  <conditionalFormatting sqref="E483">
    <cfRule type="containsText" dxfId="2209" priority="5169" operator="containsText" text="Pesquisa de Preços">
      <formula>NOT(ISERROR(SEARCH("Pesquisa de Preços",E483)))</formula>
    </cfRule>
  </conditionalFormatting>
  <conditionalFormatting sqref="E486">
    <cfRule type="containsText" dxfId="2208" priority="5168" operator="containsText" text="Pesquisa de Preços">
      <formula>NOT(ISERROR(SEARCH("Pesquisa de Preços",E486)))</formula>
    </cfRule>
  </conditionalFormatting>
  <conditionalFormatting sqref="E505:E506 E509:E510">
    <cfRule type="containsText" dxfId="2207" priority="5167" operator="containsText" text="Pesquisa de Preços">
      <formula>NOT(ISERROR(SEARCH("Pesquisa de Preços",E505)))</formula>
    </cfRule>
  </conditionalFormatting>
  <conditionalFormatting sqref="E504">
    <cfRule type="containsText" dxfId="2206" priority="5166" operator="containsText" text="Pesquisa de Preços">
      <formula>NOT(ISERROR(SEARCH("Pesquisa de Preços",E504)))</formula>
    </cfRule>
  </conditionalFormatting>
  <conditionalFormatting sqref="E1266">
    <cfRule type="containsText" dxfId="2205" priority="4974" operator="containsText" text="Pesquisa de Preços">
      <formula>NOT(ISERROR(SEARCH("Pesquisa de Preços",E1266)))</formula>
    </cfRule>
  </conditionalFormatting>
  <conditionalFormatting sqref="E507:E508">
    <cfRule type="containsText" dxfId="2204" priority="5165" operator="containsText" text="Pesquisa de Preços">
      <formula>NOT(ISERROR(SEARCH("Pesquisa de Preços",E507)))</formula>
    </cfRule>
  </conditionalFormatting>
  <conditionalFormatting sqref="E498 E503">
    <cfRule type="containsText" dxfId="2203" priority="5164" operator="containsText" text="Pesquisa de Preços">
      <formula>NOT(ISERROR(SEARCH("Pesquisa de Preços",E498)))</formula>
    </cfRule>
  </conditionalFormatting>
  <conditionalFormatting sqref="E497">
    <cfRule type="containsText" dxfId="2202" priority="5163" operator="containsText" text="Pesquisa de Preços">
      <formula>NOT(ISERROR(SEARCH("Pesquisa de Preços",E497)))</formula>
    </cfRule>
  </conditionalFormatting>
  <conditionalFormatting sqref="E1300">
    <cfRule type="containsText" dxfId="2201" priority="4971" operator="containsText" text="Pesquisa de Preços">
      <formula>NOT(ISERROR(SEARCH("Pesquisa de Preços",E1300)))</formula>
    </cfRule>
  </conditionalFormatting>
  <conditionalFormatting sqref="E512:E513 E515:E516">
    <cfRule type="containsText" dxfId="2200" priority="5162" operator="containsText" text="Pesquisa de Preços">
      <formula>NOT(ISERROR(SEARCH("Pesquisa de Preços",E512)))</formula>
    </cfRule>
  </conditionalFormatting>
  <conditionalFormatting sqref="E511">
    <cfRule type="containsText" dxfId="2199" priority="5161" operator="containsText" text="Pesquisa de Preços">
      <formula>NOT(ISERROR(SEARCH("Pesquisa de Preços",E511)))</formula>
    </cfRule>
  </conditionalFormatting>
  <conditionalFormatting sqref="E1308">
    <cfRule type="containsText" dxfId="2198" priority="4968" operator="containsText" text="Pesquisa de Preços">
      <formula>NOT(ISERROR(SEARCH("Pesquisa de Preços",E1308)))</formula>
    </cfRule>
  </conditionalFormatting>
  <conditionalFormatting sqref="E531">
    <cfRule type="containsText" dxfId="2197" priority="5158" operator="containsText" text="Pesquisa de Preços">
      <formula>NOT(ISERROR(SEARCH("Pesquisa de Preços",E531)))</formula>
    </cfRule>
  </conditionalFormatting>
  <conditionalFormatting sqref="E1272">
    <cfRule type="containsText" dxfId="2196" priority="4966" operator="containsText" text="Pesquisa de Preços">
      <formula>NOT(ISERROR(SEARCH("Pesquisa de Preços",E1272)))</formula>
    </cfRule>
  </conditionalFormatting>
  <conditionalFormatting sqref="E534">
    <cfRule type="containsText" dxfId="2195" priority="5157" operator="containsText" text="Pesquisa de Preços">
      <formula>NOT(ISERROR(SEARCH("Pesquisa de Preços",E534)))</formula>
    </cfRule>
  </conditionalFormatting>
  <conditionalFormatting sqref="E489">
    <cfRule type="containsText" dxfId="2194" priority="5155" operator="containsText" text="Pesquisa de Preços">
      <formula>NOT(ISERROR(SEARCH("Pesquisa de Preços",E489)))</formula>
    </cfRule>
  </conditionalFormatting>
  <conditionalFormatting sqref="E1279">
    <cfRule type="containsText" dxfId="2193" priority="4963" operator="containsText" text="Pesquisa de Preços">
      <formula>NOT(ISERROR(SEARCH("Pesquisa de Preços",E1279)))</formula>
    </cfRule>
  </conditionalFormatting>
  <conditionalFormatting sqref="E525:E530">
    <cfRule type="containsText" dxfId="2192" priority="5154" operator="containsText" text="Pesquisa de Preços">
      <formula>NOT(ISERROR(SEARCH("Pesquisa de Preços",E525)))</formula>
    </cfRule>
  </conditionalFormatting>
  <conditionalFormatting sqref="E524">
    <cfRule type="containsText" dxfId="2191" priority="5153" operator="containsText" text="Pesquisa de Preços">
      <formula>NOT(ISERROR(SEARCH("Pesquisa de Preços",E524)))</formula>
    </cfRule>
  </conditionalFormatting>
  <conditionalFormatting sqref="E518 E523">
    <cfRule type="containsText" dxfId="2190" priority="5151" operator="containsText" text="Pesquisa de Preços">
      <formula>NOT(ISERROR(SEARCH("Pesquisa de Preços",E518)))</formula>
    </cfRule>
  </conditionalFormatting>
  <conditionalFormatting sqref="E517">
    <cfRule type="containsText" dxfId="2189" priority="5150" operator="containsText" text="Pesquisa de Preços">
      <formula>NOT(ISERROR(SEARCH("Pesquisa de Preços",E517)))</formula>
    </cfRule>
  </conditionalFormatting>
  <conditionalFormatting sqref="E1293">
    <cfRule type="containsText" dxfId="2188" priority="4959" operator="containsText" text="Pesquisa de Preços">
      <formula>NOT(ISERROR(SEARCH("Pesquisa de Preços",E1293)))</formula>
    </cfRule>
  </conditionalFormatting>
  <conditionalFormatting sqref="E546:E547 E551:E552">
    <cfRule type="containsText" dxfId="2187" priority="5149" operator="containsText" text="Pesquisa de Preços">
      <formula>NOT(ISERROR(SEARCH("Pesquisa de Preços",E546)))</formula>
    </cfRule>
  </conditionalFormatting>
  <conditionalFormatting sqref="E1335">
    <cfRule type="containsText" dxfId="2186" priority="4957" operator="containsText" text="Pesquisa de Preços">
      <formula>NOT(ISERROR(SEARCH("Pesquisa de Preços",E1335)))</formula>
    </cfRule>
  </conditionalFormatting>
  <conditionalFormatting sqref="E548:E550">
    <cfRule type="containsText" dxfId="2185" priority="5147" operator="containsText" text="Pesquisa de Preços">
      <formula>NOT(ISERROR(SEARCH("Pesquisa de Preços",E548)))</formula>
    </cfRule>
  </conditionalFormatting>
  <conditionalFormatting sqref="E554:E555 E559:E560">
    <cfRule type="containsText" dxfId="2184" priority="5146" operator="containsText" text="Pesquisa de Preços">
      <formula>NOT(ISERROR(SEARCH("Pesquisa de Preços",E554)))</formula>
    </cfRule>
  </conditionalFormatting>
  <conditionalFormatting sqref="E1329">
    <cfRule type="containsText" dxfId="2183" priority="4955" operator="containsText" text="Pesquisa de Preços">
      <formula>NOT(ISERROR(SEARCH("Pesquisa de Preços",E1329)))</formula>
    </cfRule>
  </conditionalFormatting>
  <conditionalFormatting sqref="E556:E558">
    <cfRule type="containsText" dxfId="2182" priority="5144" operator="containsText" text="Pesquisa de Preços">
      <formula>NOT(ISERROR(SEARCH("Pesquisa de Preços",E556)))</formula>
    </cfRule>
  </conditionalFormatting>
  <conditionalFormatting sqref="E538:E539 E543:E544">
    <cfRule type="containsText" dxfId="2181" priority="5143" operator="containsText" text="Pesquisa de Preços">
      <formula>NOT(ISERROR(SEARCH("Pesquisa de Preços",E538)))</formula>
    </cfRule>
  </conditionalFormatting>
  <conditionalFormatting sqref="E537">
    <cfRule type="containsText" dxfId="2180" priority="5142" operator="containsText" text="Pesquisa de Preços">
      <formula>NOT(ISERROR(SEARCH("Pesquisa de Preços",E537)))</formula>
    </cfRule>
  </conditionalFormatting>
  <conditionalFormatting sqref="E1323">
    <cfRule type="containsText" dxfId="2179" priority="4953" operator="containsText" text="Pesquisa de Preços">
      <formula>NOT(ISERROR(SEARCH("Pesquisa de Preços",E1323)))</formula>
    </cfRule>
  </conditionalFormatting>
  <conditionalFormatting sqref="E540:E542">
    <cfRule type="containsText" dxfId="2178" priority="5141" operator="containsText" text="Pesquisa de Preços">
      <formula>NOT(ISERROR(SEARCH("Pesquisa de Preços",E540)))</formula>
    </cfRule>
  </conditionalFormatting>
  <conditionalFormatting sqref="E562:E563 E567:E568">
    <cfRule type="containsText" dxfId="2177" priority="5140" operator="containsText" text="Pesquisa de Preços">
      <formula>NOT(ISERROR(SEARCH("Pesquisa de Preços",E562)))</formula>
    </cfRule>
  </conditionalFormatting>
  <conditionalFormatting sqref="E561">
    <cfRule type="containsText" dxfId="2176" priority="5139" operator="containsText" text="Pesquisa de Preços">
      <formula>NOT(ISERROR(SEARCH("Pesquisa de Preços",E561)))</formula>
    </cfRule>
  </conditionalFormatting>
  <conditionalFormatting sqref="E1317">
    <cfRule type="containsText" dxfId="2175" priority="4951" operator="containsText" text="Pesquisa de Preços">
      <formula>NOT(ISERROR(SEARCH("Pesquisa de Preços",E1317)))</formula>
    </cfRule>
  </conditionalFormatting>
  <conditionalFormatting sqref="E564:E566">
    <cfRule type="containsText" dxfId="2174" priority="5138" operator="containsText" text="Pesquisa de Preços">
      <formula>NOT(ISERROR(SEARCH("Pesquisa de Preços",E564)))</formula>
    </cfRule>
  </conditionalFormatting>
  <conditionalFormatting sqref="E570:E571">
    <cfRule type="containsText" dxfId="2173" priority="5137" operator="containsText" text="Pesquisa de Preços">
      <formula>NOT(ISERROR(SEARCH("Pesquisa de Preços",E570)))</formula>
    </cfRule>
  </conditionalFormatting>
  <conditionalFormatting sqref="E1341">
    <cfRule type="containsText" dxfId="2172" priority="4949" operator="containsText" text="Pesquisa de Preços">
      <formula>NOT(ISERROR(SEARCH("Pesquisa de Preços",E1341)))</formula>
    </cfRule>
  </conditionalFormatting>
  <conditionalFormatting sqref="E580:E581 E584:E587">
    <cfRule type="containsText" dxfId="2171" priority="5135" operator="containsText" text="Pesquisa de Preços">
      <formula>NOT(ISERROR(SEARCH("Pesquisa de Preços",E580)))</formula>
    </cfRule>
  </conditionalFormatting>
  <conditionalFormatting sqref="E1354">
    <cfRule type="containsText" dxfId="2170" priority="4946" operator="containsText" text="Pesquisa de Preços">
      <formula>NOT(ISERROR(SEARCH("Pesquisa de Preços",E1354)))</formula>
    </cfRule>
  </conditionalFormatting>
  <conditionalFormatting sqref="E582:E583">
    <cfRule type="containsText" dxfId="2169" priority="5133" operator="containsText" text="Pesquisa de Preços">
      <formula>NOT(ISERROR(SEARCH("Pesquisa de Preços",E582)))</formula>
    </cfRule>
  </conditionalFormatting>
  <conditionalFormatting sqref="E622 E627:E628">
    <cfRule type="containsText" dxfId="2168" priority="5132" operator="containsText" text="Pesquisa de Preços">
      <formula>NOT(ISERROR(SEARCH("Pesquisa de Preços",E622)))</formula>
    </cfRule>
  </conditionalFormatting>
  <conditionalFormatting sqref="E621">
    <cfRule type="containsText" dxfId="2167" priority="5131" operator="containsText" text="Pesquisa de Preços">
      <formula>NOT(ISERROR(SEARCH("Pesquisa de Preços",E621)))</formula>
    </cfRule>
  </conditionalFormatting>
  <conditionalFormatting sqref="E1348">
    <cfRule type="containsText" dxfId="2166" priority="4943" operator="containsText" text="Pesquisa de Preços">
      <formula>NOT(ISERROR(SEARCH("Pesquisa de Preços",E1348)))</formula>
    </cfRule>
  </conditionalFormatting>
  <conditionalFormatting sqref="E1465">
    <cfRule type="containsText" dxfId="2165" priority="4906" operator="containsText" text="Pesquisa de Preços">
      <formula>NOT(ISERROR(SEARCH("Pesquisa de Preços",E1465)))</formula>
    </cfRule>
  </conditionalFormatting>
  <conditionalFormatting sqref="E832">
    <cfRule type="containsText" dxfId="2164" priority="5112" operator="containsText" text="Pesquisa de Preços">
      <formula>NOT(ISERROR(SEARCH("Pesquisa de Preços",E832)))</formula>
    </cfRule>
  </conditionalFormatting>
  <conditionalFormatting sqref="E1578">
    <cfRule type="containsText" dxfId="2163" priority="4902" operator="containsText" text="Pesquisa de Preços">
      <formula>NOT(ISERROR(SEARCH("Pesquisa de Preços",E1578)))</formula>
    </cfRule>
  </conditionalFormatting>
  <conditionalFormatting sqref="E748">
    <cfRule type="containsText" dxfId="2162" priority="5108" operator="containsText" text="Pesquisa de Preços">
      <formula>NOT(ISERROR(SEARCH("Pesquisa de Preços",E748)))</formula>
    </cfRule>
  </conditionalFormatting>
  <conditionalFormatting sqref="E676">
    <cfRule type="containsText" dxfId="2161" priority="5129" operator="containsText" text="Pesquisa de Preços">
      <formula>NOT(ISERROR(SEARCH("Pesquisa de Preços",E676)))</formula>
    </cfRule>
  </conditionalFormatting>
  <conditionalFormatting sqref="E668">
    <cfRule type="containsText" dxfId="2160" priority="5127" operator="containsText" text="Pesquisa de Preços">
      <formula>NOT(ISERROR(SEARCH("Pesquisa de Preços",E668)))</formula>
    </cfRule>
  </conditionalFormatting>
  <conditionalFormatting sqref="E714">
    <cfRule type="containsText" dxfId="2159" priority="5122" operator="containsText" text="Pesquisa de Preços">
      <formula>NOT(ISERROR(SEARCH("Pesquisa de Preços",E714)))</formula>
    </cfRule>
  </conditionalFormatting>
  <conditionalFormatting sqref="E686">
    <cfRule type="containsText" dxfId="2158" priority="5125" operator="containsText" text="Pesquisa de Preços">
      <formula>NOT(ISERROR(SEARCH("Pesquisa de Preços",E686)))</formula>
    </cfRule>
  </conditionalFormatting>
  <conditionalFormatting sqref="E758:E764">
    <cfRule type="containsText" dxfId="2157" priority="5104" operator="containsText" text="Pesquisa de Preços">
      <formula>NOT(ISERROR(SEARCH("Pesquisa de Preços",E758)))</formula>
    </cfRule>
  </conditionalFormatting>
  <conditionalFormatting sqref="E689:E691">
    <cfRule type="containsText" dxfId="2156" priority="5124" operator="containsText" text="Pesquisa de Preços">
      <formula>NOT(ISERROR(SEARCH("Pesquisa de Preços",E689)))</formula>
    </cfRule>
  </conditionalFormatting>
  <conditionalFormatting sqref="E724">
    <cfRule type="containsText" dxfId="2155" priority="5119" operator="containsText" text="Pesquisa de Preços">
      <formula>NOT(ISERROR(SEARCH("Pesquisa de Preços",E724)))</formula>
    </cfRule>
  </conditionalFormatting>
  <conditionalFormatting sqref="E730">
    <cfRule type="containsText" dxfId="2154" priority="5120" operator="containsText" text="Pesquisa de Preços">
      <formula>NOT(ISERROR(SEARCH("Pesquisa de Preços",E730)))</formula>
    </cfRule>
  </conditionalFormatting>
  <conditionalFormatting sqref="E827">
    <cfRule type="containsText" dxfId="2153" priority="5100" operator="containsText" text="Pesquisa de Preços">
      <formula>NOT(ISERROR(SEARCH("Pesquisa de Preços",E827)))</formula>
    </cfRule>
  </conditionalFormatting>
  <conditionalFormatting sqref="E723">
    <cfRule type="containsText" dxfId="2152" priority="5118" operator="containsText" text="Pesquisa de Preços">
      <formula>NOT(ISERROR(SEARCH("Pesquisa de Preços",E723)))</formula>
    </cfRule>
  </conditionalFormatting>
  <conditionalFormatting sqref="E767">
    <cfRule type="containsText" dxfId="2151" priority="5095" operator="containsText" text="Pesquisa de Preços">
      <formula>NOT(ISERROR(SEARCH("Pesquisa de Preços",E767)))</formula>
    </cfRule>
  </conditionalFormatting>
  <conditionalFormatting sqref="E839">
    <cfRule type="containsText" dxfId="2150" priority="5089" operator="containsText" text="Pesquisa de Preços">
      <formula>NOT(ISERROR(SEARCH("Pesquisa de Preços",E839)))</formula>
    </cfRule>
  </conditionalFormatting>
  <conditionalFormatting sqref="E745:E746">
    <cfRule type="containsText" dxfId="2149" priority="5117" operator="containsText" text="Pesquisa de Preços">
      <formula>NOT(ISERROR(SEARCH("Pesquisa de Preços",E745)))</formula>
    </cfRule>
  </conditionalFormatting>
  <conditionalFormatting sqref="E744">
    <cfRule type="containsText" dxfId="2148" priority="5116" operator="containsText" text="Pesquisa de Preços">
      <formula>NOT(ISERROR(SEARCH("Pesquisa de Preços",E744)))</formula>
    </cfRule>
  </conditionalFormatting>
  <conditionalFormatting sqref="E1420">
    <cfRule type="containsText" dxfId="2147" priority="4908" operator="containsText" text="Pesquisa de Preços">
      <formula>NOT(ISERROR(SEARCH("Pesquisa de Preços",E1420)))</formula>
    </cfRule>
  </conditionalFormatting>
  <conditionalFormatting sqref="E790">
    <cfRule type="containsText" dxfId="2146" priority="5114" operator="containsText" text="Pesquisa de Preços">
      <formula>NOT(ISERROR(SEARCH("Pesquisa de Preços",E790)))</formula>
    </cfRule>
  </conditionalFormatting>
  <conditionalFormatting sqref="E814">
    <cfRule type="containsText" dxfId="2145" priority="5110" operator="containsText" text="Pesquisa de Preços">
      <formula>NOT(ISERROR(SEARCH("Pesquisa de Preços",E814)))</formula>
    </cfRule>
  </conditionalFormatting>
  <conditionalFormatting sqref="E751:E752">
    <cfRule type="containsText" dxfId="2144" priority="5107" operator="containsText" text="Pesquisa de Preços">
      <formula>NOT(ISERROR(SEARCH("Pesquisa de Preços",E751)))</formula>
    </cfRule>
  </conditionalFormatting>
  <conditionalFormatting sqref="E755">
    <cfRule type="containsText" dxfId="2143" priority="5105" operator="containsText" text="Pesquisa de Preços">
      <formula>NOT(ISERROR(SEARCH("Pesquisa de Preços",E755)))</formula>
    </cfRule>
  </conditionalFormatting>
  <conditionalFormatting sqref="E948">
    <cfRule type="containsText" dxfId="2142" priority="5072" operator="containsText" text="Pesquisa de Preços">
      <formula>NOT(ISERROR(SEARCH("Pesquisa de Preços",E948)))</formula>
    </cfRule>
  </conditionalFormatting>
  <conditionalFormatting sqref="E823">
    <cfRule type="containsText" dxfId="2141" priority="5102" operator="containsText" text="Pesquisa de Preços">
      <formula>NOT(ISERROR(SEARCH("Pesquisa de Preços",E823)))</formula>
    </cfRule>
  </conditionalFormatting>
  <conditionalFormatting sqref="E1669">
    <cfRule type="containsText" dxfId="2140" priority="4866" operator="containsText" text="Pesquisa de Preços">
      <formula>NOT(ISERROR(SEARCH("Pesquisa de Preços",E1669)))</formula>
    </cfRule>
  </conditionalFormatting>
  <conditionalFormatting sqref="E804">
    <cfRule type="containsText" dxfId="2139" priority="5098" operator="containsText" text="Pesquisa de Preços">
      <formula>NOT(ISERROR(SEARCH("Pesquisa de Preços",E804)))</formula>
    </cfRule>
  </conditionalFormatting>
  <conditionalFormatting sqref="E980">
    <cfRule type="containsText" dxfId="2138" priority="5066" operator="containsText" text="Pesquisa de Preços">
      <formula>NOT(ISERROR(SEARCH("Pesquisa de Preços",E980)))</formula>
    </cfRule>
  </conditionalFormatting>
  <conditionalFormatting sqref="E819 E822">
    <cfRule type="containsText" dxfId="2137" priority="5097" operator="containsText" text="Pesquisa de Preços">
      <formula>NOT(ISERROR(SEARCH("Pesquisa de Preços",E819)))</formula>
    </cfRule>
  </conditionalFormatting>
  <conditionalFormatting sqref="E818">
    <cfRule type="containsText" dxfId="2136" priority="5096" operator="containsText" text="Pesquisa de Preços">
      <formula>NOT(ISERROR(SEARCH("Pesquisa de Preços",E818)))</formula>
    </cfRule>
  </conditionalFormatting>
  <conditionalFormatting sqref="E983:E988">
    <cfRule type="containsText" dxfId="2135" priority="5065" operator="containsText" text="Pesquisa de Preços">
      <formula>NOT(ISERROR(SEARCH("Pesquisa de Preços",E983)))</formula>
    </cfRule>
  </conditionalFormatting>
  <conditionalFormatting sqref="E766">
    <cfRule type="containsText" dxfId="2134" priority="5094" operator="containsText" text="Pesquisa de Preços">
      <formula>NOT(ISERROR(SEARCH("Pesquisa de Preços",E766)))</formula>
    </cfRule>
  </conditionalFormatting>
  <conditionalFormatting sqref="E1012">
    <cfRule type="containsText" dxfId="2133" priority="5060" operator="containsText" text="Pesquisa de Preços">
      <formula>NOT(ISERROR(SEARCH("Pesquisa de Preços",E1012)))</formula>
    </cfRule>
  </conditionalFormatting>
  <conditionalFormatting sqref="E184:E185">
    <cfRule type="containsText" dxfId="2132" priority="5093" operator="containsText" text="Pesquisa de Preços">
      <formula>NOT(ISERROR(SEARCH("Pesquisa de Preços",E184)))</formula>
    </cfRule>
  </conditionalFormatting>
  <conditionalFormatting sqref="E183">
    <cfRule type="containsText" dxfId="2131" priority="5092" operator="containsText" text="Pesquisa de Preços">
      <formula>NOT(ISERROR(SEARCH("Pesquisa de Preços",E183)))</formula>
    </cfRule>
  </conditionalFormatting>
  <conditionalFormatting sqref="E1015:E1018">
    <cfRule type="containsText" dxfId="2130" priority="5059" operator="containsText" text="Pesquisa de Preços">
      <formula>NOT(ISERROR(SEARCH("Pesquisa de Preços",E1015)))</formula>
    </cfRule>
  </conditionalFormatting>
  <conditionalFormatting sqref="E186:E188">
    <cfRule type="containsText" dxfId="2129" priority="5091" operator="containsText" text="Pesquisa de Preços">
      <formula>NOT(ISERROR(SEARCH("Pesquisa de Preços",E186)))</formula>
    </cfRule>
  </conditionalFormatting>
  <conditionalFormatting sqref="E840 E843:E844">
    <cfRule type="containsText" dxfId="2128" priority="5090" operator="containsText" text="Pesquisa de Preços">
      <formula>NOT(ISERROR(SEARCH("Pesquisa de Preços",E840)))</formula>
    </cfRule>
  </conditionalFormatting>
  <conditionalFormatting sqref="E1713">
    <cfRule type="containsText" dxfId="2127" priority="4858" operator="containsText" text="Pesquisa de Preços">
      <formula>NOT(ISERROR(SEARCH("Pesquisa de Preços",E1713)))</formula>
    </cfRule>
  </conditionalFormatting>
  <conditionalFormatting sqref="E842">
    <cfRule type="containsText" dxfId="2126" priority="5088" operator="containsText" text="Pesquisa de Preços">
      <formula>NOT(ISERROR(SEARCH("Pesquisa de Preços",E842)))</formula>
    </cfRule>
  </conditionalFormatting>
  <conditionalFormatting sqref="E914:E920">
    <cfRule type="containsText" dxfId="2125" priority="5087" operator="containsText" text="Pesquisa de Preços">
      <formula>NOT(ISERROR(SEARCH("Pesquisa de Preços",E914)))</formula>
    </cfRule>
  </conditionalFormatting>
  <conditionalFormatting sqref="E913">
    <cfRule type="containsText" dxfId="2124" priority="5086" operator="containsText" text="Pesquisa de Preços">
      <formula>NOT(ISERROR(SEARCH("Pesquisa de Preços",E913)))</formula>
    </cfRule>
  </conditionalFormatting>
  <conditionalFormatting sqref="E939:E945">
    <cfRule type="containsText" dxfId="2123" priority="5085" operator="containsText" text="Pesquisa de Preços">
      <formula>NOT(ISERROR(SEARCH("Pesquisa de Preços",E939)))</formula>
    </cfRule>
  </conditionalFormatting>
  <conditionalFormatting sqref="E938">
    <cfRule type="containsText" dxfId="2122" priority="5084" operator="containsText" text="Pesquisa de Preços">
      <formula>NOT(ISERROR(SEARCH("Pesquisa de Preços",E938)))</formula>
    </cfRule>
  </conditionalFormatting>
  <conditionalFormatting sqref="E1635">
    <cfRule type="containsText" dxfId="2121" priority="4880" operator="containsText" text="Pesquisa de Preços">
      <formula>NOT(ISERROR(SEARCH("Pesquisa de Preços",E1635)))</formula>
    </cfRule>
  </conditionalFormatting>
  <conditionalFormatting sqref="E930">
    <cfRule type="containsText" dxfId="2120" priority="5083" operator="containsText" text="Pesquisa de Preços">
      <formula>NOT(ISERROR(SEARCH("Pesquisa de Preços",E930)))</formula>
    </cfRule>
  </conditionalFormatting>
  <conditionalFormatting sqref="E929">
    <cfRule type="containsText" dxfId="2119" priority="5082" operator="containsText" text="Pesquisa de Preços">
      <formula>NOT(ISERROR(SEARCH("Pesquisa de Preços",E929)))</formula>
    </cfRule>
  </conditionalFormatting>
  <conditionalFormatting sqref="E1640">
    <cfRule type="containsText" dxfId="2118" priority="4878" operator="containsText" text="Pesquisa de Preços">
      <formula>NOT(ISERROR(SEARCH("Pesquisa de Preços",E1640)))</formula>
    </cfRule>
  </conditionalFormatting>
  <conditionalFormatting sqref="E922">
    <cfRule type="containsText" dxfId="2117" priority="5080" operator="containsText" text="Pesquisa de Preços">
      <formula>NOT(ISERROR(SEARCH("Pesquisa de Preços",E922)))</formula>
    </cfRule>
  </conditionalFormatting>
  <conditionalFormatting sqref="E923 E928">
    <cfRule type="containsText" dxfId="2116" priority="5081" operator="containsText" text="Pesquisa de Preços">
      <formula>NOT(ISERROR(SEARCH("Pesquisa de Preços",E923)))</formula>
    </cfRule>
  </conditionalFormatting>
  <conditionalFormatting sqref="E1611">
    <cfRule type="containsText" dxfId="2115" priority="4874" operator="containsText" text="Pesquisa de Preços">
      <formula>NOT(ISERROR(SEARCH("Pesquisa de Preços",E1611)))</formula>
    </cfRule>
  </conditionalFormatting>
  <conditionalFormatting sqref="E969:E971">
    <cfRule type="containsText" dxfId="2114" priority="5077" operator="containsText" text="Pesquisa de Preços">
      <formula>NOT(ISERROR(SEARCH("Pesquisa de Preços",E969)))</formula>
    </cfRule>
  </conditionalFormatting>
  <conditionalFormatting sqref="E967:E968">
    <cfRule type="containsText" dxfId="2113" priority="5079" operator="containsText" text="Pesquisa de Preços">
      <formula>NOT(ISERROR(SEARCH("Pesquisa de Preços",E967)))</formula>
    </cfRule>
  </conditionalFormatting>
  <conditionalFormatting sqref="E966">
    <cfRule type="containsText" dxfId="2112" priority="5078" operator="containsText" text="Pesquisa de Preços">
      <formula>NOT(ISERROR(SEARCH("Pesquisa de Preços",E966)))</formula>
    </cfRule>
  </conditionalFormatting>
  <conditionalFormatting sqref="E960">
    <cfRule type="containsText" dxfId="2111" priority="5076" operator="containsText" text="Pesquisa de Preços">
      <formula>NOT(ISERROR(SEARCH("Pesquisa de Preços",E960)))</formula>
    </cfRule>
  </conditionalFormatting>
  <conditionalFormatting sqref="E959">
    <cfRule type="containsText" dxfId="2110" priority="5075" operator="containsText" text="Pesquisa de Preços">
      <formula>NOT(ISERROR(SEARCH("Pesquisa de Preços",E959)))</formula>
    </cfRule>
  </conditionalFormatting>
  <conditionalFormatting sqref="E954 E958">
    <cfRule type="containsText" dxfId="2109" priority="5074" operator="containsText" text="Pesquisa de Preços">
      <formula>NOT(ISERROR(SEARCH("Pesquisa de Preços",E954)))</formula>
    </cfRule>
  </conditionalFormatting>
  <conditionalFormatting sqref="E953">
    <cfRule type="containsText" dxfId="2108" priority="5073" operator="containsText" text="Pesquisa de Preços">
      <formula>NOT(ISERROR(SEARCH("Pesquisa de Preços",E953)))</formula>
    </cfRule>
  </conditionalFormatting>
  <conditionalFormatting sqref="E1059">
    <cfRule type="containsText" dxfId="2107" priority="5040" operator="containsText" text="Pesquisa de Preços">
      <formula>NOT(ISERROR(SEARCH("Pesquisa de Preços",E1059)))</formula>
    </cfRule>
  </conditionalFormatting>
  <conditionalFormatting sqref="E973">
    <cfRule type="containsText" dxfId="2106" priority="5069" operator="containsText" text="Pesquisa de Preços">
      <formula>NOT(ISERROR(SEARCH("Pesquisa de Preços",E973)))</formula>
    </cfRule>
  </conditionalFormatting>
  <conditionalFormatting sqref="E947">
    <cfRule type="containsText" dxfId="2105" priority="5071" operator="containsText" text="Pesquisa de Preços">
      <formula>NOT(ISERROR(SEARCH("Pesquisa de Preços",E947)))</formula>
    </cfRule>
  </conditionalFormatting>
  <conditionalFormatting sqref="E974:E975 E978:E979">
    <cfRule type="containsText" dxfId="2104" priority="5070" operator="containsText" text="Pesquisa de Preços">
      <formula>NOT(ISERROR(SEARCH("Pesquisa de Preços",E974)))</formula>
    </cfRule>
  </conditionalFormatting>
  <conditionalFormatting sqref="E976:E977">
    <cfRule type="containsText" dxfId="2103" priority="5068" operator="containsText" text="Pesquisa de Preços">
      <formula>NOT(ISERROR(SEARCH("Pesquisa de Preços",E976)))</formula>
    </cfRule>
  </conditionalFormatting>
  <conditionalFormatting sqref="E981:E982 E989:E990">
    <cfRule type="containsText" dxfId="2102" priority="5067" operator="containsText" text="Pesquisa de Preços">
      <formula>NOT(ISERROR(SEARCH("Pesquisa de Preços",E981)))</formula>
    </cfRule>
  </conditionalFormatting>
  <conditionalFormatting sqref="E1658">
    <cfRule type="containsText" dxfId="2101" priority="4864" operator="containsText" text="Pesquisa de Preços">
      <formula>NOT(ISERROR(SEARCH("Pesquisa de Preços",E1658)))</formula>
    </cfRule>
  </conditionalFormatting>
  <conditionalFormatting sqref="E992:E993 E1000:E1001">
    <cfRule type="containsText" dxfId="2100" priority="5064" operator="containsText" text="Pesquisa de Preços">
      <formula>NOT(ISERROR(SEARCH("Pesquisa de Preços",E992)))</formula>
    </cfRule>
  </conditionalFormatting>
  <conditionalFormatting sqref="E991">
    <cfRule type="containsText" dxfId="2099" priority="5063" operator="containsText" text="Pesquisa de Preços">
      <formula>NOT(ISERROR(SEARCH("Pesquisa de Preços",E991)))</formula>
    </cfRule>
  </conditionalFormatting>
  <conditionalFormatting sqref="E1735">
    <cfRule type="containsText" dxfId="2098" priority="4862" operator="containsText" text="Pesquisa de Preços">
      <formula>NOT(ISERROR(SEARCH("Pesquisa de Preços",E1735)))</formula>
    </cfRule>
  </conditionalFormatting>
  <conditionalFormatting sqref="E998:E999 E994:E996">
    <cfRule type="containsText" dxfId="2097" priority="5062" operator="containsText" text="Pesquisa de Preços">
      <formula>NOT(ISERROR(SEARCH("Pesquisa de Preços",E994)))</formula>
    </cfRule>
  </conditionalFormatting>
  <conditionalFormatting sqref="E1013:E1014 E1019:E1020">
    <cfRule type="containsText" dxfId="2096" priority="5061" operator="containsText" text="Pesquisa de Preços">
      <formula>NOT(ISERROR(SEARCH("Pesquisa de Preços",E1013)))</formula>
    </cfRule>
  </conditionalFormatting>
  <conditionalFormatting sqref="E1746">
    <cfRule type="containsText" dxfId="2095" priority="4860" operator="containsText" text="Pesquisa de Preços">
      <formula>NOT(ISERROR(SEARCH("Pesquisa de Preços",E1746)))</formula>
    </cfRule>
  </conditionalFormatting>
  <conditionalFormatting sqref="E1003:E1004">
    <cfRule type="containsText" dxfId="2094" priority="5058" operator="containsText" text="Pesquisa de Preços">
      <formula>NOT(ISERROR(SEARCH("Pesquisa de Preços",E1003)))</formula>
    </cfRule>
  </conditionalFormatting>
  <conditionalFormatting sqref="E1002">
    <cfRule type="containsText" dxfId="2093" priority="5057" operator="containsText" text="Pesquisa de Preços">
      <formula>NOT(ISERROR(SEARCH("Pesquisa de Preços",E1002)))</formula>
    </cfRule>
  </conditionalFormatting>
  <conditionalFormatting sqref="E1007">
    <cfRule type="containsText" dxfId="2092" priority="5055" operator="containsText" text="Pesquisa de Preços">
      <formula>NOT(ISERROR(SEARCH("Pesquisa de Preços",E1007)))</formula>
    </cfRule>
  </conditionalFormatting>
  <conditionalFormatting sqref="E1008:E1009">
    <cfRule type="containsText" dxfId="2091" priority="5056" operator="containsText" text="Pesquisa de Preços">
      <formula>NOT(ISERROR(SEARCH("Pesquisa de Preços",E1008)))</formula>
    </cfRule>
  </conditionalFormatting>
  <conditionalFormatting sqref="E1724">
    <cfRule type="containsText" dxfId="2090" priority="4856" operator="containsText" text="Pesquisa de Preços">
      <formula>NOT(ISERROR(SEARCH("Pesquisa de Preços",E1724)))</formula>
    </cfRule>
  </conditionalFormatting>
  <conditionalFormatting sqref="E1026">
    <cfRule type="containsText" dxfId="2089" priority="5053" operator="containsText" text="Pesquisa de Preços">
      <formula>NOT(ISERROR(SEARCH("Pesquisa de Preços",E1026)))</formula>
    </cfRule>
  </conditionalFormatting>
  <conditionalFormatting sqref="E1027:E1028 E1035">
    <cfRule type="containsText" dxfId="2088" priority="5054" operator="containsText" text="Pesquisa de Preços">
      <formula>NOT(ISERROR(SEARCH("Pesquisa de Preços",E1027)))</formula>
    </cfRule>
  </conditionalFormatting>
  <conditionalFormatting sqref="E1699">
    <cfRule type="containsText" dxfId="2087" priority="4854" operator="containsText" text="Pesquisa de Preços">
      <formula>NOT(ISERROR(SEARCH("Pesquisa de Preços",E1699)))</formula>
    </cfRule>
  </conditionalFormatting>
  <conditionalFormatting sqref="E1030:E1033">
    <cfRule type="containsText" dxfId="2086" priority="5052" operator="containsText" text="Pesquisa de Preços">
      <formula>NOT(ISERROR(SEARCH("Pesquisa de Preços",E1030)))</formula>
    </cfRule>
  </conditionalFormatting>
  <conditionalFormatting sqref="E1037:E1038 E1044">
    <cfRule type="containsText" dxfId="2085" priority="5051" operator="containsText" text="Pesquisa de Preços">
      <formula>NOT(ISERROR(SEARCH("Pesquisa de Preços",E1037)))</formula>
    </cfRule>
  </conditionalFormatting>
  <conditionalFormatting sqref="E1036">
    <cfRule type="containsText" dxfId="2084" priority="5050" operator="containsText" text="Pesquisa de Preços">
      <formula>NOT(ISERROR(SEARCH("Pesquisa de Preços",E1036)))</formula>
    </cfRule>
  </conditionalFormatting>
  <conditionalFormatting sqref="E1705">
    <cfRule type="containsText" dxfId="2083" priority="4852" operator="containsText" text="Pesquisa de Preços">
      <formula>NOT(ISERROR(SEARCH("Pesquisa de Preços",E1705)))</formula>
    </cfRule>
  </conditionalFormatting>
  <conditionalFormatting sqref="E1022:E1023">
    <cfRule type="containsText" dxfId="2082" priority="5049" operator="containsText" text="Pesquisa de Preços">
      <formula>NOT(ISERROR(SEARCH("Pesquisa de Preços",E1022)))</formula>
    </cfRule>
  </conditionalFormatting>
  <conditionalFormatting sqref="E1021">
    <cfRule type="containsText" dxfId="2081" priority="5048" operator="containsText" text="Pesquisa de Preços">
      <formula>NOT(ISERROR(SEARCH("Pesquisa de Preços",E1021)))</formula>
    </cfRule>
  </conditionalFormatting>
  <conditionalFormatting sqref="E1024">
    <cfRule type="containsText" dxfId="2080" priority="5047" operator="containsText" text="Pesquisa de Preços">
      <formula>NOT(ISERROR(SEARCH("Pesquisa de Preços",E1024)))</formula>
    </cfRule>
  </conditionalFormatting>
  <conditionalFormatting sqref="E1099:E1100">
    <cfRule type="containsText" dxfId="2079" priority="5046" operator="containsText" text="Pesquisa de Preços">
      <formula>NOT(ISERROR(SEARCH("Pesquisa de Preços",E1099)))</formula>
    </cfRule>
  </conditionalFormatting>
  <conditionalFormatting sqref="E1098">
    <cfRule type="containsText" dxfId="2078" priority="5045" operator="containsText" text="Pesquisa de Preços">
      <formula>NOT(ISERROR(SEARCH("Pesquisa de Preços",E1098)))</formula>
    </cfRule>
  </conditionalFormatting>
  <conditionalFormatting sqref="E1046:E1047 E1050:E1051">
    <cfRule type="containsText" dxfId="2077" priority="5044" operator="containsText" text="Pesquisa de Preços">
      <formula>NOT(ISERROR(SEARCH("Pesquisa de Preços",E1046)))</formula>
    </cfRule>
  </conditionalFormatting>
  <conditionalFormatting sqref="E1045">
    <cfRule type="containsText" dxfId="2076" priority="5043" operator="containsText" text="Pesquisa de Preços">
      <formula>NOT(ISERROR(SEARCH("Pesquisa de Preços",E1045)))</formula>
    </cfRule>
  </conditionalFormatting>
  <conditionalFormatting sqref="E1048:E1049">
    <cfRule type="containsText" dxfId="2075" priority="5042" operator="containsText" text="Pesquisa de Preços">
      <formula>NOT(ISERROR(SEARCH("Pesquisa de Preços",E1048)))</formula>
    </cfRule>
  </conditionalFormatting>
  <conditionalFormatting sqref="E1060:E1061 E1065">
    <cfRule type="containsText" dxfId="2074" priority="5041" operator="containsText" text="Pesquisa de Preços">
      <formula>NOT(ISERROR(SEARCH("Pesquisa de Preços",E1060)))</formula>
    </cfRule>
  </conditionalFormatting>
  <conditionalFormatting sqref="E1091:E1092 E1097">
    <cfRule type="containsText" dxfId="2073" priority="5039" operator="containsText" text="Pesquisa de Preços">
      <formula>NOT(ISERROR(SEARCH("Pesquisa de Preços",E1091)))</formula>
    </cfRule>
  </conditionalFormatting>
  <conditionalFormatting sqref="E1090">
    <cfRule type="containsText" dxfId="2072" priority="5038" operator="containsText" text="Pesquisa de Preços">
      <formula>NOT(ISERROR(SEARCH("Pesquisa de Preços",E1090)))</formula>
    </cfRule>
  </conditionalFormatting>
  <conditionalFormatting sqref="E1053:E1054">
    <cfRule type="containsText" dxfId="2071" priority="5036" operator="containsText" text="Pesquisa de Preços">
      <formula>NOT(ISERROR(SEARCH("Pesquisa de Preços",E1053)))</formula>
    </cfRule>
  </conditionalFormatting>
  <conditionalFormatting sqref="E1052">
    <cfRule type="containsText" dxfId="2070" priority="5035" operator="containsText" text="Pesquisa de Preços">
      <formula>NOT(ISERROR(SEARCH("Pesquisa de Preços",E1052)))</formula>
    </cfRule>
  </conditionalFormatting>
  <conditionalFormatting sqref="E1055:E1057">
    <cfRule type="containsText" dxfId="2069" priority="5034" operator="containsText" text="Pesquisa de Preços">
      <formula>NOT(ISERROR(SEARCH("Pesquisa de Preços",E1055)))</formula>
    </cfRule>
  </conditionalFormatting>
  <conditionalFormatting sqref="E1067">
    <cfRule type="containsText" dxfId="2068" priority="5033" operator="containsText" text="Pesquisa de Preços">
      <formula>NOT(ISERROR(SEARCH("Pesquisa de Preços",E1067)))</formula>
    </cfRule>
  </conditionalFormatting>
  <conditionalFormatting sqref="E1066">
    <cfRule type="containsText" dxfId="2067" priority="5032" operator="containsText" text="Pesquisa de Preços">
      <formula>NOT(ISERROR(SEARCH("Pesquisa de Preços",E1066)))</formula>
    </cfRule>
  </conditionalFormatting>
  <conditionalFormatting sqref="E1083 E1089">
    <cfRule type="containsText" dxfId="2066" priority="5031" operator="containsText" text="Pesquisa de Preços">
      <formula>NOT(ISERROR(SEARCH("Pesquisa de Preços",E1083)))</formula>
    </cfRule>
  </conditionalFormatting>
  <conditionalFormatting sqref="E1082">
    <cfRule type="containsText" dxfId="2065" priority="5030" operator="containsText" text="Pesquisa de Preços">
      <formula>NOT(ISERROR(SEARCH("Pesquisa de Preços",E1082)))</formula>
    </cfRule>
  </conditionalFormatting>
  <conditionalFormatting sqref="E1074 E1081">
    <cfRule type="containsText" dxfId="2064" priority="5029" operator="containsText" text="Pesquisa de Preços">
      <formula>NOT(ISERROR(SEARCH("Pesquisa de Preços",E1074)))</formula>
    </cfRule>
  </conditionalFormatting>
  <conditionalFormatting sqref="E1073">
    <cfRule type="containsText" dxfId="2063" priority="5028" operator="containsText" text="Pesquisa de Preços">
      <formula>NOT(ISERROR(SEARCH("Pesquisa de Preços",E1073)))</formula>
    </cfRule>
  </conditionalFormatting>
  <conditionalFormatting sqref="E1122:E1123">
    <cfRule type="containsText" dxfId="2062" priority="5027" operator="containsText" text="Pesquisa de Preços">
      <formula>NOT(ISERROR(SEARCH("Pesquisa de Preços",E1122)))</formula>
    </cfRule>
  </conditionalFormatting>
  <conditionalFormatting sqref="E1121">
    <cfRule type="containsText" dxfId="2061" priority="5026" operator="containsText" text="Pesquisa de Preços">
      <formula>NOT(ISERROR(SEARCH("Pesquisa de Preços",E1121)))</formula>
    </cfRule>
  </conditionalFormatting>
  <conditionalFormatting sqref="E1124">
    <cfRule type="containsText" dxfId="2060" priority="5025" operator="containsText" text="Pesquisa de Preços">
      <formula>NOT(ISERROR(SEARCH("Pesquisa de Preços",E1124)))</formula>
    </cfRule>
  </conditionalFormatting>
  <conditionalFormatting sqref="E1117:E1118">
    <cfRule type="containsText" dxfId="2059" priority="5024" operator="containsText" text="Pesquisa de Preços">
      <formula>NOT(ISERROR(SEARCH("Pesquisa de Preços",E1117)))</formula>
    </cfRule>
  </conditionalFormatting>
  <conditionalFormatting sqref="E1116">
    <cfRule type="containsText" dxfId="2058" priority="5023" operator="containsText" text="Pesquisa de Preços">
      <formula>NOT(ISERROR(SEARCH("Pesquisa de Preços",E1116)))</formula>
    </cfRule>
  </conditionalFormatting>
  <conditionalFormatting sqref="E1842">
    <cfRule type="containsText" dxfId="2057" priority="4841" operator="containsText" text="Pesquisa de Preços">
      <formula>NOT(ISERROR(SEARCH("Pesquisa de Preços",E1842)))</formula>
    </cfRule>
  </conditionalFormatting>
  <conditionalFormatting sqref="E1244">
    <cfRule type="containsText" dxfId="2056" priority="5022" operator="containsText" text="Pesquisa de Preços">
      <formula>NOT(ISERROR(SEARCH("Pesquisa de Preços",E1244)))</formula>
    </cfRule>
  </conditionalFormatting>
  <conditionalFormatting sqref="E1227">
    <cfRule type="containsText" dxfId="2055" priority="5017" operator="containsText" text="Pesquisa de Preços">
      <formula>NOT(ISERROR(SEARCH("Pesquisa de Preços",E1227)))</formula>
    </cfRule>
  </conditionalFormatting>
  <conditionalFormatting sqref="E1848">
    <cfRule type="containsText" dxfId="2054" priority="4838" operator="containsText" text="Pesquisa de Preços">
      <formula>NOT(ISERROR(SEARCH("Pesquisa de Preços",E1848)))</formula>
    </cfRule>
  </conditionalFormatting>
  <conditionalFormatting sqref="E1238">
    <cfRule type="containsText" dxfId="2053" priority="5020" operator="containsText" text="Pesquisa de Preços">
      <formula>NOT(ISERROR(SEARCH("Pesquisa de Preços",E1238)))</formula>
    </cfRule>
  </conditionalFormatting>
  <conditionalFormatting sqref="E1137">
    <cfRule type="containsText" dxfId="2052" priority="5013" operator="containsText" text="Pesquisa de Preços">
      <formula>NOT(ISERROR(SEARCH("Pesquisa de Preços",E1137)))</formula>
    </cfRule>
  </conditionalFormatting>
  <conditionalFormatting sqref="E1835">
    <cfRule type="containsText" dxfId="2051" priority="4835" operator="containsText" text="Pesquisa de Preços">
      <formula>NOT(ISERROR(SEARCH("Pesquisa de Preços",E1835)))</formula>
    </cfRule>
  </conditionalFormatting>
  <conditionalFormatting sqref="E1228:E1229 E1232">
    <cfRule type="containsText" dxfId="2050" priority="5018" operator="containsText" text="Pesquisa de Preços">
      <formula>NOT(ISERROR(SEARCH("Pesquisa de Preços",E1228)))</formula>
    </cfRule>
  </conditionalFormatting>
  <conditionalFormatting sqref="E1854">
    <cfRule type="containsText" dxfId="2049" priority="4833" operator="containsText" text="Pesquisa de Preços">
      <formula>NOT(ISERROR(SEARCH("Pesquisa de Preços",E1854)))</formula>
    </cfRule>
  </conditionalFormatting>
  <conditionalFormatting sqref="E1222:E1223 E1226">
    <cfRule type="containsText" dxfId="2048" priority="5016" operator="containsText" text="Pesquisa de Preços">
      <formula>NOT(ISERROR(SEARCH("Pesquisa de Preços",E1222)))</formula>
    </cfRule>
  </conditionalFormatting>
  <conditionalFormatting sqref="E1221">
    <cfRule type="containsText" dxfId="2047" priority="5015" operator="containsText" text="Pesquisa de Preços">
      <formula>NOT(ISERROR(SEARCH("Pesquisa de Preços",E1221)))</formula>
    </cfRule>
  </conditionalFormatting>
  <conditionalFormatting sqref="E1138:E1139 E1142:E1143">
    <cfRule type="containsText" dxfId="2046" priority="5014" operator="containsText" text="Pesquisa de Preços">
      <formula>NOT(ISERROR(SEARCH("Pesquisa de Preços",E1138)))</formula>
    </cfRule>
  </conditionalFormatting>
  <conditionalFormatting sqref="E1140:E1141">
    <cfRule type="containsText" dxfId="2045" priority="5012" operator="containsText" text="Pesquisa de Preços">
      <formula>NOT(ISERROR(SEARCH("Pesquisa de Preços",E1140)))</formula>
    </cfRule>
  </conditionalFormatting>
  <conditionalFormatting sqref="E1127:E1128 E1130:E1131">
    <cfRule type="containsText" dxfId="2044" priority="5011" operator="containsText" text="Pesquisa de Preços">
      <formula>NOT(ISERROR(SEARCH("Pesquisa de Preços",E1127)))</formula>
    </cfRule>
  </conditionalFormatting>
  <conditionalFormatting sqref="E1126">
    <cfRule type="containsText" dxfId="2043" priority="5010" operator="containsText" text="Pesquisa de Preços">
      <formula>NOT(ISERROR(SEARCH("Pesquisa de Preços",E1126)))</formula>
    </cfRule>
  </conditionalFormatting>
  <conditionalFormatting sqref="E1129">
    <cfRule type="containsText" dxfId="2042" priority="5009" operator="containsText" text="Pesquisa de Preços">
      <formula>NOT(ISERROR(SEARCH("Pesquisa de Preços",E1129)))</formula>
    </cfRule>
  </conditionalFormatting>
  <conditionalFormatting sqref="E1260 E1265">
    <cfRule type="containsText" dxfId="2041" priority="5008" operator="containsText" text="Pesquisa de Preços">
      <formula>NOT(ISERROR(SEARCH("Pesquisa de Preços",E1260)))</formula>
    </cfRule>
  </conditionalFormatting>
  <conditionalFormatting sqref="E1259">
    <cfRule type="containsText" dxfId="2040" priority="5007" operator="containsText" text="Pesquisa de Preços">
      <formula>NOT(ISERROR(SEARCH("Pesquisa de Preços",E1259)))</formula>
    </cfRule>
  </conditionalFormatting>
  <conditionalFormatting sqref="E1248:E1249">
    <cfRule type="containsText" dxfId="2039" priority="5004" operator="containsText" text="Pesquisa de Preços">
      <formula>NOT(ISERROR(SEARCH("Pesquisa de Preços",E1248)))</formula>
    </cfRule>
  </conditionalFormatting>
  <conditionalFormatting sqref="E1246:E1247 E1250:E1251">
    <cfRule type="containsText" dxfId="2038" priority="5006" operator="containsText" text="Pesquisa de Preços">
      <formula>NOT(ISERROR(SEARCH("Pesquisa de Preços",E1246)))</formula>
    </cfRule>
  </conditionalFormatting>
  <conditionalFormatting sqref="E1245">
    <cfRule type="containsText" dxfId="2037" priority="5005" operator="containsText" text="Pesquisa de Preços">
      <formula>NOT(ISERROR(SEARCH("Pesquisa de Preços",E1245)))</formula>
    </cfRule>
  </conditionalFormatting>
  <conditionalFormatting sqref="E1152:E1153 E1156:E1157">
    <cfRule type="containsText" dxfId="2036" priority="5003" operator="containsText" text="Pesquisa de Preços">
      <formula>NOT(ISERROR(SEARCH("Pesquisa de Preços",E1152)))</formula>
    </cfRule>
  </conditionalFormatting>
  <conditionalFormatting sqref="E1151">
    <cfRule type="containsText" dxfId="2035" priority="5002" operator="containsText" text="Pesquisa de Preços">
      <formula>NOT(ISERROR(SEARCH("Pesquisa de Preços",E1151)))</formula>
    </cfRule>
  </conditionalFormatting>
  <conditionalFormatting sqref="E1154:E1155">
    <cfRule type="containsText" dxfId="2034" priority="5001" operator="containsText" text="Pesquisa de Preços">
      <formula>NOT(ISERROR(SEARCH("Pesquisa de Preços",E1154)))</formula>
    </cfRule>
  </conditionalFormatting>
  <conditionalFormatting sqref="E1187:E1188 E1192">
    <cfRule type="containsText" dxfId="2033" priority="5000" operator="containsText" text="Pesquisa de Preços">
      <formula>NOT(ISERROR(SEARCH("Pesquisa de Preços",E1187)))</formula>
    </cfRule>
  </conditionalFormatting>
  <conditionalFormatting sqref="E1186">
    <cfRule type="containsText" dxfId="2032" priority="4999" operator="containsText" text="Pesquisa de Preços">
      <formula>NOT(ISERROR(SEARCH("Pesquisa de Preços",E1186)))</formula>
    </cfRule>
  </conditionalFormatting>
  <conditionalFormatting sqref="E1194:E1195 E1199">
    <cfRule type="containsText" dxfId="2031" priority="4997" operator="containsText" text="Pesquisa de Preços">
      <formula>NOT(ISERROR(SEARCH("Pesquisa de Preços",E1194)))</formula>
    </cfRule>
  </conditionalFormatting>
  <conditionalFormatting sqref="E1193">
    <cfRule type="containsText" dxfId="2030" priority="4996" operator="containsText" text="Pesquisa de Preços">
      <formula>NOT(ISERROR(SEARCH("Pesquisa de Preços",E1193)))</formula>
    </cfRule>
  </conditionalFormatting>
  <conditionalFormatting sqref="E1902">
    <cfRule type="containsText" dxfId="2029" priority="4823" operator="containsText" text="Pesquisa de Preços">
      <formula>NOT(ISERROR(SEARCH("Pesquisa de Preços",E1902)))</formula>
    </cfRule>
  </conditionalFormatting>
  <conditionalFormatting sqref="E1201:E1202 E1206">
    <cfRule type="containsText" dxfId="2028" priority="4994" operator="containsText" text="Pesquisa de Preços">
      <formula>NOT(ISERROR(SEARCH("Pesquisa de Preços",E1201)))</formula>
    </cfRule>
  </conditionalFormatting>
  <conditionalFormatting sqref="E1200">
    <cfRule type="containsText" dxfId="2027" priority="4993" operator="containsText" text="Pesquisa de Preços">
      <formula>NOT(ISERROR(SEARCH("Pesquisa de Preços",E1200)))</formula>
    </cfRule>
  </conditionalFormatting>
  <conditionalFormatting sqref="E1908">
    <cfRule type="containsText" dxfId="2026" priority="4820" operator="containsText" text="Pesquisa de Preços">
      <formula>NOT(ISERROR(SEARCH("Pesquisa de Preços",E1908)))</formula>
    </cfRule>
  </conditionalFormatting>
  <conditionalFormatting sqref="E1180:E1181 E1184:E1185">
    <cfRule type="containsText" dxfId="2025" priority="4991" operator="containsText" text="Pesquisa de Preços">
      <formula>NOT(ISERROR(SEARCH("Pesquisa de Preços",E1180)))</formula>
    </cfRule>
  </conditionalFormatting>
  <conditionalFormatting sqref="E1179">
    <cfRule type="containsText" dxfId="2024" priority="4990" operator="containsText" text="Pesquisa de Preços">
      <formula>NOT(ISERROR(SEARCH("Pesquisa de Preços",E1179)))</formula>
    </cfRule>
  </conditionalFormatting>
  <conditionalFormatting sqref="E1182:E1183">
    <cfRule type="containsText" dxfId="2023" priority="4989" operator="containsText" text="Pesquisa de Preços">
      <formula>NOT(ISERROR(SEARCH("Pesquisa de Preços",E1182)))</formula>
    </cfRule>
  </conditionalFormatting>
  <conditionalFormatting sqref="E1145:E1146 E1149:E1150">
    <cfRule type="containsText" dxfId="2022" priority="4988" operator="containsText" text="Pesquisa de Preços">
      <formula>NOT(ISERROR(SEARCH("Pesquisa de Preços",E1145)))</formula>
    </cfRule>
  </conditionalFormatting>
  <conditionalFormatting sqref="E1144">
    <cfRule type="containsText" dxfId="2021" priority="4987" operator="containsText" text="Pesquisa de Preços">
      <formula>NOT(ISERROR(SEARCH("Pesquisa de Preços",E1144)))</formula>
    </cfRule>
  </conditionalFormatting>
  <conditionalFormatting sqref="E1924">
    <cfRule type="containsText" dxfId="2020" priority="4817" operator="containsText" text="Pesquisa de Preços">
      <formula>NOT(ISERROR(SEARCH("Pesquisa de Preços",E1924)))</formula>
    </cfRule>
  </conditionalFormatting>
  <conditionalFormatting sqref="E1147:E1148">
    <cfRule type="containsText" dxfId="2019" priority="4986" operator="containsText" text="Pesquisa de Preços">
      <formula>NOT(ISERROR(SEARCH("Pesquisa de Preços",E1147)))</formula>
    </cfRule>
  </conditionalFormatting>
  <conditionalFormatting sqref="E1166:E1167 E1170:E1171">
    <cfRule type="containsText" dxfId="2018" priority="4985" operator="containsText" text="Pesquisa de Preços">
      <formula>NOT(ISERROR(SEARCH("Pesquisa de Preços",E1166)))</formula>
    </cfRule>
  </conditionalFormatting>
  <conditionalFormatting sqref="E1165">
    <cfRule type="containsText" dxfId="2017" priority="4984" operator="containsText" text="Pesquisa de Preços">
      <formula>NOT(ISERROR(SEARCH("Pesquisa de Preços",E1165)))</formula>
    </cfRule>
  </conditionalFormatting>
  <conditionalFormatting sqref="E1919">
    <cfRule type="containsText" dxfId="2016" priority="4815" operator="containsText" text="Pesquisa de Preços">
      <formula>NOT(ISERROR(SEARCH("Pesquisa de Preços",E1919)))</formula>
    </cfRule>
  </conditionalFormatting>
  <conditionalFormatting sqref="E1168:E1169">
    <cfRule type="containsText" dxfId="2015" priority="4983" operator="containsText" text="Pesquisa de Preços">
      <formula>NOT(ISERROR(SEARCH("Pesquisa de Preços",E1168)))</formula>
    </cfRule>
  </conditionalFormatting>
  <conditionalFormatting sqref="E1173 E1178">
    <cfRule type="containsText" dxfId="2014" priority="4982" operator="containsText" text="Pesquisa de Preços">
      <formula>NOT(ISERROR(SEARCH("Pesquisa de Preços",E1173)))</formula>
    </cfRule>
  </conditionalFormatting>
  <conditionalFormatting sqref="E1172">
    <cfRule type="containsText" dxfId="2013" priority="4981" operator="containsText" text="Pesquisa de Preços">
      <formula>NOT(ISERROR(SEARCH("Pesquisa de Preços",E1172)))</formula>
    </cfRule>
  </conditionalFormatting>
  <conditionalFormatting sqref="E1929">
    <cfRule type="containsText" dxfId="2012" priority="4813" operator="containsText" text="Pesquisa de Preços">
      <formula>NOT(ISERROR(SEARCH("Pesquisa de Preços",E1929)))</formula>
    </cfRule>
  </conditionalFormatting>
  <conditionalFormatting sqref="E1207">
    <cfRule type="containsText" dxfId="2011" priority="4979" operator="containsText" text="Pesquisa de Preços">
      <formula>NOT(ISERROR(SEARCH("Pesquisa de Preços",E1207)))</formula>
    </cfRule>
  </conditionalFormatting>
  <conditionalFormatting sqref="E1208:E1209 E1213">
    <cfRule type="containsText" dxfId="2010" priority="4980" operator="containsText" text="Pesquisa de Preços">
      <formula>NOT(ISERROR(SEARCH("Pesquisa de Preços",E1208)))</formula>
    </cfRule>
  </conditionalFormatting>
  <conditionalFormatting sqref="E1952">
    <cfRule type="containsText" dxfId="2009" priority="4811" operator="containsText" text="Pesquisa de Preços">
      <formula>NOT(ISERROR(SEARCH("Pesquisa de Preços",E1952)))</formula>
    </cfRule>
  </conditionalFormatting>
  <conditionalFormatting sqref="E1210:E1211">
    <cfRule type="containsText" dxfId="2008" priority="4978" operator="containsText" text="Pesquisa de Preços">
      <formula>NOT(ISERROR(SEARCH("Pesquisa de Preços",E1210)))</formula>
    </cfRule>
  </conditionalFormatting>
  <conditionalFormatting sqref="E1133">
    <cfRule type="containsText" dxfId="2007" priority="4977" operator="containsText" text="Pesquisa de Preços">
      <formula>NOT(ISERROR(SEARCH("Pesquisa de Preços",E1133)))</formula>
    </cfRule>
  </conditionalFormatting>
  <conditionalFormatting sqref="E1132">
    <cfRule type="containsText" dxfId="2006" priority="4976" operator="containsText" text="Pesquisa de Preços">
      <formula>NOT(ISERROR(SEARCH("Pesquisa de Preços",E1132)))</formula>
    </cfRule>
  </conditionalFormatting>
  <conditionalFormatting sqref="E1267:E1268 E1270:E1271">
    <cfRule type="containsText" dxfId="2005" priority="4975" operator="containsText" text="Pesquisa de Preços">
      <formula>NOT(ISERROR(SEARCH("Pesquisa de Preços",E1267)))</formula>
    </cfRule>
  </conditionalFormatting>
  <conditionalFormatting sqref="E1269">
    <cfRule type="containsText" dxfId="2004" priority="4973" operator="containsText" text="Pesquisa de Preços">
      <formula>NOT(ISERROR(SEARCH("Pesquisa de Preços",E1269)))</formula>
    </cfRule>
  </conditionalFormatting>
  <conditionalFormatting sqref="E1301:E1302 E1306:E1307">
    <cfRule type="containsText" dxfId="2003" priority="4972" operator="containsText" text="Pesquisa de Preços">
      <formula>NOT(ISERROR(SEARCH("Pesquisa de Preços",E1301)))</formula>
    </cfRule>
  </conditionalFormatting>
  <conditionalFormatting sqref="E1303:E1305">
    <cfRule type="containsText" dxfId="2002" priority="4970" operator="containsText" text="Pesquisa de Preços">
      <formula>NOT(ISERROR(SEARCH("Pesquisa de Preços",E1303)))</formula>
    </cfRule>
  </conditionalFormatting>
  <conditionalFormatting sqref="E1309 E1315:E1316">
    <cfRule type="containsText" dxfId="2001" priority="4969" operator="containsText" text="Pesquisa de Preços">
      <formula>NOT(ISERROR(SEARCH("Pesquisa de Preços",E1309)))</formula>
    </cfRule>
  </conditionalFormatting>
  <conditionalFormatting sqref="E1399:E1400 E1403:E1404">
    <cfRule type="containsText" dxfId="2000" priority="4940" operator="containsText" text="Pesquisa de Preços">
      <formula>NOT(ISERROR(SEARCH("Pesquisa de Preços",E1399)))</formula>
    </cfRule>
  </conditionalFormatting>
  <conditionalFormatting sqref="E1273:E1274">
    <cfRule type="containsText" dxfId="1999" priority="4967" operator="containsText" text="Pesquisa de Preços">
      <formula>NOT(ISERROR(SEARCH("Pesquisa de Preços",E1273)))</formula>
    </cfRule>
  </conditionalFormatting>
  <conditionalFormatting sqref="E1275:E1277">
    <cfRule type="containsText" dxfId="1998" priority="4965" operator="containsText" text="Pesquisa de Preços">
      <formula>NOT(ISERROR(SEARCH("Pesquisa de Preços",E1275)))</formula>
    </cfRule>
  </conditionalFormatting>
  <conditionalFormatting sqref="E1280:E1281 E1285">
    <cfRule type="containsText" dxfId="1997" priority="4964" operator="containsText" text="Pesquisa de Preços">
      <formula>NOT(ISERROR(SEARCH("Pesquisa de Preços",E1280)))</formula>
    </cfRule>
  </conditionalFormatting>
  <conditionalFormatting sqref="E1978">
    <cfRule type="containsText" dxfId="1996" priority="4804" operator="containsText" text="Pesquisa de Preços">
      <formula>NOT(ISERROR(SEARCH("Pesquisa de Preços",E1978)))</formula>
    </cfRule>
  </conditionalFormatting>
  <conditionalFormatting sqref="E1287:E1288 E1292">
    <cfRule type="containsText" dxfId="1995" priority="4962" operator="containsText" text="Pesquisa de Preços">
      <formula>NOT(ISERROR(SEARCH("Pesquisa de Preços",E1287)))</formula>
    </cfRule>
  </conditionalFormatting>
  <conditionalFormatting sqref="E1971">
    <cfRule type="containsText" dxfId="1994" priority="4802" operator="containsText" text="Pesquisa de Preços">
      <formula>NOT(ISERROR(SEARCH("Pesquisa de Preços",E1971)))</formula>
    </cfRule>
  </conditionalFormatting>
  <conditionalFormatting sqref="E1294 E1297 E1299">
    <cfRule type="containsText" dxfId="1993" priority="4960" operator="containsText" text="Pesquisa de Preços">
      <formula>NOT(ISERROR(SEARCH("Pesquisa de Preços",E1294)))</formula>
    </cfRule>
  </conditionalFormatting>
  <conditionalFormatting sqref="E1330:E1331">
    <cfRule type="containsText" dxfId="1992" priority="4956" operator="containsText" text="Pesquisa de Preços">
      <formula>NOT(ISERROR(SEARCH("Pesquisa de Preços",E1330)))</formula>
    </cfRule>
  </conditionalFormatting>
  <conditionalFormatting sqref="E1336:E1337">
    <cfRule type="containsText" dxfId="1991" priority="4958" operator="containsText" text="Pesquisa de Preços">
      <formula>NOT(ISERROR(SEARCH("Pesquisa de Preços",E1336)))</formula>
    </cfRule>
  </conditionalFormatting>
  <conditionalFormatting sqref="E2015">
    <cfRule type="containsText" dxfId="1990" priority="4796" operator="containsText" text="Pesquisa de Preços">
      <formula>NOT(ISERROR(SEARCH("Pesquisa de Preços",E2015)))</formula>
    </cfRule>
  </conditionalFormatting>
  <conditionalFormatting sqref="E1318:E1319">
    <cfRule type="containsText" dxfId="1989" priority="4952" operator="containsText" text="Pesquisa de Preços">
      <formula>NOT(ISERROR(SEARCH("Pesquisa de Preços",E1318)))</formula>
    </cfRule>
  </conditionalFormatting>
  <conditionalFormatting sqref="E2008">
    <cfRule type="containsText" dxfId="1988" priority="4794" operator="containsText" text="Pesquisa de Preços">
      <formula>NOT(ISERROR(SEARCH("Pesquisa de Preços",E2008)))</formula>
    </cfRule>
  </conditionalFormatting>
  <conditionalFormatting sqref="E1324:E1325">
    <cfRule type="containsText" dxfId="1987" priority="4954" operator="containsText" text="Pesquisa de Preços">
      <formula>NOT(ISERROR(SEARCH("Pesquisa de Preços",E1324)))</formula>
    </cfRule>
  </conditionalFormatting>
  <conditionalFormatting sqref="E2001">
    <cfRule type="containsText" dxfId="1986" priority="4791" operator="containsText" text="Pesquisa de Preços">
      <formula>NOT(ISERROR(SEARCH("Pesquisa de Preços",E2001)))</formula>
    </cfRule>
  </conditionalFormatting>
  <conditionalFormatting sqref="E1994">
    <cfRule type="containsText" dxfId="1985" priority="4788" operator="containsText" text="Pesquisa de Preços">
      <formula>NOT(ISERROR(SEARCH("Pesquisa de Preços",E1994)))</formula>
    </cfRule>
  </conditionalFormatting>
  <conditionalFormatting sqref="E1342:E1343 E1346:E1347">
    <cfRule type="containsText" dxfId="1984" priority="4950" operator="containsText" text="Pesquisa de Preços">
      <formula>NOT(ISERROR(SEARCH("Pesquisa de Preços",E1342)))</formula>
    </cfRule>
  </conditionalFormatting>
  <conditionalFormatting sqref="E1517">
    <cfRule type="containsText" dxfId="1983" priority="4923" operator="containsText" text="Pesquisa de Preços">
      <formula>NOT(ISERROR(SEARCH("Pesquisa de Preços",E1517)))</formula>
    </cfRule>
  </conditionalFormatting>
  <conditionalFormatting sqref="E1344:E1345">
    <cfRule type="containsText" dxfId="1982" priority="4948" operator="containsText" text="Pesquisa de Preços">
      <formula>NOT(ISERROR(SEARCH("Pesquisa de Preços",E1344)))</formula>
    </cfRule>
  </conditionalFormatting>
  <conditionalFormatting sqref="E1355:E1356 E1359:E1360">
    <cfRule type="containsText" dxfId="1981" priority="4947" operator="containsText" text="Pesquisa de Preços">
      <formula>NOT(ISERROR(SEARCH("Pesquisa de Preços",E1355)))</formula>
    </cfRule>
  </conditionalFormatting>
  <conditionalFormatting sqref="E1525">
    <cfRule type="containsText" dxfId="1980" priority="4924" operator="containsText" text="Pesquisa de Preços">
      <formula>NOT(ISERROR(SEARCH("Pesquisa de Preços",E1525)))</formula>
    </cfRule>
  </conditionalFormatting>
  <conditionalFormatting sqref="E1357:E1358">
    <cfRule type="containsText" dxfId="1979" priority="4945" operator="containsText" text="Pesquisa de Preços">
      <formula>NOT(ISERROR(SEARCH("Pesquisa de Preços",E1357)))</formula>
    </cfRule>
  </conditionalFormatting>
  <conditionalFormatting sqref="E1349 E1352:E1353">
    <cfRule type="containsText" dxfId="1978" priority="4944" operator="containsText" text="Pesquisa de Preços">
      <formula>NOT(ISERROR(SEARCH("Pesquisa de Preços",E1349)))</formula>
    </cfRule>
  </conditionalFormatting>
  <conditionalFormatting sqref="E1398">
    <cfRule type="containsText" dxfId="1977" priority="4939" operator="containsText" text="Pesquisa de Preços">
      <formula>NOT(ISERROR(SEARCH("Pesquisa de Preços",E1398)))</formula>
    </cfRule>
  </conditionalFormatting>
  <conditionalFormatting sqref="E1362 E1365:E1366">
    <cfRule type="containsText" dxfId="1976" priority="4942" operator="containsText" text="Pesquisa de Preços">
      <formula>NOT(ISERROR(SEARCH("Pesquisa de Preços",E1362)))</formula>
    </cfRule>
  </conditionalFormatting>
  <conditionalFormatting sqref="E1361">
    <cfRule type="containsText" dxfId="1975" priority="4941" operator="containsText" text="Pesquisa de Preços">
      <formula>NOT(ISERROR(SEARCH("Pesquisa de Preços",E1361)))</formula>
    </cfRule>
  </conditionalFormatting>
  <conditionalFormatting sqref="E1401:E1402">
    <cfRule type="containsText" dxfId="1974" priority="4938" operator="containsText" text="Pesquisa de Preços">
      <formula>NOT(ISERROR(SEARCH("Pesquisa de Preços",E1401)))</formula>
    </cfRule>
  </conditionalFormatting>
  <conditionalFormatting sqref="E2170">
    <cfRule type="containsText" dxfId="1973" priority="4777" operator="containsText" text="Pesquisa de Preços">
      <formula>NOT(ISERROR(SEARCH("Pesquisa de Preços",E2170)))</formula>
    </cfRule>
  </conditionalFormatting>
  <conditionalFormatting sqref="E1368:E1369 E1371:E1372">
    <cfRule type="containsText" dxfId="1972" priority="4937" operator="containsText" text="Pesquisa de Preços">
      <formula>NOT(ISERROR(SEARCH("Pesquisa de Preços",E1368)))</formula>
    </cfRule>
  </conditionalFormatting>
  <conditionalFormatting sqref="E1367">
    <cfRule type="containsText" dxfId="1971" priority="4936" operator="containsText" text="Pesquisa de Preços">
      <formula>NOT(ISERROR(SEARCH("Pesquisa de Preços",E1367)))</formula>
    </cfRule>
  </conditionalFormatting>
  <conditionalFormatting sqref="E1379">
    <cfRule type="containsText" dxfId="1970" priority="4935" operator="containsText" text="Pesquisa de Preços">
      <formula>NOT(ISERROR(SEARCH("Pesquisa de Preços",E1379)))</formula>
    </cfRule>
  </conditionalFormatting>
  <conditionalFormatting sqref="E1385">
    <cfRule type="containsText" dxfId="1969" priority="4934" operator="containsText" text="Pesquisa de Preços">
      <formula>NOT(ISERROR(SEARCH("Pesquisa de Preços",E1385)))</formula>
    </cfRule>
  </conditionalFormatting>
  <conditionalFormatting sqref="E1406 E1419">
    <cfRule type="containsText" dxfId="1968" priority="4913" operator="containsText" text="Pesquisa de Preços">
      <formula>NOT(ISERROR(SEARCH("Pesquisa de Preços",E1406)))</formula>
    </cfRule>
  </conditionalFormatting>
  <conditionalFormatting sqref="E1557">
    <cfRule type="containsText" dxfId="1967" priority="4932" operator="containsText" text="Pesquisa de Preços">
      <formula>NOT(ISERROR(SEARCH("Pesquisa de Preços",E1557)))</formula>
    </cfRule>
  </conditionalFormatting>
  <conditionalFormatting sqref="E1558:E1559">
    <cfRule type="containsText" dxfId="1966" priority="4933" operator="containsText" text="Pesquisa de Preços">
      <formula>NOT(ISERROR(SEARCH("Pesquisa de Preços",E1558)))</formula>
    </cfRule>
  </conditionalFormatting>
  <conditionalFormatting sqref="E1560 E1562">
    <cfRule type="containsText" dxfId="1965" priority="4931" operator="containsText" text="Pesquisa de Preços">
      <formula>NOT(ISERROR(SEARCH("Pesquisa de Preços",E1560)))</formula>
    </cfRule>
  </conditionalFormatting>
  <conditionalFormatting sqref="E1551:E1552">
    <cfRule type="containsText" dxfId="1964" priority="4930" operator="containsText" text="Pesquisa de Preços">
      <formula>NOT(ISERROR(SEARCH("Pesquisa de Preços",E1551)))</formula>
    </cfRule>
  </conditionalFormatting>
  <conditionalFormatting sqref="E1550">
    <cfRule type="containsText" dxfId="1963" priority="4929" operator="containsText" text="Pesquisa de Preços">
      <formula>NOT(ISERROR(SEARCH("Pesquisa de Preços",E1550)))</formula>
    </cfRule>
  </conditionalFormatting>
  <conditionalFormatting sqref="E2044">
    <cfRule type="containsText" dxfId="1962" priority="4771" operator="containsText" text="Pesquisa de Preços">
      <formula>NOT(ISERROR(SEARCH("Pesquisa de Preços",E2044)))</formula>
    </cfRule>
  </conditionalFormatting>
  <conditionalFormatting sqref="E1543 E1549">
    <cfRule type="containsText" dxfId="1961" priority="4928" operator="containsText" text="Pesquisa de Preços">
      <formula>NOT(ISERROR(SEARCH("Pesquisa de Preços",E1543)))</formula>
    </cfRule>
  </conditionalFormatting>
  <conditionalFormatting sqref="E1542">
    <cfRule type="containsText" dxfId="1960" priority="4927" operator="containsText" text="Pesquisa de Preços">
      <formula>NOT(ISERROR(SEARCH("Pesquisa de Preços",E1542)))</formula>
    </cfRule>
  </conditionalFormatting>
  <conditionalFormatting sqref="E1527">
    <cfRule type="containsText" dxfId="1959" priority="4926" operator="containsText" text="Pesquisa de Preços">
      <formula>NOT(ISERROR(SEARCH("Pesquisa de Preços",E1527)))</formula>
    </cfRule>
  </conditionalFormatting>
  <conditionalFormatting sqref="E1526">
    <cfRule type="containsText" dxfId="1958" priority="4925" operator="containsText" text="Pesquisa de Preços">
      <formula>NOT(ISERROR(SEARCH("Pesquisa de Preços",E1526)))</formula>
    </cfRule>
  </conditionalFormatting>
  <conditionalFormatting sqref="E1565:E1566 E1569:E1570">
    <cfRule type="containsText" dxfId="1957" priority="4918" operator="containsText" text="Pesquisa de Preços">
      <formula>NOT(ISERROR(SEARCH("Pesquisa de Preços",E1565)))</formula>
    </cfRule>
  </conditionalFormatting>
  <conditionalFormatting sqref="E1494">
    <cfRule type="containsText" dxfId="1956" priority="4904" operator="containsText" text="Pesquisa de Preços">
      <formula>NOT(ISERROR(SEARCH("Pesquisa de Preços",E1494)))</formula>
    </cfRule>
  </conditionalFormatting>
  <conditionalFormatting sqref="E1496 E1509">
    <cfRule type="containsText" dxfId="1955" priority="4915" operator="containsText" text="Pesquisa de Preços">
      <formula>NOT(ISERROR(SEARCH("Pesquisa de Preços",E1496)))</formula>
    </cfRule>
  </conditionalFormatting>
  <conditionalFormatting sqref="E1495">
    <cfRule type="containsText" dxfId="1954" priority="4914" operator="containsText" text="Pesquisa de Preços">
      <formula>NOT(ISERROR(SEARCH("Pesquisa de Preços",E1495)))</formula>
    </cfRule>
  </conditionalFormatting>
  <conditionalFormatting sqref="E1541">
    <cfRule type="containsText" dxfId="1953" priority="4922" operator="containsText" text="Pesquisa de Preços">
      <formula>NOT(ISERROR(SEARCH("Pesquisa de Preços",E1541)))</formula>
    </cfRule>
  </conditionalFormatting>
  <conditionalFormatting sqref="E1572:E1573 E1576:E1577">
    <cfRule type="containsText" dxfId="1952" priority="4921" operator="containsText" text="Pesquisa de Preços">
      <formula>NOT(ISERROR(SEARCH("Pesquisa de Preços",E1572)))</formula>
    </cfRule>
  </conditionalFormatting>
  <conditionalFormatting sqref="E1571">
    <cfRule type="containsText" dxfId="1951" priority="4920" operator="containsText" text="Pesquisa de Preços">
      <formula>NOT(ISERROR(SEARCH("Pesquisa de Preços",E1571)))</formula>
    </cfRule>
  </conditionalFormatting>
  <conditionalFormatting sqref="E1575">
    <cfRule type="containsText" dxfId="1950" priority="4919" operator="containsText" text="Pesquisa de Preços">
      <formula>NOT(ISERROR(SEARCH("Pesquisa de Preços",E1575)))</formula>
    </cfRule>
  </conditionalFormatting>
  <conditionalFormatting sqref="E1564">
    <cfRule type="containsText" dxfId="1949" priority="4917" operator="containsText" text="Pesquisa de Preços">
      <formula>NOT(ISERROR(SEARCH("Pesquisa de Preços",E1564)))</formula>
    </cfRule>
  </conditionalFormatting>
  <conditionalFormatting sqref="E1567:E1568">
    <cfRule type="containsText" dxfId="1948" priority="4916" operator="containsText" text="Pesquisa de Preços">
      <formula>NOT(ISERROR(SEARCH("Pesquisa de Preços",E1567)))</formula>
    </cfRule>
  </conditionalFormatting>
  <conditionalFormatting sqref="E1618">
    <cfRule type="containsText" dxfId="1947" priority="4882" operator="containsText" text="Pesquisa de Preços">
      <formula>NOT(ISERROR(SEARCH("Pesquisa de Preços",E1618)))</formula>
    </cfRule>
  </conditionalFormatting>
  <conditionalFormatting sqref="E1405">
    <cfRule type="containsText" dxfId="1946" priority="4912" operator="containsText" text="Pesquisa de Preços">
      <formula>NOT(ISERROR(SEARCH("Pesquisa de Preços",E1405)))</formula>
    </cfRule>
  </conditionalFormatting>
  <conditionalFormatting sqref="E1612 E1616:E1617">
    <cfRule type="containsText" dxfId="1945" priority="4875" operator="containsText" text="Pesquisa de Preços">
      <formula>NOT(ISERROR(SEARCH("Pesquisa de Preços",E1612)))</formula>
    </cfRule>
  </conditionalFormatting>
  <conditionalFormatting sqref="E1436 E1449">
    <cfRule type="containsText" dxfId="1944" priority="4911" operator="containsText" text="Pesquisa de Preços">
      <formula>NOT(ISERROR(SEARCH("Pesquisa de Preços",E1436)))</formula>
    </cfRule>
  </conditionalFormatting>
  <conditionalFormatting sqref="E1435">
    <cfRule type="containsText" dxfId="1943" priority="4910" operator="containsText" text="Pesquisa de Preços">
      <formula>NOT(ISERROR(SEARCH("Pesquisa de Preços",E1435)))</formula>
    </cfRule>
  </conditionalFormatting>
  <conditionalFormatting sqref="E1630 E1634">
    <cfRule type="containsText" dxfId="1942" priority="4887" operator="containsText" text="Pesquisa de Preços">
      <formula>NOT(ISERROR(SEARCH("Pesquisa de Preços",E1630)))</formula>
    </cfRule>
  </conditionalFormatting>
  <conditionalFormatting sqref="E1421 E1434">
    <cfRule type="containsText" dxfId="1941" priority="4909" operator="containsText" text="Pesquisa de Preços">
      <formula>NOT(ISERROR(SEARCH("Pesquisa de Preços",E1421)))</formula>
    </cfRule>
  </conditionalFormatting>
  <conditionalFormatting sqref="E1466 E1479">
    <cfRule type="containsText" dxfId="1940" priority="4907" operator="containsText" text="Pesquisa de Preços">
      <formula>NOT(ISERROR(SEARCH("Pesquisa de Preços",E1466)))</formula>
    </cfRule>
  </conditionalFormatting>
  <conditionalFormatting sqref="E1693 E1696 E1698">
    <cfRule type="containsText" dxfId="1939" priority="4889" operator="containsText" text="Pesquisa de Preços">
      <formula>NOT(ISERROR(SEARCH("Pesquisa de Preços",E1693)))</formula>
    </cfRule>
  </conditionalFormatting>
  <conditionalFormatting sqref="E1464">
    <cfRule type="containsText" dxfId="1938" priority="4905" operator="containsText" text="Pesquisa de Preços">
      <formula>NOT(ISERROR(SEARCH("Pesquisa de Preços",E1464)))</formula>
    </cfRule>
  </conditionalFormatting>
  <conditionalFormatting sqref="E2281">
    <cfRule type="containsText" dxfId="1937" priority="4732" operator="containsText" text="Pesquisa de Preços">
      <formula>NOT(ISERROR(SEARCH("Pesquisa de Preços",E2281)))</formula>
    </cfRule>
  </conditionalFormatting>
  <conditionalFormatting sqref="E1594 E1598">
    <cfRule type="containsText" dxfId="1936" priority="4897" operator="containsText" text="Pesquisa de Preços">
      <formula>NOT(ISERROR(SEARCH("Pesquisa de Preços",E1594)))</formula>
    </cfRule>
  </conditionalFormatting>
  <conditionalFormatting sqref="E1579:E1580 E1591:E1592">
    <cfRule type="containsText" dxfId="1935" priority="4903" operator="containsText" text="Pesquisa de Preços">
      <formula>NOT(ISERROR(SEARCH("Pesquisa de Preços",E1579)))</formula>
    </cfRule>
  </conditionalFormatting>
  <conditionalFormatting sqref="E2215">
    <cfRule type="containsText" dxfId="1934" priority="4748" operator="containsText" text="Pesquisa de Preços">
      <formula>NOT(ISERROR(SEARCH("Pesquisa de Preços",E2215)))</formula>
    </cfRule>
  </conditionalFormatting>
  <conditionalFormatting sqref="E1581:E1590">
    <cfRule type="containsText" dxfId="1933" priority="4901" operator="containsText" text="Pesquisa de Preços">
      <formula>NOT(ISERROR(SEARCH("Pesquisa de Preços",E1581)))</formula>
    </cfRule>
  </conditionalFormatting>
  <conditionalFormatting sqref="E1393:E1394 E1396:E1397">
    <cfRule type="containsText" dxfId="1932" priority="4900" operator="containsText" text="Pesquisa de Preços">
      <formula>NOT(ISERROR(SEARCH("Pesquisa de Preços",E1393)))</formula>
    </cfRule>
  </conditionalFormatting>
  <conditionalFormatting sqref="E1392">
    <cfRule type="containsText" dxfId="1931" priority="4899" operator="containsText" text="Pesquisa de Preços">
      <formula>NOT(ISERROR(SEARCH("Pesquisa de Preços",E1392)))</formula>
    </cfRule>
  </conditionalFormatting>
  <conditionalFormatting sqref="E2235">
    <cfRule type="containsText" dxfId="1930" priority="4744" operator="containsText" text="Pesquisa de Preços">
      <formula>NOT(ISERROR(SEARCH("Pesquisa de Preços",E2235)))</formula>
    </cfRule>
  </conditionalFormatting>
  <conditionalFormatting sqref="E1395">
    <cfRule type="containsText" dxfId="1929" priority="4898" operator="containsText" text="Pesquisa de Preços">
      <formula>NOT(ISERROR(SEARCH("Pesquisa de Preços",E1395)))</formula>
    </cfRule>
  </conditionalFormatting>
  <conditionalFormatting sqref="E1593">
    <cfRule type="containsText" dxfId="1928" priority="4896" operator="containsText" text="Pesquisa de Preços">
      <formula>NOT(ISERROR(SEARCH("Pesquisa de Preços",E1593)))</formula>
    </cfRule>
  </conditionalFormatting>
  <conditionalFormatting sqref="E1636 E1638:E1639">
    <cfRule type="containsText" dxfId="1927" priority="4881" operator="containsText" text="Pesquisa de Preços">
      <formula>NOT(ISERROR(SEARCH("Pesquisa de Preços",E1636)))</formula>
    </cfRule>
  </conditionalFormatting>
  <conditionalFormatting sqref="E1600 E1604">
    <cfRule type="containsText" dxfId="1926" priority="4895" operator="containsText" text="Pesquisa de Preços">
      <formula>NOT(ISERROR(SEARCH("Pesquisa de Preços",E1600)))</formula>
    </cfRule>
  </conditionalFormatting>
  <conditionalFormatting sqref="E1599">
    <cfRule type="containsText" dxfId="1925" priority="4894" operator="containsText" text="Pesquisa de Preços">
      <formula>NOT(ISERROR(SEARCH("Pesquisa de Preços",E1599)))</formula>
    </cfRule>
  </conditionalFormatting>
  <conditionalFormatting sqref="E1646">
    <cfRule type="containsText" dxfId="1924" priority="4891" operator="containsText" text="Pesquisa de Preços">
      <formula>NOT(ISERROR(SEARCH("Pesquisa de Preços",E1646)))</formula>
    </cfRule>
  </conditionalFormatting>
  <conditionalFormatting sqref="E1610">
    <cfRule type="containsText" dxfId="1923" priority="4893" operator="containsText" text="Pesquisa de Preços">
      <formula>NOT(ISERROR(SEARCH("Pesquisa de Preços",E1610)))</formula>
    </cfRule>
  </conditionalFormatting>
  <conditionalFormatting sqref="E1647:E1648">
    <cfRule type="containsText" dxfId="1922" priority="4892" operator="containsText" text="Pesquisa de Preços">
      <formula>NOT(ISERROR(SEARCH("Pesquisa de Preços",E1647)))</formula>
    </cfRule>
  </conditionalFormatting>
  <conditionalFormatting sqref="E2255">
    <cfRule type="containsText" dxfId="1921" priority="4740" operator="containsText" text="Pesquisa de Preços">
      <formula>NOT(ISERROR(SEARCH("Pesquisa de Preços",E2255)))</formula>
    </cfRule>
  </conditionalFormatting>
  <conditionalFormatting sqref="E1649:E1650">
    <cfRule type="containsText" dxfId="1920" priority="4890" operator="containsText" text="Pesquisa de Preços">
      <formula>NOT(ISERROR(SEARCH("Pesquisa de Preços",E1649)))</formula>
    </cfRule>
  </conditionalFormatting>
  <conditionalFormatting sqref="E1692">
    <cfRule type="containsText" dxfId="1919" priority="4888" operator="containsText" text="Pesquisa de Preços">
      <formula>NOT(ISERROR(SEARCH("Pesquisa de Preços",E1692)))</formula>
    </cfRule>
  </conditionalFormatting>
  <conditionalFormatting sqref="E1624 E1628">
    <cfRule type="containsText" dxfId="1918" priority="4885" operator="containsText" text="Pesquisa de Preços">
      <formula>NOT(ISERROR(SEARCH("Pesquisa de Preços",E1624)))</formula>
    </cfRule>
  </conditionalFormatting>
  <conditionalFormatting sqref="E1629">
    <cfRule type="containsText" dxfId="1917" priority="4886" operator="containsText" text="Pesquisa de Preços">
      <formula>NOT(ISERROR(SEARCH("Pesquisa de Preços",E1629)))</formula>
    </cfRule>
  </conditionalFormatting>
  <conditionalFormatting sqref="E1623">
    <cfRule type="containsText" dxfId="1916" priority="4884" operator="containsText" text="Pesquisa de Preços">
      <formula>NOT(ISERROR(SEARCH("Pesquisa de Preços",E1623)))</formula>
    </cfRule>
  </conditionalFormatting>
  <conditionalFormatting sqref="E1619 E1621:E1622">
    <cfRule type="containsText" dxfId="1915" priority="4883" operator="containsText" text="Pesquisa de Preços">
      <formula>NOT(ISERROR(SEARCH("Pesquisa de Preços",E1619)))</formula>
    </cfRule>
  </conditionalFormatting>
  <conditionalFormatting sqref="E1641 E1644:E1645">
    <cfRule type="containsText" dxfId="1914" priority="4879" operator="containsText" text="Pesquisa de Preços">
      <formula>NOT(ISERROR(SEARCH("Pesquisa de Preços",E1641)))</formula>
    </cfRule>
  </conditionalFormatting>
  <conditionalFormatting sqref="E1745 E1736:E1738">
    <cfRule type="containsText" dxfId="1913" priority="4863" operator="containsText" text="Pesquisa de Preços">
      <formula>NOT(ISERROR(SEARCH("Pesquisa de Preços",E1736)))</formula>
    </cfRule>
  </conditionalFormatting>
  <conditionalFormatting sqref="E1686 E1690:E1691">
    <cfRule type="containsText" dxfId="1912" priority="4877" operator="containsText" text="Pesquisa de Preços">
      <formula>NOT(ISERROR(SEARCH("Pesquisa de Preços",E1686)))</formula>
    </cfRule>
  </conditionalFormatting>
  <conditionalFormatting sqref="E1685">
    <cfRule type="containsText" dxfId="1911" priority="4876" operator="containsText" text="Pesquisa de Preços">
      <formula>NOT(ISERROR(SEARCH("Pesquisa de Preços",E1685)))</formula>
    </cfRule>
  </conditionalFormatting>
  <conditionalFormatting sqref="E2359">
    <cfRule type="containsText" dxfId="1910" priority="4709" operator="containsText" text="Pesquisa de Preços">
      <formula>NOT(ISERROR(SEARCH("Pesquisa de Preços",E2359)))</formula>
    </cfRule>
  </conditionalFormatting>
  <conditionalFormatting sqref="E2354">
    <cfRule type="containsText" dxfId="1909" priority="4711" operator="containsText" text="Pesquisa de Preços">
      <formula>NOT(ISERROR(SEARCH("Pesquisa de Preços",E2354)))</formula>
    </cfRule>
  </conditionalFormatting>
  <conditionalFormatting sqref="E1680 E1683:E1684">
    <cfRule type="containsText" dxfId="1908" priority="4873" operator="containsText" text="Pesquisa de Preços">
      <formula>NOT(ISERROR(SEARCH("Pesquisa de Preços",E1680)))</formula>
    </cfRule>
  </conditionalFormatting>
  <conditionalFormatting sqref="E1679">
    <cfRule type="containsText" dxfId="1907" priority="4872" operator="containsText" text="Pesquisa de Preços">
      <formula>NOT(ISERROR(SEARCH("Pesquisa de Preços",E1679)))</formula>
    </cfRule>
  </conditionalFormatting>
  <conditionalFormatting sqref="E1675 E1677:E1678">
    <cfRule type="containsText" dxfId="1906" priority="4871" operator="containsText" text="Pesquisa de Preços">
      <formula>NOT(ISERROR(SEARCH("Pesquisa de Preços",E1675)))</formula>
    </cfRule>
  </conditionalFormatting>
  <conditionalFormatting sqref="E1674">
    <cfRule type="containsText" dxfId="1905" priority="4870" operator="containsText" text="Pesquisa de Preços">
      <formula>NOT(ISERROR(SEARCH("Pesquisa de Preços",E1674)))</formula>
    </cfRule>
  </conditionalFormatting>
  <conditionalFormatting sqref="E1725:E1726 E1734">
    <cfRule type="containsText" dxfId="1904" priority="4857" operator="containsText" text="Pesquisa de Preços">
      <formula>NOT(ISERROR(SEARCH("Pesquisa de Preços",E1725)))</formula>
    </cfRule>
  </conditionalFormatting>
  <conditionalFormatting sqref="E1670">
    <cfRule type="containsText" dxfId="1903" priority="4867" operator="containsText" text="Pesquisa de Preços">
      <formula>NOT(ISERROR(SEARCH("Pesquisa de Preços",E1670)))</formula>
    </cfRule>
  </conditionalFormatting>
  <conditionalFormatting sqref="E1665">
    <cfRule type="containsText" dxfId="1902" priority="4869" operator="containsText" text="Pesquisa de Preços">
      <formula>NOT(ISERROR(SEARCH("Pesquisa de Preços",E1665)))</formula>
    </cfRule>
  </conditionalFormatting>
  <conditionalFormatting sqref="E1664">
    <cfRule type="containsText" dxfId="1901" priority="4868" operator="containsText" text="Pesquisa de Preços">
      <formula>NOT(ISERROR(SEARCH("Pesquisa de Preços",E1664)))</formula>
    </cfRule>
  </conditionalFormatting>
  <conditionalFormatting sqref="E2331">
    <cfRule type="containsText" dxfId="1900" priority="4719" operator="containsText" text="Pesquisa de Preços">
      <formula>NOT(ISERROR(SEARCH("Pesquisa de Preços",E2331)))</formula>
    </cfRule>
  </conditionalFormatting>
  <conditionalFormatting sqref="E2343">
    <cfRule type="containsText" dxfId="1899" priority="4717" operator="containsText" text="Pesquisa de Preços">
      <formula>NOT(ISERROR(SEARCH("Pesquisa de Preços",E2343)))</formula>
    </cfRule>
  </conditionalFormatting>
  <conditionalFormatting sqref="E1659 E1662:E1663">
    <cfRule type="containsText" dxfId="1898" priority="4865" operator="containsText" text="Pesquisa de Preços">
      <formula>NOT(ISERROR(SEARCH("Pesquisa de Preços",E1659)))</formula>
    </cfRule>
  </conditionalFormatting>
  <conditionalFormatting sqref="E1747 E1756">
    <cfRule type="containsText" dxfId="1897" priority="4861" operator="containsText" text="Pesquisa de Preços">
      <formula>NOT(ISERROR(SEARCH("Pesquisa de Preços",E1747)))</formula>
    </cfRule>
  </conditionalFormatting>
  <conditionalFormatting sqref="E1714:E1715 E1723">
    <cfRule type="containsText" dxfId="1896" priority="4859" operator="containsText" text="Pesquisa de Preços">
      <formula>NOT(ISERROR(SEARCH("Pesquisa de Preços",E1714)))</formula>
    </cfRule>
  </conditionalFormatting>
  <conditionalFormatting sqref="E896">
    <cfRule type="containsText" dxfId="1895" priority="4707" operator="containsText" text="Pesquisa de Preços">
      <formula>NOT(ISERROR(SEARCH("Pesquisa de Preços",E896)))</formula>
    </cfRule>
  </conditionalFormatting>
  <conditionalFormatting sqref="E875">
    <cfRule type="containsText" dxfId="1894" priority="4705" operator="containsText" text="Pesquisa de Preços">
      <formula>NOT(ISERROR(SEARCH("Pesquisa de Preços",E875)))</formula>
    </cfRule>
  </conditionalFormatting>
  <conditionalFormatting sqref="E1700:E1701 E1703:E1704">
    <cfRule type="containsText" dxfId="1893" priority="4855" operator="containsText" text="Pesquisa de Preços">
      <formula>NOT(ISERROR(SEARCH("Pesquisa de Preços",E1700)))</formula>
    </cfRule>
  </conditionalFormatting>
  <conditionalFormatting sqref="E850">
    <cfRule type="containsText" dxfId="1892" priority="4694" operator="containsText" text="Pesquisa de Preços">
      <formula>NOT(ISERROR(SEARCH("Pesquisa de Preços",E850)))</formula>
    </cfRule>
  </conditionalFormatting>
  <conditionalFormatting sqref="E1706">
    <cfRule type="containsText" dxfId="1891" priority="4853" operator="containsText" text="Pesquisa de Preços">
      <formula>NOT(ISERROR(SEARCH("Pesquisa de Preços",E1706)))</formula>
    </cfRule>
  </conditionalFormatting>
  <conditionalFormatting sqref="E856">
    <cfRule type="containsText" dxfId="1890" priority="4699" operator="containsText" text="Pesquisa de Preços">
      <formula>NOT(ISERROR(SEARCH("Pesquisa de Preços",E856)))</formula>
    </cfRule>
  </conditionalFormatting>
  <conditionalFormatting sqref="E1709:E1710">
    <cfRule type="containsText" dxfId="1889" priority="4851" operator="containsText" text="Pesquisa de Preços">
      <formula>NOT(ISERROR(SEARCH("Pesquisa de Preços",E1709)))</formula>
    </cfRule>
  </conditionalFormatting>
  <conditionalFormatting sqref="E1819">
    <cfRule type="containsText" dxfId="1888" priority="4850" operator="containsText" text="Pesquisa de Preços">
      <formula>NOT(ISERROR(SEARCH("Pesquisa de Preços",E1819)))</formula>
    </cfRule>
  </conditionalFormatting>
  <conditionalFormatting sqref="E1818">
    <cfRule type="containsText" dxfId="1887" priority="4849" operator="containsText" text="Pesquisa de Preços">
      <formula>NOT(ISERROR(SEARCH("Pesquisa de Preços",E1818)))</formula>
    </cfRule>
  </conditionalFormatting>
  <conditionalFormatting sqref="E1845">
    <cfRule type="containsText" dxfId="1886" priority="4840" operator="containsText" text="Pesquisa de Preços">
      <formula>NOT(ISERROR(SEARCH("Pesquisa de Preços",E1845)))</formula>
    </cfRule>
  </conditionalFormatting>
  <conditionalFormatting sqref="E1814">
    <cfRule type="containsText" dxfId="1885" priority="4848" operator="containsText" text="Pesquisa de Preços">
      <formula>NOT(ISERROR(SEARCH("Pesquisa de Preços",E1814)))</formula>
    </cfRule>
  </conditionalFormatting>
  <conditionalFormatting sqref="E1813">
    <cfRule type="containsText" dxfId="1884" priority="4847" operator="containsText" text="Pesquisa de Preços">
      <formula>NOT(ISERROR(SEARCH("Pesquisa de Preços",E1813)))</formula>
    </cfRule>
  </conditionalFormatting>
  <conditionalFormatting sqref="E1824 E1827:E1828">
    <cfRule type="containsText" dxfId="1883" priority="4846" operator="containsText" text="Pesquisa de Preços">
      <formula>NOT(ISERROR(SEARCH("Pesquisa de Preços",E1824)))</formula>
    </cfRule>
  </conditionalFormatting>
  <conditionalFormatting sqref="E1823">
    <cfRule type="containsText" dxfId="1882" priority="4845" operator="containsText" text="Pesquisa de Preços">
      <formula>NOT(ISERROR(SEARCH("Pesquisa de Preços",E1823)))</formula>
    </cfRule>
  </conditionalFormatting>
  <conditionalFormatting sqref="E1826">
    <cfRule type="containsText" dxfId="1881" priority="4844" operator="containsText" text="Pesquisa de Preços">
      <formula>NOT(ISERROR(SEARCH("Pesquisa de Preços",E1826)))</formula>
    </cfRule>
  </conditionalFormatting>
  <conditionalFormatting sqref="E1834">
    <cfRule type="containsText" dxfId="1880" priority="4843" operator="containsText" text="Pesquisa de Preços">
      <formula>NOT(ISERROR(SEARCH("Pesquisa de Preços",E1834)))</formula>
    </cfRule>
  </conditionalFormatting>
  <conditionalFormatting sqref="E1843:E1844 E1846:E1847">
    <cfRule type="containsText" dxfId="1879" priority="4842" operator="containsText" text="Pesquisa de Preços">
      <formula>NOT(ISERROR(SEARCH("Pesquisa de Preços",E1843)))</formula>
    </cfRule>
  </conditionalFormatting>
  <conditionalFormatting sqref="E1849:E1850 E1852:E1853">
    <cfRule type="containsText" dxfId="1878" priority="4839" operator="containsText" text="Pesquisa de Preços">
      <formula>NOT(ISERROR(SEARCH("Pesquisa de Preços",E1849)))</formula>
    </cfRule>
  </conditionalFormatting>
  <conditionalFormatting sqref="E1857">
    <cfRule type="containsText" dxfId="1877" priority="4832" operator="containsText" text="Pesquisa de Preços">
      <formula>NOT(ISERROR(SEARCH("Pesquisa de Preços",E1857)))</formula>
    </cfRule>
  </conditionalFormatting>
  <conditionalFormatting sqref="E1851">
    <cfRule type="containsText" dxfId="1876" priority="4837" operator="containsText" text="Pesquisa de Preços">
      <formula>NOT(ISERROR(SEARCH("Pesquisa de Preços",E1851)))</formula>
    </cfRule>
  </conditionalFormatting>
  <conditionalFormatting sqref="E1836:E1837 E1841">
    <cfRule type="containsText" dxfId="1875" priority="4836" operator="containsText" text="Pesquisa de Preços">
      <formula>NOT(ISERROR(SEARCH("Pesquisa de Preços",E1836)))</formula>
    </cfRule>
  </conditionalFormatting>
  <conditionalFormatting sqref="E1855:E1856 E1858:E1859">
    <cfRule type="containsText" dxfId="1874" priority="4834" operator="containsText" text="Pesquisa de Preços">
      <formula>NOT(ISERROR(SEARCH("Pesquisa de Preços",E1855)))</formula>
    </cfRule>
  </conditionalFormatting>
  <conditionalFormatting sqref="E2364">
    <cfRule type="containsText" dxfId="1873" priority="4680" operator="containsText" text="Pesquisa de Preços">
      <formula>NOT(ISERROR(SEARCH("Pesquisa de Preços",E2364)))</formula>
    </cfRule>
  </conditionalFormatting>
  <conditionalFormatting sqref="E1865">
    <cfRule type="containsText" dxfId="1872" priority="4831" operator="containsText" text="Pesquisa de Preços">
      <formula>NOT(ISERROR(SEARCH("Pesquisa de Preços",E1865)))</formula>
    </cfRule>
  </conditionalFormatting>
  <conditionalFormatting sqref="E2391">
    <cfRule type="containsText" dxfId="1871" priority="4677" operator="containsText" text="Pesquisa de Preços">
      <formula>NOT(ISERROR(SEARCH("Pesquisa de Preços",E2391)))</formula>
    </cfRule>
  </conditionalFormatting>
  <conditionalFormatting sqref="E1901">
    <cfRule type="containsText" dxfId="1870" priority="4830" operator="containsText" text="Pesquisa de Preços">
      <formula>NOT(ISERROR(SEARCH("Pesquisa de Preços",E1901)))</formula>
    </cfRule>
  </conditionalFormatting>
  <conditionalFormatting sqref="E2385">
    <cfRule type="containsText" dxfId="1869" priority="4675" operator="containsText" text="Pesquisa de Preços">
      <formula>NOT(ISERROR(SEARCH("Pesquisa de Preços",E2385)))</formula>
    </cfRule>
  </conditionalFormatting>
  <conditionalFormatting sqref="E1877">
    <cfRule type="containsText" dxfId="1868" priority="4829" operator="containsText" text="Pesquisa de Preços">
      <formula>NOT(ISERROR(SEARCH("Pesquisa de Preços",E1877)))</formula>
    </cfRule>
  </conditionalFormatting>
  <conditionalFormatting sqref="E1895">
    <cfRule type="containsText" dxfId="1867" priority="4828" operator="containsText" text="Pesquisa de Preços">
      <formula>NOT(ISERROR(SEARCH("Pesquisa de Preços",E1895)))</formula>
    </cfRule>
  </conditionalFormatting>
  <conditionalFormatting sqref="E1871">
    <cfRule type="containsText" dxfId="1866" priority="4827" operator="containsText" text="Pesquisa de Preços">
      <formula>NOT(ISERROR(SEARCH("Pesquisa de Preços",E1871)))</formula>
    </cfRule>
  </conditionalFormatting>
  <conditionalFormatting sqref="E1883">
    <cfRule type="containsText" dxfId="1865" priority="4826" operator="containsText" text="Pesquisa de Preços">
      <formula>NOT(ISERROR(SEARCH("Pesquisa de Preços",E1883)))</formula>
    </cfRule>
  </conditionalFormatting>
  <conditionalFormatting sqref="E1905">
    <cfRule type="containsText" dxfId="1864" priority="4822" operator="containsText" text="Pesquisa de Preços">
      <formula>NOT(ISERROR(SEARCH("Pesquisa de Preços",E1905)))</formula>
    </cfRule>
  </conditionalFormatting>
  <conditionalFormatting sqref="E1889">
    <cfRule type="containsText" dxfId="1863" priority="4825" operator="containsText" text="Pesquisa de Preços">
      <formula>NOT(ISERROR(SEARCH("Pesquisa de Preços",E1889)))</formula>
    </cfRule>
  </conditionalFormatting>
  <conditionalFormatting sqref="E1930 E1933:E1934">
    <cfRule type="containsText" dxfId="1862" priority="4814" operator="containsText" text="Pesquisa de Preços">
      <formula>NOT(ISERROR(SEARCH("Pesquisa de Preços",E1930)))</formula>
    </cfRule>
  </conditionalFormatting>
  <conditionalFormatting sqref="E1903:E1904 E1906:E1907">
    <cfRule type="containsText" dxfId="1861" priority="4824" operator="containsText" text="Pesquisa de Preços">
      <formula>NOT(ISERROR(SEARCH("Pesquisa de Preços",E1903)))</formula>
    </cfRule>
  </conditionalFormatting>
  <conditionalFormatting sqref="E1911">
    <cfRule type="containsText" dxfId="1860" priority="4819" operator="containsText" text="Pesquisa de Preços">
      <formula>NOT(ISERROR(SEARCH("Pesquisa de Preços",E1911)))</formula>
    </cfRule>
  </conditionalFormatting>
  <conditionalFormatting sqref="E1909:E1910 E1912:E1913">
    <cfRule type="containsText" dxfId="1859" priority="4821" operator="containsText" text="Pesquisa de Preços">
      <formula>NOT(ISERROR(SEARCH("Pesquisa de Preços",E1909)))</formula>
    </cfRule>
  </conditionalFormatting>
  <conditionalFormatting sqref="E1925:E1926 E1928">
    <cfRule type="containsText" dxfId="1858" priority="4818" operator="containsText" text="Pesquisa de Preços">
      <formula>NOT(ISERROR(SEARCH("Pesquisa de Preços",E1925)))</formula>
    </cfRule>
  </conditionalFormatting>
  <conditionalFormatting sqref="E1920">
    <cfRule type="containsText" dxfId="1857" priority="4816" operator="containsText" text="Pesquisa de Preços">
      <formula>NOT(ISERROR(SEARCH("Pesquisa de Preços",E1920)))</formula>
    </cfRule>
  </conditionalFormatting>
  <conditionalFormatting sqref="E1953:E1954 E1956:E1957">
    <cfRule type="containsText" dxfId="1856" priority="4812" operator="containsText" text="Pesquisa de Preços">
      <formula>NOT(ISERROR(SEARCH("Pesquisa de Preços",E1953)))</formula>
    </cfRule>
  </conditionalFormatting>
  <conditionalFormatting sqref="E1955">
    <cfRule type="containsText" dxfId="1855" priority="4810" operator="containsText" text="Pesquisa de Preços">
      <formula>NOT(ISERROR(SEARCH("Pesquisa de Preços",E1955)))</formula>
    </cfRule>
  </conditionalFormatting>
  <conditionalFormatting sqref="E1962:E1963">
    <cfRule type="containsText" dxfId="1854" priority="4809" operator="containsText" text="Pesquisa de Preços">
      <formula>NOT(ISERROR(SEARCH("Pesquisa de Preços",E1962)))</formula>
    </cfRule>
  </conditionalFormatting>
  <conditionalFormatting sqref="E1972:E1973 E1976:E1977">
    <cfRule type="containsText" dxfId="1853" priority="4803" operator="containsText" text="Pesquisa de Preços">
      <formula>NOT(ISERROR(SEARCH("Pesquisa de Preços",E1972)))</formula>
    </cfRule>
  </conditionalFormatting>
  <conditionalFormatting sqref="E1974:E1975">
    <cfRule type="containsText" dxfId="1852" priority="4801" operator="containsText" text="Pesquisa de Preços">
      <formula>NOT(ISERROR(SEARCH("Pesquisa de Preços",E1974)))</formula>
    </cfRule>
  </conditionalFormatting>
  <conditionalFormatting sqref="E1987 E1992:E1993">
    <cfRule type="containsText" dxfId="1851" priority="4808" operator="containsText" text="Pesquisa de Preços">
      <formula>NOT(ISERROR(SEARCH("Pesquisa de Preços",E1987)))</formula>
    </cfRule>
  </conditionalFormatting>
  <conditionalFormatting sqref="E1986">
    <cfRule type="containsText" dxfId="1850" priority="4807" operator="containsText" text="Pesquisa de Preços">
      <formula>NOT(ISERROR(SEARCH("Pesquisa de Preços",E1986)))</formula>
    </cfRule>
  </conditionalFormatting>
  <conditionalFormatting sqref="E1979 E1985">
    <cfRule type="containsText" dxfId="1849" priority="4805" operator="containsText" text="Pesquisa de Preços">
      <formula>NOT(ISERROR(SEARCH("Pesquisa de Preços",E1979)))</formula>
    </cfRule>
  </conditionalFormatting>
  <conditionalFormatting sqref="E1964">
    <cfRule type="containsText" dxfId="1848" priority="4799" operator="containsText" text="Pesquisa de Preços">
      <formula>NOT(ISERROR(SEARCH("Pesquisa de Preços",E1964)))</formula>
    </cfRule>
  </conditionalFormatting>
  <conditionalFormatting sqref="E1965:E1966 E1969:E1970">
    <cfRule type="containsText" dxfId="1847" priority="4800" operator="containsText" text="Pesquisa de Preços">
      <formula>NOT(ISERROR(SEARCH("Pesquisa de Preços",E1965)))</formula>
    </cfRule>
  </conditionalFormatting>
  <conditionalFormatting sqref="E1967:E1968">
    <cfRule type="containsText" dxfId="1846" priority="4798" operator="containsText" text="Pesquisa de Preços">
      <formula>NOT(ISERROR(SEARCH("Pesquisa de Preços",E1967)))</formula>
    </cfRule>
  </conditionalFormatting>
  <conditionalFormatting sqref="E2016 E2021">
    <cfRule type="containsText" dxfId="1845" priority="4797" operator="containsText" text="Pesquisa de Preços">
      <formula>NOT(ISERROR(SEARCH("Pesquisa de Preços",E2016)))</formula>
    </cfRule>
  </conditionalFormatting>
  <conditionalFormatting sqref="E2011:E2012">
    <cfRule type="containsText" dxfId="1844" priority="4793" operator="containsText" text="Pesquisa de Preços">
      <formula>NOT(ISERROR(SEARCH("Pesquisa de Preços",E2011)))</formula>
    </cfRule>
  </conditionalFormatting>
  <conditionalFormatting sqref="E2014 E2009:E2010">
    <cfRule type="containsText" dxfId="1843" priority="4795" operator="containsText" text="Pesquisa de Preços">
      <formula>NOT(ISERROR(SEARCH("Pesquisa de Preços",E2009)))</formula>
    </cfRule>
  </conditionalFormatting>
  <conditionalFormatting sqref="E2004:E2005">
    <cfRule type="containsText" dxfId="1842" priority="4790" operator="containsText" text="Pesquisa de Preços">
      <formula>NOT(ISERROR(SEARCH("Pesquisa de Preços",E2004)))</formula>
    </cfRule>
  </conditionalFormatting>
  <conditionalFormatting sqref="E2007 E2002:E2003">
    <cfRule type="containsText" dxfId="1841" priority="4792" operator="containsText" text="Pesquisa de Preços">
      <formula>NOT(ISERROR(SEARCH("Pesquisa de Preços",E2002)))</formula>
    </cfRule>
  </conditionalFormatting>
  <conditionalFormatting sqref="E1995 E2000">
    <cfRule type="containsText" dxfId="1840" priority="4789" operator="containsText" text="Pesquisa de Preços">
      <formula>NOT(ISERROR(SEARCH("Pesquisa de Preços",E1995)))</formula>
    </cfRule>
  </conditionalFormatting>
  <conditionalFormatting sqref="E2140">
    <cfRule type="containsText" dxfId="1839" priority="4786" operator="containsText" text="Pesquisa de Preços">
      <formula>NOT(ISERROR(SEARCH("Pesquisa de Preços",E2140)))</formula>
    </cfRule>
  </conditionalFormatting>
  <conditionalFormatting sqref="E2141:E2142">
    <cfRule type="containsText" dxfId="1838" priority="4787" operator="containsText" text="Pesquisa de Preços">
      <formula>NOT(ISERROR(SEARCH("Pesquisa de Preços",E2141)))</formula>
    </cfRule>
  </conditionalFormatting>
  <conditionalFormatting sqref="E2143:E2144">
    <cfRule type="containsText" dxfId="1837" priority="4785" operator="containsText" text="Pesquisa de Preços">
      <formula>NOT(ISERROR(SEARCH("Pesquisa de Preços",E2143)))</formula>
    </cfRule>
  </conditionalFormatting>
  <conditionalFormatting sqref="E2129:E2130">
    <cfRule type="containsText" dxfId="1836" priority="4784" operator="containsText" text="Pesquisa de Preços">
      <formula>NOT(ISERROR(SEARCH("Pesquisa de Preços",E2129)))</formula>
    </cfRule>
  </conditionalFormatting>
  <conditionalFormatting sqref="E2128">
    <cfRule type="containsText" dxfId="1835" priority="4783" operator="containsText" text="Pesquisa de Preços">
      <formula>NOT(ISERROR(SEARCH("Pesquisa de Preços",E2128)))</formula>
    </cfRule>
  </conditionalFormatting>
  <conditionalFormatting sqref="E2155 E2159:E2161">
    <cfRule type="containsText" dxfId="1834" priority="4781" operator="containsText" text="Pesquisa de Preços">
      <formula>NOT(ISERROR(SEARCH("Pesquisa de Preços",E2155)))</formula>
    </cfRule>
  </conditionalFormatting>
  <conditionalFormatting sqref="E2154">
    <cfRule type="containsText" dxfId="1833" priority="4780" operator="containsText" text="Pesquisa de Preços">
      <formula>NOT(ISERROR(SEARCH("Pesquisa de Preços",E2154)))</formula>
    </cfRule>
  </conditionalFormatting>
  <conditionalFormatting sqref="E2158">
    <cfRule type="containsText" dxfId="1832" priority="4779" operator="containsText" text="Pesquisa de Preços">
      <formula>NOT(ISERROR(SEARCH("Pesquisa de Preços",E2158)))</formula>
    </cfRule>
  </conditionalFormatting>
  <conditionalFormatting sqref="E2171 E2175:E2177">
    <cfRule type="containsText" dxfId="1831" priority="4778" operator="containsText" text="Pesquisa de Preços">
      <formula>NOT(ISERROR(SEARCH("Pesquisa de Preços",E2171)))</formula>
    </cfRule>
  </conditionalFormatting>
  <conditionalFormatting sqref="E2151:E2153">
    <cfRule type="containsText" dxfId="1830" priority="4776" operator="containsText" text="Pesquisa de Preços">
      <formula>NOT(ISERROR(SEARCH("Pesquisa de Preços",E2151)))</formula>
    </cfRule>
  </conditionalFormatting>
  <conditionalFormatting sqref="E2183:E2185">
    <cfRule type="containsText" dxfId="1829" priority="4775" operator="containsText" text="Pesquisa de Preços">
      <formula>NOT(ISERROR(SEARCH("Pesquisa de Preços",E2183)))</formula>
    </cfRule>
  </conditionalFormatting>
  <conditionalFormatting sqref="E2061 E2065:E2067">
    <cfRule type="containsText" dxfId="1828" priority="4770" operator="containsText" text="Pesquisa de Preços">
      <formula>NOT(ISERROR(SEARCH("Pesquisa de Preços",E2061)))</formula>
    </cfRule>
  </conditionalFormatting>
  <conditionalFormatting sqref="E2167:E2169">
    <cfRule type="containsText" dxfId="1827" priority="4774" operator="containsText" text="Pesquisa de Preços">
      <formula>NOT(ISERROR(SEARCH("Pesquisa de Preços",E2167)))</formula>
    </cfRule>
  </conditionalFormatting>
  <conditionalFormatting sqref="E2060">
    <cfRule type="containsText" dxfId="1826" priority="4769" operator="containsText" text="Pesquisa de Preços">
      <formula>NOT(ISERROR(SEARCH("Pesquisa de Preços",E2060)))</formula>
    </cfRule>
  </conditionalFormatting>
  <conditionalFormatting sqref="E2191:E2193">
    <cfRule type="containsText" dxfId="1825" priority="4773" operator="containsText" text="Pesquisa de Preços">
      <formula>NOT(ISERROR(SEARCH("Pesquisa de Preços",E2191)))</formula>
    </cfRule>
  </conditionalFormatting>
  <conditionalFormatting sqref="E2244:E2247 E2249">
    <cfRule type="containsText" dxfId="1824" priority="4729" operator="containsText" text="Pesquisa de Preços">
      <formula>NOT(ISERROR(SEARCH("Pesquisa de Preços",E2244)))</formula>
    </cfRule>
  </conditionalFormatting>
  <conditionalFormatting sqref="E2045 E2049:E2051">
    <cfRule type="containsText" dxfId="1823" priority="4772" operator="containsText" text="Pesquisa de Preços">
      <formula>NOT(ISERROR(SEARCH("Pesquisa de Preços",E2045)))</formula>
    </cfRule>
  </conditionalFormatting>
  <conditionalFormatting sqref="E2053 E2057:E2059">
    <cfRule type="containsText" dxfId="1822" priority="4764" operator="containsText" text="Pesquisa de Preços">
      <formula>NOT(ISERROR(SEARCH("Pesquisa de Preços",E2053)))</formula>
    </cfRule>
  </conditionalFormatting>
  <conditionalFormatting sqref="E2338:E2339 E2342">
    <cfRule type="containsText" dxfId="1821" priority="4722" operator="containsText" text="Pesquisa de Preços">
      <formula>NOT(ISERROR(SEARCH("Pesquisa de Preços",E2338)))</formula>
    </cfRule>
  </conditionalFormatting>
  <conditionalFormatting sqref="E2037 E2041:E2043">
    <cfRule type="containsText" dxfId="1820" priority="4768" operator="containsText" text="Pesquisa de Preços">
      <formula>NOT(ISERROR(SEARCH("Pesquisa de Preços",E2037)))</formula>
    </cfRule>
  </conditionalFormatting>
  <conditionalFormatting sqref="E2036">
    <cfRule type="containsText" dxfId="1819" priority="4767" operator="containsText" text="Pesquisa de Preços">
      <formula>NOT(ISERROR(SEARCH("Pesquisa de Preços",E2036)))</formula>
    </cfRule>
  </conditionalFormatting>
  <conditionalFormatting sqref="E2069 E2073:E2075">
    <cfRule type="containsText" dxfId="1818" priority="4766" operator="containsText" text="Pesquisa de Preços">
      <formula>NOT(ISERROR(SEARCH("Pesquisa de Preços",E2069)))</formula>
    </cfRule>
  </conditionalFormatting>
  <conditionalFormatting sqref="E2068">
    <cfRule type="containsText" dxfId="1817" priority="4765" operator="containsText" text="Pesquisa de Preços">
      <formula>NOT(ISERROR(SEARCH("Pesquisa de Preços",E2068)))</formula>
    </cfRule>
  </conditionalFormatting>
  <conditionalFormatting sqref="E2319:E2320">
    <cfRule type="containsText" dxfId="1816" priority="4728" operator="containsText" text="Pesquisa de Preços">
      <formula>NOT(ISERROR(SEARCH("Pesquisa de Preços",E2319)))</formula>
    </cfRule>
  </conditionalFormatting>
  <conditionalFormatting sqref="E2052">
    <cfRule type="containsText" dxfId="1815" priority="4763" operator="containsText" text="Pesquisa de Preços">
      <formula>NOT(ISERROR(SEARCH("Pesquisa de Preços",E2052)))</formula>
    </cfRule>
  </conditionalFormatting>
  <conditionalFormatting sqref="E2301">
    <cfRule type="containsText" dxfId="1814" priority="4737" operator="containsText" text="Pesquisa de Preços">
      <formula>NOT(ISERROR(SEARCH("Pesquisa de Preços",E2301)))</formula>
    </cfRule>
  </conditionalFormatting>
  <conditionalFormatting sqref="E2077 E2081:E2083">
    <cfRule type="containsText" dxfId="1813" priority="4762" operator="containsText" text="Pesquisa de Preços">
      <formula>NOT(ISERROR(SEARCH("Pesquisa de Preços",E2077)))</formula>
    </cfRule>
  </conditionalFormatting>
  <conditionalFormatting sqref="E2076">
    <cfRule type="containsText" dxfId="1812" priority="4761" operator="containsText" text="Pesquisa de Preços">
      <formula>NOT(ISERROR(SEARCH("Pesquisa de Preços",E2076)))</formula>
    </cfRule>
  </conditionalFormatting>
  <conditionalFormatting sqref="E2256">
    <cfRule type="containsText" dxfId="1811" priority="4741" operator="containsText" text="Pesquisa de Preços">
      <formula>NOT(ISERROR(SEARCH("Pesquisa de Preços",E2256)))</formula>
    </cfRule>
  </conditionalFormatting>
  <conditionalFormatting sqref="E2035">
    <cfRule type="containsText" dxfId="1810" priority="4760" operator="containsText" text="Pesquisa de Preços">
      <formula>NOT(ISERROR(SEARCH("Pesquisa de Preços",E2035)))</formula>
    </cfRule>
  </conditionalFormatting>
  <conditionalFormatting sqref="E2113:E2115">
    <cfRule type="containsText" dxfId="1809" priority="4759" operator="containsText" text="Pesquisa de Preços">
      <formula>NOT(ISERROR(SEARCH("Pesquisa de Preços",E2113)))</formula>
    </cfRule>
  </conditionalFormatting>
  <conditionalFormatting sqref="E2229">
    <cfRule type="containsText" dxfId="1808" priority="4742" operator="containsText" text="Pesquisa de Preços">
      <formula>NOT(ISERROR(SEARCH("Pesquisa de Preços",E2229)))</formula>
    </cfRule>
  </conditionalFormatting>
  <conditionalFormatting sqref="E2105:E2107">
    <cfRule type="containsText" dxfId="1807" priority="4758" operator="containsText" text="Pesquisa de Preços">
      <formula>NOT(ISERROR(SEARCH("Pesquisa de Preços",E2105)))</formula>
    </cfRule>
  </conditionalFormatting>
  <conditionalFormatting sqref="E2220">
    <cfRule type="containsText" dxfId="1806" priority="4747" operator="containsText" text="Pesquisa de Preços">
      <formula>NOT(ISERROR(SEARCH("Pesquisa de Preços",E2220)))</formula>
    </cfRule>
  </conditionalFormatting>
  <conditionalFormatting sqref="E2222">
    <cfRule type="containsText" dxfId="1805" priority="4746" operator="containsText" text="Pesquisa de Preços">
      <formula>NOT(ISERROR(SEARCH("Pesquisa de Preços",E2222)))</formula>
    </cfRule>
  </conditionalFormatting>
  <conditionalFormatting sqref="E2099">
    <cfRule type="containsText" dxfId="1804" priority="4757" operator="containsText" text="Pesquisa de Preços">
      <formula>NOT(ISERROR(SEARCH("Pesquisa de Preços",E2099)))</formula>
    </cfRule>
  </conditionalFormatting>
  <conditionalFormatting sqref="E2025">
    <cfRule type="containsText" dxfId="1803" priority="4754" operator="containsText" text="Pesquisa de Preços">
      <formula>NOT(ISERROR(SEARCH("Pesquisa de Preços",E2025)))</formula>
    </cfRule>
  </conditionalFormatting>
  <conditionalFormatting sqref="E2023:E2024 E2026:E2027">
    <cfRule type="containsText" dxfId="1802" priority="4756" operator="containsText" text="Pesquisa de Preços">
      <formula>NOT(ISERROR(SEARCH("Pesquisa de Preços",E2023)))</formula>
    </cfRule>
  </conditionalFormatting>
  <conditionalFormatting sqref="E2022">
    <cfRule type="containsText" dxfId="1801" priority="4755" operator="containsText" text="Pesquisa de Preços">
      <formula>NOT(ISERROR(SEARCH("Pesquisa de Preços",E2022)))</formula>
    </cfRule>
  </conditionalFormatting>
  <conditionalFormatting sqref="E2117">
    <cfRule type="containsText" dxfId="1800" priority="4753" operator="containsText" text="Pesquisa de Preços">
      <formula>NOT(ISERROR(SEARCH("Pesquisa de Preços",E2117)))</formula>
    </cfRule>
  </conditionalFormatting>
  <conditionalFormatting sqref="E2116">
    <cfRule type="containsText" dxfId="1799" priority="4752" operator="containsText" text="Pesquisa de Preços">
      <formula>NOT(ISERROR(SEARCH("Pesquisa de Preços",E2116)))</formula>
    </cfRule>
  </conditionalFormatting>
  <conditionalFormatting sqref="E2211:E2212">
    <cfRule type="containsText" dxfId="1798" priority="4751" operator="containsText" text="Pesquisa de Preços">
      <formula>NOT(ISERROR(SEARCH("Pesquisa de Preços",E2211)))</formula>
    </cfRule>
  </conditionalFormatting>
  <conditionalFormatting sqref="E2210">
    <cfRule type="containsText" dxfId="1797" priority="4750" operator="containsText" text="Pesquisa de Preços">
      <formula>NOT(ISERROR(SEARCH("Pesquisa de Preços",E2210)))</formula>
    </cfRule>
  </conditionalFormatting>
  <conditionalFormatting sqref="E2216:E2217 E2219">
    <cfRule type="containsText" dxfId="1796" priority="4749" operator="containsText" text="Pesquisa de Preços">
      <formula>NOT(ISERROR(SEARCH("Pesquisa de Preços",E2216)))</formula>
    </cfRule>
  </conditionalFormatting>
  <conditionalFormatting sqref="E2236 E2239:E2240">
    <cfRule type="containsText" dxfId="1795" priority="4745" operator="containsText" text="Pesquisa de Preços">
      <formula>NOT(ISERROR(SEARCH("Pesquisa de Preços",E2236)))</formula>
    </cfRule>
  </conditionalFormatting>
  <conditionalFormatting sqref="E2230 E2234">
    <cfRule type="containsText" dxfId="1794" priority="4743" operator="containsText" text="Pesquisa de Preços">
      <formula>NOT(ISERROR(SEARCH("Pesquisa de Preços",E2230)))</formula>
    </cfRule>
  </conditionalFormatting>
  <conditionalFormatting sqref="E2302">
    <cfRule type="containsText" dxfId="1793" priority="4738" operator="containsText" text="Pesquisa de Preços">
      <formula>NOT(ISERROR(SEARCH("Pesquisa de Preços",E2302)))</formula>
    </cfRule>
  </conditionalFormatting>
  <conditionalFormatting sqref="E2259">
    <cfRule type="containsText" dxfId="1792" priority="4739" operator="containsText" text="Pesquisa de Preços">
      <formula>NOT(ISERROR(SEARCH("Pesquisa de Preços",E2259)))</formula>
    </cfRule>
  </conditionalFormatting>
  <conditionalFormatting sqref="E2291">
    <cfRule type="containsText" dxfId="1791" priority="4735" operator="containsText" text="Pesquisa de Preços">
      <formula>NOT(ISERROR(SEARCH("Pesquisa de Preços",E2291)))</formula>
    </cfRule>
  </conditionalFormatting>
  <conditionalFormatting sqref="E2292">
    <cfRule type="containsText" dxfId="1790" priority="4736" operator="containsText" text="Pesquisa de Preços">
      <formula>NOT(ISERROR(SEARCH("Pesquisa de Preços",E2292)))</formula>
    </cfRule>
  </conditionalFormatting>
  <conditionalFormatting sqref="E2282 E2290">
    <cfRule type="containsText" dxfId="1789" priority="4733" operator="containsText" text="Pesquisa de Preços">
      <formula>NOT(ISERROR(SEARCH("Pesquisa de Preços",E2282)))</formula>
    </cfRule>
  </conditionalFormatting>
  <conditionalFormatting sqref="E2241">
    <cfRule type="containsText" dxfId="1788" priority="4730" operator="containsText" text="Pesquisa de Preços">
      <formula>NOT(ISERROR(SEARCH("Pesquisa de Preços",E2241)))</formula>
    </cfRule>
  </conditionalFormatting>
  <conditionalFormatting sqref="E2242:E2243">
    <cfRule type="containsText" dxfId="1787" priority="4731" operator="containsText" text="Pesquisa de Preços">
      <formula>NOT(ISERROR(SEARCH("Pesquisa de Preços",E2242)))</formula>
    </cfRule>
  </conditionalFormatting>
  <conditionalFormatting sqref="E2318">
    <cfRule type="containsText" dxfId="1786" priority="4727" operator="containsText" text="Pesquisa de Preços">
      <formula>NOT(ISERROR(SEARCH("Pesquisa de Preços",E2318)))</formula>
    </cfRule>
  </conditionalFormatting>
  <conditionalFormatting sqref="E2323">
    <cfRule type="containsText" dxfId="1785" priority="4726" operator="containsText" text="Pesquisa de Preços">
      <formula>NOT(ISERROR(SEARCH("Pesquisa de Preços",E2323)))</formula>
    </cfRule>
  </conditionalFormatting>
  <conditionalFormatting sqref="E2317">
    <cfRule type="containsText" dxfId="1784" priority="4725" operator="containsText" text="Pesquisa de Preços">
      <formula>NOT(ISERROR(SEARCH("Pesquisa de Preços",E2317)))</formula>
    </cfRule>
  </conditionalFormatting>
  <conditionalFormatting sqref="E2350">
    <cfRule type="containsText" dxfId="1783" priority="4724" operator="containsText" text="Pesquisa de Preços">
      <formula>NOT(ISERROR(SEARCH("Pesquisa de Preços",E2350)))</formula>
    </cfRule>
  </conditionalFormatting>
  <conditionalFormatting sqref="E2349">
    <cfRule type="containsText" dxfId="1782" priority="4723" operator="containsText" text="Pesquisa de Preços">
      <formula>NOT(ISERROR(SEARCH("Pesquisa de Preços",E2349)))</formula>
    </cfRule>
  </conditionalFormatting>
  <conditionalFormatting sqref="E2337">
    <cfRule type="containsText" dxfId="1781" priority="4721" operator="containsText" text="Pesquisa de Preços">
      <formula>NOT(ISERROR(SEARCH("Pesquisa de Preços",E2337)))</formula>
    </cfRule>
  </conditionalFormatting>
  <conditionalFormatting sqref="E2332:E2333 E2336">
    <cfRule type="containsText" dxfId="1780" priority="4720" operator="containsText" text="Pesquisa de Preços">
      <formula>NOT(ISERROR(SEARCH("Pesquisa de Preços",E2332)))</formula>
    </cfRule>
  </conditionalFormatting>
  <conditionalFormatting sqref="E2344:E2345 E2347:E2348">
    <cfRule type="containsText" dxfId="1779" priority="4718" operator="containsText" text="Pesquisa de Preços">
      <formula>NOT(ISERROR(SEARCH("Pesquisa de Preços",E2344)))</formula>
    </cfRule>
  </conditionalFormatting>
  <conditionalFormatting sqref="E2346">
    <cfRule type="containsText" dxfId="1778" priority="4716" operator="containsText" text="Pesquisa de Preços">
      <formula>NOT(ISERROR(SEARCH("Pesquisa de Preços",E2346)))</formula>
    </cfRule>
  </conditionalFormatting>
  <conditionalFormatting sqref="E2326 E2329:E2330">
    <cfRule type="containsText" dxfId="1777" priority="4715" operator="containsText" text="Pesquisa de Preços">
      <formula>NOT(ISERROR(SEARCH("Pesquisa de Preços",E2326)))</formula>
    </cfRule>
  </conditionalFormatting>
  <conditionalFormatting sqref="E2325">
    <cfRule type="containsText" dxfId="1776" priority="4714" operator="containsText" text="Pesquisa de Preços">
      <formula>NOT(ISERROR(SEARCH("Pesquisa de Preços",E2325)))</formula>
    </cfRule>
  </conditionalFormatting>
  <conditionalFormatting sqref="E2328">
    <cfRule type="containsText" dxfId="1775" priority="4713" operator="containsText" text="Pesquisa de Preços">
      <formula>NOT(ISERROR(SEARCH("Pesquisa de Preços",E2328)))</formula>
    </cfRule>
  </conditionalFormatting>
  <conditionalFormatting sqref="E2355:E2358">
    <cfRule type="containsText" dxfId="1774" priority="4712" operator="containsText" text="Pesquisa de Preços">
      <formula>NOT(ISERROR(SEARCH("Pesquisa de Preços",E2355)))</formula>
    </cfRule>
  </conditionalFormatting>
  <conditionalFormatting sqref="E2360 E2362:E2363">
    <cfRule type="containsText" dxfId="1773" priority="4710" operator="containsText" text="Pesquisa de Preços">
      <formula>NOT(ISERROR(SEARCH("Pesquisa de Preços",E2360)))</formula>
    </cfRule>
  </conditionalFormatting>
  <conditionalFormatting sqref="E897:E898 E900:E902">
    <cfRule type="containsText" dxfId="1772" priority="4708" operator="containsText" text="Pesquisa de Preços">
      <formula>NOT(ISERROR(SEARCH("Pesquisa de Preços",E897)))</formula>
    </cfRule>
  </conditionalFormatting>
  <conditionalFormatting sqref="E857:E858">
    <cfRule type="containsText" dxfId="1771" priority="4700" operator="containsText" text="Pesquisa de Preços">
      <formula>NOT(ISERROR(SEARCH("Pesquisa de Preços",E857)))</formula>
    </cfRule>
  </conditionalFormatting>
  <conditionalFormatting sqref="E876 E881:E882">
    <cfRule type="containsText" dxfId="1770" priority="4706" operator="containsText" text="Pesquisa de Preços">
      <formula>NOT(ISERROR(SEARCH("Pesquisa de Preços",E876)))</formula>
    </cfRule>
  </conditionalFormatting>
  <conditionalFormatting sqref="E889:E890">
    <cfRule type="containsText" dxfId="1769" priority="4703" operator="containsText" text="Pesquisa de Preços">
      <formula>NOT(ISERROR(SEARCH("Pesquisa de Preços",E889)))</formula>
    </cfRule>
  </conditionalFormatting>
  <conditionalFormatting sqref="E868">
    <cfRule type="containsText" dxfId="1768" priority="4693" operator="containsText" text="Pesquisa de Preços">
      <formula>NOT(ISERROR(SEARCH("Pesquisa de Preços",E868)))</formula>
    </cfRule>
  </conditionalFormatting>
  <conditionalFormatting sqref="E858:E860">
    <cfRule type="containsText" dxfId="1767" priority="4698" operator="containsText" text="Pesquisa de Preços">
      <formula>NOT(ISERROR(SEARCH("Pesquisa de Preços",E858)))</formula>
    </cfRule>
  </conditionalFormatting>
  <conditionalFormatting sqref="E846:E849">
    <cfRule type="containsText" dxfId="1766" priority="4697" operator="containsText" text="Pesquisa de Preços">
      <formula>NOT(ISERROR(SEARCH("Pesquisa de Preços",E846)))</formula>
    </cfRule>
  </conditionalFormatting>
  <conditionalFormatting sqref="E845">
    <cfRule type="containsText" dxfId="1765" priority="4696" operator="containsText" text="Pesquisa de Preços">
      <formula>NOT(ISERROR(SEARCH("Pesquisa de Preços",E845)))</formula>
    </cfRule>
  </conditionalFormatting>
  <conditionalFormatting sqref="E851 E854:E855">
    <cfRule type="containsText" dxfId="1764" priority="4695" operator="containsText" text="Pesquisa de Preços">
      <formula>NOT(ISERROR(SEARCH("Pesquisa de Preços",E851)))</formula>
    </cfRule>
  </conditionalFormatting>
  <conditionalFormatting sqref="E867">
    <cfRule type="containsText" dxfId="1763" priority="4692" operator="containsText" text="Pesquisa de Preços">
      <formula>NOT(ISERROR(SEARCH("Pesquisa de Preços",E867)))</formula>
    </cfRule>
  </conditionalFormatting>
  <conditionalFormatting sqref="E863">
    <cfRule type="containsText" dxfId="1762" priority="4691" operator="containsText" text="Pesquisa de Preços">
      <formula>NOT(ISERROR(SEARCH("Pesquisa de Preços",E863)))</formula>
    </cfRule>
  </conditionalFormatting>
  <conditionalFormatting sqref="E862">
    <cfRule type="containsText" dxfId="1761" priority="4690" operator="containsText" text="Pesquisa de Preços">
      <formula>NOT(ISERROR(SEARCH("Pesquisa de Preços",E862)))</formula>
    </cfRule>
  </conditionalFormatting>
  <conditionalFormatting sqref="E892:E893">
    <cfRule type="containsText" dxfId="1760" priority="4689" operator="containsText" text="Pesquisa de Preços">
      <formula>NOT(ISERROR(SEARCH("Pesquisa de Preços",E892)))</formula>
    </cfRule>
  </conditionalFormatting>
  <conditionalFormatting sqref="E891">
    <cfRule type="containsText" dxfId="1759" priority="4688" operator="containsText" text="Pesquisa de Preços">
      <formula>NOT(ISERROR(SEARCH("Pesquisa de Preços",E891)))</formula>
    </cfRule>
  </conditionalFormatting>
  <conditionalFormatting sqref="E904:E905">
    <cfRule type="containsText" dxfId="1758" priority="4687" operator="containsText" text="Pesquisa de Preços">
      <formula>NOT(ISERROR(SEARCH("Pesquisa de Preços",E904)))</formula>
    </cfRule>
  </conditionalFormatting>
  <conditionalFormatting sqref="E903">
    <cfRule type="containsText" dxfId="1757" priority="4686" operator="containsText" text="Pesquisa de Preços">
      <formula>NOT(ISERROR(SEARCH("Pesquisa de Preços",E903)))</formula>
    </cfRule>
  </conditionalFormatting>
  <conditionalFormatting sqref="E2371:E2372">
    <cfRule type="containsText" dxfId="1756" priority="4685" operator="containsText" text="Pesquisa de Preços">
      <formula>NOT(ISERROR(SEARCH("Pesquisa de Preços",E2371)))</formula>
    </cfRule>
  </conditionalFormatting>
  <conditionalFormatting sqref="E2370">
    <cfRule type="containsText" dxfId="1755" priority="4684" operator="containsText" text="Pesquisa de Preços">
      <formula>NOT(ISERROR(SEARCH("Pesquisa de Preços",E2370)))</formula>
    </cfRule>
  </conditionalFormatting>
  <conditionalFormatting sqref="E2379 E2382 E2384">
    <cfRule type="containsText" dxfId="1754" priority="4683" operator="containsText" text="Pesquisa de Preços">
      <formula>NOT(ISERROR(SEARCH("Pesquisa de Preços",E2379)))</formula>
    </cfRule>
  </conditionalFormatting>
  <conditionalFormatting sqref="E2378">
    <cfRule type="containsText" dxfId="1753" priority="4682" operator="containsText" text="Pesquisa de Preços">
      <formula>NOT(ISERROR(SEARCH("Pesquisa de Preços",E2378)))</formula>
    </cfRule>
  </conditionalFormatting>
  <conditionalFormatting sqref="E2365:E2366 E2368:E2369">
    <cfRule type="containsText" dxfId="1752" priority="4681" operator="containsText" text="Pesquisa de Preços">
      <formula>NOT(ISERROR(SEARCH("Pesquisa de Preços",E2365)))</formula>
    </cfRule>
  </conditionalFormatting>
  <conditionalFormatting sqref="E2392 E2397">
    <cfRule type="containsText" dxfId="1751" priority="4678" operator="containsText" text="Pesquisa de Preços">
      <formula>NOT(ISERROR(SEARCH("Pesquisa de Preços",E2392)))</formula>
    </cfRule>
  </conditionalFormatting>
  <conditionalFormatting sqref="E2367">
    <cfRule type="containsText" dxfId="1750" priority="4679" operator="containsText" text="Pesquisa de Preços">
      <formula>NOT(ISERROR(SEARCH("Pesquisa de Preços",E2367)))</formula>
    </cfRule>
  </conditionalFormatting>
  <conditionalFormatting sqref="E2386">
    <cfRule type="containsText" dxfId="1749" priority="4676" operator="containsText" text="Pesquisa de Preços">
      <formula>NOT(ISERROR(SEARCH("Pesquisa de Preços",E2386)))</formula>
    </cfRule>
  </conditionalFormatting>
  <conditionalFormatting sqref="E1772:E1773 E1776:E1777">
    <cfRule type="containsText" dxfId="1748" priority="4674" operator="containsText" text="Pesquisa de Preços">
      <formula>NOT(ISERROR(SEARCH("Pesquisa de Preços",E1772)))</formula>
    </cfRule>
  </conditionalFormatting>
  <conditionalFormatting sqref="E1771">
    <cfRule type="containsText" dxfId="1747" priority="4673" operator="containsText" text="Pesquisa de Preços">
      <formula>NOT(ISERROR(SEARCH("Pesquisa de Preços",E1771)))</formula>
    </cfRule>
  </conditionalFormatting>
  <conditionalFormatting sqref="E1744">
    <cfRule type="containsText" dxfId="1746" priority="4600" operator="containsText" text="Pesquisa de Preços">
      <formula>NOT(ISERROR(SEARCH("Pesquisa de Preços",E1744)))</formula>
    </cfRule>
  </conditionalFormatting>
  <conditionalFormatting sqref="E1774:E1775">
    <cfRule type="containsText" dxfId="1745" priority="4672" operator="containsText" text="Pesquisa de Preços">
      <formula>NOT(ISERROR(SEARCH("Pesquisa de Preços",E1774)))</formula>
    </cfRule>
  </conditionalFormatting>
  <conditionalFormatting sqref="E1786:E1787 E1790:E1791">
    <cfRule type="containsText" dxfId="1744" priority="4671" operator="containsText" text="Pesquisa de Preços">
      <formula>NOT(ISERROR(SEARCH("Pesquisa de Preços",E1786)))</formula>
    </cfRule>
  </conditionalFormatting>
  <conditionalFormatting sqref="E1785">
    <cfRule type="containsText" dxfId="1743" priority="4670" operator="containsText" text="Pesquisa de Preços">
      <formula>NOT(ISERROR(SEARCH("Pesquisa de Preços",E1785)))</formula>
    </cfRule>
  </conditionalFormatting>
  <conditionalFormatting sqref="E1788:E1789">
    <cfRule type="containsText" dxfId="1742" priority="4669" operator="containsText" text="Pesquisa de Preços">
      <formula>NOT(ISERROR(SEARCH("Pesquisa de Preços",E1788)))</formula>
    </cfRule>
  </conditionalFormatting>
  <conditionalFormatting sqref="E1800:E1801 E1804:E1805">
    <cfRule type="containsText" dxfId="1741" priority="4668" operator="containsText" text="Pesquisa de Preços">
      <formula>NOT(ISERROR(SEARCH("Pesquisa de Preços",E1800)))</formula>
    </cfRule>
  </conditionalFormatting>
  <conditionalFormatting sqref="E1799">
    <cfRule type="containsText" dxfId="1740" priority="4667" operator="containsText" text="Pesquisa de Preços">
      <formula>NOT(ISERROR(SEARCH("Pesquisa de Preços",E1799)))</formula>
    </cfRule>
  </conditionalFormatting>
  <conditionalFormatting sqref="E1802:E1803">
    <cfRule type="containsText" dxfId="1739" priority="4666" operator="containsText" text="Pesquisa de Preços">
      <formula>NOT(ISERROR(SEARCH("Pesquisa de Preços",E1802)))</formula>
    </cfRule>
  </conditionalFormatting>
  <conditionalFormatting sqref="E1758:E1759 E1762:E1763">
    <cfRule type="containsText" dxfId="1738" priority="4665" operator="containsText" text="Pesquisa de Preços">
      <formula>NOT(ISERROR(SEARCH("Pesquisa de Preços",E1758)))</formula>
    </cfRule>
  </conditionalFormatting>
  <conditionalFormatting sqref="E1757">
    <cfRule type="containsText" dxfId="1737" priority="4664" operator="containsText" text="Pesquisa de Preços">
      <formula>NOT(ISERROR(SEARCH("Pesquisa de Preços",E1757)))</formula>
    </cfRule>
  </conditionalFormatting>
  <conditionalFormatting sqref="E1760:E1761">
    <cfRule type="containsText" dxfId="1736" priority="4663" operator="containsText" text="Pesquisa de Preços">
      <formula>NOT(ISERROR(SEARCH("Pesquisa de Preços",E1760)))</formula>
    </cfRule>
  </conditionalFormatting>
  <conditionalFormatting sqref="E1765:E1766 E1769:E1770">
    <cfRule type="containsText" dxfId="1735" priority="4662" operator="containsText" text="Pesquisa de Preços">
      <formula>NOT(ISERROR(SEARCH("Pesquisa de Preços",E1765)))</formula>
    </cfRule>
  </conditionalFormatting>
  <conditionalFormatting sqref="E1764">
    <cfRule type="containsText" dxfId="1734" priority="4661" operator="containsText" text="Pesquisa de Preços">
      <formula>NOT(ISERROR(SEARCH("Pesquisa de Preços",E1764)))</formula>
    </cfRule>
  </conditionalFormatting>
  <conditionalFormatting sqref="E590 E594">
    <cfRule type="containsText" dxfId="1733" priority="4599" operator="containsText" text="Pesquisa de Preços">
      <formula>NOT(ISERROR(SEARCH("Pesquisa de Preços",E590)))</formula>
    </cfRule>
  </conditionalFormatting>
  <conditionalFormatting sqref="E1767:E1768">
    <cfRule type="containsText" dxfId="1732" priority="4660" operator="containsText" text="Pesquisa de Preços">
      <formula>NOT(ISERROR(SEARCH("Pesquisa de Preços",E1767)))</formula>
    </cfRule>
  </conditionalFormatting>
  <conditionalFormatting sqref="E1779 E1784">
    <cfRule type="containsText" dxfId="1731" priority="4659" operator="containsText" text="Pesquisa de Preços">
      <formula>NOT(ISERROR(SEARCH("Pesquisa de Preços",E1779)))</formula>
    </cfRule>
  </conditionalFormatting>
  <conditionalFormatting sqref="E1778">
    <cfRule type="containsText" dxfId="1730" priority="4658" operator="containsText" text="Pesquisa de Preços">
      <formula>NOT(ISERROR(SEARCH("Pesquisa de Preços",E1778)))</formula>
    </cfRule>
  </conditionalFormatting>
  <conditionalFormatting sqref="E380">
    <cfRule type="containsText" dxfId="1729" priority="4596" operator="containsText" text="Pesquisa de Preços">
      <formula>NOT(ISERROR(SEARCH("Pesquisa de Preços",E380)))</formula>
    </cfRule>
  </conditionalFormatting>
  <conditionalFormatting sqref="E1798">
    <cfRule type="containsText" dxfId="1728" priority="4657" operator="containsText" text="Pesquisa de Preços">
      <formula>NOT(ISERROR(SEARCH("Pesquisa de Preços",E1798)))</formula>
    </cfRule>
  </conditionalFormatting>
  <conditionalFormatting sqref="E1174">
    <cfRule type="containsText" dxfId="1727" priority="4656" operator="containsText" text="Pesquisa de Preços">
      <formula>NOT(ISERROR(SEARCH("Pesquisa de Preços",E1174)))</formula>
    </cfRule>
  </conditionalFormatting>
  <conditionalFormatting sqref="E1984">
    <cfRule type="containsText" dxfId="1726" priority="4654" operator="containsText" text="Pesquisa de Preços">
      <formula>NOT(ISERROR(SEARCH("Pesquisa de Preços",E1984)))</formula>
    </cfRule>
  </conditionalFormatting>
  <conditionalFormatting sqref="E2017">
    <cfRule type="containsText" dxfId="1725" priority="4652" operator="containsText" text="Pesquisa de Preços">
      <formula>NOT(ISERROR(SEARCH("Pesquisa de Preços",E2017)))</formula>
    </cfRule>
  </conditionalFormatting>
  <conditionalFormatting sqref="E2018:E2019">
    <cfRule type="containsText" dxfId="1724" priority="4651" operator="containsText" text="Pesquisa de Preços">
      <formula>NOT(ISERROR(SEARCH("Pesquisa de Preços",E2018)))</formula>
    </cfRule>
  </conditionalFormatting>
  <conditionalFormatting sqref="E1996 E1999">
    <cfRule type="containsText" dxfId="1723" priority="4650" operator="containsText" text="Pesquisa de Preços">
      <formula>NOT(ISERROR(SEARCH("Pesquisa de Preços",E1996)))</formula>
    </cfRule>
  </conditionalFormatting>
  <conditionalFormatting sqref="E1997:E1998">
    <cfRule type="containsText" dxfId="1722" priority="4649" operator="containsText" text="Pesquisa de Preços">
      <formula>NOT(ISERROR(SEARCH("Pesquisa de Preços",E1997)))</formula>
    </cfRule>
  </conditionalFormatting>
  <conditionalFormatting sqref="E2097:E2098">
    <cfRule type="containsText" dxfId="1721" priority="4648" operator="containsText" text="Pesquisa de Preços">
      <formula>NOT(ISERROR(SEARCH("Pesquisa de Preços",E2097)))</formula>
    </cfRule>
  </conditionalFormatting>
  <conditionalFormatting sqref="E2033:E2034">
    <cfRule type="containsText" dxfId="1720" priority="4647" operator="containsText" text="Pesquisa de Preços">
      <formula>NOT(ISERROR(SEARCH("Pesquisa de Preços",E2033)))</formula>
    </cfRule>
  </conditionalFormatting>
  <conditionalFormatting sqref="E829">
    <cfRule type="containsText" dxfId="1719" priority="4579" operator="containsText" text="Pesquisa de Preços">
      <formula>NOT(ISERROR(SEARCH("Pesquisa de Preços",E829)))</formula>
    </cfRule>
  </conditionalFormatting>
  <conditionalFormatting sqref="E830">
    <cfRule type="containsText" dxfId="1718" priority="4578" operator="containsText" text="Pesquisa de Preços">
      <formula>NOT(ISERROR(SEARCH("Pesquisa de Preços",E830)))</formula>
    </cfRule>
  </conditionalFormatting>
  <conditionalFormatting sqref="E94:E95">
    <cfRule type="containsText" dxfId="1717" priority="4573" operator="containsText" text="Pesquisa de Preços">
      <formula>NOT(ISERROR(SEARCH("Pesquisa de Preços",E94)))</formula>
    </cfRule>
  </conditionalFormatting>
  <conditionalFormatting sqref="E207">
    <cfRule type="containsText" dxfId="1716" priority="4571" operator="containsText" text="Pesquisa de Preços">
      <formula>NOT(ISERROR(SEARCH("Pesquisa de Preços",E207)))</formula>
    </cfRule>
  </conditionalFormatting>
  <conditionalFormatting sqref="E1637">
    <cfRule type="containsText" dxfId="1715" priority="4569" operator="containsText" text="Pesquisa de Preços">
      <formula>NOT(ISERROR(SEARCH("Pesquisa de Preços",E1637)))</formula>
    </cfRule>
  </conditionalFormatting>
  <conditionalFormatting sqref="E1613">
    <cfRule type="containsText" dxfId="1714" priority="4567" operator="containsText" text="Pesquisa de Preços">
      <formula>NOT(ISERROR(SEARCH("Pesquisa de Preços",E1613)))</formula>
    </cfRule>
  </conditionalFormatting>
  <conditionalFormatting sqref="E1689">
    <cfRule type="containsText" dxfId="1713" priority="4566" operator="containsText" text="Pesquisa de Preços">
      <formula>NOT(ISERROR(SEARCH("Pesquisa de Preços",E1689)))</formula>
    </cfRule>
  </conditionalFormatting>
  <conditionalFormatting sqref="E54">
    <cfRule type="containsText" dxfId="1712" priority="4629" operator="containsText" text="Pesquisa de Preços">
      <formula>NOT(ISERROR(SEARCH("Pesquisa de Preços",E54)))</formula>
    </cfRule>
  </conditionalFormatting>
  <conditionalFormatting sqref="E206">
    <cfRule type="containsText" dxfId="1711" priority="4646" operator="containsText" text="Pesquisa de Preços">
      <formula>NOT(ISERROR(SEARCH("Pesquisa de Preços",E206)))</formula>
    </cfRule>
  </conditionalFormatting>
  <conditionalFormatting sqref="E205">
    <cfRule type="containsText" dxfId="1710" priority="4645" operator="containsText" text="Pesquisa de Preços">
      <formula>NOT(ISERROR(SEARCH("Pesquisa de Preços",E205)))</formula>
    </cfRule>
  </conditionalFormatting>
  <conditionalFormatting sqref="E103:E104">
    <cfRule type="containsText" dxfId="1709" priority="4644" operator="containsText" text="Pesquisa de Preços">
      <formula>NOT(ISERROR(SEARCH("Pesquisa de Preços",E103)))</formula>
    </cfRule>
  </conditionalFormatting>
  <conditionalFormatting sqref="E102">
    <cfRule type="containsText" dxfId="1708" priority="4643" operator="containsText" text="Pesquisa de Preços">
      <formula>NOT(ISERROR(SEARCH("Pesquisa de Preços",E102)))</formula>
    </cfRule>
  </conditionalFormatting>
  <conditionalFormatting sqref="E423:E424">
    <cfRule type="containsText" dxfId="1707" priority="4642" operator="containsText" text="Pesquisa de Preços">
      <formula>NOT(ISERROR(SEARCH("Pesquisa de Preços",E423)))</formula>
    </cfRule>
  </conditionalFormatting>
  <conditionalFormatting sqref="E422">
    <cfRule type="containsText" dxfId="1706" priority="4641" operator="containsText" text="Pesquisa de Preços">
      <formula>NOT(ISERROR(SEARCH("Pesquisa de Preços",E422)))</formula>
    </cfRule>
  </conditionalFormatting>
  <conditionalFormatting sqref="E425:E427">
    <cfRule type="containsText" dxfId="1705" priority="4640" operator="containsText" text="Pesquisa de Preços">
      <formula>NOT(ISERROR(SEARCH("Pesquisa de Preços",E425)))</formula>
    </cfRule>
  </conditionalFormatting>
  <conditionalFormatting sqref="E616 E620">
    <cfRule type="containsText" dxfId="1704" priority="4639" operator="containsText" text="Pesquisa de Preços">
      <formula>NOT(ISERROR(SEARCH("Pesquisa de Preços",E616)))</formula>
    </cfRule>
  </conditionalFormatting>
  <conditionalFormatting sqref="E615">
    <cfRule type="containsText" dxfId="1703" priority="4638" operator="containsText" text="Pesquisa de Preços">
      <formula>NOT(ISERROR(SEARCH("Pesquisa de Preços",E615)))</formula>
    </cfRule>
  </conditionalFormatting>
  <conditionalFormatting sqref="E589 E595">
    <cfRule type="containsText" dxfId="1702" priority="4637" operator="containsText" text="Pesquisa de Preços">
      <formula>NOT(ISERROR(SEARCH("Pesquisa de Preços",E589)))</formula>
    </cfRule>
  </conditionalFormatting>
  <conditionalFormatting sqref="E588">
    <cfRule type="containsText" dxfId="1701" priority="4636" operator="containsText" text="Pesquisa de Preços">
      <formula>NOT(ISERROR(SEARCH("Pesquisa de Preços",E588)))</formula>
    </cfRule>
  </conditionalFormatting>
  <conditionalFormatting sqref="E638:E639 E642:E643">
    <cfRule type="containsText" dxfId="1700" priority="4635" operator="containsText" text="Pesquisa de Preços">
      <formula>NOT(ISERROR(SEARCH("Pesquisa de Preços",E638)))</formula>
    </cfRule>
  </conditionalFormatting>
  <conditionalFormatting sqref="E637">
    <cfRule type="containsText" dxfId="1699" priority="4634" operator="containsText" text="Pesquisa de Preços">
      <formula>NOT(ISERROR(SEARCH("Pesquisa de Preços",E637)))</formula>
    </cfRule>
  </conditionalFormatting>
  <conditionalFormatting sqref="E640:E641">
    <cfRule type="containsText" dxfId="1698" priority="4633" operator="containsText" text="Pesquisa de Preços">
      <formula>NOT(ISERROR(SEARCH("Pesquisa de Preços",E640)))</formula>
    </cfRule>
  </conditionalFormatting>
  <conditionalFormatting sqref="E226">
    <cfRule type="containsText" dxfId="1697" priority="4632" operator="containsText" text="Pesquisa de Preços">
      <formula>NOT(ISERROR(SEARCH("Pesquisa de Preços",E226)))</formula>
    </cfRule>
  </conditionalFormatting>
  <conditionalFormatting sqref="E151:E152">
    <cfRule type="containsText" dxfId="1696" priority="4631" operator="containsText" text="Pesquisa de Preços">
      <formula>NOT(ISERROR(SEARCH("Pesquisa de Preços",E151)))</formula>
    </cfRule>
  </conditionalFormatting>
  <conditionalFormatting sqref="E163:E164">
    <cfRule type="containsText" dxfId="1695" priority="4630" operator="containsText" text="Pesquisa de Preços">
      <formula>NOT(ISERROR(SEARCH("Pesquisa de Preços",E163)))</formula>
    </cfRule>
  </conditionalFormatting>
  <conditionalFormatting sqref="E55:E57">
    <cfRule type="containsText" dxfId="1694" priority="4628" operator="containsText" text="Pesquisa de Preços">
      <formula>NOT(ISERROR(SEARCH("Pesquisa de Preços",E55)))</formula>
    </cfRule>
  </conditionalFormatting>
  <conditionalFormatting sqref="E30:E31">
    <cfRule type="containsText" dxfId="1693" priority="4627" operator="containsText" text="Pesquisa de Preços">
      <formula>NOT(ISERROR(SEARCH("Pesquisa de Preços",E30)))</formula>
    </cfRule>
  </conditionalFormatting>
  <conditionalFormatting sqref="E25:E26">
    <cfRule type="containsText" dxfId="1692" priority="4626" operator="containsText" text="Pesquisa de Preços">
      <formula>NOT(ISERROR(SEARCH("Pesquisa de Preços",E25)))</formula>
    </cfRule>
  </conditionalFormatting>
  <conditionalFormatting sqref="E181">
    <cfRule type="containsText" dxfId="1691" priority="4625" operator="containsText" text="Pesquisa de Preços">
      <formula>NOT(ISERROR(SEARCH("Pesquisa de Preços",E181)))</formula>
    </cfRule>
  </conditionalFormatting>
  <conditionalFormatting sqref="E128:E129">
    <cfRule type="containsText" dxfId="1690" priority="4624" operator="containsText" text="Pesquisa de Preços">
      <formula>NOT(ISERROR(SEARCH("Pesquisa de Preços",E128)))</formula>
    </cfRule>
  </conditionalFormatting>
  <conditionalFormatting sqref="E1922">
    <cfRule type="containsText" dxfId="1689" priority="4549" operator="containsText" text="Pesquisa de Preços">
      <formula>NOT(ISERROR(SEARCH("Pesquisa de Preços",E1922)))</formula>
    </cfRule>
  </conditionalFormatting>
  <conditionalFormatting sqref="E84">
    <cfRule type="containsText" dxfId="1688" priority="4623" operator="containsText" text="Pesquisa de Preços">
      <formula>NOT(ISERROR(SEARCH("Pesquisa de Preços",E84)))</formula>
    </cfRule>
  </conditionalFormatting>
  <conditionalFormatting sqref="E85">
    <cfRule type="containsText" dxfId="1687" priority="4622" operator="containsText" text="Pesquisa de Preços">
      <formula>NOT(ISERROR(SEARCH("Pesquisa de Preços",E85)))</formula>
    </cfRule>
  </conditionalFormatting>
  <conditionalFormatting sqref="E61">
    <cfRule type="containsText" dxfId="1686" priority="4621" operator="containsText" text="Pesquisa de Preços">
      <formula>NOT(ISERROR(SEARCH("Pesquisa de Preços",E61)))</formula>
    </cfRule>
  </conditionalFormatting>
  <conditionalFormatting sqref="E62">
    <cfRule type="containsText" dxfId="1685" priority="4620" operator="containsText" text="Pesquisa de Preços">
      <formula>NOT(ISERROR(SEARCH("Pesquisa de Preços",E62)))</formula>
    </cfRule>
  </conditionalFormatting>
  <conditionalFormatting sqref="E2351">
    <cfRule type="containsText" dxfId="1684" priority="4546" operator="containsText" text="Pesquisa de Preços">
      <formula>NOT(ISERROR(SEARCH("Pesquisa de Preços",E2351)))</formula>
    </cfRule>
  </conditionalFormatting>
  <conditionalFormatting sqref="E44:E45">
    <cfRule type="containsText" dxfId="1683" priority="4619" operator="containsText" text="Pesquisa de Preços">
      <formula>NOT(ISERROR(SEARCH("Pesquisa de Preços",E44)))</formula>
    </cfRule>
  </conditionalFormatting>
  <conditionalFormatting sqref="E311">
    <cfRule type="containsText" dxfId="1682" priority="4618" operator="containsText" text="Pesquisa de Preços">
      <formula>NOT(ISERROR(SEARCH("Pesquisa de Preços",E311)))</formula>
    </cfRule>
  </conditionalFormatting>
  <conditionalFormatting sqref="E297">
    <cfRule type="containsText" dxfId="1681" priority="4617" operator="containsText" text="Pesquisa de Preços">
      <formula>NOT(ISERROR(SEARCH("Pesquisa de Preços",E297)))</formula>
    </cfRule>
  </conditionalFormatting>
  <conditionalFormatting sqref="E457">
    <cfRule type="containsText" dxfId="1680" priority="4616" operator="containsText" text="Pesquisa de Preços">
      <formula>NOT(ISERROR(SEARCH("Pesquisa de Preços",E457)))</formula>
    </cfRule>
  </conditionalFormatting>
  <conditionalFormatting sqref="E500:E501">
    <cfRule type="containsText" dxfId="1679" priority="4613" operator="containsText" text="Pesquisa de Preços">
      <formula>NOT(ISERROR(SEARCH("Pesquisa de Preços",E500)))</formula>
    </cfRule>
  </conditionalFormatting>
  <conditionalFormatting sqref="E467">
    <cfRule type="containsText" dxfId="1678" priority="4615" operator="containsText" text="Pesquisa de Preços">
      <formula>NOT(ISERROR(SEARCH("Pesquisa de Preços",E467)))</formula>
    </cfRule>
  </conditionalFormatting>
  <conditionalFormatting sqref="E499 E502">
    <cfRule type="containsText" dxfId="1677" priority="4614" operator="containsText" text="Pesquisa de Preços">
      <formula>NOT(ISERROR(SEARCH("Pesquisa de Preços",E499)))</formula>
    </cfRule>
  </conditionalFormatting>
  <conditionalFormatting sqref="E623">
    <cfRule type="containsText" dxfId="1676" priority="4612" operator="containsText" text="Pesquisa de Preços">
      <formula>NOT(ISERROR(SEARCH("Pesquisa de Preços",E623)))</formula>
    </cfRule>
  </conditionalFormatting>
  <conditionalFormatting sqref="E624:E626">
    <cfRule type="containsText" dxfId="1675" priority="4611" operator="containsText" text="Pesquisa de Preços">
      <formula>NOT(ISERROR(SEARCH("Pesquisa de Preços",E624)))</formula>
    </cfRule>
  </conditionalFormatting>
  <conditionalFormatting sqref="E997">
    <cfRule type="containsText" dxfId="1674" priority="4610" operator="containsText" text="Pesquisa de Preços">
      <formula>NOT(ISERROR(SEARCH("Pesquisa de Preços",E997)))</formula>
    </cfRule>
  </conditionalFormatting>
  <conditionalFormatting sqref="E614">
    <cfRule type="containsText" dxfId="1673" priority="4594" operator="containsText" text="Pesquisa de Preços">
      <formula>NOT(ISERROR(SEARCH("Pesquisa de Preços",E614)))</formula>
    </cfRule>
  </conditionalFormatting>
  <conditionalFormatting sqref="E737">
    <cfRule type="containsText" dxfId="1672" priority="4593" operator="containsText" text="Pesquisa de Preços">
      <formula>NOT(ISERROR(SEARCH("Pesquisa de Preços",E737)))</formula>
    </cfRule>
  </conditionalFormatting>
  <conditionalFormatting sqref="E1499">
    <cfRule type="containsText" dxfId="1671" priority="4607" operator="containsText" text="Pesquisa de Preços">
      <formula>NOT(ISERROR(SEARCH("Pesquisa de Preços",E1499)))</formula>
    </cfRule>
  </conditionalFormatting>
  <conditionalFormatting sqref="E591:E593">
    <cfRule type="containsText" dxfId="1670" priority="4598" operator="containsText" text="Pesquisa de Preços">
      <formula>NOT(ISERROR(SEARCH("Pesquisa de Preços",E591)))</formula>
    </cfRule>
  </conditionalFormatting>
  <conditionalFormatting sqref="E1626:E1627">
    <cfRule type="containsText" dxfId="1669" priority="4603" operator="containsText" text="Pesquisa de Preços">
      <formula>NOT(ISERROR(SEARCH("Pesquisa de Preços",E1626)))</formula>
    </cfRule>
  </conditionalFormatting>
  <conditionalFormatting sqref="E1631">
    <cfRule type="containsText" dxfId="1668" priority="4606" operator="containsText" text="Pesquisa de Preços">
      <formula>NOT(ISERROR(SEARCH("Pesquisa de Preços",E1631)))</formula>
    </cfRule>
  </conditionalFormatting>
  <conditionalFormatting sqref="E1632:E1633">
    <cfRule type="containsText" dxfId="1667" priority="4605" operator="containsText" text="Pesquisa de Preços">
      <formula>NOT(ISERROR(SEARCH("Pesquisa de Preços",E1632)))</formula>
    </cfRule>
  </conditionalFormatting>
  <conditionalFormatting sqref="E1625">
    <cfRule type="containsText" dxfId="1666" priority="4604" operator="containsText" text="Pesquisa de Preços">
      <formula>NOT(ISERROR(SEARCH("Pesquisa de Preços",E1625)))</formula>
    </cfRule>
  </conditionalFormatting>
  <conditionalFormatting sqref="E1748">
    <cfRule type="containsText" dxfId="1665" priority="4602" operator="containsText" text="Pesquisa de Preços">
      <formula>NOT(ISERROR(SEARCH("Pesquisa de Preços",E1748)))</formula>
    </cfRule>
  </conditionalFormatting>
  <conditionalFormatting sqref="E381">
    <cfRule type="containsText" dxfId="1664" priority="4597" operator="containsText" text="Pesquisa de Preços">
      <formula>NOT(ISERROR(SEARCH("Pesquisa de Preços",E381)))</formula>
    </cfRule>
  </conditionalFormatting>
  <conditionalFormatting sqref="E1071:E1072">
    <cfRule type="containsText" dxfId="1663" priority="4519" operator="containsText" text="Pesquisa de Preços">
      <formula>NOT(ISERROR(SEARCH("Pesquisa de Preços",E1071)))</formula>
    </cfRule>
  </conditionalFormatting>
  <conditionalFormatting sqref="E605">
    <cfRule type="containsText" dxfId="1662" priority="4595" operator="containsText" text="Pesquisa de Preços">
      <formula>NOT(ISERROR(SEARCH("Pesquisa de Preços",E605)))</formula>
    </cfRule>
  </conditionalFormatting>
  <conditionalFormatting sqref="E1084:E1088">
    <cfRule type="containsText" dxfId="1661" priority="4518" operator="containsText" text="Pesquisa de Preços">
      <formula>NOT(ISERROR(SEARCH("Pesquisa de Preços",E1084)))</formula>
    </cfRule>
  </conditionalFormatting>
  <conditionalFormatting sqref="E736">
    <cfRule type="containsText" dxfId="1660" priority="4592" operator="containsText" text="Pesquisa de Preços">
      <formula>NOT(ISERROR(SEARCH("Pesquisa de Preços",E736)))</formula>
    </cfRule>
  </conditionalFormatting>
  <conditionalFormatting sqref="E631">
    <cfRule type="containsText" dxfId="1659" priority="4589" operator="containsText" text="Pesquisa de Preços">
      <formula>NOT(ISERROR(SEARCH("Pesquisa de Preços",E631)))</formula>
    </cfRule>
  </conditionalFormatting>
  <conditionalFormatting sqref="E630 E635:E636">
    <cfRule type="containsText" dxfId="1658" priority="4591" operator="containsText" text="Pesquisa de Preços">
      <formula>NOT(ISERROR(SEARCH("Pesquisa de Preços",E630)))</formula>
    </cfRule>
  </conditionalFormatting>
  <conditionalFormatting sqref="E629">
    <cfRule type="containsText" dxfId="1657" priority="4590" operator="containsText" text="Pesquisa de Preços">
      <formula>NOT(ISERROR(SEARCH("Pesquisa de Preços",E629)))</formula>
    </cfRule>
  </conditionalFormatting>
  <conditionalFormatting sqref="E1257:E1258 E1253:E1254">
    <cfRule type="containsText" dxfId="1656" priority="4587" operator="containsText" text="Pesquisa de Preços">
      <formula>NOT(ISERROR(SEARCH("Pesquisa de Preços",E1253)))</formula>
    </cfRule>
  </conditionalFormatting>
  <conditionalFormatting sqref="E632:E634">
    <cfRule type="containsText" dxfId="1655" priority="4588" operator="containsText" text="Pesquisa de Preços">
      <formula>NOT(ISERROR(SEARCH("Pesquisa de Preços",E632)))</formula>
    </cfRule>
  </conditionalFormatting>
  <conditionalFormatting sqref="E1252">
    <cfRule type="containsText" dxfId="1654" priority="4586" operator="containsText" text="Pesquisa de Preços">
      <formula>NOT(ISERROR(SEARCH("Pesquisa de Preços",E1252)))</formula>
    </cfRule>
  </conditionalFormatting>
  <conditionalFormatting sqref="E1255:E1256">
    <cfRule type="containsText" dxfId="1653" priority="4585" operator="containsText" text="Pesquisa de Preços">
      <formula>NOT(ISERROR(SEARCH("Pesquisa de Preços",E1255)))</formula>
    </cfRule>
  </conditionalFormatting>
  <conditionalFormatting sqref="E1159 E1163:E1164">
    <cfRule type="containsText" dxfId="1652" priority="4584" operator="containsText" text="Pesquisa de Preços">
      <formula>NOT(ISERROR(SEARCH("Pesquisa de Preços",E1159)))</formula>
    </cfRule>
  </conditionalFormatting>
  <conditionalFormatting sqref="E1158">
    <cfRule type="containsText" dxfId="1651" priority="4583" operator="containsText" text="Pesquisa de Preços">
      <formula>NOT(ISERROR(SEARCH("Pesquisa de Preços",E1158)))</formula>
    </cfRule>
  </conditionalFormatting>
  <conditionalFormatting sqref="E1219:E1220 E1215:E1216">
    <cfRule type="containsText" dxfId="1650" priority="4582" operator="containsText" text="Pesquisa de Preços">
      <formula>NOT(ISERROR(SEARCH("Pesquisa de Preços",E1215)))</formula>
    </cfRule>
  </conditionalFormatting>
  <conditionalFormatting sqref="E1214">
    <cfRule type="containsText" dxfId="1649" priority="4581" operator="containsText" text="Pesquisa de Preços">
      <formula>NOT(ISERROR(SEARCH("Pesquisa de Preços",E1214)))</formula>
    </cfRule>
  </conditionalFormatting>
  <conditionalFormatting sqref="E1217:E1218">
    <cfRule type="containsText" dxfId="1648" priority="4580" operator="containsText" text="Pesquisa de Preços">
      <formula>NOT(ISERROR(SEARCH("Pesquisa de Preços",E1217)))</formula>
    </cfRule>
  </conditionalFormatting>
  <conditionalFormatting sqref="E1350">
    <cfRule type="containsText" dxfId="1647" priority="4517" operator="containsText" text="Pesquisa de Preços">
      <formula>NOT(ISERROR(SEARCH("Pesquisa de Preços",E1350)))</formula>
    </cfRule>
  </conditionalFormatting>
  <conditionalFormatting sqref="E865:E866">
    <cfRule type="containsText" dxfId="1646" priority="4577" operator="containsText" text="Pesquisa de Preços">
      <formula>NOT(ISERROR(SEARCH("Pesquisa de Preços",E865)))</formula>
    </cfRule>
  </conditionalFormatting>
  <conditionalFormatting sqref="E1511">
    <cfRule type="containsText" dxfId="1645" priority="4516" operator="containsText" text="Pesquisa de Preços">
      <formula>NOT(ISERROR(SEARCH("Pesquisa de Preços",E1511)))</formula>
    </cfRule>
  </conditionalFormatting>
  <conditionalFormatting sqref="E208">
    <cfRule type="containsText" dxfId="1644" priority="4572" operator="containsText" text="Pesquisa de Preços">
      <formula>NOT(ISERROR(SEARCH("Pesquisa de Preços",E208)))</formula>
    </cfRule>
  </conditionalFormatting>
  <conditionalFormatting sqref="E1620">
    <cfRule type="containsText" dxfId="1643" priority="4570" operator="containsText" text="Pesquisa de Preços">
      <formula>NOT(ISERROR(SEARCH("Pesquisa de Preços",E1620)))</formula>
    </cfRule>
  </conditionalFormatting>
  <conditionalFormatting sqref="E1687">
    <cfRule type="containsText" dxfId="1642" priority="4568" operator="containsText" text="Pesquisa de Preços">
      <formula>NOT(ISERROR(SEARCH("Pesquisa de Preços",E1687)))</formula>
    </cfRule>
  </conditionalFormatting>
  <conditionalFormatting sqref="E1615">
    <cfRule type="containsText" dxfId="1641" priority="4565" operator="containsText" text="Pesquisa de Preços">
      <formula>NOT(ISERROR(SEARCH("Pesquisa de Preços",E1615)))</formula>
    </cfRule>
  </conditionalFormatting>
  <conditionalFormatting sqref="E142">
    <cfRule type="containsText" dxfId="1640" priority="4564" operator="containsText" text="Pesquisa de Preços">
      <formula>NOT(ISERROR(SEARCH("Pesquisa de Preços",E142)))</formula>
    </cfRule>
  </conditionalFormatting>
  <conditionalFormatting sqref="E802">
    <cfRule type="containsText" dxfId="1639" priority="4563" operator="containsText" text="Pesquisa de Preços">
      <formula>NOT(ISERROR(SEARCH("Pesquisa de Preços",E802)))</formula>
    </cfRule>
  </conditionalFormatting>
  <conditionalFormatting sqref="E1005">
    <cfRule type="containsText" dxfId="1638" priority="4562" operator="containsText" text="Pesquisa de Preços">
      <formula>NOT(ISERROR(SEARCH("Pesquisa de Preços",E1005)))</formula>
    </cfRule>
  </conditionalFormatting>
  <conditionalFormatting sqref="E1010">
    <cfRule type="containsText" dxfId="1637" priority="4561" operator="containsText" text="Pesquisa de Preços">
      <formula>NOT(ISERROR(SEARCH("Pesquisa de Preços",E1010)))</formula>
    </cfRule>
  </conditionalFormatting>
  <conditionalFormatting sqref="E113">
    <cfRule type="containsText" dxfId="1636" priority="4560" operator="containsText" text="Pesquisa de Preços">
      <formula>NOT(ISERROR(SEARCH("Pesquisa de Preços",E113)))</formula>
    </cfRule>
  </conditionalFormatting>
  <conditionalFormatting sqref="E114">
    <cfRule type="containsText" dxfId="1635" priority="4559" operator="containsText" text="Pesquisa de Preços">
      <formula>NOT(ISERROR(SEARCH("Pesquisa de Preços",E114)))</formula>
    </cfRule>
  </conditionalFormatting>
  <conditionalFormatting sqref="E1482">
    <cfRule type="containsText" dxfId="1634" priority="4515" operator="containsText" text="Pesquisa de Preços">
      <formula>NOT(ISERROR(SEARCH("Pesquisa de Preços",E1482)))</formula>
    </cfRule>
  </conditionalFormatting>
  <conditionalFormatting sqref="E1694:E1695">
    <cfRule type="containsText" dxfId="1633" priority="4558" operator="containsText" text="Pesquisa de Preços">
      <formula>NOT(ISERROR(SEARCH("Pesquisa de Preços",E1694)))</formula>
    </cfRule>
  </conditionalFormatting>
  <conditionalFormatting sqref="E1660">
    <cfRule type="containsText" dxfId="1632" priority="4557" operator="containsText" text="Pesquisa de Preços">
      <formula>NOT(ISERROR(SEARCH("Pesquisa de Preços",E1660)))</formula>
    </cfRule>
  </conditionalFormatting>
  <conditionalFormatting sqref="E1743">
    <cfRule type="containsText" dxfId="1631" priority="4556" operator="containsText" text="Pesquisa de Preços">
      <formula>NOT(ISERROR(SEARCH("Pesquisa de Preços",E1743)))</formula>
    </cfRule>
  </conditionalFormatting>
  <conditionalFormatting sqref="E1825">
    <cfRule type="containsText" dxfId="1630" priority="4553" operator="containsText" text="Pesquisa de Preços">
      <formula>NOT(ISERROR(SEARCH("Pesquisa de Preços",E1825)))</formula>
    </cfRule>
  </conditionalFormatting>
  <conditionalFormatting sqref="E1839">
    <cfRule type="containsText" dxfId="1629" priority="4552" operator="containsText" text="Pesquisa de Preços">
      <formula>NOT(ISERROR(SEARCH("Pesquisa de Preços",E1839)))</formula>
    </cfRule>
  </conditionalFormatting>
  <conditionalFormatting sqref="E1838">
    <cfRule type="containsText" dxfId="1628" priority="4551" operator="containsText" text="Pesquisa de Preços">
      <formula>NOT(ISERROR(SEARCH("Pesquisa de Preços",E1838)))</formula>
    </cfRule>
  </conditionalFormatting>
  <conditionalFormatting sqref="E1840">
    <cfRule type="containsText" dxfId="1627" priority="4550" operator="containsText" text="Pesquisa de Preços">
      <formula>NOT(ISERROR(SEARCH("Pesquisa de Preços",E1840)))</formula>
    </cfRule>
  </conditionalFormatting>
  <conditionalFormatting sqref="E1921">
    <cfRule type="containsText" dxfId="1626" priority="4548" operator="containsText" text="Pesquisa de Preços">
      <formula>NOT(ISERROR(SEARCH("Pesquisa de Preços",E1921)))</formula>
    </cfRule>
  </conditionalFormatting>
  <conditionalFormatting sqref="E841">
    <cfRule type="containsText" dxfId="1625" priority="4547" operator="containsText" text="Pesquisa de Preços">
      <formula>NOT(ISERROR(SEARCH("Pesquisa de Preços",E841)))</formula>
    </cfRule>
  </conditionalFormatting>
  <conditionalFormatting sqref="E2387">
    <cfRule type="containsText" dxfId="1624" priority="4545" operator="containsText" text="Pesquisa de Preços">
      <formula>NOT(ISERROR(SEARCH("Pesquisa de Preços",E2387)))</formula>
    </cfRule>
  </conditionalFormatting>
  <conditionalFormatting sqref="E2257">
    <cfRule type="containsText" dxfId="1623" priority="4544" operator="containsText" text="Pesquisa de Preços">
      <formula>NOT(ISERROR(SEARCH("Pesquisa de Preços",E2257)))</formula>
    </cfRule>
  </conditionalFormatting>
  <conditionalFormatting sqref="E2258">
    <cfRule type="containsText" dxfId="1622" priority="4543" operator="containsText" text="Pesquisa de Preços">
      <formula>NOT(ISERROR(SEARCH("Pesquisa de Preços",E2258)))</formula>
    </cfRule>
  </conditionalFormatting>
  <conditionalFormatting sqref="E2380">
    <cfRule type="containsText" dxfId="1621" priority="4542" operator="containsText" text="Pesquisa de Preços">
      <formula>NOT(ISERROR(SEARCH("Pesquisa de Preços",E2380)))</formula>
    </cfRule>
  </conditionalFormatting>
  <conditionalFormatting sqref="E133">
    <cfRule type="containsText" dxfId="1620" priority="4541" operator="containsText" text="Pesquisa de Preços">
      <formula>NOT(ISERROR(SEARCH("Pesquisa de Preços",E133)))</formula>
    </cfRule>
  </conditionalFormatting>
  <conditionalFormatting sqref="E1119">
    <cfRule type="containsText" dxfId="1619" priority="4540" operator="containsText" text="Pesquisa de Preços">
      <formula>NOT(ISERROR(SEARCH("Pesquisa de Preços",E1119)))</formula>
    </cfRule>
  </conditionalFormatting>
  <conditionalFormatting sqref="E1643">
    <cfRule type="containsText" dxfId="1618" priority="4539" operator="containsText" text="Pesquisa de Preços">
      <formula>NOT(ISERROR(SEARCH("Pesquisa de Preços",E1643)))</formula>
    </cfRule>
  </conditionalFormatting>
  <conditionalFormatting sqref="E1642">
    <cfRule type="containsText" dxfId="1617" priority="4538" operator="containsText" text="Pesquisa de Preços">
      <formula>NOT(ISERROR(SEARCH("Pesquisa de Preços",E1642)))</formula>
    </cfRule>
  </conditionalFormatting>
  <conditionalFormatting sqref="E322">
    <cfRule type="containsText" dxfId="1616" priority="4537" operator="containsText" text="Pesquisa de Preços">
      <formula>NOT(ISERROR(SEARCH("Pesquisa de Preços",E322)))</formula>
    </cfRule>
  </conditionalFormatting>
  <conditionalFormatting sqref="E1958">
    <cfRule type="containsText" dxfId="1615" priority="4514" operator="containsText" text="Pesquisa de Preços">
      <formula>NOT(ISERROR(SEARCH("Pesquisa de Preços",E1958)))</formula>
    </cfRule>
  </conditionalFormatting>
  <conditionalFormatting sqref="E1961">
    <cfRule type="containsText" dxfId="1614" priority="4513" operator="containsText" text="Pesquisa de Preços">
      <formula>NOT(ISERROR(SEARCH("Pesquisa de Preços",E1961)))</formula>
    </cfRule>
  </conditionalFormatting>
  <conditionalFormatting sqref="E80">
    <cfRule type="containsText" dxfId="1613" priority="4536" operator="containsText" text="Pesquisa de Preços">
      <formula>NOT(ISERROR(SEARCH("Pesquisa de Preços",E80)))</formula>
    </cfRule>
  </conditionalFormatting>
  <conditionalFormatting sqref="E1136">
    <cfRule type="containsText" dxfId="1612" priority="4535" operator="containsText" text="Pesquisa de Preços">
      <formula>NOT(ISERROR(SEARCH("Pesquisa de Preços",E1136)))</formula>
    </cfRule>
  </conditionalFormatting>
  <conditionalFormatting sqref="E1135">
    <cfRule type="containsText" dxfId="1611" priority="4534" operator="containsText" text="Pesquisa de Preços">
      <formula>NOT(ISERROR(SEARCH("Pesquisa de Preços",E1135)))</formula>
    </cfRule>
  </conditionalFormatting>
  <conditionalFormatting sqref="E1134">
    <cfRule type="containsText" dxfId="1610" priority="4533" operator="containsText" text="Pesquisa de Preços">
      <formula>NOT(ISERROR(SEARCH("Pesquisa de Preços",E1134)))</formula>
    </cfRule>
  </conditionalFormatting>
  <conditionalFormatting sqref="E403:E413">
    <cfRule type="containsText" dxfId="1609" priority="4532" operator="containsText" text="Pesquisa de Preços">
      <formula>NOT(ISERROR(SEARCH("Pesquisa de Preços",E403)))</formula>
    </cfRule>
  </conditionalFormatting>
  <conditionalFormatting sqref="E2135:E2136">
    <cfRule type="containsText" dxfId="1608" priority="4512" operator="containsText" text="Pesquisa de Preços">
      <formula>NOT(ISERROR(SEARCH("Pesquisa de Preços",E2135)))</formula>
    </cfRule>
  </conditionalFormatting>
  <conditionalFormatting sqref="E195">
    <cfRule type="containsText" dxfId="1607" priority="4531" operator="containsText" text="Pesquisa de Preços">
      <formula>NOT(ISERROR(SEARCH("Pesquisa de Preços",E195)))</formula>
    </cfRule>
  </conditionalFormatting>
  <conditionalFormatting sqref="E834:E838">
    <cfRule type="containsText" dxfId="1606" priority="4530" operator="containsText" text="Pesquisa de Preços">
      <formula>NOT(ISERROR(SEARCH("Pesquisa de Preços",E834)))</formula>
    </cfRule>
  </conditionalFormatting>
  <conditionalFormatting sqref="E834:E838">
    <cfRule type="containsText" dxfId="1605" priority="4529" operator="containsText" text="Pesquisa de Preços">
      <formula>NOT(ISERROR(SEARCH("Pesquisa de Preços",E834)))</formula>
    </cfRule>
  </conditionalFormatting>
  <conditionalFormatting sqref="E1931">
    <cfRule type="containsText" dxfId="1604" priority="4528" operator="containsText" text="Pesquisa de Preços">
      <formula>NOT(ISERROR(SEARCH("Pesquisa de Preços",E1931)))</formula>
    </cfRule>
  </conditionalFormatting>
  <conditionalFormatting sqref="E1932">
    <cfRule type="containsText" dxfId="1603" priority="4527" operator="containsText" text="Pesquisa de Preços">
      <formula>NOT(ISERROR(SEARCH("Pesquisa de Preços",E1932)))</formula>
    </cfRule>
  </conditionalFormatting>
  <conditionalFormatting sqref="E812">
    <cfRule type="containsText" dxfId="1602" priority="4526" operator="containsText" text="Pesquisa de Preços">
      <formula>NOT(ISERROR(SEARCH("Pesquisa de Preços",E812)))</formula>
    </cfRule>
  </conditionalFormatting>
  <conditionalFormatting sqref="E769">
    <cfRule type="containsText" dxfId="1601" priority="4525" operator="containsText" text="Pesquisa de Preços">
      <formula>NOT(ISERROR(SEARCH("Pesquisa de Preços",E769)))</formula>
    </cfRule>
  </conditionalFormatting>
  <conditionalFormatting sqref="E768">
    <cfRule type="containsText" dxfId="1600" priority="4524" operator="containsText" text="Pesquisa de Preços">
      <formula>NOT(ISERROR(SEARCH("Pesquisa de Preços",E768)))</formula>
    </cfRule>
  </conditionalFormatting>
  <conditionalFormatting sqref="E852">
    <cfRule type="containsText" dxfId="1599" priority="4523" operator="containsText" text="Pesquisa de Preços">
      <formula>NOT(ISERROR(SEARCH("Pesquisa de Preços",E852)))</formula>
    </cfRule>
  </conditionalFormatting>
  <conditionalFormatting sqref="E871:E872">
    <cfRule type="containsText" dxfId="1598" priority="4522" operator="containsText" text="Pesquisa de Preços">
      <formula>NOT(ISERROR(SEARCH("Pesquisa de Preços",E871)))</formula>
    </cfRule>
  </conditionalFormatting>
  <conditionalFormatting sqref="E2162">
    <cfRule type="containsText" dxfId="1597" priority="4511" operator="containsText" text="Pesquisa de Preços">
      <formula>NOT(ISERROR(SEARCH("Pesquisa de Preços",E2162)))</formula>
    </cfRule>
  </conditionalFormatting>
  <conditionalFormatting sqref="E869">
    <cfRule type="containsText" dxfId="1596" priority="4521" operator="containsText" text="Pesquisa de Preços">
      <formula>NOT(ISERROR(SEARCH("Pesquisa de Preços",E869)))</formula>
    </cfRule>
  </conditionalFormatting>
  <conditionalFormatting sqref="E894">
    <cfRule type="containsText" dxfId="1595" priority="4520" operator="containsText" text="Pesquisa de Preços">
      <formula>NOT(ISERROR(SEARCH("Pesquisa de Preços",E894)))</formula>
    </cfRule>
  </conditionalFormatting>
  <conditionalFormatting sqref="E171">
    <cfRule type="containsText" dxfId="1594" priority="4509" operator="containsText" text="Pesquisa de Preços">
      <formula>NOT(ISERROR(SEARCH("Pesquisa de Preços",E171)))</formula>
    </cfRule>
  </conditionalFormatting>
  <conditionalFormatting sqref="E172:E173">
    <cfRule type="containsText" dxfId="1593" priority="4510" operator="containsText" text="Pesquisa de Preços">
      <formula>NOT(ISERROR(SEARCH("Pesquisa de Preços",E172)))</formula>
    </cfRule>
  </conditionalFormatting>
  <conditionalFormatting sqref="D2797">
    <cfRule type="containsText" dxfId="1592" priority="4488" operator="containsText" text="Pesquisa de Preços">
      <formula>NOT(ISERROR(SEARCH("Pesquisa de Preços",D2797)))</formula>
    </cfRule>
  </conditionalFormatting>
  <conditionalFormatting sqref="D2802">
    <cfRule type="containsText" dxfId="1591" priority="4484" operator="containsText" text="Pesquisa de Preços">
      <formula>NOT(ISERROR(SEARCH("Pesquisa de Preços",D2802)))</formula>
    </cfRule>
  </conditionalFormatting>
  <conditionalFormatting sqref="D4768">
    <cfRule type="containsText" dxfId="1590" priority="4462" operator="containsText" text="Pesquisa de Preços">
      <formula>NOT(ISERROR(SEARCH("Pesquisa de Preços",D4768)))</formula>
    </cfRule>
  </conditionalFormatting>
  <conditionalFormatting sqref="D4778">
    <cfRule type="containsText" dxfId="1589" priority="4454" operator="containsText" text="Pesquisa de Preços">
      <formula>NOT(ISERROR(SEARCH("Pesquisa de Preços",D4778)))</formula>
    </cfRule>
  </conditionalFormatting>
  <conditionalFormatting sqref="D4788">
    <cfRule type="containsText" dxfId="1588" priority="4438" operator="containsText" text="Pesquisa de Preços">
      <formula>NOT(ISERROR(SEARCH("Pesquisa de Preços",D4788)))</formula>
    </cfRule>
  </conditionalFormatting>
  <conditionalFormatting sqref="D4793">
    <cfRule type="containsText" dxfId="1587" priority="4408" operator="containsText" text="Pesquisa de Preços">
      <formula>NOT(ISERROR(SEARCH("Pesquisa de Preços",D4793)))</formula>
    </cfRule>
  </conditionalFormatting>
  <conditionalFormatting sqref="D4798">
    <cfRule type="containsText" dxfId="1586" priority="4404" operator="containsText" text="Pesquisa de Preços">
      <formula>NOT(ISERROR(SEARCH("Pesquisa de Preços",D4798)))</formula>
    </cfRule>
  </conditionalFormatting>
  <conditionalFormatting sqref="D4868:D4869 D4876">
    <cfRule type="containsText" dxfId="1585" priority="4351" operator="containsText" text="Pesquisa de Preços">
      <formula>NOT(ISERROR(SEARCH("Pesquisa de Preços",D4868)))</formula>
    </cfRule>
  </conditionalFormatting>
  <conditionalFormatting sqref="D4803">
    <cfRule type="containsText" dxfId="1584" priority="4400" operator="containsText" text="Pesquisa de Preços">
      <formula>NOT(ISERROR(SEARCH("Pesquisa de Preços",D4803)))</formula>
    </cfRule>
  </conditionalFormatting>
  <conditionalFormatting sqref="E4871:E4874">
    <cfRule type="containsText" dxfId="1583" priority="4347" operator="containsText" text="Pesquisa de Preços">
      <formula>NOT(ISERROR(SEARCH("Pesquisa de Preços",E4871)))</formula>
    </cfRule>
  </conditionalFormatting>
  <conditionalFormatting sqref="D4811">
    <cfRule type="containsText" dxfId="1582" priority="4396" operator="containsText" text="Pesquisa de Preços">
      <formula>NOT(ISERROR(SEARCH("Pesquisa de Preços",D4811)))</formula>
    </cfRule>
  </conditionalFormatting>
  <conditionalFormatting sqref="D4877">
    <cfRule type="containsText" dxfId="1581" priority="4343" operator="containsText" text="Pesquisa de Preços">
      <formula>NOT(ISERROR(SEARCH("Pesquisa de Preços",D4877)))</formula>
    </cfRule>
  </conditionalFormatting>
  <conditionalFormatting sqref="D4819">
    <cfRule type="containsText" dxfId="1580" priority="4392" operator="containsText" text="Pesquisa de Preços">
      <formula>NOT(ISERROR(SEARCH("Pesquisa de Preços",D4819)))</formula>
    </cfRule>
  </conditionalFormatting>
  <conditionalFormatting sqref="E4877">
    <cfRule type="containsText" dxfId="1579" priority="4339" operator="containsText" text="Pesquisa de Preços">
      <formula>NOT(ISERROR(SEARCH("Pesquisa de Preços",E4877)))</formula>
    </cfRule>
  </conditionalFormatting>
  <conditionalFormatting sqref="D4827">
    <cfRule type="containsText" dxfId="1578" priority="4388" operator="containsText" text="Pesquisa de Preços">
      <formula>NOT(ISERROR(SEARCH("Pesquisa de Preços",D4827)))</formula>
    </cfRule>
  </conditionalFormatting>
  <conditionalFormatting sqref="E4882:E4883">
    <cfRule type="containsText" dxfId="1577" priority="4335" operator="containsText" text="Pesquisa de Preços">
      <formula>NOT(ISERROR(SEARCH("Pesquisa de Preços",E4882)))</formula>
    </cfRule>
  </conditionalFormatting>
  <conditionalFormatting sqref="D4835">
    <cfRule type="containsText" dxfId="1576" priority="4384" operator="containsText" text="Pesquisa de Preços">
      <formula>NOT(ISERROR(SEARCH("Pesquisa de Preços",D4835)))</formula>
    </cfRule>
  </conditionalFormatting>
  <conditionalFormatting sqref="D4886">
    <cfRule type="containsText" dxfId="1575" priority="4331" operator="containsText" text="Pesquisa de Preços">
      <formula>NOT(ISERROR(SEARCH("Pesquisa de Preços",D4886)))</formula>
    </cfRule>
  </conditionalFormatting>
  <conditionalFormatting sqref="D4843">
    <cfRule type="containsText" dxfId="1574" priority="4380" operator="containsText" text="Pesquisa de Preços">
      <formula>NOT(ISERROR(SEARCH("Pesquisa de Preços",D4843)))</formula>
    </cfRule>
  </conditionalFormatting>
  <conditionalFormatting sqref="D4893">
    <cfRule type="containsText" dxfId="1573" priority="4327" operator="containsText" text="Pesquisa de Preços">
      <formula>NOT(ISERROR(SEARCH("Pesquisa de Preços",D4893)))</formula>
    </cfRule>
  </conditionalFormatting>
  <conditionalFormatting sqref="D4851">
    <cfRule type="containsText" dxfId="1572" priority="4376" operator="containsText" text="Pesquisa de Preços">
      <formula>NOT(ISERROR(SEARCH("Pesquisa de Preços",D4851)))</formula>
    </cfRule>
  </conditionalFormatting>
  <conditionalFormatting sqref="D4859">
    <cfRule type="containsText" dxfId="1571" priority="4372" operator="containsText" text="Pesquisa de Preços">
      <formula>NOT(ISERROR(SEARCH("Pesquisa de Preços",D4859)))</formula>
    </cfRule>
  </conditionalFormatting>
  <conditionalFormatting sqref="D4867">
    <cfRule type="containsText" dxfId="1570" priority="4352" operator="containsText" text="Pesquisa de Preços">
      <formula>NOT(ISERROR(SEARCH("Pesquisa de Preços",D4867)))</formula>
    </cfRule>
  </conditionalFormatting>
  <conditionalFormatting sqref="D4900">
    <cfRule type="containsText" dxfId="1569" priority="4323" operator="containsText" text="Pesquisa de Preços">
      <formula>NOT(ISERROR(SEARCH("Pesquisa de Preços",D4900)))</formula>
    </cfRule>
  </conditionalFormatting>
  <conditionalFormatting sqref="D4871:D4873">
    <cfRule type="containsText" dxfId="1568" priority="4350" operator="containsText" text="Pesquisa de Preços">
      <formula>NOT(ISERROR(SEARCH("Pesquisa de Preços",D4871)))</formula>
    </cfRule>
  </conditionalFormatting>
  <conditionalFormatting sqref="E4867">
    <cfRule type="containsText" dxfId="1567" priority="4348" operator="containsText" text="Pesquisa de Preços">
      <formula>NOT(ISERROR(SEARCH("Pesquisa de Preços",E4867)))</formula>
    </cfRule>
  </conditionalFormatting>
  <conditionalFormatting sqref="E4868:E4869 E4876">
    <cfRule type="containsText" dxfId="1566" priority="4349" operator="containsText" text="Pesquisa de Preços">
      <formula>NOT(ISERROR(SEARCH("Pesquisa de Preços",E4868)))</formula>
    </cfRule>
  </conditionalFormatting>
  <conditionalFormatting sqref="D4878:D4879 D4885">
    <cfRule type="containsText" dxfId="1565" priority="4342" operator="containsText" text="Pesquisa de Preços">
      <formula>NOT(ISERROR(SEARCH("Pesquisa de Preços",D4878)))</formula>
    </cfRule>
  </conditionalFormatting>
  <conditionalFormatting sqref="E4878:E4879 E4885">
    <cfRule type="containsText" dxfId="1564" priority="4340" operator="containsText" text="Pesquisa de Preços">
      <formula>NOT(ISERROR(SEARCH("Pesquisa de Preços",E4878)))</formula>
    </cfRule>
  </conditionalFormatting>
  <conditionalFormatting sqref="E1041">
    <cfRule type="containsText" dxfId="1563" priority="4334" operator="containsText" text="Pesquisa de Preços">
      <formula>NOT(ISERROR(SEARCH("Pesquisa de Preços",E1041)))</formula>
    </cfRule>
  </conditionalFormatting>
  <conditionalFormatting sqref="E1042">
    <cfRule type="containsText" dxfId="1562" priority="4333" operator="containsText" text="Pesquisa de Preços">
      <formula>NOT(ISERROR(SEARCH("Pesquisa de Preços",E1042)))</formula>
    </cfRule>
  </conditionalFormatting>
  <conditionalFormatting sqref="E4948 E4953">
    <cfRule type="containsText" dxfId="1561" priority="4282" operator="containsText" text="Pesquisa de Preços">
      <formula>NOT(ISERROR(SEARCH("Pesquisa de Preços",E4948)))</formula>
    </cfRule>
  </conditionalFormatting>
  <conditionalFormatting sqref="E4927:E4928 E4932">
    <cfRule type="containsText" dxfId="1560" priority="4303" operator="containsText" text="Pesquisa de Preços">
      <formula>NOT(ISERROR(SEARCH("Pesquisa de Preços",E4927)))</formula>
    </cfRule>
  </conditionalFormatting>
  <conditionalFormatting sqref="E4926">
    <cfRule type="containsText" dxfId="1559" priority="4302" operator="containsText" text="Pesquisa de Preços">
      <formula>NOT(ISERROR(SEARCH("Pesquisa de Preços",E4926)))</formula>
    </cfRule>
  </conditionalFormatting>
  <conditionalFormatting sqref="D4927:D4928 D4931:D4932">
    <cfRule type="containsText" dxfId="1558" priority="4304" operator="containsText" text="Pesquisa de Preços">
      <formula>NOT(ISERROR(SEARCH("Pesquisa de Preços",D4927)))</formula>
    </cfRule>
  </conditionalFormatting>
  <conditionalFormatting sqref="D4907">
    <cfRule type="containsText" dxfId="1557" priority="4319" operator="containsText" text="Pesquisa de Preços">
      <formula>NOT(ISERROR(SEARCH("Pesquisa de Preços",D4907)))</formula>
    </cfRule>
  </conditionalFormatting>
  <conditionalFormatting sqref="D4956">
    <cfRule type="containsText" dxfId="1556" priority="4266" operator="containsText" text="Pesquisa de Preços">
      <formula>NOT(ISERROR(SEARCH("Pesquisa de Preços",D4956)))</formula>
    </cfRule>
  </conditionalFormatting>
  <conditionalFormatting sqref="D4914">
    <cfRule type="containsText" dxfId="1555" priority="4315" operator="containsText" text="Pesquisa de Preços">
      <formula>NOT(ISERROR(SEARCH("Pesquisa de Preços",D4914)))</formula>
    </cfRule>
  </conditionalFormatting>
  <conditionalFormatting sqref="E4934:E4935 E4939">
    <cfRule type="containsText" dxfId="1554" priority="4296" operator="containsText" text="Pesquisa de Preços">
      <formula>NOT(ISERROR(SEARCH("Pesquisa de Preços",E4934)))</formula>
    </cfRule>
  </conditionalFormatting>
  <conditionalFormatting sqref="D4921">
    <cfRule type="containsText" dxfId="1553" priority="4311" operator="containsText" text="Pesquisa de Preços">
      <formula>NOT(ISERROR(SEARCH("Pesquisa de Preços",D4921)))</formula>
    </cfRule>
  </conditionalFormatting>
  <conditionalFormatting sqref="D4926">
    <cfRule type="containsText" dxfId="1552" priority="4305" operator="containsText" text="Pesquisa de Preços">
      <formula>NOT(ISERROR(SEARCH("Pesquisa de Preços",D4926)))</formula>
    </cfRule>
  </conditionalFormatting>
  <conditionalFormatting sqref="D4933">
    <cfRule type="containsText" dxfId="1551" priority="4298" operator="containsText" text="Pesquisa de Preços">
      <formula>NOT(ISERROR(SEARCH("Pesquisa de Preços",D4933)))</formula>
    </cfRule>
  </conditionalFormatting>
  <conditionalFormatting sqref="D4948:D4949 D4952:D4953">
    <cfRule type="containsText" dxfId="1550" priority="4283" operator="containsText" text="Pesquisa de Preços">
      <formula>NOT(ISERROR(SEARCH("Pesquisa de Preços",D4948)))</formula>
    </cfRule>
  </conditionalFormatting>
  <conditionalFormatting sqref="D4934:D4935 D4938:D4939">
    <cfRule type="containsText" dxfId="1549" priority="4297" operator="containsText" text="Pesquisa de Preços">
      <formula>NOT(ISERROR(SEARCH("Pesquisa de Preços",D4934)))</formula>
    </cfRule>
  </conditionalFormatting>
  <conditionalFormatting sqref="E4933">
    <cfRule type="containsText" dxfId="1548" priority="4295" operator="containsText" text="Pesquisa de Preços">
      <formula>NOT(ISERROR(SEARCH("Pesquisa de Preços",E4933)))</formula>
    </cfRule>
  </conditionalFormatting>
  <conditionalFormatting sqref="D4941:D4942 D4945:D4946">
    <cfRule type="containsText" dxfId="1547" priority="4290" operator="containsText" text="Pesquisa de Preços">
      <formula>NOT(ISERROR(SEARCH("Pesquisa de Preços",D4941)))</formula>
    </cfRule>
  </conditionalFormatting>
  <conditionalFormatting sqref="D4940">
    <cfRule type="containsText" dxfId="1546" priority="4291" operator="containsText" text="Pesquisa de Preços">
      <formula>NOT(ISERROR(SEARCH("Pesquisa de Preços",D4940)))</formula>
    </cfRule>
  </conditionalFormatting>
  <conditionalFormatting sqref="E4940">
    <cfRule type="containsText" dxfId="1545" priority="4288" operator="containsText" text="Pesquisa de Preços">
      <formula>NOT(ISERROR(SEARCH("Pesquisa de Preços",E4940)))</formula>
    </cfRule>
  </conditionalFormatting>
  <conditionalFormatting sqref="E4941:E4942 E4946">
    <cfRule type="containsText" dxfId="1544" priority="4289" operator="containsText" text="Pesquisa de Preços">
      <formula>NOT(ISERROR(SEARCH("Pesquisa de Preços",E4941)))</formula>
    </cfRule>
  </conditionalFormatting>
  <conditionalFormatting sqref="E4990">
    <cfRule type="containsText" dxfId="1543" priority="4235" operator="containsText" text="Pesquisa de Preços">
      <formula>NOT(ISERROR(SEARCH("Pesquisa de Preços",E4990)))</formula>
    </cfRule>
  </conditionalFormatting>
  <conditionalFormatting sqref="D4947">
    <cfRule type="containsText" dxfId="1542" priority="4284" operator="containsText" text="Pesquisa de Preços">
      <formula>NOT(ISERROR(SEARCH("Pesquisa de Preços",D4947)))</formula>
    </cfRule>
  </conditionalFormatting>
  <conditionalFormatting sqref="E4947">
    <cfRule type="containsText" dxfId="1541" priority="4281" operator="containsText" text="Pesquisa de Preços">
      <formula>NOT(ISERROR(SEARCH("Pesquisa de Preços",E4947)))</formula>
    </cfRule>
  </conditionalFormatting>
  <conditionalFormatting sqref="D4978">
    <cfRule type="containsText" dxfId="1540" priority="4260" operator="containsText" text="Pesquisa de Preços">
      <formula>NOT(ISERROR(SEARCH("Pesquisa de Preços",D4978)))</formula>
    </cfRule>
  </conditionalFormatting>
  <conditionalFormatting sqref="D4954">
    <cfRule type="containsText" dxfId="1539" priority="4275" operator="containsText" text="Pesquisa de Preços">
      <formula>NOT(ISERROR(SEARCH("Pesquisa de Preços",D4954)))</formula>
    </cfRule>
  </conditionalFormatting>
  <conditionalFormatting sqref="D4957">
    <cfRule type="containsText" dxfId="1538" priority="4268" operator="containsText" text="Pesquisa de Preços">
      <formula>NOT(ISERROR(SEARCH("Pesquisa de Preços",D4957)))</formula>
    </cfRule>
  </conditionalFormatting>
  <conditionalFormatting sqref="E4984 E4989">
    <cfRule type="containsText" dxfId="1537" priority="4245" operator="containsText" text="Pesquisa de Preços">
      <formula>NOT(ISERROR(SEARCH("Pesquisa de Preços",E4984)))</formula>
    </cfRule>
  </conditionalFormatting>
  <conditionalFormatting sqref="E4956">
    <cfRule type="containsText" dxfId="1536" priority="4265" operator="containsText" text="Pesquisa de Preços">
      <formula>NOT(ISERROR(SEARCH("Pesquisa de Preços",E4956)))</formula>
    </cfRule>
  </conditionalFormatting>
  <conditionalFormatting sqref="D4984 D4988:D4989">
    <cfRule type="containsText" dxfId="1535" priority="4246" operator="containsText" text="Pesquisa de Preços">
      <formula>NOT(ISERROR(SEARCH("Pesquisa de Preços",D4984)))</formula>
    </cfRule>
  </conditionalFormatting>
  <conditionalFormatting sqref="D4959 D4965 D4971 D4977">
    <cfRule type="containsText" dxfId="1534" priority="4261" operator="containsText" text="Pesquisa de Preços">
      <formula>NOT(ISERROR(SEARCH("Pesquisa de Preços",D4959)))</formula>
    </cfRule>
  </conditionalFormatting>
  <conditionalFormatting sqref="D4980:D4981">
    <cfRule type="containsText" dxfId="1533" priority="4259" operator="containsText" text="Pesquisa de Preços">
      <formula>NOT(ISERROR(SEARCH("Pesquisa de Preços",D4980)))</formula>
    </cfRule>
  </conditionalFormatting>
  <conditionalFormatting sqref="E4972 E4976">
    <cfRule type="containsText" dxfId="1532" priority="4254" operator="containsText" text="Pesquisa de Preços">
      <formula>NOT(ISERROR(SEARCH("Pesquisa de Preços",E4972)))</formula>
    </cfRule>
  </conditionalFormatting>
  <conditionalFormatting sqref="D4972 D4976">
    <cfRule type="containsText" dxfId="1531" priority="4258" operator="containsText" text="Pesquisa de Preços">
      <formula>NOT(ISERROR(SEARCH("Pesquisa de Preços",D4972)))</formula>
    </cfRule>
  </conditionalFormatting>
  <conditionalFormatting sqref="E4971">
    <cfRule type="containsText" dxfId="1530" priority="4253" operator="containsText" text="Pesquisa de Preços">
      <formula>NOT(ISERROR(SEARCH("Pesquisa de Preços",E4971)))</formula>
    </cfRule>
  </conditionalFormatting>
  <conditionalFormatting sqref="E4980:E4981">
    <cfRule type="containsText" dxfId="1529" priority="4255" operator="containsText" text="Pesquisa de Preços">
      <formula>NOT(ISERROR(SEARCH("Pesquisa de Preços",E4980)))</formula>
    </cfRule>
  </conditionalFormatting>
  <conditionalFormatting sqref="E4977">
    <cfRule type="containsText" dxfId="1528" priority="4256" operator="containsText" text="Pesquisa de Preços">
      <formula>NOT(ISERROR(SEARCH("Pesquisa de Preços",E4977)))</formula>
    </cfRule>
  </conditionalFormatting>
  <conditionalFormatting sqref="E4978">
    <cfRule type="containsText" dxfId="1527" priority="4257" operator="containsText" text="Pesquisa de Preços">
      <formula>NOT(ISERROR(SEARCH("Pesquisa de Preços",E4978)))</formula>
    </cfRule>
  </conditionalFormatting>
  <conditionalFormatting sqref="D4983">
    <cfRule type="containsText" dxfId="1526" priority="4247" operator="containsText" text="Pesquisa de Preços">
      <formula>NOT(ISERROR(SEARCH("Pesquisa de Preços",D4983)))</formula>
    </cfRule>
  </conditionalFormatting>
  <conditionalFormatting sqref="E4983">
    <cfRule type="containsText" dxfId="1525" priority="4244" operator="containsText" text="Pesquisa de Preços">
      <formula>NOT(ISERROR(SEARCH("Pesquisa de Preços",E4983)))</formula>
    </cfRule>
  </conditionalFormatting>
  <conditionalFormatting sqref="E5003">
    <cfRule type="containsText" dxfId="1524" priority="4217" operator="containsText" text="Pesquisa de Preços">
      <formula>NOT(ISERROR(SEARCH("Pesquisa de Preços",E5003)))</formula>
    </cfRule>
  </conditionalFormatting>
  <conditionalFormatting sqref="D4990">
    <cfRule type="containsText" dxfId="1523" priority="4238" operator="containsText" text="Pesquisa de Preços">
      <formula>NOT(ISERROR(SEARCH("Pesquisa de Preços",D4990)))</formula>
    </cfRule>
  </conditionalFormatting>
  <conditionalFormatting sqref="D4991">
    <cfRule type="containsText" dxfId="1522" priority="4237" operator="containsText" text="Pesquisa de Preços">
      <formula>NOT(ISERROR(SEARCH("Pesquisa de Preços",D4991)))</formula>
    </cfRule>
  </conditionalFormatting>
  <conditionalFormatting sqref="E4991:E4992 E4994">
    <cfRule type="containsText" dxfId="1521" priority="4236" operator="containsText" text="Pesquisa de Preços">
      <formula>NOT(ISERROR(SEARCH("Pesquisa de Preços",E4991)))</formula>
    </cfRule>
  </conditionalFormatting>
  <conditionalFormatting sqref="D4986">
    <cfRule type="containsText" dxfId="1520" priority="4208" operator="containsText" text="Pesquisa de Preços">
      <formula>NOT(ISERROR(SEARCH("Pesquisa de Preços",D4986)))</formula>
    </cfRule>
  </conditionalFormatting>
  <conditionalFormatting sqref="D5003">
    <cfRule type="containsText" dxfId="1519" priority="4220" operator="containsText" text="Pesquisa de Preços">
      <formula>NOT(ISERROR(SEARCH("Pesquisa de Preços",D5003)))</formula>
    </cfRule>
  </conditionalFormatting>
  <conditionalFormatting sqref="D5004">
    <cfRule type="containsText" dxfId="1518" priority="4219" operator="containsText" text="Pesquisa de Preços">
      <formula>NOT(ISERROR(SEARCH("Pesquisa de Preços",D5004)))</formula>
    </cfRule>
  </conditionalFormatting>
  <conditionalFormatting sqref="E5004:E5005 E5008">
    <cfRule type="containsText" dxfId="1517" priority="4218" operator="containsText" text="Pesquisa de Preços">
      <formula>NOT(ISERROR(SEARCH("Pesquisa de Preços",E5004)))</formula>
    </cfRule>
  </conditionalFormatting>
  <conditionalFormatting sqref="D4995">
    <cfRule type="containsText" dxfId="1516" priority="4213" operator="containsText" text="Pesquisa de Preços">
      <formula>NOT(ISERROR(SEARCH("Pesquisa de Preços",D4995)))</formula>
    </cfRule>
  </conditionalFormatting>
  <conditionalFormatting sqref="D5012">
    <cfRule type="containsText" dxfId="1515" priority="4207" operator="containsText" text="Pesquisa de Preços">
      <formula>NOT(ISERROR(SEARCH("Pesquisa de Preços",D5012)))</formula>
    </cfRule>
  </conditionalFormatting>
  <conditionalFormatting sqref="D5009">
    <cfRule type="containsText" dxfId="1514" priority="4202" operator="containsText" text="Pesquisa de Preços">
      <formula>NOT(ISERROR(SEARCH("Pesquisa de Preços",D5009)))</formula>
    </cfRule>
  </conditionalFormatting>
  <conditionalFormatting sqref="D5010">
    <cfRule type="containsText" dxfId="1513" priority="4201" operator="containsText" text="Pesquisa de Preços">
      <formula>NOT(ISERROR(SEARCH("Pesquisa de Preços",D5010)))</formula>
    </cfRule>
  </conditionalFormatting>
  <conditionalFormatting sqref="E5009">
    <cfRule type="containsText" dxfId="1512" priority="4199" operator="containsText" text="Pesquisa de Preços">
      <formula>NOT(ISERROR(SEARCH("Pesquisa de Preços",E5009)))</formula>
    </cfRule>
  </conditionalFormatting>
  <conditionalFormatting sqref="E5010:E5012">
    <cfRule type="containsText" dxfId="1511" priority="4200" operator="containsText" text="Pesquisa de Preços">
      <formula>NOT(ISERROR(SEARCH("Pesquisa de Preços",E5010)))</formula>
    </cfRule>
  </conditionalFormatting>
  <conditionalFormatting sqref="D5018">
    <cfRule type="containsText" dxfId="1510" priority="4196" operator="containsText" text="Pesquisa de Preços">
      <formula>NOT(ISERROR(SEARCH("Pesquisa de Preços",D5018)))</formula>
    </cfRule>
  </conditionalFormatting>
  <conditionalFormatting sqref="D5013">
    <cfRule type="containsText" dxfId="1509" priority="4191" operator="containsText" text="Pesquisa de Preços">
      <formula>NOT(ISERROR(SEARCH("Pesquisa de Preços",D5013)))</formula>
    </cfRule>
  </conditionalFormatting>
  <conditionalFormatting sqref="D5014:D5015">
    <cfRule type="containsText" dxfId="1508" priority="4190" operator="containsText" text="Pesquisa de Preços">
      <formula>NOT(ISERROR(SEARCH("Pesquisa de Preços",D5014)))</formula>
    </cfRule>
  </conditionalFormatting>
  <conditionalFormatting sqref="E5013">
    <cfRule type="containsText" dxfId="1507" priority="4188" operator="containsText" text="Pesquisa de Preços">
      <formula>NOT(ISERROR(SEARCH("Pesquisa de Preços",E5013)))</formula>
    </cfRule>
  </conditionalFormatting>
  <conditionalFormatting sqref="E5014:E5015 E5018">
    <cfRule type="containsText" dxfId="1506" priority="4189" operator="containsText" text="Pesquisa de Preços">
      <formula>NOT(ISERROR(SEARCH("Pesquisa de Preços",E5014)))</formula>
    </cfRule>
  </conditionalFormatting>
  <conditionalFormatting sqref="E5019">
    <cfRule type="containsText" dxfId="1505" priority="4166" operator="containsText" text="Pesquisa de Preços">
      <formula>NOT(ISERROR(SEARCH("Pesquisa de Preços",E5019)))</formula>
    </cfRule>
  </conditionalFormatting>
  <conditionalFormatting sqref="D5025">
    <cfRule type="containsText" dxfId="1504" priority="4160" operator="containsText" text="Pesquisa de Preços">
      <formula>NOT(ISERROR(SEARCH("Pesquisa de Preços",D5025)))</formula>
    </cfRule>
  </conditionalFormatting>
  <conditionalFormatting sqref="E5026:E5027 E5032">
    <cfRule type="containsText" dxfId="1503" priority="4158" operator="containsText" text="Pesquisa de Preços">
      <formula>NOT(ISERROR(SEARCH("Pesquisa de Preços",E5026)))</formula>
    </cfRule>
  </conditionalFormatting>
  <conditionalFormatting sqref="D5026:D5027 D5032">
    <cfRule type="containsText" dxfId="1502" priority="4159" operator="containsText" text="Pesquisa de Preços">
      <formula>NOT(ISERROR(SEARCH("Pesquisa de Preços",D5026)))</formula>
    </cfRule>
  </conditionalFormatting>
  <conditionalFormatting sqref="D5024">
    <cfRule type="containsText" dxfId="1501" priority="4174" operator="containsText" text="Pesquisa de Preços">
      <formula>NOT(ISERROR(SEARCH("Pesquisa de Preços",D5024)))</formula>
    </cfRule>
  </conditionalFormatting>
  <conditionalFormatting sqref="D5019">
    <cfRule type="containsText" dxfId="1500" priority="4169" operator="containsText" text="Pesquisa de Preços">
      <formula>NOT(ISERROR(SEARCH("Pesquisa de Preços",D5019)))</formula>
    </cfRule>
  </conditionalFormatting>
  <conditionalFormatting sqref="D5020:D5021">
    <cfRule type="containsText" dxfId="1499" priority="4168" operator="containsText" text="Pesquisa de Preços">
      <formula>NOT(ISERROR(SEARCH("Pesquisa de Preços",D5020)))</formula>
    </cfRule>
  </conditionalFormatting>
  <conditionalFormatting sqref="E5020:E5021 E5024">
    <cfRule type="containsText" dxfId="1498" priority="4167" operator="containsText" text="Pesquisa de Preços">
      <formula>NOT(ISERROR(SEARCH("Pesquisa de Preços",E5020)))</formula>
    </cfRule>
  </conditionalFormatting>
  <conditionalFormatting sqref="D5029:D5030 D5027:E5027 D5029:E5029">
    <cfRule type="containsText" dxfId="1497" priority="4163" operator="containsText" text="Pesquisa de Preços">
      <formula>NOT(ISERROR(SEARCH("Pesquisa de Preços",D5027)))</formula>
    </cfRule>
  </conditionalFormatting>
  <conditionalFormatting sqref="E5025">
    <cfRule type="containsText" dxfId="1496" priority="4157" operator="containsText" text="Pesquisa de Preços">
      <formula>NOT(ISERROR(SEARCH("Pesquisa de Preços",E5025)))</formula>
    </cfRule>
  </conditionalFormatting>
  <conditionalFormatting sqref="E5029:E5031">
    <cfRule type="containsText" dxfId="1495" priority="4156" operator="containsText" text="Pesquisa de Preços">
      <formula>NOT(ISERROR(SEARCH("Pesquisa de Preços",E5029)))</formula>
    </cfRule>
  </conditionalFormatting>
  <conditionalFormatting sqref="E5037">
    <cfRule type="containsText" dxfId="1494" priority="4139" operator="containsText" text="Pesquisa de Preços">
      <formula>NOT(ISERROR(SEARCH("Pesquisa de Preços",E5037)))</formula>
    </cfRule>
  </conditionalFormatting>
  <conditionalFormatting sqref="D5033">
    <cfRule type="containsText" dxfId="1493" priority="4151" operator="containsText" text="Pesquisa de Preços">
      <formula>NOT(ISERROR(SEARCH("Pesquisa de Preços",D5033)))</formula>
    </cfRule>
  </conditionalFormatting>
  <conditionalFormatting sqref="E5034 E5039">
    <cfRule type="containsText" dxfId="1492" priority="4149" operator="containsText" text="Pesquisa de Preços">
      <formula>NOT(ISERROR(SEARCH("Pesquisa de Preços",E5034)))</formula>
    </cfRule>
  </conditionalFormatting>
  <conditionalFormatting sqref="D5034 D5039">
    <cfRule type="containsText" dxfId="1491" priority="4150" operator="containsText" text="Pesquisa de Preços">
      <formula>NOT(ISERROR(SEARCH("Pesquisa de Preços",D5034)))</formula>
    </cfRule>
  </conditionalFormatting>
  <conditionalFormatting sqref="E5056:E5057">
    <cfRule type="containsText" dxfId="1490" priority="4098" operator="containsText" text="Pesquisa de Preços">
      <formula>NOT(ISERROR(SEARCH("Pesquisa de Preços",E5056)))</formula>
    </cfRule>
  </conditionalFormatting>
  <conditionalFormatting sqref="E5033">
    <cfRule type="containsText" dxfId="1489" priority="4148" operator="containsText" text="Pesquisa de Preços">
      <formula>NOT(ISERROR(SEARCH("Pesquisa de Preços",E5033)))</formula>
    </cfRule>
  </conditionalFormatting>
  <conditionalFormatting sqref="E5038">
    <cfRule type="containsText" dxfId="1488" priority="4147" operator="containsText" text="Pesquisa de Preços">
      <formula>NOT(ISERROR(SEARCH("Pesquisa de Preços",E5038)))</formula>
    </cfRule>
  </conditionalFormatting>
  <conditionalFormatting sqref="D5037">
    <cfRule type="containsText" dxfId="1487" priority="4140" operator="containsText" text="Pesquisa de Preços">
      <formula>NOT(ISERROR(SEARCH("Pesquisa de Preços",D5037)))</formula>
    </cfRule>
  </conditionalFormatting>
  <conditionalFormatting sqref="D5047">
    <cfRule type="containsText" dxfId="1486" priority="4133" operator="containsText" text="Pesquisa de Preços">
      <formula>NOT(ISERROR(SEARCH("Pesquisa de Preços",D5047)))</formula>
    </cfRule>
  </conditionalFormatting>
  <conditionalFormatting sqref="D5040">
    <cfRule type="containsText" dxfId="1485" priority="4137" operator="containsText" text="Pesquisa de Preços">
      <formula>NOT(ISERROR(SEARCH("Pesquisa de Preços",D5040)))</formula>
    </cfRule>
  </conditionalFormatting>
  <conditionalFormatting sqref="D5052">
    <cfRule type="containsText" dxfId="1484" priority="4128" operator="containsText" text="Pesquisa de Preços">
      <formula>NOT(ISERROR(SEARCH("Pesquisa de Preços",D5052)))</formula>
    </cfRule>
  </conditionalFormatting>
  <conditionalFormatting sqref="D5050">
    <cfRule type="containsText" dxfId="1483" priority="4125" operator="containsText" text="Pesquisa de Preços">
      <formula>NOT(ISERROR(SEARCH("Pesquisa de Preços",D5050)))</formula>
    </cfRule>
  </conditionalFormatting>
  <conditionalFormatting sqref="D1327">
    <cfRule type="containsText" dxfId="1482" priority="4121" operator="containsText" text="Pesquisa de Preços">
      <formula>NOT(ISERROR(SEARCH("Pesquisa de Preços",D1327)))</formula>
    </cfRule>
  </conditionalFormatting>
  <conditionalFormatting sqref="E1327">
    <cfRule type="containsText" dxfId="1481" priority="4120" operator="containsText" text="Pesquisa de Preços">
      <formula>NOT(ISERROR(SEARCH("Pesquisa de Preços",E1327)))</formula>
    </cfRule>
  </conditionalFormatting>
  <conditionalFormatting sqref="E1326">
    <cfRule type="containsText" dxfId="1480" priority="4119" operator="containsText" text="Pesquisa de Preços">
      <formula>NOT(ISERROR(SEARCH("Pesquisa de Preços",E1326)))</formula>
    </cfRule>
  </conditionalFormatting>
  <conditionalFormatting sqref="D1333">
    <cfRule type="containsText" dxfId="1479" priority="4115" operator="containsText" text="Pesquisa de Preços">
      <formula>NOT(ISERROR(SEARCH("Pesquisa de Preços",D1333)))</formula>
    </cfRule>
  </conditionalFormatting>
  <conditionalFormatting sqref="E1333">
    <cfRule type="containsText" dxfId="1478" priority="4114" operator="containsText" text="Pesquisa de Preços">
      <formula>NOT(ISERROR(SEARCH("Pesquisa de Preços",E1333)))</formula>
    </cfRule>
  </conditionalFormatting>
  <conditionalFormatting sqref="E1332">
    <cfRule type="containsText" dxfId="1477" priority="4113" operator="containsText" text="Pesquisa de Preços">
      <formula>NOT(ISERROR(SEARCH("Pesquisa de Preços",E1332)))</formula>
    </cfRule>
  </conditionalFormatting>
  <conditionalFormatting sqref="D1339">
    <cfRule type="containsText" dxfId="1476" priority="4109" operator="containsText" text="Pesquisa de Preços">
      <formula>NOT(ISERROR(SEARCH("Pesquisa de Preços",D1339)))</formula>
    </cfRule>
  </conditionalFormatting>
  <conditionalFormatting sqref="E1339">
    <cfRule type="containsText" dxfId="1475" priority="4108" operator="containsText" text="Pesquisa de Preços">
      <formula>NOT(ISERROR(SEARCH("Pesquisa de Preços",E1339)))</formula>
    </cfRule>
  </conditionalFormatting>
  <conditionalFormatting sqref="E1338">
    <cfRule type="containsText" dxfId="1474" priority="4107" operator="containsText" text="Pesquisa de Preços">
      <formula>NOT(ISERROR(SEARCH("Pesquisa de Preços",E1338)))</formula>
    </cfRule>
  </conditionalFormatting>
  <conditionalFormatting sqref="D5055 D5061">
    <cfRule type="containsText" dxfId="1473" priority="4103" operator="containsText" text="Pesquisa de Preços">
      <formula>NOT(ISERROR(SEARCH("Pesquisa de Preços",D5055)))</formula>
    </cfRule>
  </conditionalFormatting>
  <conditionalFormatting sqref="D5056:D5057">
    <cfRule type="containsText" dxfId="1472" priority="4101" operator="containsText" text="Pesquisa de Preços">
      <formula>NOT(ISERROR(SEARCH("Pesquisa de Preços",D5056)))</formula>
    </cfRule>
  </conditionalFormatting>
  <conditionalFormatting sqref="D5062:D5063">
    <cfRule type="containsText" dxfId="1471" priority="4102" operator="containsText" text="Pesquisa de Preços">
      <formula>NOT(ISERROR(SEARCH("Pesquisa de Preços",D5062)))</formula>
    </cfRule>
  </conditionalFormatting>
  <conditionalFormatting sqref="E5061">
    <cfRule type="containsText" dxfId="1470" priority="4099" operator="containsText" text="Pesquisa de Preços">
      <formula>NOT(ISERROR(SEARCH("Pesquisa de Preços",E5061)))</formula>
    </cfRule>
  </conditionalFormatting>
  <conditionalFormatting sqref="E5055">
    <cfRule type="containsText" dxfId="1469" priority="4097" operator="containsText" text="Pesquisa de Preços">
      <formula>NOT(ISERROR(SEARCH("Pesquisa de Preços",E5055)))</formula>
    </cfRule>
  </conditionalFormatting>
  <conditionalFormatting sqref="E5062:E5063">
    <cfRule type="containsText" dxfId="1468" priority="4100" operator="containsText" text="Pesquisa de Preços">
      <formula>NOT(ISERROR(SEARCH("Pesquisa de Preços",E5062)))</formula>
    </cfRule>
  </conditionalFormatting>
  <conditionalFormatting sqref="D5065">
    <cfRule type="containsText" dxfId="1467" priority="4093" operator="containsText" text="Pesquisa de Preços">
      <formula>NOT(ISERROR(SEARCH("Pesquisa de Preços",D5065)))</formula>
    </cfRule>
  </conditionalFormatting>
  <conditionalFormatting sqref="E5065">
    <cfRule type="containsText" dxfId="1466" priority="4092" operator="containsText" text="Pesquisa de Preços">
      <formula>NOT(ISERROR(SEARCH("Pesquisa de Preços",E5065)))</formula>
    </cfRule>
  </conditionalFormatting>
  <conditionalFormatting sqref="E5064">
    <cfRule type="containsText" dxfId="1465" priority="4091" operator="containsText" text="Pesquisa de Preços">
      <formula>NOT(ISERROR(SEARCH("Pesquisa de Preços",E5064)))</formula>
    </cfRule>
  </conditionalFormatting>
  <conditionalFormatting sqref="D5059">
    <cfRule type="containsText" dxfId="1464" priority="4087" operator="containsText" text="Pesquisa de Preços">
      <formula>NOT(ISERROR(SEARCH("Pesquisa de Preços",D5059)))</formula>
    </cfRule>
  </conditionalFormatting>
  <conditionalFormatting sqref="E5059">
    <cfRule type="containsText" dxfId="1463" priority="4086" operator="containsText" text="Pesquisa de Preços">
      <formula>NOT(ISERROR(SEARCH("Pesquisa de Preços",E5059)))</formula>
    </cfRule>
  </conditionalFormatting>
  <conditionalFormatting sqref="E5058">
    <cfRule type="containsText" dxfId="1462" priority="4085" operator="containsText" text="Pesquisa de Preços">
      <formula>NOT(ISERROR(SEARCH("Pesquisa de Preços",E5058)))</formula>
    </cfRule>
  </conditionalFormatting>
  <conditionalFormatting sqref="D5067">
    <cfRule type="containsText" dxfId="1461" priority="4081" operator="containsText" text="Pesquisa de Preços">
      <formula>NOT(ISERROR(SEARCH("Pesquisa de Preços",D5067)))</formula>
    </cfRule>
  </conditionalFormatting>
  <conditionalFormatting sqref="D5068 D5072">
    <cfRule type="containsText" dxfId="1460" priority="4080" operator="containsText" text="Pesquisa de Preços">
      <formula>NOT(ISERROR(SEARCH("Pesquisa de Preços",D5068)))</formula>
    </cfRule>
  </conditionalFormatting>
  <conditionalFormatting sqref="D5069">
    <cfRule type="containsText" dxfId="1459" priority="4079" operator="containsText" text="Pesquisa de Preços">
      <formula>NOT(ISERROR(SEARCH("Pesquisa de Preços",D5069)))</formula>
    </cfRule>
  </conditionalFormatting>
  <conditionalFormatting sqref="D5070:D5071">
    <cfRule type="containsText" dxfId="1458" priority="4078" operator="containsText" text="Pesquisa de Preços">
      <formula>NOT(ISERROR(SEARCH("Pesquisa de Preços",D5070)))</formula>
    </cfRule>
  </conditionalFormatting>
  <conditionalFormatting sqref="E5068 E5072">
    <cfRule type="containsText" dxfId="1457" priority="4077" operator="containsText" text="Pesquisa de Preços">
      <formula>NOT(ISERROR(SEARCH("Pesquisa de Preços",E5068)))</formula>
    </cfRule>
  </conditionalFormatting>
  <conditionalFormatting sqref="E5067">
    <cfRule type="containsText" dxfId="1456" priority="4076" operator="containsText" text="Pesquisa de Preços">
      <formula>NOT(ISERROR(SEARCH("Pesquisa de Preços",E5067)))</formula>
    </cfRule>
  </conditionalFormatting>
  <conditionalFormatting sqref="E5069">
    <cfRule type="containsText" dxfId="1455" priority="4075" operator="containsText" text="Pesquisa de Preços">
      <formula>NOT(ISERROR(SEARCH("Pesquisa de Preços",E5069)))</formula>
    </cfRule>
  </conditionalFormatting>
  <conditionalFormatting sqref="E5070:E5071">
    <cfRule type="containsText" dxfId="1454" priority="4074" operator="containsText" text="Pesquisa de Preços">
      <formula>NOT(ISERROR(SEARCH("Pesquisa de Preços",E5070)))</formula>
    </cfRule>
  </conditionalFormatting>
  <conditionalFormatting sqref="D5073">
    <cfRule type="containsText" dxfId="1453" priority="4070" operator="containsText" text="Pesquisa de Preços">
      <formula>NOT(ISERROR(SEARCH("Pesquisa de Preços",D5073)))</formula>
    </cfRule>
  </conditionalFormatting>
  <conditionalFormatting sqref="D5074 D5078">
    <cfRule type="containsText" dxfId="1452" priority="4069" operator="containsText" text="Pesquisa de Preços">
      <formula>NOT(ISERROR(SEARCH("Pesquisa de Preços",D5074)))</formula>
    </cfRule>
  </conditionalFormatting>
  <conditionalFormatting sqref="D5075">
    <cfRule type="containsText" dxfId="1451" priority="4068" operator="containsText" text="Pesquisa de Preços">
      <formula>NOT(ISERROR(SEARCH("Pesquisa de Preços",D5075)))</formula>
    </cfRule>
  </conditionalFormatting>
  <conditionalFormatting sqref="D5076:D5077">
    <cfRule type="containsText" dxfId="1450" priority="4067" operator="containsText" text="Pesquisa de Preços">
      <formula>NOT(ISERROR(SEARCH("Pesquisa de Preços",D5076)))</formula>
    </cfRule>
  </conditionalFormatting>
  <conditionalFormatting sqref="E5074 E5078">
    <cfRule type="containsText" dxfId="1449" priority="4066" operator="containsText" text="Pesquisa de Preços">
      <formula>NOT(ISERROR(SEARCH("Pesquisa de Preços",E5074)))</formula>
    </cfRule>
  </conditionalFormatting>
  <conditionalFormatting sqref="E5073">
    <cfRule type="containsText" dxfId="1448" priority="4065" operator="containsText" text="Pesquisa de Preços">
      <formula>NOT(ISERROR(SEARCH("Pesquisa de Preços",E5073)))</formula>
    </cfRule>
  </conditionalFormatting>
  <conditionalFormatting sqref="E5075">
    <cfRule type="containsText" dxfId="1447" priority="4064" operator="containsText" text="Pesquisa de Preços">
      <formula>NOT(ISERROR(SEARCH("Pesquisa de Preços",E5075)))</formula>
    </cfRule>
  </conditionalFormatting>
  <conditionalFormatting sqref="E5076:E5077">
    <cfRule type="containsText" dxfId="1446" priority="4063" operator="containsText" text="Pesquisa de Preços">
      <formula>NOT(ISERROR(SEARCH("Pesquisa de Preços",E5076)))</formula>
    </cfRule>
  </conditionalFormatting>
  <conditionalFormatting sqref="E5080:E5081 E5085">
    <cfRule type="containsText" dxfId="1445" priority="4055" operator="containsText" text="Pesquisa de Preços">
      <formula>NOT(ISERROR(SEARCH("Pesquisa de Preços",E5080)))</formula>
    </cfRule>
  </conditionalFormatting>
  <conditionalFormatting sqref="E5079">
    <cfRule type="containsText" dxfId="1444" priority="4054" operator="containsText" text="Pesquisa de Preços">
      <formula>NOT(ISERROR(SEARCH("Pesquisa de Preços",E5079)))</formula>
    </cfRule>
  </conditionalFormatting>
  <conditionalFormatting sqref="D5080:D5081 D5084:D5085">
    <cfRule type="containsText" dxfId="1443" priority="4056" operator="containsText" text="Pesquisa de Preços">
      <formula>NOT(ISERROR(SEARCH("Pesquisa de Preços",D5080)))</formula>
    </cfRule>
  </conditionalFormatting>
  <conditionalFormatting sqref="D5079">
    <cfRule type="containsText" dxfId="1442" priority="4057" operator="containsText" text="Pesquisa de Preços">
      <formula>NOT(ISERROR(SEARCH("Pesquisa de Preços",D5079)))</formula>
    </cfRule>
  </conditionalFormatting>
  <conditionalFormatting sqref="D4979">
    <cfRule type="containsText" dxfId="1441" priority="4045" operator="containsText" text="Pesquisa de Preços">
      <formula>NOT(ISERROR(SEARCH("Pesquisa de Preços",D4979)))</formula>
    </cfRule>
  </conditionalFormatting>
  <conditionalFormatting sqref="E4979">
    <cfRule type="containsText" dxfId="1440" priority="4044" operator="containsText" text="Pesquisa de Preços">
      <formula>NOT(ISERROR(SEARCH("Pesquisa de Preços",E4979)))</formula>
    </cfRule>
  </conditionalFormatting>
  <conditionalFormatting sqref="D2293">
    <cfRule type="containsText" dxfId="1439" priority="4035" operator="containsText" text="Pesquisa de Preços">
      <formula>NOT(ISERROR(SEARCH("Pesquisa de Preços",D2293)))</formula>
    </cfRule>
  </conditionalFormatting>
  <conditionalFormatting sqref="E2293">
    <cfRule type="containsText" dxfId="1438" priority="4034" operator="containsText" text="Pesquisa de Preços">
      <formula>NOT(ISERROR(SEARCH("Pesquisa de Preços",E2293)))</formula>
    </cfRule>
  </conditionalFormatting>
  <conditionalFormatting sqref="D2294:D2295">
    <cfRule type="containsText" dxfId="1437" priority="4023" operator="containsText" text="Pesquisa de Preços">
      <formula>NOT(ISERROR(SEARCH("Pesquisa de Preços",D2294)))</formula>
    </cfRule>
  </conditionalFormatting>
  <conditionalFormatting sqref="E2294:E2295">
    <cfRule type="containsText" dxfId="1436" priority="4022" operator="containsText" text="Pesquisa de Preços">
      <formula>NOT(ISERROR(SEARCH("Pesquisa de Preços",E2294)))</formula>
    </cfRule>
  </conditionalFormatting>
  <conditionalFormatting sqref="D2248">
    <cfRule type="containsText" dxfId="1435" priority="3998" operator="containsText" text="Pesquisa de Preços">
      <formula>NOT(ISERROR(SEARCH("Pesquisa de Preços",D2248)))</formula>
    </cfRule>
  </conditionalFormatting>
  <conditionalFormatting sqref="E2248">
    <cfRule type="containsText" dxfId="1434" priority="3997" operator="containsText" text="Pesquisa de Preços">
      <formula>NOT(ISERROR(SEARCH("Pesquisa de Preços",E2248)))</formula>
    </cfRule>
  </conditionalFormatting>
  <conditionalFormatting sqref="D5038">
    <cfRule type="containsText" dxfId="1433" priority="3994" operator="containsText" text="Pesquisa de Preços">
      <formula>NOT(ISERROR(SEARCH("Pesquisa de Preços",D5038)))</formula>
    </cfRule>
  </conditionalFormatting>
  <conditionalFormatting sqref="D5087 D5092">
    <cfRule type="containsText" dxfId="1432" priority="3977" operator="containsText" text="Pesquisa de Preços">
      <formula>NOT(ISERROR(SEARCH("Pesquisa de Preços",D5087)))</formula>
    </cfRule>
  </conditionalFormatting>
  <conditionalFormatting sqref="D5086">
    <cfRule type="containsText" dxfId="1431" priority="3978" operator="containsText" text="Pesquisa de Preços">
      <formula>NOT(ISERROR(SEARCH("Pesquisa de Preços",D5086)))</formula>
    </cfRule>
  </conditionalFormatting>
  <conditionalFormatting sqref="E5087 E5092">
    <cfRule type="containsText" dxfId="1430" priority="3976" operator="containsText" text="Pesquisa de Preços">
      <formula>NOT(ISERROR(SEARCH("Pesquisa de Preços",E5087)))</formula>
    </cfRule>
  </conditionalFormatting>
  <conditionalFormatting sqref="E5086">
    <cfRule type="containsText" dxfId="1429" priority="3975" operator="containsText" text="Pesquisa de Preços">
      <formula>NOT(ISERROR(SEARCH("Pesquisa de Preços",E5086)))</formula>
    </cfRule>
  </conditionalFormatting>
  <conditionalFormatting sqref="D5093">
    <cfRule type="containsText" dxfId="1428" priority="3968" operator="containsText" text="Pesquisa de Preços">
      <formula>NOT(ISERROR(SEARCH("Pesquisa de Preços",D5093)))</formula>
    </cfRule>
  </conditionalFormatting>
  <conditionalFormatting sqref="D5094 D5103">
    <cfRule type="containsText" dxfId="1427" priority="3967" operator="containsText" text="Pesquisa de Preços">
      <formula>NOT(ISERROR(SEARCH("Pesquisa de Preços",D5094)))</formula>
    </cfRule>
  </conditionalFormatting>
  <conditionalFormatting sqref="E5093">
    <cfRule type="containsText" dxfId="1426" priority="3965" operator="containsText" text="Pesquisa de Preços">
      <formula>NOT(ISERROR(SEARCH("Pesquisa de Preços",E5093)))</formula>
    </cfRule>
  </conditionalFormatting>
  <conditionalFormatting sqref="E5094 E5103">
    <cfRule type="containsText" dxfId="1425" priority="3966" operator="containsText" text="Pesquisa de Preços">
      <formula>NOT(ISERROR(SEARCH("Pesquisa de Preços",E5094)))</formula>
    </cfRule>
  </conditionalFormatting>
  <conditionalFormatting sqref="D5104">
    <cfRule type="containsText" dxfId="1424" priority="3951" operator="containsText" text="Pesquisa de Preços">
      <formula>NOT(ISERROR(SEARCH("Pesquisa de Preços",D5104)))</formula>
    </cfRule>
  </conditionalFormatting>
  <conditionalFormatting sqref="D5107">
    <cfRule type="containsText" dxfId="1423" priority="3943" operator="containsText" text="Pesquisa de Preços">
      <formula>NOT(ISERROR(SEARCH("Pesquisa de Preços",D5107)))</formula>
    </cfRule>
  </conditionalFormatting>
  <conditionalFormatting sqref="D5110">
    <cfRule type="containsText" dxfId="1422" priority="3939" operator="containsText" text="Pesquisa de Preços">
      <formula>NOT(ISERROR(SEARCH("Pesquisa de Preços",D5110)))</formula>
    </cfRule>
  </conditionalFormatting>
  <conditionalFormatting sqref="D5115">
    <cfRule type="containsText" dxfId="1421" priority="3934" operator="containsText" text="Pesquisa de Preços">
      <formula>NOT(ISERROR(SEARCH("Pesquisa de Preços",D5115)))</formula>
    </cfRule>
  </conditionalFormatting>
  <conditionalFormatting sqref="D5113">
    <cfRule type="containsText" dxfId="1420" priority="3931" operator="containsText" text="Pesquisa de Preços">
      <formula>NOT(ISERROR(SEARCH("Pesquisa de Preços",D5113)))</formula>
    </cfRule>
  </conditionalFormatting>
  <conditionalFormatting sqref="D5118">
    <cfRule type="containsText" dxfId="1419" priority="3925" operator="containsText" text="Pesquisa de Preços">
      <formula>NOT(ISERROR(SEARCH("Pesquisa de Preços",D5118)))</formula>
    </cfRule>
  </conditionalFormatting>
  <conditionalFormatting sqref="D5123">
    <cfRule type="containsText" dxfId="1418" priority="3922" operator="containsText" text="Pesquisa de Preços">
      <formula>NOT(ISERROR(SEARCH("Pesquisa de Preços",D5123)))</formula>
    </cfRule>
  </conditionalFormatting>
  <conditionalFormatting sqref="D5121">
    <cfRule type="containsText" dxfId="1417" priority="3919" operator="containsText" text="Pesquisa de Preços">
      <formula>NOT(ISERROR(SEARCH("Pesquisa de Preços",D5121)))</formula>
    </cfRule>
  </conditionalFormatting>
  <conditionalFormatting sqref="D5126">
    <cfRule type="containsText" dxfId="1416" priority="3913" operator="containsText" text="Pesquisa de Preços">
      <formula>NOT(ISERROR(SEARCH("Pesquisa de Preços",D5126)))</formula>
    </cfRule>
  </conditionalFormatting>
  <conditionalFormatting sqref="D5131">
    <cfRule type="containsText" dxfId="1415" priority="3910" operator="containsText" text="Pesquisa de Preços">
      <formula>NOT(ISERROR(SEARCH("Pesquisa de Preços",D5131)))</formula>
    </cfRule>
  </conditionalFormatting>
  <conditionalFormatting sqref="D5129">
    <cfRule type="containsText" dxfId="1414" priority="3907" operator="containsText" text="Pesquisa de Preços">
      <formula>NOT(ISERROR(SEARCH("Pesquisa de Preços",D5129)))</formula>
    </cfRule>
  </conditionalFormatting>
  <conditionalFormatting sqref="D5134">
    <cfRule type="containsText" dxfId="1413" priority="3889" operator="containsText" text="Pesquisa de Preços">
      <formula>NOT(ISERROR(SEARCH("Pesquisa de Preços",D5134)))</formula>
    </cfRule>
  </conditionalFormatting>
  <conditionalFormatting sqref="D5139">
    <cfRule type="containsText" dxfId="1412" priority="3886" operator="containsText" text="Pesquisa de Preços">
      <formula>NOT(ISERROR(SEARCH("Pesquisa de Preços",D5139)))</formula>
    </cfRule>
  </conditionalFormatting>
  <conditionalFormatting sqref="D5137">
    <cfRule type="containsText" dxfId="1411" priority="3883" operator="containsText" text="Pesquisa de Preços">
      <formula>NOT(ISERROR(SEARCH("Pesquisa de Preços",D5137)))</formula>
    </cfRule>
  </conditionalFormatting>
  <conditionalFormatting sqref="D5142">
    <cfRule type="containsText" dxfId="1410" priority="3877" operator="containsText" text="Pesquisa de Preços">
      <formula>NOT(ISERROR(SEARCH("Pesquisa de Preços",D5142)))</formula>
    </cfRule>
  </conditionalFormatting>
  <conditionalFormatting sqref="D5146">
    <cfRule type="containsText" dxfId="1409" priority="3874" operator="containsText" text="Pesquisa de Preços">
      <formula>NOT(ISERROR(SEARCH("Pesquisa de Preços",D5146)))</formula>
    </cfRule>
  </conditionalFormatting>
  <conditionalFormatting sqref="D5144">
    <cfRule type="containsText" dxfId="1408" priority="3864" operator="containsText" text="Pesquisa de Preços">
      <formula>NOT(ISERROR(SEARCH("Pesquisa de Preços",D5144)))</formula>
    </cfRule>
  </conditionalFormatting>
  <conditionalFormatting sqref="D5148">
    <cfRule type="containsText" dxfId="1407" priority="3862" operator="containsText" text="Pesquisa de Preços">
      <formula>NOT(ISERROR(SEARCH("Pesquisa de Preços",D5148)))</formula>
    </cfRule>
  </conditionalFormatting>
  <conditionalFormatting sqref="D5153">
    <cfRule type="containsText" dxfId="1406" priority="3859" operator="containsText" text="Pesquisa de Preços">
      <formula>NOT(ISERROR(SEARCH("Pesquisa de Preços",D5153)))</formula>
    </cfRule>
  </conditionalFormatting>
  <conditionalFormatting sqref="D5151">
    <cfRule type="containsText" dxfId="1405" priority="3856" operator="containsText" text="Pesquisa de Preços">
      <formula>NOT(ISERROR(SEARCH("Pesquisa de Preços",D5151)))</formula>
    </cfRule>
  </conditionalFormatting>
  <conditionalFormatting sqref="D5156">
    <cfRule type="containsText" dxfId="1404" priority="3850" operator="containsText" text="Pesquisa de Preços">
      <formula>NOT(ISERROR(SEARCH("Pesquisa de Preços",D5156)))</formula>
    </cfRule>
  </conditionalFormatting>
  <conditionalFormatting sqref="D5160">
    <cfRule type="containsText" dxfId="1403" priority="3847" operator="containsText" text="Pesquisa de Preços">
      <formula>NOT(ISERROR(SEARCH("Pesquisa de Preços",D5160)))</formula>
    </cfRule>
  </conditionalFormatting>
  <conditionalFormatting sqref="D5158">
    <cfRule type="containsText" dxfId="1402" priority="3842" operator="containsText" text="Pesquisa de Preços">
      <formula>NOT(ISERROR(SEARCH("Pesquisa de Preços",D5158)))</formula>
    </cfRule>
  </conditionalFormatting>
  <conditionalFormatting sqref="D5162">
    <cfRule type="containsText" dxfId="1401" priority="3840" operator="containsText" text="Pesquisa de Preços">
      <formula>NOT(ISERROR(SEARCH("Pesquisa de Preços",D5162)))</formula>
    </cfRule>
  </conditionalFormatting>
  <conditionalFormatting sqref="D5167">
    <cfRule type="containsText" dxfId="1400" priority="3837" operator="containsText" text="Pesquisa de Preços">
      <formula>NOT(ISERROR(SEARCH("Pesquisa de Preços",D5167)))</formula>
    </cfRule>
  </conditionalFormatting>
  <conditionalFormatting sqref="D5165">
    <cfRule type="containsText" dxfId="1399" priority="3834" operator="containsText" text="Pesquisa de Preços">
      <formula>NOT(ISERROR(SEARCH("Pesquisa de Preços",D5165)))</formula>
    </cfRule>
  </conditionalFormatting>
  <conditionalFormatting sqref="D5170">
    <cfRule type="containsText" dxfId="1398" priority="3826" operator="containsText" text="Pesquisa de Preços">
      <formula>NOT(ISERROR(SEARCH("Pesquisa de Preços",D5170)))</formula>
    </cfRule>
  </conditionalFormatting>
  <conditionalFormatting sqref="D5175">
    <cfRule type="containsText" dxfId="1397" priority="3823" operator="containsText" text="Pesquisa de Preços">
      <formula>NOT(ISERROR(SEARCH("Pesquisa de Preços",D5175)))</formula>
    </cfRule>
  </conditionalFormatting>
  <conditionalFormatting sqref="D5173">
    <cfRule type="containsText" dxfId="1396" priority="3820" operator="containsText" text="Pesquisa de Preços">
      <formula>NOT(ISERROR(SEARCH("Pesquisa de Preços",D5173)))</formula>
    </cfRule>
  </conditionalFormatting>
  <conditionalFormatting sqref="D5178">
    <cfRule type="containsText" dxfId="1395" priority="3814" operator="containsText" text="Pesquisa de Preços">
      <formula>NOT(ISERROR(SEARCH("Pesquisa de Preços",D5178)))</formula>
    </cfRule>
  </conditionalFormatting>
  <conditionalFormatting sqref="D5183">
    <cfRule type="containsText" dxfId="1394" priority="3811" operator="containsText" text="Pesquisa de Preços">
      <formula>NOT(ISERROR(SEARCH("Pesquisa de Preços",D5183)))</formula>
    </cfRule>
  </conditionalFormatting>
  <conditionalFormatting sqref="D5181">
    <cfRule type="containsText" dxfId="1393" priority="3808" operator="containsText" text="Pesquisa de Preços">
      <formula>NOT(ISERROR(SEARCH("Pesquisa de Preços",D5181)))</formula>
    </cfRule>
  </conditionalFormatting>
  <conditionalFormatting sqref="D5186">
    <cfRule type="containsText" dxfId="1392" priority="3802" operator="containsText" text="Pesquisa de Preços">
      <formula>NOT(ISERROR(SEARCH("Pesquisa de Preços",D5186)))</formula>
    </cfRule>
  </conditionalFormatting>
  <conditionalFormatting sqref="D5191">
    <cfRule type="containsText" dxfId="1391" priority="3799" operator="containsText" text="Pesquisa de Preços">
      <formula>NOT(ISERROR(SEARCH("Pesquisa de Preços",D5191)))</formula>
    </cfRule>
  </conditionalFormatting>
  <conditionalFormatting sqref="D5189">
    <cfRule type="containsText" dxfId="1390" priority="3796" operator="containsText" text="Pesquisa de Preços">
      <formula>NOT(ISERROR(SEARCH("Pesquisa de Preços",D5189)))</formula>
    </cfRule>
  </conditionalFormatting>
  <conditionalFormatting sqref="D5201">
    <cfRule type="containsText" dxfId="1389" priority="3787" operator="containsText" text="Pesquisa de Preços">
      <formula>NOT(ISERROR(SEARCH("Pesquisa de Preços",D5201)))</formula>
    </cfRule>
  </conditionalFormatting>
  <conditionalFormatting sqref="D5206">
    <cfRule type="containsText" dxfId="1388" priority="3784" operator="containsText" text="Pesquisa de Preços">
      <formula>NOT(ISERROR(SEARCH("Pesquisa de Preços",D5206)))</formula>
    </cfRule>
  </conditionalFormatting>
  <conditionalFormatting sqref="D5204">
    <cfRule type="containsText" dxfId="1387" priority="3781" operator="containsText" text="Pesquisa de Preços">
      <formula>NOT(ISERROR(SEARCH("Pesquisa de Preços",D5204)))</formula>
    </cfRule>
  </conditionalFormatting>
  <conditionalFormatting sqref="D5216">
    <cfRule type="containsText" dxfId="1386" priority="3772" operator="containsText" text="Pesquisa de Preços">
      <formula>NOT(ISERROR(SEARCH("Pesquisa de Preços",D5216)))</formula>
    </cfRule>
  </conditionalFormatting>
  <conditionalFormatting sqref="D5221">
    <cfRule type="containsText" dxfId="1385" priority="3769" operator="containsText" text="Pesquisa de Preços">
      <formula>NOT(ISERROR(SEARCH("Pesquisa de Preços",D5221)))</formula>
    </cfRule>
  </conditionalFormatting>
  <conditionalFormatting sqref="D5219">
    <cfRule type="containsText" dxfId="1384" priority="3766" operator="containsText" text="Pesquisa de Preços">
      <formula>NOT(ISERROR(SEARCH("Pesquisa de Preços",D5219)))</formula>
    </cfRule>
  </conditionalFormatting>
  <conditionalFormatting sqref="D5218">
    <cfRule type="containsText" dxfId="1383" priority="3761" operator="containsText" text="Pesquisa de Preços">
      <formula>NOT(ISERROR(SEARCH("Pesquisa de Preços",D5218)))</formula>
    </cfRule>
  </conditionalFormatting>
  <conditionalFormatting sqref="D5223">
    <cfRule type="containsText" dxfId="1382" priority="3759" operator="containsText" text="Pesquisa de Preços">
      <formula>NOT(ISERROR(SEARCH("Pesquisa de Preços",D5223)))</formula>
    </cfRule>
  </conditionalFormatting>
  <conditionalFormatting sqref="D5228">
    <cfRule type="containsText" dxfId="1381" priority="3756" operator="containsText" text="Pesquisa de Preços">
      <formula>NOT(ISERROR(SEARCH("Pesquisa de Preços",D5228)))</formula>
    </cfRule>
  </conditionalFormatting>
  <conditionalFormatting sqref="D5226">
    <cfRule type="containsText" dxfId="1380" priority="3753" operator="containsText" text="Pesquisa de Preços">
      <formula>NOT(ISERROR(SEARCH("Pesquisa de Preços",D5226)))</formula>
    </cfRule>
  </conditionalFormatting>
  <conditionalFormatting sqref="D5225">
    <cfRule type="containsText" dxfId="1379" priority="3750" operator="containsText" text="Pesquisa de Preços">
      <formula>NOT(ISERROR(SEARCH("Pesquisa de Preços",D5225)))</formula>
    </cfRule>
  </conditionalFormatting>
  <conditionalFormatting sqref="D5234">
    <cfRule type="containsText" dxfId="1378" priority="3725" operator="containsText" text="Pesquisa de Preços">
      <formula>NOT(ISERROR(SEARCH("Pesquisa de Preços",D5234)))</formula>
    </cfRule>
  </conditionalFormatting>
  <conditionalFormatting sqref="D5230">
    <cfRule type="containsText" dxfId="1377" priority="3737" operator="containsText" text="Pesquisa de Preços">
      <formula>NOT(ISERROR(SEARCH("Pesquisa de Preços",D5230)))</formula>
    </cfRule>
  </conditionalFormatting>
  <conditionalFormatting sqref="D5232">
    <cfRule type="containsText" dxfId="1376" priority="3728" operator="containsText" text="Pesquisa de Preços">
      <formula>NOT(ISERROR(SEARCH("Pesquisa de Preços",D5232)))</formula>
    </cfRule>
  </conditionalFormatting>
  <conditionalFormatting sqref="D5240">
    <cfRule type="containsText" dxfId="1375" priority="3715" operator="containsText" text="Pesquisa de Preços">
      <formula>NOT(ISERROR(SEARCH("Pesquisa de Preços",D5240)))</formula>
    </cfRule>
  </conditionalFormatting>
  <conditionalFormatting sqref="D5236">
    <cfRule type="containsText" dxfId="1374" priority="3723" operator="containsText" text="Pesquisa de Preços">
      <formula>NOT(ISERROR(SEARCH("Pesquisa de Preços",D5236)))</formula>
    </cfRule>
  </conditionalFormatting>
  <conditionalFormatting sqref="D5238">
    <cfRule type="containsText" dxfId="1373" priority="3716" operator="containsText" text="Pesquisa de Preços">
      <formula>NOT(ISERROR(SEARCH("Pesquisa de Preços",D5238)))</formula>
    </cfRule>
  </conditionalFormatting>
  <conditionalFormatting sqref="D5278">
    <cfRule type="containsText" dxfId="1372" priority="3667" operator="containsText" text="Pesquisa de Preços">
      <formula>NOT(ISERROR(SEARCH("Pesquisa de Preços",D5278)))</formula>
    </cfRule>
  </conditionalFormatting>
  <conditionalFormatting sqref="D5242">
    <cfRule type="containsText" dxfId="1371" priority="3697" operator="containsText" text="Pesquisa de Preços">
      <formula>NOT(ISERROR(SEARCH("Pesquisa de Preços",D5242)))</formula>
    </cfRule>
  </conditionalFormatting>
  <conditionalFormatting sqref="D5243 D5248">
    <cfRule type="containsText" dxfId="1370" priority="3696" operator="containsText" text="Pesquisa de Preços">
      <formula>NOT(ISERROR(SEARCH("Pesquisa de Preços",D5243)))</formula>
    </cfRule>
  </conditionalFormatting>
  <conditionalFormatting sqref="E5248">
    <cfRule type="containsText" dxfId="1369" priority="3693" operator="containsText" text="Pesquisa de Preços">
      <formula>NOT(ISERROR(SEARCH("Pesquisa de Preços",E5248)))</formula>
    </cfRule>
  </conditionalFormatting>
  <conditionalFormatting sqref="D5249">
    <cfRule type="containsText" dxfId="1368" priority="3689" operator="containsText" text="Pesquisa de Preços">
      <formula>NOT(ISERROR(SEARCH("Pesquisa de Preços",D5249)))</formula>
    </cfRule>
  </conditionalFormatting>
  <conditionalFormatting sqref="D5252">
    <cfRule type="containsText" dxfId="1367" priority="3686" operator="containsText" text="Pesquisa de Preços">
      <formula>NOT(ISERROR(SEARCH("Pesquisa de Preços",D5252)))</formula>
    </cfRule>
  </conditionalFormatting>
  <conditionalFormatting sqref="D5250">
    <cfRule type="containsText" dxfId="1366" priority="3688" operator="containsText" text="Pesquisa de Preços">
      <formula>NOT(ISERROR(SEARCH("Pesquisa de Preços",D5250)))</formula>
    </cfRule>
  </conditionalFormatting>
  <conditionalFormatting sqref="D5251">
    <cfRule type="containsText" dxfId="1365" priority="3687" operator="containsText" text="Pesquisa de Preços">
      <formula>NOT(ISERROR(SEARCH("Pesquisa de Preços",D5251)))</formula>
    </cfRule>
  </conditionalFormatting>
  <conditionalFormatting sqref="E5260">
    <cfRule type="containsText" dxfId="1364" priority="3685" operator="containsText" text="Pesquisa de Preços">
      <formula>NOT(ISERROR(SEARCH("Pesquisa de Preços",E5260)))</formula>
    </cfRule>
  </conditionalFormatting>
  <conditionalFormatting sqref="D5269">
    <cfRule type="containsText" dxfId="1363" priority="3681" operator="containsText" text="Pesquisa de Preços">
      <formula>NOT(ISERROR(SEARCH("Pesquisa de Preços",D5269)))</formula>
    </cfRule>
  </conditionalFormatting>
  <conditionalFormatting sqref="D5272">
    <cfRule type="containsText" dxfId="1362" priority="3678" operator="containsText" text="Pesquisa de Preços">
      <formula>NOT(ISERROR(SEARCH("Pesquisa de Preços",D5272)))</formula>
    </cfRule>
  </conditionalFormatting>
  <conditionalFormatting sqref="D5270 D5273:D5274">
    <cfRule type="containsText" dxfId="1361" priority="3680" operator="containsText" text="Pesquisa de Preços">
      <formula>NOT(ISERROR(SEARCH("Pesquisa de Preços",D5270)))</formula>
    </cfRule>
  </conditionalFormatting>
  <conditionalFormatting sqref="D5271">
    <cfRule type="containsText" dxfId="1360" priority="3679" operator="containsText" text="Pesquisa de Preços">
      <formula>NOT(ISERROR(SEARCH("Pesquisa de Preços",D5271)))</formula>
    </cfRule>
  </conditionalFormatting>
  <conditionalFormatting sqref="E5274">
    <cfRule type="containsText" dxfId="1359" priority="3677" operator="containsText" text="Pesquisa de Preços">
      <formula>NOT(ISERROR(SEARCH("Pesquisa de Preços",E5274)))</formula>
    </cfRule>
  </conditionalFormatting>
  <conditionalFormatting sqref="D5275">
    <cfRule type="containsText" dxfId="1358" priority="3673" operator="containsText" text="Pesquisa de Preços">
      <formula>NOT(ISERROR(SEARCH("Pesquisa de Preços",D5275)))</formula>
    </cfRule>
  </conditionalFormatting>
  <conditionalFormatting sqref="D5280">
    <cfRule type="containsText" dxfId="1357" priority="3670" operator="containsText" text="Pesquisa de Preços">
      <formula>NOT(ISERROR(SEARCH("Pesquisa de Preços",D5280)))</formula>
    </cfRule>
  </conditionalFormatting>
  <conditionalFormatting sqref="D5277">
    <cfRule type="containsText" dxfId="1356" priority="3664" operator="containsText" text="Pesquisa de Preços">
      <formula>NOT(ISERROR(SEARCH("Pesquisa de Preços",D5277)))</formula>
    </cfRule>
  </conditionalFormatting>
  <conditionalFormatting sqref="D5256">
    <cfRule type="containsText" dxfId="1355" priority="3663" operator="containsText" text="Pesquisa de Preços">
      <formula>NOT(ISERROR(SEARCH("Pesquisa de Preços",D5256)))</formula>
    </cfRule>
  </conditionalFormatting>
  <conditionalFormatting sqref="D5255">
    <cfRule type="containsText" dxfId="1354" priority="3659" operator="containsText" text="Pesquisa de Preços">
      <formula>NOT(ISERROR(SEARCH("Pesquisa de Preços",D5255)))</formula>
    </cfRule>
  </conditionalFormatting>
  <conditionalFormatting sqref="D5254">
    <cfRule type="containsText" dxfId="1353" priority="3660" operator="containsText" text="Pesquisa de Preços">
      <formula>NOT(ISERROR(SEARCH("Pesquisa de Preços",D5254)))</formula>
    </cfRule>
  </conditionalFormatting>
  <conditionalFormatting sqref="E1064">
    <cfRule type="containsText" dxfId="1352" priority="3658" operator="containsText" text="Pesquisa de Preços">
      <formula>NOT(ISERROR(SEARCH("Pesquisa de Preços",E1064)))</formula>
    </cfRule>
  </conditionalFormatting>
  <conditionalFormatting sqref="E1063">
    <cfRule type="containsText" dxfId="1351" priority="3657" operator="containsText" text="Pesquisa de Preços">
      <formula>NOT(ISERROR(SEARCH("Pesquisa de Preços",E1063)))</formula>
    </cfRule>
  </conditionalFormatting>
  <conditionalFormatting sqref="E1162">
    <cfRule type="containsText" dxfId="1350" priority="3656" operator="containsText" text="Pesquisa de Preços">
      <formula>NOT(ISERROR(SEARCH("Pesquisa de Preços",E1162)))</formula>
    </cfRule>
  </conditionalFormatting>
  <conditionalFormatting sqref="E1160:E1161">
    <cfRule type="containsText" dxfId="1349" priority="3655" operator="containsText" text="Pesquisa de Preços">
      <formula>NOT(ISERROR(SEARCH("Pesquisa de Preços",E1160)))</formula>
    </cfRule>
  </conditionalFormatting>
  <conditionalFormatting sqref="E1177">
    <cfRule type="containsText" dxfId="1348" priority="3654" operator="containsText" text="Pesquisa de Preços">
      <formula>NOT(ISERROR(SEARCH("Pesquisa de Preços",E1177)))</formula>
    </cfRule>
  </conditionalFormatting>
  <conditionalFormatting sqref="E1175:E1176">
    <cfRule type="containsText" dxfId="1347" priority="3653" operator="containsText" text="Pesquisa de Preços">
      <formula>NOT(ISERROR(SEARCH("Pesquisa de Preços",E1175)))</formula>
    </cfRule>
  </conditionalFormatting>
  <conditionalFormatting sqref="E1191">
    <cfRule type="containsText" dxfId="1346" priority="3652" operator="containsText" text="Pesquisa de Preços">
      <formula>NOT(ISERROR(SEARCH("Pesquisa de Preços",E1191)))</formula>
    </cfRule>
  </conditionalFormatting>
  <conditionalFormatting sqref="E1189:E1190">
    <cfRule type="containsText" dxfId="1345" priority="3651" operator="containsText" text="Pesquisa de Preços">
      <formula>NOT(ISERROR(SEARCH("Pesquisa de Preços",E1189)))</formula>
    </cfRule>
  </conditionalFormatting>
  <conditionalFormatting sqref="E1198">
    <cfRule type="containsText" dxfId="1344" priority="3650" operator="containsText" text="Pesquisa de Preços">
      <formula>NOT(ISERROR(SEARCH("Pesquisa de Preços",E1198)))</formula>
    </cfRule>
  </conditionalFormatting>
  <conditionalFormatting sqref="E1196:E1197">
    <cfRule type="containsText" dxfId="1343" priority="3649" operator="containsText" text="Pesquisa de Preços">
      <formula>NOT(ISERROR(SEARCH("Pesquisa de Preços",E1196)))</formula>
    </cfRule>
  </conditionalFormatting>
  <conditionalFormatting sqref="E1205">
    <cfRule type="containsText" dxfId="1342" priority="3648" operator="containsText" text="Pesquisa de Preços">
      <formula>NOT(ISERROR(SEARCH("Pesquisa de Preços",E1205)))</formula>
    </cfRule>
  </conditionalFormatting>
  <conditionalFormatting sqref="E1203:E1204">
    <cfRule type="containsText" dxfId="1341" priority="3647" operator="containsText" text="Pesquisa de Preços">
      <formula>NOT(ISERROR(SEARCH("Pesquisa de Preços",E1203)))</formula>
    </cfRule>
  </conditionalFormatting>
  <conditionalFormatting sqref="D619">
    <cfRule type="containsText" dxfId="1340" priority="3633" operator="containsText" text="Pesquisa de Preços">
      <formula>NOT(ISERROR(SEARCH("Pesquisa de Preços",D619)))</formula>
    </cfRule>
  </conditionalFormatting>
  <conditionalFormatting sqref="D617:D618">
    <cfRule type="containsText" dxfId="1339" priority="3632" operator="containsText" text="Pesquisa de Preços">
      <formula>NOT(ISERROR(SEARCH("Pesquisa de Preços",D617)))</formula>
    </cfRule>
  </conditionalFormatting>
  <conditionalFormatting sqref="E619">
    <cfRule type="containsText" dxfId="1338" priority="3631" operator="containsText" text="Pesquisa de Preços">
      <formula>NOT(ISERROR(SEARCH("Pesquisa de Preços",E619)))</formula>
    </cfRule>
  </conditionalFormatting>
  <conditionalFormatting sqref="E617:E618">
    <cfRule type="containsText" dxfId="1337" priority="3630" operator="containsText" text="Pesquisa de Preços">
      <formula>NOT(ISERROR(SEARCH("Pesquisa de Preços",E617)))</formula>
    </cfRule>
  </conditionalFormatting>
  <conditionalFormatting sqref="D266">
    <cfRule type="containsText" dxfId="1336" priority="3618" operator="containsText" text="Pesquisa de Preços">
      <formula>NOT(ISERROR(SEARCH("Pesquisa de Preços",D266)))</formula>
    </cfRule>
  </conditionalFormatting>
  <conditionalFormatting sqref="E266">
    <cfRule type="containsText" dxfId="1335" priority="3617" operator="containsText" text="Pesquisa de Preços">
      <formula>NOT(ISERROR(SEARCH("Pesquisa de Preços",E266)))</formula>
    </cfRule>
  </conditionalFormatting>
  <conditionalFormatting sqref="D2132">
    <cfRule type="containsText" dxfId="1334" priority="3614" operator="containsText" text="Pesquisa de Preços">
      <formula>NOT(ISERROR(SEARCH("Pesquisa de Preços",D2132)))</formula>
    </cfRule>
  </conditionalFormatting>
  <conditionalFormatting sqref="E2132">
    <cfRule type="containsText" dxfId="1333" priority="3613" operator="containsText" text="Pesquisa de Preços">
      <formula>NOT(ISERROR(SEARCH("Pesquisa de Preços",E2132)))</formula>
    </cfRule>
  </conditionalFormatting>
  <conditionalFormatting sqref="D2138">
    <cfRule type="containsText" dxfId="1332" priority="3610" operator="containsText" text="Pesquisa de Preços">
      <formula>NOT(ISERROR(SEARCH("Pesquisa de Preços",D2138)))</formula>
    </cfRule>
  </conditionalFormatting>
  <conditionalFormatting sqref="D5268">
    <cfRule type="containsText" dxfId="1331" priority="3600" operator="containsText" text="Pesquisa de Preços">
      <formula>NOT(ISERROR(SEARCH("Pesquisa de Preços",D5268)))</formula>
    </cfRule>
  </conditionalFormatting>
  <conditionalFormatting sqref="E5261">
    <cfRule type="containsText" dxfId="1330" priority="3593" operator="containsText" text="Pesquisa de Preços">
      <formula>NOT(ISERROR(SEARCH("Pesquisa de Preços",E5261)))</formula>
    </cfRule>
  </conditionalFormatting>
  <conditionalFormatting sqref="E5268">
    <cfRule type="containsText" dxfId="1329" priority="3597" operator="containsText" text="Pesquisa de Preços">
      <formula>NOT(ISERROR(SEARCH("Pesquisa de Preços",E5268)))</formula>
    </cfRule>
  </conditionalFormatting>
  <conditionalFormatting sqref="D5261">
    <cfRule type="containsText" dxfId="1328" priority="3588" operator="containsText" text="Pesquisa de Preços">
      <formula>NOT(ISERROR(SEARCH("Pesquisa de Preços",D5261)))</formula>
    </cfRule>
  </conditionalFormatting>
  <conditionalFormatting sqref="D5286">
    <cfRule type="containsText" dxfId="1327" priority="3571" operator="containsText" text="Pesquisa de Preços">
      <formula>NOT(ISERROR(SEARCH("Pesquisa de Preços",D5286)))</formula>
    </cfRule>
  </conditionalFormatting>
  <conditionalFormatting sqref="D5284">
    <cfRule type="containsText" dxfId="1326" priority="3572" operator="containsText" text="Pesquisa de Preços">
      <formula>NOT(ISERROR(SEARCH("Pesquisa de Preços",D5284)))</formula>
    </cfRule>
  </conditionalFormatting>
  <conditionalFormatting sqref="D5292">
    <cfRule type="containsText" dxfId="1325" priority="3559" operator="containsText" text="Pesquisa de Preços">
      <formula>NOT(ISERROR(SEARCH("Pesquisa de Preços",D5292)))</formula>
    </cfRule>
  </conditionalFormatting>
  <conditionalFormatting sqref="D5290">
    <cfRule type="containsText" dxfId="1324" priority="3560" operator="containsText" text="Pesquisa de Preços">
      <formula>NOT(ISERROR(SEARCH("Pesquisa de Preços",D5290)))</formula>
    </cfRule>
  </conditionalFormatting>
  <conditionalFormatting sqref="D5282">
    <cfRule type="containsText" dxfId="1323" priority="3551" operator="containsText" text="Pesquisa de Preços">
      <formula>NOT(ISERROR(SEARCH("Pesquisa de Preços",D5282)))</formula>
    </cfRule>
  </conditionalFormatting>
  <conditionalFormatting sqref="D5288">
    <cfRule type="containsText" dxfId="1322" priority="3550" operator="containsText" text="Pesquisa de Preços">
      <formula>NOT(ISERROR(SEARCH("Pesquisa de Preços",D5288)))</formula>
    </cfRule>
  </conditionalFormatting>
  <conditionalFormatting sqref="D2407">
    <cfRule type="containsText" dxfId="1321" priority="3544" operator="containsText" text="Pesquisa de Preços">
      <formula>NOT(ISERROR(SEARCH("Pesquisa de Preços",D2407)))</formula>
    </cfRule>
  </conditionalFormatting>
  <conditionalFormatting sqref="D2404">
    <cfRule type="containsText" dxfId="1320" priority="3543" operator="containsText" text="Pesquisa de Preços">
      <formula>NOT(ISERROR(SEARCH("Pesquisa de Preços",D2404)))</formula>
    </cfRule>
  </conditionalFormatting>
  <conditionalFormatting sqref="E2407">
    <cfRule type="containsText" dxfId="1319" priority="3542" operator="containsText" text="Pesquisa de Preços">
      <formula>NOT(ISERROR(SEARCH("Pesquisa de Preços",E2407)))</formula>
    </cfRule>
  </conditionalFormatting>
  <conditionalFormatting sqref="D2411">
    <cfRule type="containsText" dxfId="1318" priority="3539" operator="containsText" text="Pesquisa de Preços">
      <formula>NOT(ISERROR(SEARCH("Pesquisa de Preços",D2411)))</formula>
    </cfRule>
  </conditionalFormatting>
  <conditionalFormatting sqref="D2408">
    <cfRule type="containsText" dxfId="1317" priority="3538" operator="containsText" text="Pesquisa de Preços">
      <formula>NOT(ISERROR(SEARCH("Pesquisa de Preços",D2408)))</formula>
    </cfRule>
  </conditionalFormatting>
  <conditionalFormatting sqref="E2411">
    <cfRule type="containsText" dxfId="1316" priority="3537" operator="containsText" text="Pesquisa de Preços">
      <formula>NOT(ISERROR(SEARCH("Pesquisa de Preços",E2411)))</formula>
    </cfRule>
  </conditionalFormatting>
  <conditionalFormatting sqref="D2419">
    <cfRule type="containsText" dxfId="1315" priority="3534" operator="containsText" text="Pesquisa de Preços">
      <formula>NOT(ISERROR(SEARCH("Pesquisa de Preços",D2419)))</formula>
    </cfRule>
  </conditionalFormatting>
  <conditionalFormatting sqref="D2416">
    <cfRule type="containsText" dxfId="1314" priority="3533" operator="containsText" text="Pesquisa de Preços">
      <formula>NOT(ISERROR(SEARCH("Pesquisa de Preços",D2416)))</formula>
    </cfRule>
  </conditionalFormatting>
  <conditionalFormatting sqref="E2419">
    <cfRule type="containsText" dxfId="1313" priority="3532" operator="containsText" text="Pesquisa de Preços">
      <formula>NOT(ISERROR(SEARCH("Pesquisa de Preços",E2419)))</formula>
    </cfRule>
  </conditionalFormatting>
  <conditionalFormatting sqref="D2423">
    <cfRule type="containsText" dxfId="1312" priority="3529" operator="containsText" text="Pesquisa de Preços">
      <formula>NOT(ISERROR(SEARCH("Pesquisa de Preços",D2423)))</formula>
    </cfRule>
  </conditionalFormatting>
  <conditionalFormatting sqref="D2420">
    <cfRule type="containsText" dxfId="1311" priority="3528" operator="containsText" text="Pesquisa de Preços">
      <formula>NOT(ISERROR(SEARCH("Pesquisa de Preços",D2420)))</formula>
    </cfRule>
  </conditionalFormatting>
  <conditionalFormatting sqref="E2423">
    <cfRule type="containsText" dxfId="1310" priority="3527" operator="containsText" text="Pesquisa de Preços">
      <formula>NOT(ISERROR(SEARCH("Pesquisa de Preços",E2423)))</formula>
    </cfRule>
  </conditionalFormatting>
  <conditionalFormatting sqref="D2427">
    <cfRule type="containsText" dxfId="1309" priority="3524" operator="containsText" text="Pesquisa de Preços">
      <formula>NOT(ISERROR(SEARCH("Pesquisa de Preços",D2427)))</formula>
    </cfRule>
  </conditionalFormatting>
  <conditionalFormatting sqref="D2424">
    <cfRule type="containsText" dxfId="1308" priority="3523" operator="containsText" text="Pesquisa de Preços">
      <formula>NOT(ISERROR(SEARCH("Pesquisa de Preços",D2424)))</formula>
    </cfRule>
  </conditionalFormatting>
  <conditionalFormatting sqref="E2427">
    <cfRule type="containsText" dxfId="1307" priority="3522" operator="containsText" text="Pesquisa de Preços">
      <formula>NOT(ISERROR(SEARCH("Pesquisa de Preços",E2427)))</formula>
    </cfRule>
  </conditionalFormatting>
  <conditionalFormatting sqref="D2431">
    <cfRule type="containsText" dxfId="1306" priority="3519" operator="containsText" text="Pesquisa de Preços">
      <formula>NOT(ISERROR(SEARCH("Pesquisa de Preços",D2431)))</formula>
    </cfRule>
  </conditionalFormatting>
  <conditionalFormatting sqref="D2428">
    <cfRule type="containsText" dxfId="1305" priority="3518" operator="containsText" text="Pesquisa de Preços">
      <formula>NOT(ISERROR(SEARCH("Pesquisa de Preços",D2428)))</formula>
    </cfRule>
  </conditionalFormatting>
  <conditionalFormatting sqref="E2431">
    <cfRule type="containsText" dxfId="1304" priority="3517" operator="containsText" text="Pesquisa de Preços">
      <formula>NOT(ISERROR(SEARCH("Pesquisa de Preços",E2431)))</formula>
    </cfRule>
  </conditionalFormatting>
  <conditionalFormatting sqref="D2435">
    <cfRule type="containsText" dxfId="1303" priority="3514" operator="containsText" text="Pesquisa de Preços">
      <formula>NOT(ISERROR(SEARCH("Pesquisa de Preços",D2435)))</formula>
    </cfRule>
  </conditionalFormatting>
  <conditionalFormatting sqref="D2432">
    <cfRule type="containsText" dxfId="1302" priority="3513" operator="containsText" text="Pesquisa de Preços">
      <formula>NOT(ISERROR(SEARCH("Pesquisa de Preços",D2432)))</formula>
    </cfRule>
  </conditionalFormatting>
  <conditionalFormatting sqref="E2435">
    <cfRule type="containsText" dxfId="1301" priority="3512" operator="containsText" text="Pesquisa de Preços">
      <formula>NOT(ISERROR(SEARCH("Pesquisa de Preços",E2435)))</formula>
    </cfRule>
  </conditionalFormatting>
  <conditionalFormatting sqref="D2439">
    <cfRule type="containsText" dxfId="1300" priority="3509" operator="containsText" text="Pesquisa de Preços">
      <formula>NOT(ISERROR(SEARCH("Pesquisa de Preços",D2439)))</formula>
    </cfRule>
  </conditionalFormatting>
  <conditionalFormatting sqref="D2436">
    <cfRule type="containsText" dxfId="1299" priority="3508" operator="containsText" text="Pesquisa de Preços">
      <formula>NOT(ISERROR(SEARCH("Pesquisa de Preços",D2436)))</formula>
    </cfRule>
  </conditionalFormatting>
  <conditionalFormatting sqref="E2439">
    <cfRule type="containsText" dxfId="1298" priority="3507" operator="containsText" text="Pesquisa de Preços">
      <formula>NOT(ISERROR(SEARCH("Pesquisa de Preços",E2439)))</formula>
    </cfRule>
  </conditionalFormatting>
  <conditionalFormatting sqref="D2444">
    <cfRule type="containsText" dxfId="1297" priority="3503" operator="containsText" text="Pesquisa de Preços">
      <formula>NOT(ISERROR(SEARCH("Pesquisa de Preços",D2444)))</formula>
    </cfRule>
  </conditionalFormatting>
  <conditionalFormatting sqref="D2448">
    <cfRule type="containsText" dxfId="1296" priority="3499" operator="containsText" text="Pesquisa de Preços">
      <formula>NOT(ISERROR(SEARCH("Pesquisa de Preços",D2448)))</formula>
    </cfRule>
  </conditionalFormatting>
  <conditionalFormatting sqref="D2460">
    <cfRule type="containsText" dxfId="1295" priority="3495" operator="containsText" text="Pesquisa de Preços">
      <formula>NOT(ISERROR(SEARCH("Pesquisa de Preços",D2460)))</formula>
    </cfRule>
  </conditionalFormatting>
  <conditionalFormatting sqref="D2464">
    <cfRule type="containsText" dxfId="1294" priority="3491" operator="containsText" text="Pesquisa de Preços">
      <formula>NOT(ISERROR(SEARCH("Pesquisa de Preços",D2464)))</formula>
    </cfRule>
  </conditionalFormatting>
  <conditionalFormatting sqref="D2468">
    <cfRule type="containsText" dxfId="1293" priority="3487" operator="containsText" text="Pesquisa de Preços">
      <formula>NOT(ISERROR(SEARCH("Pesquisa de Preços",D2468)))</formula>
    </cfRule>
  </conditionalFormatting>
  <conditionalFormatting sqref="D2472">
    <cfRule type="containsText" dxfId="1292" priority="3483" operator="containsText" text="Pesquisa de Preços">
      <formula>NOT(ISERROR(SEARCH("Pesquisa de Preços",D2472)))</formula>
    </cfRule>
  </conditionalFormatting>
  <conditionalFormatting sqref="D2476">
    <cfRule type="containsText" dxfId="1291" priority="3479" operator="containsText" text="Pesquisa de Preços">
      <formula>NOT(ISERROR(SEARCH("Pesquisa de Preços",D2476)))</formula>
    </cfRule>
  </conditionalFormatting>
  <conditionalFormatting sqref="D2480">
    <cfRule type="containsText" dxfId="1290" priority="3475" operator="containsText" text="Pesquisa de Preços">
      <formula>NOT(ISERROR(SEARCH("Pesquisa de Preços",D2480)))</formula>
    </cfRule>
  </conditionalFormatting>
  <conditionalFormatting sqref="D2484">
    <cfRule type="containsText" dxfId="1289" priority="3471" operator="containsText" text="Pesquisa de Preços">
      <formula>NOT(ISERROR(SEARCH("Pesquisa de Preços",D2484)))</formula>
    </cfRule>
  </conditionalFormatting>
  <conditionalFormatting sqref="D2488">
    <cfRule type="containsText" dxfId="1288" priority="3467" operator="containsText" text="Pesquisa de Preços">
      <formula>NOT(ISERROR(SEARCH("Pesquisa de Preços",D2488)))</formula>
    </cfRule>
  </conditionalFormatting>
  <conditionalFormatting sqref="D2492">
    <cfRule type="containsText" dxfId="1287" priority="3463" operator="containsText" text="Pesquisa de Preços">
      <formula>NOT(ISERROR(SEARCH("Pesquisa de Preços",D2492)))</formula>
    </cfRule>
  </conditionalFormatting>
  <conditionalFormatting sqref="D2496">
    <cfRule type="containsText" dxfId="1286" priority="3459" operator="containsText" text="Pesquisa de Preços">
      <formula>NOT(ISERROR(SEARCH("Pesquisa de Preços",D2496)))</formula>
    </cfRule>
  </conditionalFormatting>
  <conditionalFormatting sqref="D2500">
    <cfRule type="containsText" dxfId="1285" priority="3455" operator="containsText" text="Pesquisa de Preços">
      <formula>NOT(ISERROR(SEARCH("Pesquisa de Preços",D2500)))</formula>
    </cfRule>
  </conditionalFormatting>
  <conditionalFormatting sqref="D2504">
    <cfRule type="containsText" dxfId="1284" priority="3449" operator="containsText" text="Pesquisa de Preços">
      <formula>NOT(ISERROR(SEARCH("Pesquisa de Preços",D2504)))</formula>
    </cfRule>
  </conditionalFormatting>
  <conditionalFormatting sqref="D2508">
    <cfRule type="containsText" dxfId="1283" priority="3445" operator="containsText" text="Pesquisa de Preços">
      <formula>NOT(ISERROR(SEARCH("Pesquisa de Preços",D2508)))</formula>
    </cfRule>
  </conditionalFormatting>
  <conditionalFormatting sqref="D2512">
    <cfRule type="containsText" dxfId="1282" priority="3441" operator="containsText" text="Pesquisa de Preços">
      <formula>NOT(ISERROR(SEARCH("Pesquisa de Preços",D2512)))</formula>
    </cfRule>
  </conditionalFormatting>
  <conditionalFormatting sqref="D2516">
    <cfRule type="containsText" dxfId="1281" priority="3437" operator="containsText" text="Pesquisa de Preços">
      <formula>NOT(ISERROR(SEARCH("Pesquisa de Preços",D2516)))</formula>
    </cfRule>
  </conditionalFormatting>
  <conditionalFormatting sqref="D2520">
    <cfRule type="containsText" dxfId="1280" priority="3433" operator="containsText" text="Pesquisa de Preços">
      <formula>NOT(ISERROR(SEARCH("Pesquisa de Preços",D2520)))</formula>
    </cfRule>
  </conditionalFormatting>
  <conditionalFormatting sqref="D2524">
    <cfRule type="containsText" dxfId="1279" priority="3429" operator="containsText" text="Pesquisa de Preços">
      <formula>NOT(ISERROR(SEARCH("Pesquisa de Preços",D2524)))</formula>
    </cfRule>
  </conditionalFormatting>
  <conditionalFormatting sqref="D2528">
    <cfRule type="containsText" dxfId="1278" priority="3425" operator="containsText" text="Pesquisa de Preços">
      <formula>NOT(ISERROR(SEARCH("Pesquisa de Preços",D2528)))</formula>
    </cfRule>
  </conditionalFormatting>
  <conditionalFormatting sqref="D2532">
    <cfRule type="containsText" dxfId="1277" priority="3421" operator="containsText" text="Pesquisa de Preços">
      <formula>NOT(ISERROR(SEARCH("Pesquisa de Preços",D2532)))</formula>
    </cfRule>
  </conditionalFormatting>
  <conditionalFormatting sqref="D2536">
    <cfRule type="containsText" dxfId="1276" priority="3417" operator="containsText" text="Pesquisa de Preços">
      <formula>NOT(ISERROR(SEARCH("Pesquisa de Preços",D2536)))</formula>
    </cfRule>
  </conditionalFormatting>
  <conditionalFormatting sqref="D2540">
    <cfRule type="containsText" dxfId="1275" priority="3413" operator="containsText" text="Pesquisa de Preços">
      <formula>NOT(ISERROR(SEARCH("Pesquisa de Preços",D2540)))</formula>
    </cfRule>
  </conditionalFormatting>
  <conditionalFormatting sqref="D2544">
    <cfRule type="containsText" dxfId="1274" priority="3409" operator="containsText" text="Pesquisa de Preços">
      <formula>NOT(ISERROR(SEARCH("Pesquisa de Preços",D2544)))</formula>
    </cfRule>
  </conditionalFormatting>
  <conditionalFormatting sqref="D2548">
    <cfRule type="containsText" dxfId="1273" priority="3405" operator="containsText" text="Pesquisa de Preços">
      <formula>NOT(ISERROR(SEARCH("Pesquisa de Preços",D2548)))</formula>
    </cfRule>
  </conditionalFormatting>
  <conditionalFormatting sqref="D2648">
    <cfRule type="containsText" dxfId="1272" priority="3391" operator="containsText" text="Pesquisa de Preços">
      <formula>NOT(ISERROR(SEARCH("Pesquisa de Preços",D2648)))</formula>
    </cfRule>
  </conditionalFormatting>
  <conditionalFormatting sqref="D2556">
    <cfRule type="containsText" dxfId="1271" priority="3397" operator="containsText" text="Pesquisa de Preços">
      <formula>NOT(ISERROR(SEARCH("Pesquisa de Preços",D2556)))</formula>
    </cfRule>
  </conditionalFormatting>
  <conditionalFormatting sqref="D2552">
    <cfRule type="containsText" dxfId="1270" priority="3393" operator="containsText" text="Pesquisa de Preços">
      <formula>NOT(ISERROR(SEARCH("Pesquisa de Preços",D2552)))</formula>
    </cfRule>
  </conditionalFormatting>
  <conditionalFormatting sqref="D2656">
    <cfRule type="containsText" dxfId="1269" priority="3387" operator="containsText" text="Pesquisa de Preços">
      <formula>NOT(ISERROR(SEARCH("Pesquisa de Preços",D2656)))</formula>
    </cfRule>
  </conditionalFormatting>
  <conditionalFormatting sqref="D2452">
    <cfRule type="containsText" dxfId="1268" priority="3383" operator="containsText" text="Pesquisa de Preços">
      <formula>NOT(ISERROR(SEARCH("Pesquisa de Preços",D2452)))</formula>
    </cfRule>
  </conditionalFormatting>
  <conditionalFormatting sqref="D2456">
    <cfRule type="containsText" dxfId="1267" priority="3379" operator="containsText" text="Pesquisa de Preços">
      <formula>NOT(ISERROR(SEARCH("Pesquisa de Preços",D2456)))</formula>
    </cfRule>
  </conditionalFormatting>
  <conditionalFormatting sqref="D5719">
    <cfRule type="containsText" dxfId="1266" priority="3068" operator="containsText" text="Pesquisa de Preços">
      <formula>NOT(ISERROR(SEARCH("Pesquisa de Preços",D5719)))</formula>
    </cfRule>
  </conditionalFormatting>
  <conditionalFormatting sqref="D5711">
    <cfRule type="containsText" dxfId="1265" priority="3076" operator="containsText" text="Pesquisa de Preços">
      <formula>NOT(ISERROR(SEARCH("Pesquisa de Preços",D5711)))</formula>
    </cfRule>
  </conditionalFormatting>
  <conditionalFormatting sqref="D5723">
    <cfRule type="containsText" dxfId="1264" priority="3064" operator="containsText" text="Pesquisa de Preços">
      <formula>NOT(ISERROR(SEARCH("Pesquisa de Preços",D5723)))</formula>
    </cfRule>
  </conditionalFormatting>
  <conditionalFormatting sqref="D5903">
    <cfRule type="containsText" dxfId="1263" priority="3045" operator="containsText" text="Pesquisa de Preços">
      <formula>NOT(ISERROR(SEARCH("Pesquisa de Preços",D5903)))</formula>
    </cfRule>
  </conditionalFormatting>
  <conditionalFormatting sqref="D6067">
    <cfRule type="containsText" dxfId="1262" priority="2844" operator="containsText" text="Pesquisa de Preços">
      <formula>NOT(ISERROR(SEARCH("Pesquisa de Preços",D6067)))</formula>
    </cfRule>
  </conditionalFormatting>
  <conditionalFormatting sqref="D5555">
    <cfRule type="containsText" dxfId="1261" priority="2717" operator="containsText" text="Pesquisa de Preços">
      <formula>NOT(ISERROR(SEARCH("Pesquisa de Preços",D5555)))</formula>
    </cfRule>
  </conditionalFormatting>
  <conditionalFormatting sqref="D5619">
    <cfRule type="containsText" dxfId="1260" priority="2866" operator="containsText" text="Pesquisa de Preços">
      <formula>NOT(ISERROR(SEARCH("Pesquisa de Preços",D5619)))</formula>
    </cfRule>
  </conditionalFormatting>
  <conditionalFormatting sqref="D5623 D5627 D5631 D5635 D5639 D5643 D5647 D5651 D5655 D5659 D5663 D5667 D5671 D5675 D5679 D5683 D5687 D5691 D5695 D5699">
    <cfRule type="containsText" dxfId="1259" priority="2864" operator="containsText" text="Pesquisa de Preços">
      <formula>NOT(ISERROR(SEARCH("Pesquisa de Preços",D5623)))</formula>
    </cfRule>
  </conditionalFormatting>
  <conditionalFormatting sqref="D6051">
    <cfRule type="containsText" dxfId="1258" priority="2860" operator="containsText" text="Pesquisa de Preços">
      <formula>NOT(ISERROR(SEARCH("Pesquisa de Preços",D6051)))</formula>
    </cfRule>
  </conditionalFormatting>
  <conditionalFormatting sqref="D6055">
    <cfRule type="containsText" dxfId="1257" priority="2856" operator="containsText" text="Pesquisa de Preços">
      <formula>NOT(ISERROR(SEARCH("Pesquisa de Preços",D6055)))</formula>
    </cfRule>
  </conditionalFormatting>
  <conditionalFormatting sqref="D5615">
    <cfRule type="containsText" dxfId="1256" priority="2825" operator="containsText" text="Pesquisa de Preços">
      <formula>NOT(ISERROR(SEARCH("Pesquisa de Preços",D5615)))</formula>
    </cfRule>
  </conditionalFormatting>
  <conditionalFormatting sqref="D6128">
    <cfRule type="containsText" dxfId="1255" priority="2836" operator="containsText" text="Pesquisa de Preços">
      <formula>NOT(ISERROR(SEARCH("Pesquisa de Preços",D6128)))</formula>
    </cfRule>
  </conditionalFormatting>
  <conditionalFormatting sqref="D2774">
    <cfRule type="containsText" dxfId="1254" priority="2821" operator="containsText" text="Pesquisa de Preços">
      <formula>NOT(ISERROR(SEARCH("Pesquisa de Preços",D2774)))</formula>
    </cfRule>
  </conditionalFormatting>
  <conditionalFormatting sqref="D5611">
    <cfRule type="containsText" dxfId="1253" priority="2827" operator="containsText" text="Pesquisa de Preços">
      <formula>NOT(ISERROR(SEARCH("Pesquisa de Preços",D5611)))</formula>
    </cfRule>
  </conditionalFormatting>
  <conditionalFormatting sqref="D6071">
    <cfRule type="containsText" dxfId="1252" priority="2840" operator="containsText" text="Pesquisa de Preços">
      <formula>NOT(ISERROR(SEARCH("Pesquisa de Preços",D6071)))</formula>
    </cfRule>
  </conditionalFormatting>
  <conditionalFormatting sqref="D6124:D6127">
    <cfRule type="containsText" dxfId="1251" priority="2834" operator="containsText" text="Pesquisa de Preços">
      <formula>NOT(ISERROR(SEARCH("Pesquisa de Preços",D6124)))</formula>
    </cfRule>
  </conditionalFormatting>
  <conditionalFormatting sqref="D6123">
    <cfRule type="containsText" dxfId="1250" priority="2835" operator="containsText" text="Pesquisa de Preços">
      <formula>NOT(ISERROR(SEARCH("Pesquisa de Preços",D6123)))</formula>
    </cfRule>
  </conditionalFormatting>
  <conditionalFormatting sqref="D2770">
    <cfRule type="containsText" dxfId="1249" priority="3266" operator="containsText" text="Pesquisa de Preços">
      <formula>NOT(ISERROR(SEARCH("Pesquisa de Preços",D2770)))</formula>
    </cfRule>
  </conditionalFormatting>
  <conditionalFormatting sqref="D2768">
    <cfRule type="containsText" dxfId="1248" priority="3265" operator="containsText" text="Pesquisa de Preços">
      <formula>NOT(ISERROR(SEARCH("Pesquisa de Preços",D2768)))</formula>
    </cfRule>
  </conditionalFormatting>
  <conditionalFormatting sqref="D6083">
    <cfRule type="containsText" dxfId="1247" priority="3104" operator="containsText" text="Pesquisa de Preços">
      <formula>NOT(ISERROR(SEARCH("Pesquisa de Preços",D6083)))</formula>
    </cfRule>
  </conditionalFormatting>
  <conditionalFormatting sqref="D6091">
    <cfRule type="containsText" dxfId="1246" priority="3102" operator="containsText" text="Pesquisa de Preços">
      <formula>NOT(ISERROR(SEARCH("Pesquisa de Preços",D6091)))</formula>
    </cfRule>
  </conditionalFormatting>
  <conditionalFormatting sqref="D6079">
    <cfRule type="containsText" dxfId="1245" priority="3105" operator="containsText" text="Pesquisa de Preços">
      <formula>NOT(ISERROR(SEARCH("Pesquisa de Preços",D6079)))</formula>
    </cfRule>
  </conditionalFormatting>
  <conditionalFormatting sqref="D6087">
    <cfRule type="containsText" dxfId="1244" priority="3103" operator="containsText" text="Pesquisa de Preços">
      <formula>NOT(ISERROR(SEARCH("Pesquisa de Preços",D6087)))</formula>
    </cfRule>
  </conditionalFormatting>
  <conditionalFormatting sqref="D5867">
    <cfRule type="containsText" dxfId="1243" priority="3165" operator="containsText" text="Pesquisa de Preços">
      <formula>NOT(ISERROR(SEARCH("Pesquisa de Preços",D5867)))</formula>
    </cfRule>
  </conditionalFormatting>
  <conditionalFormatting sqref="D6099">
    <cfRule type="containsText" dxfId="1242" priority="3100" operator="containsText" text="Pesquisa de Preços">
      <formula>NOT(ISERROR(SEARCH("Pesquisa de Preços",D6099)))</formula>
    </cfRule>
  </conditionalFormatting>
  <conditionalFormatting sqref="D5871">
    <cfRule type="containsText" dxfId="1241" priority="3161" operator="containsText" text="Pesquisa de Preços">
      <formula>NOT(ISERROR(SEARCH("Pesquisa de Preços",D5871)))</formula>
    </cfRule>
  </conditionalFormatting>
  <conditionalFormatting sqref="D6135">
    <cfRule type="containsText" dxfId="1240" priority="3097" operator="containsText" text="Pesquisa de Preços">
      <formula>NOT(ISERROR(SEARCH("Pesquisa de Preços",D6135)))</formula>
    </cfRule>
  </conditionalFormatting>
  <conditionalFormatting sqref="D5875">
    <cfRule type="containsText" dxfId="1239" priority="3157" operator="containsText" text="Pesquisa de Preços">
      <formula>NOT(ISERROR(SEARCH("Pesquisa de Preços",D5875)))</formula>
    </cfRule>
  </conditionalFormatting>
  <conditionalFormatting sqref="D5879">
    <cfRule type="containsText" dxfId="1238" priority="3153" operator="containsText" text="Pesquisa de Preços">
      <formula>NOT(ISERROR(SEARCH("Pesquisa de Preços",D5879)))</formula>
    </cfRule>
  </conditionalFormatting>
  <conditionalFormatting sqref="D5883">
    <cfRule type="containsText" dxfId="1237" priority="3149" operator="containsText" text="Pesquisa de Preços">
      <formula>NOT(ISERROR(SEARCH("Pesquisa de Preços",D5883)))</formula>
    </cfRule>
  </conditionalFormatting>
  <conditionalFormatting sqref="D5607">
    <cfRule type="containsText" dxfId="1236" priority="3088" operator="containsText" text="Pesquisa de Preços">
      <formula>NOT(ISERROR(SEARCH("Pesquisa de Preços",D5607)))</formula>
    </cfRule>
  </conditionalFormatting>
  <conditionalFormatting sqref="D5887">
    <cfRule type="containsText" dxfId="1235" priority="3145" operator="containsText" text="Pesquisa de Preços">
      <formula>NOT(ISERROR(SEARCH("Pesquisa de Preços",D5887)))</formula>
    </cfRule>
  </conditionalFormatting>
  <conditionalFormatting sqref="D5891">
    <cfRule type="containsText" dxfId="1234" priority="3141" operator="containsText" text="Pesquisa de Preços">
      <formula>NOT(ISERROR(SEARCH("Pesquisa de Preços",D5891)))</formula>
    </cfRule>
  </conditionalFormatting>
  <conditionalFormatting sqref="D6075">
    <cfRule type="containsText" dxfId="1233" priority="3137" operator="containsText" text="Pesquisa de Preços">
      <formula>NOT(ISERROR(SEARCH("Pesquisa de Preços",D6075)))</formula>
    </cfRule>
  </conditionalFormatting>
  <conditionalFormatting sqref="D6095">
    <cfRule type="containsText" dxfId="1232" priority="3101" operator="containsText" text="Pesquisa de Preços">
      <formula>NOT(ISERROR(SEARCH("Pesquisa de Preços",D6095)))</formula>
    </cfRule>
  </conditionalFormatting>
  <conditionalFormatting sqref="D6103">
    <cfRule type="containsText" dxfId="1231" priority="3115" operator="containsText" text="Pesquisa de Preços">
      <formula>NOT(ISERROR(SEARCH("Pesquisa de Preços",D6103)))</formula>
    </cfRule>
  </conditionalFormatting>
  <conditionalFormatting sqref="D6131">
    <cfRule type="containsText" dxfId="1230" priority="3098" operator="containsText" text="Pesquisa de Preços">
      <formula>NOT(ISERROR(SEARCH("Pesquisa de Preços",D6131)))</formula>
    </cfRule>
  </conditionalFormatting>
  <conditionalFormatting sqref="D6107">
    <cfRule type="containsText" dxfId="1229" priority="3099" operator="containsText" text="Pesquisa de Preços">
      <formula>NOT(ISERROR(SEARCH("Pesquisa de Preços",D6107)))</formula>
    </cfRule>
  </conditionalFormatting>
  <conditionalFormatting sqref="D5603">
    <cfRule type="containsText" dxfId="1228" priority="3092" operator="containsText" text="Pesquisa de Preços">
      <formula>NOT(ISERROR(SEARCH("Pesquisa de Preços",D5603)))</formula>
    </cfRule>
  </conditionalFormatting>
  <conditionalFormatting sqref="D5775">
    <cfRule type="containsText" dxfId="1227" priority="2961" operator="containsText" text="Pesquisa de Preços">
      <formula>NOT(ISERROR(SEARCH("Pesquisa de Preços",D5775)))</formula>
    </cfRule>
  </conditionalFormatting>
  <conditionalFormatting sqref="D5979">
    <cfRule type="containsText" dxfId="1226" priority="2981" operator="containsText" text="Pesquisa de Preços">
      <formula>NOT(ISERROR(SEARCH("Pesquisa de Preços",D5979)))</formula>
    </cfRule>
  </conditionalFormatting>
  <conditionalFormatting sqref="D5703">
    <cfRule type="containsText" dxfId="1225" priority="3084" operator="containsText" text="Pesquisa de Preços">
      <formula>NOT(ISERROR(SEARCH("Pesquisa de Preços",D5703)))</formula>
    </cfRule>
  </conditionalFormatting>
  <conditionalFormatting sqref="D5743">
    <cfRule type="containsText" dxfId="1224" priority="2969" operator="containsText" text="Pesquisa de Preços">
      <formula>NOT(ISERROR(SEARCH("Pesquisa de Preços",D5743)))</formula>
    </cfRule>
  </conditionalFormatting>
  <conditionalFormatting sqref="D5707">
    <cfRule type="containsText" dxfId="1223" priority="3080" operator="containsText" text="Pesquisa de Preços">
      <formula>NOT(ISERROR(SEARCH("Pesquisa de Preços",D5707)))</formula>
    </cfRule>
  </conditionalFormatting>
  <conditionalFormatting sqref="D5755">
    <cfRule type="containsText" dxfId="1222" priority="2966" operator="containsText" text="Pesquisa de Preços">
      <formula>NOT(ISERROR(SEARCH("Pesquisa de Preços",D5755)))</formula>
    </cfRule>
  </conditionalFormatting>
  <conditionalFormatting sqref="D5715">
    <cfRule type="containsText" dxfId="1221" priority="3072" operator="containsText" text="Pesquisa de Preços">
      <formula>NOT(ISERROR(SEARCH("Pesquisa de Preços",D5715)))</formula>
    </cfRule>
  </conditionalFormatting>
  <conditionalFormatting sqref="D5767">
    <cfRule type="containsText" dxfId="1220" priority="2963" operator="containsText" text="Pesquisa de Preços">
      <formula>NOT(ISERROR(SEARCH("Pesquisa de Preços",D5767)))</formula>
    </cfRule>
  </conditionalFormatting>
  <conditionalFormatting sqref="D5811">
    <cfRule type="containsText" dxfId="1219" priority="2952" operator="containsText" text="Pesquisa de Preços">
      <formula>NOT(ISERROR(SEARCH("Pesquisa de Preços",D5811)))</formula>
    </cfRule>
  </conditionalFormatting>
  <conditionalFormatting sqref="D5911">
    <cfRule type="containsText" dxfId="1218" priority="3038" operator="containsText" text="Pesquisa de Preços">
      <formula>NOT(ISERROR(SEARCH("Pesquisa de Preços",D5911)))</formula>
    </cfRule>
  </conditionalFormatting>
  <conditionalFormatting sqref="D5919">
    <cfRule type="containsText" dxfId="1217" priority="3031" operator="containsText" text="Pesquisa de Preços">
      <formula>NOT(ISERROR(SEARCH("Pesquisa de Preços",D5919)))</formula>
    </cfRule>
  </conditionalFormatting>
  <conditionalFormatting sqref="D5735">
    <cfRule type="containsText" dxfId="1216" priority="2973" operator="containsText" text="Pesquisa de Preços">
      <formula>NOT(ISERROR(SEARCH("Pesquisa de Preços",D5735)))</formula>
    </cfRule>
  </conditionalFormatting>
  <conditionalFormatting sqref="D5739">
    <cfRule type="containsText" dxfId="1215" priority="2970" operator="containsText" text="Pesquisa de Preços">
      <formula>NOT(ISERROR(SEARCH("Pesquisa de Preços",D5739)))</formula>
    </cfRule>
  </conditionalFormatting>
  <conditionalFormatting sqref="D5791">
    <cfRule type="containsText" dxfId="1214" priority="2957" operator="containsText" text="Pesquisa de Preços">
      <formula>NOT(ISERROR(SEARCH("Pesquisa de Preços",D5791)))</formula>
    </cfRule>
  </conditionalFormatting>
  <conditionalFormatting sqref="D5855">
    <cfRule type="containsText" dxfId="1213" priority="2941" operator="containsText" text="Pesquisa de Preços">
      <formula>NOT(ISERROR(SEARCH("Pesquisa de Preços",D5855)))</formula>
    </cfRule>
  </conditionalFormatting>
  <conditionalFormatting sqref="D5899">
    <cfRule type="containsText" dxfId="1212" priority="2938" operator="containsText" text="Pesquisa de Preços">
      <formula>NOT(ISERROR(SEARCH("Pesquisa de Preços",D5899)))</formula>
    </cfRule>
  </conditionalFormatting>
  <conditionalFormatting sqref="D5907">
    <cfRule type="containsText" dxfId="1211" priority="2937" operator="containsText" text="Pesquisa de Preços">
      <formula>NOT(ISERROR(SEARCH("Pesquisa de Preços",D5907)))</formula>
    </cfRule>
  </conditionalFormatting>
  <conditionalFormatting sqref="D5915">
    <cfRule type="containsText" dxfId="1210" priority="2936" operator="containsText" text="Pesquisa de Preços">
      <formula>NOT(ISERROR(SEARCH("Pesquisa de Preços",D5915)))</formula>
    </cfRule>
  </conditionalFormatting>
  <conditionalFormatting sqref="D5935">
    <cfRule type="containsText" dxfId="1209" priority="2933" operator="containsText" text="Pesquisa de Preços">
      <formula>NOT(ISERROR(SEARCH("Pesquisa de Preços",D5935)))</formula>
    </cfRule>
  </conditionalFormatting>
  <conditionalFormatting sqref="D5947">
    <cfRule type="containsText" dxfId="1208" priority="2931" operator="containsText" text="Pesquisa de Preços">
      <formula>NOT(ISERROR(SEARCH("Pesquisa de Preços",D5947)))</formula>
    </cfRule>
  </conditionalFormatting>
  <conditionalFormatting sqref="D5963">
    <cfRule type="containsText" dxfId="1207" priority="2928" operator="containsText" text="Pesquisa de Preços">
      <formula>NOT(ISERROR(SEARCH("Pesquisa de Preços",D5963)))</formula>
    </cfRule>
  </conditionalFormatting>
  <conditionalFormatting sqref="D5975">
    <cfRule type="containsText" dxfId="1206" priority="2926" operator="containsText" text="Pesquisa de Preços">
      <formula>NOT(ISERROR(SEARCH("Pesquisa de Preços",D5975)))</formula>
    </cfRule>
  </conditionalFormatting>
  <conditionalFormatting sqref="D6035">
    <cfRule type="containsText" dxfId="1205" priority="2876" operator="containsText" text="Pesquisa de Preços">
      <formula>NOT(ISERROR(SEARCH("Pesquisa de Preços",D6035)))</formula>
    </cfRule>
  </conditionalFormatting>
  <conditionalFormatting sqref="D6039">
    <cfRule type="containsText" dxfId="1204" priority="2872" operator="containsText" text="Pesquisa de Preços">
      <formula>NOT(ISERROR(SEARCH("Pesquisa de Preços",D6039)))</formula>
    </cfRule>
  </conditionalFormatting>
  <conditionalFormatting sqref="D5601">
    <cfRule type="containsText" dxfId="1203" priority="3093" operator="containsText" text="Pesquisa de Preços">
      <formula>NOT(ISERROR(SEARCH("Pesquisa de Preços",D5601)))</formula>
    </cfRule>
  </conditionalFormatting>
  <conditionalFormatting sqref="D5731">
    <cfRule type="containsText" dxfId="1202" priority="2972" operator="containsText" text="Pesquisa de Preços">
      <formula>NOT(ISERROR(SEARCH("Pesquisa de Preços",D5731)))</formula>
    </cfRule>
  </conditionalFormatting>
  <conditionalFormatting sqref="D5747">
    <cfRule type="containsText" dxfId="1201" priority="2968" operator="containsText" text="Pesquisa de Preços">
      <formula>NOT(ISERROR(SEARCH("Pesquisa de Preços",D5747)))</formula>
    </cfRule>
  </conditionalFormatting>
  <conditionalFormatting sqref="D5783">
    <cfRule type="containsText" dxfId="1200" priority="2959" operator="containsText" text="Pesquisa de Preços">
      <formula>NOT(ISERROR(SEARCH("Pesquisa de Preços",D5783)))</formula>
    </cfRule>
  </conditionalFormatting>
  <conditionalFormatting sqref="D5931">
    <cfRule type="containsText" dxfId="1199" priority="3021" operator="containsText" text="Pesquisa de Preços">
      <formula>NOT(ISERROR(SEARCH("Pesquisa de Preços",D5931)))</formula>
    </cfRule>
  </conditionalFormatting>
  <conditionalFormatting sqref="D5895">
    <cfRule type="containsText" dxfId="1198" priority="3051" operator="containsText" text="Pesquisa de Preços">
      <formula>NOT(ISERROR(SEARCH("Pesquisa de Preços",D5895)))</formula>
    </cfRule>
  </conditionalFormatting>
  <conditionalFormatting sqref="D5779">
    <cfRule type="containsText" dxfId="1197" priority="2960" operator="containsText" text="Pesquisa de Preços">
      <formula>NOT(ISERROR(SEARCH("Pesquisa de Preços",D5779)))</formula>
    </cfRule>
  </conditionalFormatting>
  <conditionalFormatting sqref="D5803">
    <cfRule type="containsText" dxfId="1196" priority="2954" operator="containsText" text="Pesquisa de Preços">
      <formula>NOT(ISERROR(SEARCH("Pesquisa de Preços",D5803)))</formula>
    </cfRule>
  </conditionalFormatting>
  <conditionalFormatting sqref="D5727">
    <cfRule type="containsText" dxfId="1195" priority="2971" operator="containsText" text="Pesquisa de Preços">
      <formula>NOT(ISERROR(SEARCH("Pesquisa de Preços",D5727)))</formula>
    </cfRule>
  </conditionalFormatting>
  <conditionalFormatting sqref="D5795">
    <cfRule type="containsText" dxfId="1194" priority="2955" operator="containsText" text="Pesquisa de Preços">
      <formula>NOT(ISERROR(SEARCH("Pesquisa de Preços",D5795)))</formula>
    </cfRule>
  </conditionalFormatting>
  <conditionalFormatting sqref="D5943">
    <cfRule type="containsText" dxfId="1193" priority="3011" operator="containsText" text="Pesquisa de Preços">
      <formula>NOT(ISERROR(SEARCH("Pesquisa de Preços",D5943)))</formula>
    </cfRule>
  </conditionalFormatting>
  <conditionalFormatting sqref="D5787">
    <cfRule type="containsText" dxfId="1192" priority="2958" operator="containsText" text="Pesquisa de Preços">
      <formula>NOT(ISERROR(SEARCH("Pesquisa de Preços",D5787)))</formula>
    </cfRule>
  </conditionalFormatting>
  <conditionalFormatting sqref="D5823">
    <cfRule type="containsText" dxfId="1191" priority="2949" operator="containsText" text="Pesquisa de Preços">
      <formula>NOT(ISERROR(SEARCH("Pesquisa de Preços",D5823)))</formula>
    </cfRule>
  </conditionalFormatting>
  <conditionalFormatting sqref="D5763">
    <cfRule type="containsText" dxfId="1190" priority="2964" operator="containsText" text="Pesquisa de Preços">
      <formula>NOT(ISERROR(SEARCH("Pesquisa de Preços",D5763)))</formula>
    </cfRule>
  </conditionalFormatting>
  <conditionalFormatting sqref="D5955">
    <cfRule type="containsText" dxfId="1189" priority="3001" operator="containsText" text="Pesquisa de Preços">
      <formula>NOT(ISERROR(SEARCH("Pesquisa de Preços",D5955)))</formula>
    </cfRule>
  </conditionalFormatting>
  <conditionalFormatting sqref="D5815">
    <cfRule type="containsText" dxfId="1188" priority="2950" operator="containsText" text="Pesquisa de Preços">
      <formula>NOT(ISERROR(SEARCH("Pesquisa de Preços",D5815)))</formula>
    </cfRule>
  </conditionalFormatting>
  <conditionalFormatting sqref="D5799">
    <cfRule type="containsText" dxfId="1187" priority="2956" operator="containsText" text="Pesquisa de Preços">
      <formula>NOT(ISERROR(SEARCH("Pesquisa de Preços",D5799)))</formula>
    </cfRule>
  </conditionalFormatting>
  <conditionalFormatting sqref="D5851">
    <cfRule type="containsText" dxfId="1186" priority="2942" operator="containsText" text="Pesquisa de Preços">
      <formula>NOT(ISERROR(SEARCH("Pesquisa de Preços",D5851)))</formula>
    </cfRule>
  </conditionalFormatting>
  <conditionalFormatting sqref="D5967">
    <cfRule type="containsText" dxfId="1185" priority="2991" operator="containsText" text="Pesquisa de Preços">
      <formula>NOT(ISERROR(SEARCH("Pesquisa de Preços",D5967)))</formula>
    </cfRule>
  </conditionalFormatting>
  <conditionalFormatting sqref="D5819">
    <cfRule type="containsText" dxfId="1184" priority="2951" operator="containsText" text="Pesquisa de Preços">
      <formula>NOT(ISERROR(SEARCH("Pesquisa de Preços",D5819)))</formula>
    </cfRule>
  </conditionalFormatting>
  <conditionalFormatting sqref="D5847">
    <cfRule type="containsText" dxfId="1183" priority="2944" operator="containsText" text="Pesquisa de Preços">
      <formula>NOT(ISERROR(SEARCH("Pesquisa de Preços",D5847)))</formula>
    </cfRule>
  </conditionalFormatting>
  <conditionalFormatting sqref="D5843">
    <cfRule type="containsText" dxfId="1182" priority="2943" operator="containsText" text="Pesquisa de Preços">
      <formula>NOT(ISERROR(SEARCH("Pesquisa de Preços",D5843)))</formula>
    </cfRule>
  </conditionalFormatting>
  <conditionalFormatting sqref="D5831">
    <cfRule type="containsText" dxfId="1181" priority="2947" operator="containsText" text="Pesquisa de Preços">
      <formula>NOT(ISERROR(SEARCH("Pesquisa de Preços",D5831)))</formula>
    </cfRule>
  </conditionalFormatting>
  <conditionalFormatting sqref="D5939">
    <cfRule type="containsText" dxfId="1180" priority="2932" operator="containsText" text="Pesquisa de Preços">
      <formula>NOT(ISERROR(SEARCH("Pesquisa de Preços",D5939)))</formula>
    </cfRule>
  </conditionalFormatting>
  <conditionalFormatting sqref="D5751">
    <cfRule type="containsText" dxfId="1179" priority="2967" operator="containsText" text="Pesquisa de Preços">
      <formula>NOT(ISERROR(SEARCH("Pesquisa de Preços",D5751)))</formula>
    </cfRule>
  </conditionalFormatting>
  <conditionalFormatting sqref="D5759">
    <cfRule type="containsText" dxfId="1178" priority="2965" operator="containsText" text="Pesquisa de Preços">
      <formula>NOT(ISERROR(SEARCH("Pesquisa de Preços",D5759)))</formula>
    </cfRule>
  </conditionalFormatting>
  <conditionalFormatting sqref="D5839">
    <cfRule type="containsText" dxfId="1177" priority="2945" operator="containsText" text="Pesquisa de Preços">
      <formula>NOT(ISERROR(SEARCH("Pesquisa de Preços",D5839)))</formula>
    </cfRule>
  </conditionalFormatting>
  <conditionalFormatting sqref="D5859">
    <cfRule type="containsText" dxfId="1176" priority="2940" operator="containsText" text="Pesquisa de Preços">
      <formula>NOT(ISERROR(SEARCH("Pesquisa de Preços",D5859)))</formula>
    </cfRule>
  </conditionalFormatting>
  <conditionalFormatting sqref="D5923">
    <cfRule type="containsText" dxfId="1175" priority="2935" operator="containsText" text="Pesquisa de Preços">
      <formula>NOT(ISERROR(SEARCH("Pesquisa de Preços",D5923)))</formula>
    </cfRule>
  </conditionalFormatting>
  <conditionalFormatting sqref="D5951">
    <cfRule type="containsText" dxfId="1174" priority="2930" operator="containsText" text="Pesquisa de Preços">
      <formula>NOT(ISERROR(SEARCH("Pesquisa de Preços",D5951)))</formula>
    </cfRule>
  </conditionalFormatting>
  <conditionalFormatting sqref="D5827">
    <cfRule type="containsText" dxfId="1173" priority="2948" operator="containsText" text="Pesquisa de Preços">
      <formula>NOT(ISERROR(SEARCH("Pesquisa de Preços",D5827)))</formula>
    </cfRule>
  </conditionalFormatting>
  <conditionalFormatting sqref="D5835">
    <cfRule type="containsText" dxfId="1172" priority="2946" operator="containsText" text="Pesquisa de Preços">
      <formula>NOT(ISERROR(SEARCH("Pesquisa de Preços",D5835)))</formula>
    </cfRule>
  </conditionalFormatting>
  <conditionalFormatting sqref="D5927">
    <cfRule type="containsText" dxfId="1171" priority="2934" operator="containsText" text="Pesquisa de Preços">
      <formula>NOT(ISERROR(SEARCH("Pesquisa de Preços",D5927)))</formula>
    </cfRule>
  </conditionalFormatting>
  <conditionalFormatting sqref="D5771">
    <cfRule type="containsText" dxfId="1170" priority="2962" operator="containsText" text="Pesquisa de Preços">
      <formula>NOT(ISERROR(SEARCH("Pesquisa de Preços",D5771)))</formula>
    </cfRule>
  </conditionalFormatting>
  <conditionalFormatting sqref="D5987">
    <cfRule type="containsText" dxfId="1169" priority="2924" operator="containsText" text="Pesquisa de Preços">
      <formula>NOT(ISERROR(SEARCH("Pesquisa de Preços",D5987)))</formula>
    </cfRule>
  </conditionalFormatting>
  <conditionalFormatting sqref="D5863">
    <cfRule type="containsText" dxfId="1168" priority="2939" operator="containsText" text="Pesquisa de Preços">
      <formula>NOT(ISERROR(SEARCH("Pesquisa de Preços",D5863)))</formula>
    </cfRule>
  </conditionalFormatting>
  <conditionalFormatting sqref="D5807">
    <cfRule type="containsText" dxfId="1167" priority="2953" operator="containsText" text="Pesquisa de Preços">
      <formula>NOT(ISERROR(SEARCH("Pesquisa de Preços",D5807)))</formula>
    </cfRule>
  </conditionalFormatting>
  <conditionalFormatting sqref="D5971">
    <cfRule type="containsText" dxfId="1166" priority="2927" operator="containsText" text="Pesquisa de Preços">
      <formula>NOT(ISERROR(SEARCH("Pesquisa de Preços",D5971)))</formula>
    </cfRule>
  </conditionalFormatting>
  <conditionalFormatting sqref="D5983">
    <cfRule type="containsText" dxfId="1165" priority="2925" operator="containsText" text="Pesquisa de Preços">
      <formula>NOT(ISERROR(SEARCH("Pesquisa de Preços",D5983)))</formula>
    </cfRule>
  </conditionalFormatting>
  <conditionalFormatting sqref="D5959">
    <cfRule type="containsText" dxfId="1164" priority="2929" operator="containsText" text="Pesquisa de Preços">
      <formula>NOT(ISERROR(SEARCH("Pesquisa de Preços",D5959)))</formula>
    </cfRule>
  </conditionalFormatting>
  <conditionalFormatting sqref="D5991">
    <cfRule type="containsText" dxfId="1163" priority="2920" operator="containsText" text="Pesquisa de Preços">
      <formula>NOT(ISERROR(SEARCH("Pesquisa de Preços",D5991)))</formula>
    </cfRule>
  </conditionalFormatting>
  <conditionalFormatting sqref="D6031">
    <cfRule type="containsText" dxfId="1162" priority="2880" operator="containsText" text="Pesquisa de Preços">
      <formula>NOT(ISERROR(SEARCH("Pesquisa de Preços",D6031)))</formula>
    </cfRule>
  </conditionalFormatting>
  <conditionalFormatting sqref="D5999">
    <cfRule type="containsText" dxfId="1161" priority="2912" operator="containsText" text="Pesquisa de Preços">
      <formula>NOT(ISERROR(SEARCH("Pesquisa de Preços",D5999)))</formula>
    </cfRule>
  </conditionalFormatting>
  <conditionalFormatting sqref="D6011">
    <cfRule type="containsText" dxfId="1160" priority="2900" operator="containsText" text="Pesquisa de Preços">
      <formula>NOT(ISERROR(SEARCH("Pesquisa de Preços",D6011)))</formula>
    </cfRule>
  </conditionalFormatting>
  <conditionalFormatting sqref="D5995">
    <cfRule type="containsText" dxfId="1159" priority="2916" operator="containsText" text="Pesquisa de Preços">
      <formula>NOT(ISERROR(SEARCH("Pesquisa de Preços",D5995)))</formula>
    </cfRule>
  </conditionalFormatting>
  <conditionalFormatting sqref="D6019">
    <cfRule type="containsText" dxfId="1158" priority="2892" operator="containsText" text="Pesquisa de Preços">
      <formula>NOT(ISERROR(SEARCH("Pesquisa de Preços",D6019)))</formula>
    </cfRule>
  </conditionalFormatting>
  <conditionalFormatting sqref="D6003">
    <cfRule type="containsText" dxfId="1157" priority="2908" operator="containsText" text="Pesquisa de Preços">
      <formula>NOT(ISERROR(SEARCH("Pesquisa de Preços",D6003)))</formula>
    </cfRule>
  </conditionalFormatting>
  <conditionalFormatting sqref="D6007">
    <cfRule type="containsText" dxfId="1156" priority="2904" operator="containsText" text="Pesquisa de Preços">
      <formula>NOT(ISERROR(SEARCH("Pesquisa de Preços",D6007)))</formula>
    </cfRule>
  </conditionalFormatting>
  <conditionalFormatting sqref="D6015">
    <cfRule type="containsText" dxfId="1155" priority="2896" operator="containsText" text="Pesquisa de Preços">
      <formula>NOT(ISERROR(SEARCH("Pesquisa de Preços",D6015)))</formula>
    </cfRule>
  </conditionalFormatting>
  <conditionalFormatting sqref="D6023">
    <cfRule type="containsText" dxfId="1154" priority="2888" operator="containsText" text="Pesquisa de Preços">
      <formula>NOT(ISERROR(SEARCH("Pesquisa de Preços",D6023)))</formula>
    </cfRule>
  </conditionalFormatting>
  <conditionalFormatting sqref="D6059">
    <cfRule type="containsText" dxfId="1153" priority="2852" operator="containsText" text="Pesquisa de Preços">
      <formula>NOT(ISERROR(SEARCH("Pesquisa de Preços",D6059)))</formula>
    </cfRule>
  </conditionalFormatting>
  <conditionalFormatting sqref="D6063">
    <cfRule type="containsText" dxfId="1152" priority="2848" operator="containsText" text="Pesquisa de Preços">
      <formula>NOT(ISERROR(SEARCH("Pesquisa de Preços",D6063)))</formula>
    </cfRule>
  </conditionalFormatting>
  <conditionalFormatting sqref="D5535">
    <cfRule type="containsText" dxfId="1151" priority="2675" operator="containsText" text="Pesquisa de Preços">
      <formula>NOT(ISERROR(SEARCH("Pesquisa de Preços",D5535)))</formula>
    </cfRule>
  </conditionalFormatting>
  <conditionalFormatting sqref="D5529">
    <cfRule type="containsText" dxfId="1150" priority="2676" operator="containsText" text="Pesquisa de Preços">
      <formula>NOT(ISERROR(SEARCH("Pesquisa de Preços",D5529)))</formula>
    </cfRule>
  </conditionalFormatting>
  <conditionalFormatting sqref="D2772">
    <cfRule type="containsText" dxfId="1149" priority="2822" operator="containsText" text="Pesquisa de Preços">
      <formula>NOT(ISERROR(SEARCH("Pesquisa de Preços",D2772)))</formula>
    </cfRule>
  </conditionalFormatting>
  <conditionalFormatting sqref="D2764">
    <cfRule type="containsText" dxfId="1148" priority="2812" operator="containsText" text="Pesquisa de Preços">
      <formula>NOT(ISERROR(SEARCH("Pesquisa de Preços",D2764)))</formula>
    </cfRule>
  </conditionalFormatting>
  <conditionalFormatting sqref="D6139">
    <cfRule type="containsText" dxfId="1147" priority="2817" operator="containsText" text="Pesquisa de Preços">
      <formula>NOT(ISERROR(SEARCH("Pesquisa de Preços",D6139)))</formula>
    </cfRule>
  </conditionalFormatting>
  <conditionalFormatting sqref="D5483">
    <cfRule type="containsText" dxfId="1146" priority="2805" operator="containsText" text="Pesquisa de Preços">
      <formula>NOT(ISERROR(SEARCH("Pesquisa de Preços",D5483)))</formula>
    </cfRule>
  </conditionalFormatting>
  <conditionalFormatting sqref="D2766">
    <cfRule type="containsText" dxfId="1145" priority="2811" operator="containsText" text="Pesquisa de Preços">
      <formula>NOT(ISERROR(SEARCH("Pesquisa de Preços",D2766)))</formula>
    </cfRule>
  </conditionalFormatting>
  <conditionalFormatting sqref="D5633">
    <cfRule type="containsText" dxfId="1144" priority="2657" operator="containsText" text="Pesquisa de Preços">
      <formula>NOT(ISERROR(SEARCH("Pesquisa de Preços",D5633)))</formula>
    </cfRule>
  </conditionalFormatting>
  <conditionalFormatting sqref="D5657">
    <cfRule type="containsText" dxfId="1143" priority="2651" operator="containsText" text="Pesquisa de Preços">
      <formula>NOT(ISERROR(SEARCH("Pesquisa de Preços",D5657)))</formula>
    </cfRule>
  </conditionalFormatting>
  <conditionalFormatting sqref="D5495">
    <cfRule type="containsText" dxfId="1142" priority="2797" operator="containsText" text="Pesquisa de Preços">
      <formula>NOT(ISERROR(SEARCH("Pesquisa de Preços",D5495)))</formula>
    </cfRule>
  </conditionalFormatting>
  <conditionalFormatting sqref="D5649">
    <cfRule type="containsText" dxfId="1141" priority="2653" operator="containsText" text="Pesquisa de Preços">
      <formula>NOT(ISERROR(SEARCH("Pesquisa de Preços",D5649)))</formula>
    </cfRule>
  </conditionalFormatting>
  <conditionalFormatting sqref="D5501 D5507 D5513 D5519 D5543 D5549">
    <cfRule type="containsText" dxfId="1140" priority="2789" operator="containsText" text="Pesquisa de Preços">
      <formula>NOT(ISERROR(SEARCH("Pesquisa de Preços",D5501)))</formula>
    </cfRule>
  </conditionalFormatting>
  <conditionalFormatting sqref="D5661">
    <cfRule type="containsText" dxfId="1139" priority="2650" operator="containsText" text="Pesquisa de Preços">
      <formula>NOT(ISERROR(SEARCH("Pesquisa de Preços",D5661)))</formula>
    </cfRule>
  </conditionalFormatting>
  <conditionalFormatting sqref="D5579">
    <cfRule type="containsText" dxfId="1138" priority="2781" operator="containsText" text="Pesquisa de Preços">
      <formula>NOT(ISERROR(SEARCH("Pesquisa de Preços",D5579)))</formula>
    </cfRule>
  </conditionalFormatting>
  <conditionalFormatting sqref="D5689">
    <cfRule type="containsText" dxfId="1137" priority="2643" operator="containsText" text="Pesquisa de Preços">
      <formula>NOT(ISERROR(SEARCH("Pesquisa de Preços",D5689)))</formula>
    </cfRule>
  </conditionalFormatting>
  <conditionalFormatting sqref="D5585">
    <cfRule type="containsText" dxfId="1136" priority="2773" operator="containsText" text="Pesquisa de Preços">
      <formula>NOT(ISERROR(SEARCH("Pesquisa de Preços",D5585)))</formula>
    </cfRule>
  </conditionalFormatting>
  <conditionalFormatting sqref="D5717">
    <cfRule type="containsText" dxfId="1135" priority="2636" operator="containsText" text="Pesquisa de Preços">
      <formula>NOT(ISERROR(SEARCH("Pesquisa de Preços",D5717)))</formula>
    </cfRule>
  </conditionalFormatting>
  <conditionalFormatting sqref="D5591">
    <cfRule type="containsText" dxfId="1134" priority="2765" operator="containsText" text="Pesquisa de Preços">
      <formula>NOT(ISERROR(SEARCH("Pesquisa de Preços",D5591)))</formula>
    </cfRule>
  </conditionalFormatting>
  <conditionalFormatting sqref="D5781">
    <cfRule type="containsText" dxfId="1133" priority="2620" operator="containsText" text="Pesquisa de Preços">
      <formula>NOT(ISERROR(SEARCH("Pesquisa de Preços",D5781)))</formula>
    </cfRule>
  </conditionalFormatting>
  <conditionalFormatting sqref="D5597">
    <cfRule type="containsText" dxfId="1132" priority="2757" operator="containsText" text="Pesquisa de Preços">
      <formula>NOT(ISERROR(SEARCH("Pesquisa de Preços",D5597)))</formula>
    </cfRule>
  </conditionalFormatting>
  <conditionalFormatting sqref="D5853">
    <cfRule type="containsText" dxfId="1131" priority="2602" operator="containsText" text="Pesquisa de Preços">
      <formula>NOT(ISERROR(SEARCH("Pesquisa de Preços",D5853)))</formula>
    </cfRule>
  </conditionalFormatting>
  <conditionalFormatting sqref="D5489">
    <cfRule type="containsText" dxfId="1130" priority="2749" operator="containsText" text="Pesquisa de Preços">
      <formula>NOT(ISERROR(SEARCH("Pesquisa de Preços",D5489)))</formula>
    </cfRule>
  </conditionalFormatting>
  <conditionalFormatting sqref="D5857">
    <cfRule type="containsText" dxfId="1129" priority="2601" operator="containsText" text="Pesquisa de Preços">
      <formula>NOT(ISERROR(SEARCH("Pesquisa de Preços",D5857)))</formula>
    </cfRule>
  </conditionalFormatting>
  <conditionalFormatting sqref="D5525">
    <cfRule type="containsText" dxfId="1128" priority="2741" operator="containsText" text="Pesquisa de Preços">
      <formula>NOT(ISERROR(SEARCH("Pesquisa de Preços",D5525)))</formula>
    </cfRule>
  </conditionalFormatting>
  <conditionalFormatting sqref="D5885">
    <cfRule type="containsText" dxfId="1127" priority="2594" operator="containsText" text="Pesquisa de Preços">
      <formula>NOT(ISERROR(SEARCH("Pesquisa de Preços",D5885)))</formula>
    </cfRule>
  </conditionalFormatting>
  <conditionalFormatting sqref="D5531">
    <cfRule type="containsText" dxfId="1126" priority="2733" operator="containsText" text="Pesquisa de Preços">
      <formula>NOT(ISERROR(SEARCH("Pesquisa de Preços",D5531)))</formula>
    </cfRule>
  </conditionalFormatting>
  <conditionalFormatting sqref="D5913">
    <cfRule type="containsText" dxfId="1125" priority="2587" operator="containsText" text="Pesquisa de Preços">
      <formula>NOT(ISERROR(SEARCH("Pesquisa de Preços",D5913)))</formula>
    </cfRule>
  </conditionalFormatting>
  <conditionalFormatting sqref="D5537">
    <cfRule type="containsText" dxfId="1124" priority="2725" operator="containsText" text="Pesquisa de Preços">
      <formula>NOT(ISERROR(SEARCH("Pesquisa de Preços",D5537)))</formula>
    </cfRule>
  </conditionalFormatting>
  <conditionalFormatting sqref="D5933 D5929">
    <cfRule type="containsText" dxfId="1123" priority="2582" operator="containsText" text="Pesquisa de Preços">
      <formula>NOT(ISERROR(SEARCH("Pesquisa de Preços",D5929)))</formula>
    </cfRule>
  </conditionalFormatting>
  <conditionalFormatting sqref="D5961">
    <cfRule type="containsText" dxfId="1122" priority="2575" operator="containsText" text="Pesquisa de Preços">
      <formula>NOT(ISERROR(SEARCH("Pesquisa de Preços",D5961)))</formula>
    </cfRule>
  </conditionalFormatting>
  <conditionalFormatting sqref="D5561">
    <cfRule type="containsText" dxfId="1121" priority="2709" operator="containsText" text="Pesquisa de Preços">
      <formula>NOT(ISERROR(SEARCH("Pesquisa de Preços",D5561)))</formula>
    </cfRule>
  </conditionalFormatting>
  <conditionalFormatting sqref="D5985">
    <cfRule type="containsText" dxfId="1120" priority="2569" operator="containsText" text="Pesquisa de Preços">
      <formula>NOT(ISERROR(SEARCH("Pesquisa de Preços",D5985)))</formula>
    </cfRule>
  </conditionalFormatting>
  <conditionalFormatting sqref="D5567">
    <cfRule type="containsText" dxfId="1119" priority="2701" operator="containsText" text="Pesquisa de Preços">
      <formula>NOT(ISERROR(SEARCH("Pesquisa de Preços",D5567)))</formula>
    </cfRule>
  </conditionalFormatting>
  <conditionalFormatting sqref="D6017">
    <cfRule type="containsText" dxfId="1118" priority="2561" operator="containsText" text="Pesquisa de Preços">
      <formula>NOT(ISERROR(SEARCH("Pesquisa de Preços",D6017)))</formula>
    </cfRule>
  </conditionalFormatting>
  <conditionalFormatting sqref="D5573">
    <cfRule type="containsText" dxfId="1117" priority="2693" operator="containsText" text="Pesquisa de Preços">
      <formula>NOT(ISERROR(SEARCH("Pesquisa de Preços",D5573)))</formula>
    </cfRule>
  </conditionalFormatting>
  <conditionalFormatting sqref="D6061">
    <cfRule type="containsText" dxfId="1116" priority="2552" operator="containsText" text="Pesquisa de Preços">
      <formula>NOT(ISERROR(SEARCH("Pesquisa de Preços",D6061)))</formula>
    </cfRule>
  </conditionalFormatting>
  <conditionalFormatting sqref="D5481">
    <cfRule type="containsText" dxfId="1115" priority="2685" operator="containsText" text="Pesquisa de Preços">
      <formula>NOT(ISERROR(SEARCH("Pesquisa de Preços",D5481)))</formula>
    </cfRule>
  </conditionalFormatting>
  <conditionalFormatting sqref="D5487">
    <cfRule type="containsText" dxfId="1114" priority="2684" operator="containsText" text="Pesquisa de Preços">
      <formula>NOT(ISERROR(SEARCH("Pesquisa de Preços",D5487)))</formula>
    </cfRule>
  </conditionalFormatting>
  <conditionalFormatting sqref="D5493">
    <cfRule type="containsText" dxfId="1113" priority="2683" operator="containsText" text="Pesquisa de Preços">
      <formula>NOT(ISERROR(SEARCH("Pesquisa de Preços",D5493)))</formula>
    </cfRule>
  </conditionalFormatting>
  <conditionalFormatting sqref="D5499">
    <cfRule type="containsText" dxfId="1112" priority="2682" operator="containsText" text="Pesquisa de Preços">
      <formula>NOT(ISERROR(SEARCH("Pesquisa de Preços",D5499)))</formula>
    </cfRule>
  </conditionalFormatting>
  <conditionalFormatting sqref="D5505">
    <cfRule type="containsText" dxfId="1111" priority="2681" operator="containsText" text="Pesquisa de Preços">
      <formula>NOT(ISERROR(SEARCH("Pesquisa de Preços",D5505)))</formula>
    </cfRule>
  </conditionalFormatting>
  <conditionalFormatting sqref="D5511">
    <cfRule type="containsText" dxfId="1110" priority="2680" operator="containsText" text="Pesquisa de Preços">
      <formula>NOT(ISERROR(SEARCH("Pesquisa de Preços",D5511)))</formula>
    </cfRule>
  </conditionalFormatting>
  <conditionalFormatting sqref="D6137">
    <cfRule type="containsText" dxfId="1109" priority="2537" operator="containsText" text="Pesquisa de Preços">
      <formula>NOT(ISERROR(SEARCH("Pesquisa de Preços",D6137)))</formula>
    </cfRule>
  </conditionalFormatting>
  <conditionalFormatting sqref="D5517">
    <cfRule type="containsText" dxfId="1108" priority="2678" operator="containsText" text="Pesquisa de Preços">
      <formula>NOT(ISERROR(SEARCH("Pesquisa de Preços",D5517)))</formula>
    </cfRule>
  </conditionalFormatting>
  <conditionalFormatting sqref="D5523">
    <cfRule type="containsText" dxfId="1107" priority="2677" operator="containsText" text="Pesquisa de Preços">
      <formula>NOT(ISERROR(SEARCH("Pesquisa de Preços",D5523)))</formula>
    </cfRule>
  </conditionalFormatting>
  <conditionalFormatting sqref="D5583">
    <cfRule type="containsText" dxfId="1106" priority="2667" operator="containsText" text="Pesquisa de Preços">
      <formula>NOT(ISERROR(SEARCH("Pesquisa de Preços",D5583)))</formula>
    </cfRule>
  </conditionalFormatting>
  <conditionalFormatting sqref="D5589">
    <cfRule type="containsText" dxfId="1105" priority="2666" operator="containsText" text="Pesquisa de Preços">
      <formula>NOT(ISERROR(SEARCH("Pesquisa de Preços",D5589)))</formula>
    </cfRule>
  </conditionalFormatting>
  <conditionalFormatting sqref="D5541">
    <cfRule type="containsText" dxfId="1104" priority="2674" operator="containsText" text="Pesquisa de Preços">
      <formula>NOT(ISERROR(SEARCH("Pesquisa de Preços",D5541)))</formula>
    </cfRule>
  </conditionalFormatting>
  <conditionalFormatting sqref="D5547">
    <cfRule type="containsText" dxfId="1103" priority="2673" operator="containsText" text="Pesquisa de Preços">
      <formula>NOT(ISERROR(SEARCH("Pesquisa de Preços",D5547)))</formula>
    </cfRule>
  </conditionalFormatting>
  <conditionalFormatting sqref="D5553">
    <cfRule type="containsText" dxfId="1102" priority="2672" operator="containsText" text="Pesquisa de Preços">
      <formula>NOT(ISERROR(SEARCH("Pesquisa de Preços",D5553)))</formula>
    </cfRule>
  </conditionalFormatting>
  <conditionalFormatting sqref="D5565 D5559">
    <cfRule type="containsText" dxfId="1101" priority="2670" operator="containsText" text="Pesquisa de Preços">
      <formula>NOT(ISERROR(SEARCH("Pesquisa de Preços",D5559)))</formula>
    </cfRule>
  </conditionalFormatting>
  <conditionalFormatting sqref="D5571">
    <cfRule type="containsText" dxfId="1100" priority="2669" operator="containsText" text="Pesquisa de Preços">
      <formula>NOT(ISERROR(SEARCH("Pesquisa de Preços",D5571)))</formula>
    </cfRule>
  </conditionalFormatting>
  <conditionalFormatting sqref="D5577">
    <cfRule type="containsText" dxfId="1099" priority="2668" operator="containsText" text="Pesquisa de Preços">
      <formula>NOT(ISERROR(SEARCH("Pesquisa de Preços",D5577)))</formula>
    </cfRule>
  </conditionalFormatting>
  <conditionalFormatting sqref="D5595">
    <cfRule type="containsText" dxfId="1098" priority="2665" operator="containsText" text="Pesquisa de Preços">
      <formula>NOT(ISERROR(SEARCH("Pesquisa de Preços",D5595)))</formula>
    </cfRule>
  </conditionalFormatting>
  <conditionalFormatting sqref="D5605">
    <cfRule type="containsText" dxfId="1097" priority="2664" operator="containsText" text="Pesquisa de Preços">
      <formula>NOT(ISERROR(SEARCH("Pesquisa de Preços",D5605)))</formula>
    </cfRule>
  </conditionalFormatting>
  <conditionalFormatting sqref="D5609">
    <cfRule type="containsText" dxfId="1096" priority="2663" operator="containsText" text="Pesquisa de Preços">
      <formula>NOT(ISERROR(SEARCH("Pesquisa de Preços",D5609)))</formula>
    </cfRule>
  </conditionalFormatting>
  <conditionalFormatting sqref="D5613">
    <cfRule type="containsText" dxfId="1095" priority="2662" operator="containsText" text="Pesquisa de Preços">
      <formula>NOT(ISERROR(SEARCH("Pesquisa de Preços",D5613)))</formula>
    </cfRule>
  </conditionalFormatting>
  <conditionalFormatting sqref="D5617">
    <cfRule type="containsText" dxfId="1094" priority="2661" operator="containsText" text="Pesquisa de Preços">
      <formula>NOT(ISERROR(SEARCH("Pesquisa de Preços",D5617)))</formula>
    </cfRule>
  </conditionalFormatting>
  <conditionalFormatting sqref="D5621">
    <cfRule type="containsText" dxfId="1093" priority="2660" operator="containsText" text="Pesquisa de Preços">
      <formula>NOT(ISERROR(SEARCH("Pesquisa de Preços",D5621)))</formula>
    </cfRule>
  </conditionalFormatting>
  <conditionalFormatting sqref="D5625">
    <cfRule type="containsText" dxfId="1092" priority="2659" operator="containsText" text="Pesquisa de Preços">
      <formula>NOT(ISERROR(SEARCH("Pesquisa de Preços",D5625)))</formula>
    </cfRule>
  </conditionalFormatting>
  <conditionalFormatting sqref="D5629">
    <cfRule type="containsText" dxfId="1091" priority="2658" operator="containsText" text="Pesquisa de Preços">
      <formula>NOT(ISERROR(SEARCH("Pesquisa de Preços",D5629)))</formula>
    </cfRule>
  </conditionalFormatting>
  <conditionalFormatting sqref="D5637">
    <cfRule type="containsText" dxfId="1090" priority="2656" operator="containsText" text="Pesquisa de Preços">
      <formula>NOT(ISERROR(SEARCH("Pesquisa de Preços",D5637)))</formula>
    </cfRule>
  </conditionalFormatting>
  <conditionalFormatting sqref="D5641">
    <cfRule type="containsText" dxfId="1089" priority="2655" operator="containsText" text="Pesquisa de Preços">
      <formula>NOT(ISERROR(SEARCH("Pesquisa de Preços",D5641)))</formula>
    </cfRule>
  </conditionalFormatting>
  <conditionalFormatting sqref="D5645">
    <cfRule type="containsText" dxfId="1088" priority="2654" operator="containsText" text="Pesquisa de Preços">
      <formula>NOT(ISERROR(SEARCH("Pesquisa de Preços",D5645)))</formula>
    </cfRule>
  </conditionalFormatting>
  <conditionalFormatting sqref="D5685">
    <cfRule type="containsText" dxfId="1087" priority="2644" operator="containsText" text="Pesquisa de Preços">
      <formula>NOT(ISERROR(SEARCH("Pesquisa de Preços",D5685)))</formula>
    </cfRule>
  </conditionalFormatting>
  <conditionalFormatting sqref="D5653">
    <cfRule type="containsText" dxfId="1086" priority="2652" operator="containsText" text="Pesquisa de Preços">
      <formula>NOT(ISERROR(SEARCH("Pesquisa de Preços",D5653)))</formula>
    </cfRule>
  </conditionalFormatting>
  <conditionalFormatting sqref="D5693">
    <cfRule type="containsText" dxfId="1085" priority="2642" operator="containsText" text="Pesquisa de Preços">
      <formula>NOT(ISERROR(SEARCH("Pesquisa de Preços",D5693)))</formula>
    </cfRule>
  </conditionalFormatting>
  <conditionalFormatting sqref="D5697">
    <cfRule type="containsText" dxfId="1084" priority="2641" operator="containsText" text="Pesquisa de Preços">
      <formula>NOT(ISERROR(SEARCH("Pesquisa de Preços",D5697)))</formula>
    </cfRule>
  </conditionalFormatting>
  <conditionalFormatting sqref="D5665">
    <cfRule type="containsText" dxfId="1083" priority="2649" operator="containsText" text="Pesquisa de Preços">
      <formula>NOT(ISERROR(SEARCH("Pesquisa de Preços",D5665)))</formula>
    </cfRule>
  </conditionalFormatting>
  <conditionalFormatting sqref="D5673 D5669">
    <cfRule type="containsText" dxfId="1082" priority="2647" operator="containsText" text="Pesquisa de Preços">
      <formula>NOT(ISERROR(SEARCH("Pesquisa de Preços",D5669)))</formula>
    </cfRule>
  </conditionalFormatting>
  <conditionalFormatting sqref="D5677">
    <cfRule type="containsText" dxfId="1081" priority="2646" operator="containsText" text="Pesquisa de Preços">
      <formula>NOT(ISERROR(SEARCH("Pesquisa de Preços",D5677)))</formula>
    </cfRule>
  </conditionalFormatting>
  <conditionalFormatting sqref="D5681">
    <cfRule type="containsText" dxfId="1080" priority="2645" operator="containsText" text="Pesquisa de Preços">
      <formula>NOT(ISERROR(SEARCH("Pesquisa de Preços",D5681)))</formula>
    </cfRule>
  </conditionalFormatting>
  <conditionalFormatting sqref="D5725">
    <cfRule type="containsText" dxfId="1079" priority="2634" operator="containsText" text="Pesquisa de Preços">
      <formula>NOT(ISERROR(SEARCH("Pesquisa de Preços",D5725)))</formula>
    </cfRule>
  </conditionalFormatting>
  <conditionalFormatting sqref="D5701">
    <cfRule type="containsText" dxfId="1078" priority="2640" operator="containsText" text="Pesquisa de Preços">
      <formula>NOT(ISERROR(SEARCH("Pesquisa de Preços",D5701)))</formula>
    </cfRule>
  </conditionalFormatting>
  <conditionalFormatting sqref="D5705">
    <cfRule type="containsText" dxfId="1077" priority="2639" operator="containsText" text="Pesquisa de Preços">
      <formula>NOT(ISERROR(SEARCH("Pesquisa de Preços",D5705)))</formula>
    </cfRule>
  </conditionalFormatting>
  <conditionalFormatting sqref="D5709">
    <cfRule type="containsText" dxfId="1076" priority="2638" operator="containsText" text="Pesquisa de Preços">
      <formula>NOT(ISERROR(SEARCH("Pesquisa de Preços",D5709)))</formula>
    </cfRule>
  </conditionalFormatting>
  <conditionalFormatting sqref="D5713">
    <cfRule type="containsText" dxfId="1075" priority="2637" operator="containsText" text="Pesquisa de Preços">
      <formula>NOT(ISERROR(SEARCH("Pesquisa de Preços",D5713)))</formula>
    </cfRule>
  </conditionalFormatting>
  <conditionalFormatting sqref="D5753">
    <cfRule type="containsText" dxfId="1074" priority="2627" operator="containsText" text="Pesquisa de Preços">
      <formula>NOT(ISERROR(SEARCH("Pesquisa de Preços",D5753)))</formula>
    </cfRule>
  </conditionalFormatting>
  <conditionalFormatting sqref="D5721">
    <cfRule type="containsText" dxfId="1073" priority="2635" operator="containsText" text="Pesquisa de Preços">
      <formula>NOT(ISERROR(SEARCH("Pesquisa de Preços",D5721)))</formula>
    </cfRule>
  </conditionalFormatting>
  <conditionalFormatting sqref="D5729">
    <cfRule type="containsText" dxfId="1072" priority="2633" operator="containsText" text="Pesquisa de Preços">
      <formula>NOT(ISERROR(SEARCH("Pesquisa de Preços",D5729)))</formula>
    </cfRule>
  </conditionalFormatting>
  <conditionalFormatting sqref="D5733">
    <cfRule type="containsText" dxfId="1071" priority="2632" operator="containsText" text="Pesquisa de Preços">
      <formula>NOT(ISERROR(SEARCH("Pesquisa de Preços",D5733)))</formula>
    </cfRule>
  </conditionalFormatting>
  <conditionalFormatting sqref="D5737">
    <cfRule type="containsText" dxfId="1070" priority="2631" operator="containsText" text="Pesquisa de Preços">
      <formula>NOT(ISERROR(SEARCH("Pesquisa de Preços",D5737)))</formula>
    </cfRule>
  </conditionalFormatting>
  <conditionalFormatting sqref="D5741">
    <cfRule type="containsText" dxfId="1069" priority="2630" operator="containsText" text="Pesquisa de Preços">
      <formula>NOT(ISERROR(SEARCH("Pesquisa de Preços",D5741)))</formula>
    </cfRule>
  </conditionalFormatting>
  <conditionalFormatting sqref="D5749 D5745">
    <cfRule type="containsText" dxfId="1068" priority="2628" operator="containsText" text="Pesquisa de Preços">
      <formula>NOT(ISERROR(SEARCH("Pesquisa de Preços",D5745)))</formula>
    </cfRule>
  </conditionalFormatting>
  <conditionalFormatting sqref="D5757">
    <cfRule type="containsText" dxfId="1067" priority="2626" operator="containsText" text="Pesquisa de Preços">
      <formula>NOT(ISERROR(SEARCH("Pesquisa de Preços",D5757)))</formula>
    </cfRule>
  </conditionalFormatting>
  <conditionalFormatting sqref="D5761">
    <cfRule type="containsText" dxfId="1066" priority="2625" operator="containsText" text="Pesquisa de Preços">
      <formula>NOT(ISERROR(SEARCH("Pesquisa de Preços",D5761)))</formula>
    </cfRule>
  </conditionalFormatting>
  <conditionalFormatting sqref="D5765">
    <cfRule type="containsText" dxfId="1065" priority="2624" operator="containsText" text="Pesquisa de Preços">
      <formula>NOT(ISERROR(SEARCH("Pesquisa de Preços",D5765)))</formula>
    </cfRule>
  </conditionalFormatting>
  <conditionalFormatting sqref="D5769">
    <cfRule type="containsText" dxfId="1064" priority="2623" operator="containsText" text="Pesquisa de Preços">
      <formula>NOT(ISERROR(SEARCH("Pesquisa de Preços",D5769)))</formula>
    </cfRule>
  </conditionalFormatting>
  <conditionalFormatting sqref="D5773">
    <cfRule type="containsText" dxfId="1063" priority="2622" operator="containsText" text="Pesquisa de Preços">
      <formula>NOT(ISERROR(SEARCH("Pesquisa de Preços",D5773)))</formula>
    </cfRule>
  </conditionalFormatting>
  <conditionalFormatting sqref="D5777">
    <cfRule type="containsText" dxfId="1062" priority="2621" operator="containsText" text="Pesquisa de Preços">
      <formula>NOT(ISERROR(SEARCH("Pesquisa de Preços",D5777)))</formula>
    </cfRule>
  </conditionalFormatting>
  <conditionalFormatting sqref="D5785">
    <cfRule type="containsText" dxfId="1061" priority="2619" operator="containsText" text="Pesquisa de Preços">
      <formula>NOT(ISERROR(SEARCH("Pesquisa de Preços",D5785)))</formula>
    </cfRule>
  </conditionalFormatting>
  <conditionalFormatting sqref="D5789">
    <cfRule type="containsText" dxfId="1060" priority="2618" operator="containsText" text="Pesquisa de Preços">
      <formula>NOT(ISERROR(SEARCH("Pesquisa de Preços",D5789)))</formula>
    </cfRule>
  </conditionalFormatting>
  <conditionalFormatting sqref="D5793">
    <cfRule type="containsText" dxfId="1059" priority="2617" operator="containsText" text="Pesquisa de Preços">
      <formula>NOT(ISERROR(SEARCH("Pesquisa de Preços",D5793)))</formula>
    </cfRule>
  </conditionalFormatting>
  <conditionalFormatting sqref="D5797">
    <cfRule type="containsText" dxfId="1058" priority="2616" operator="containsText" text="Pesquisa de Preços">
      <formula>NOT(ISERROR(SEARCH("Pesquisa de Preços",D5797)))</formula>
    </cfRule>
  </conditionalFormatting>
  <conditionalFormatting sqref="D5801">
    <cfRule type="containsText" dxfId="1057" priority="2615" operator="containsText" text="Pesquisa de Preços">
      <formula>NOT(ISERROR(SEARCH("Pesquisa de Preços",D5801)))</formula>
    </cfRule>
  </conditionalFormatting>
  <conditionalFormatting sqref="D5805">
    <cfRule type="containsText" dxfId="1056" priority="2614" operator="containsText" text="Pesquisa de Preços">
      <formula>NOT(ISERROR(SEARCH("Pesquisa de Preços",D5805)))</formula>
    </cfRule>
  </conditionalFormatting>
  <conditionalFormatting sqref="D5809">
    <cfRule type="containsText" dxfId="1055" priority="2613" operator="containsText" text="Pesquisa de Preços">
      <formula>NOT(ISERROR(SEARCH("Pesquisa de Preços",D5809)))</formula>
    </cfRule>
  </conditionalFormatting>
  <conditionalFormatting sqref="D5813">
    <cfRule type="containsText" dxfId="1054" priority="2612" operator="containsText" text="Pesquisa de Preços">
      <formula>NOT(ISERROR(SEARCH("Pesquisa de Preços",D5813)))</formula>
    </cfRule>
  </conditionalFormatting>
  <conditionalFormatting sqref="D5817">
    <cfRule type="containsText" dxfId="1053" priority="2611" operator="containsText" text="Pesquisa de Preços">
      <formula>NOT(ISERROR(SEARCH("Pesquisa de Preços",D5817)))</formula>
    </cfRule>
  </conditionalFormatting>
  <conditionalFormatting sqref="D5821">
    <cfRule type="containsText" dxfId="1052" priority="2610" operator="containsText" text="Pesquisa de Preços">
      <formula>NOT(ISERROR(SEARCH("Pesquisa de Preços",D5821)))</formula>
    </cfRule>
  </conditionalFormatting>
  <conditionalFormatting sqref="D5825">
    <cfRule type="containsText" dxfId="1051" priority="2609" operator="containsText" text="Pesquisa de Preços">
      <formula>NOT(ISERROR(SEARCH("Pesquisa de Preços",D5825)))</formula>
    </cfRule>
  </conditionalFormatting>
  <conditionalFormatting sqref="D5829">
    <cfRule type="containsText" dxfId="1050" priority="2608" operator="containsText" text="Pesquisa de Preços">
      <formula>NOT(ISERROR(SEARCH("Pesquisa de Preços",D5829)))</formula>
    </cfRule>
  </conditionalFormatting>
  <conditionalFormatting sqref="D5833">
    <cfRule type="containsText" dxfId="1049" priority="2607" operator="containsText" text="Pesquisa de Preços">
      <formula>NOT(ISERROR(SEARCH("Pesquisa de Preços",D5833)))</formula>
    </cfRule>
  </conditionalFormatting>
  <conditionalFormatting sqref="D5837">
    <cfRule type="containsText" dxfId="1048" priority="2606" operator="containsText" text="Pesquisa de Preços">
      <formula>NOT(ISERROR(SEARCH("Pesquisa de Preços",D5837)))</formula>
    </cfRule>
  </conditionalFormatting>
  <conditionalFormatting sqref="D5841">
    <cfRule type="containsText" dxfId="1047" priority="2605" operator="containsText" text="Pesquisa de Preços">
      <formula>NOT(ISERROR(SEARCH("Pesquisa de Preços",D5841)))</formula>
    </cfRule>
  </conditionalFormatting>
  <conditionalFormatting sqref="D5845">
    <cfRule type="containsText" dxfId="1046" priority="2604" operator="containsText" text="Pesquisa de Preços">
      <formula>NOT(ISERROR(SEARCH("Pesquisa de Preços",D5845)))</formula>
    </cfRule>
  </conditionalFormatting>
  <conditionalFormatting sqref="D5849">
    <cfRule type="containsText" dxfId="1045" priority="2603" operator="containsText" text="Pesquisa de Preços">
      <formula>NOT(ISERROR(SEARCH("Pesquisa de Preços",D5849)))</formula>
    </cfRule>
  </conditionalFormatting>
  <conditionalFormatting sqref="D5889">
    <cfRule type="containsText" dxfId="1044" priority="2593" operator="containsText" text="Pesquisa de Preços">
      <formula>NOT(ISERROR(SEARCH("Pesquisa de Preços",D5889)))</formula>
    </cfRule>
  </conditionalFormatting>
  <conditionalFormatting sqref="D5893">
    <cfRule type="containsText" dxfId="1043" priority="2592" operator="containsText" text="Pesquisa de Preços">
      <formula>NOT(ISERROR(SEARCH("Pesquisa de Preços",D5893)))</formula>
    </cfRule>
  </conditionalFormatting>
  <conditionalFormatting sqref="D5861">
    <cfRule type="containsText" dxfId="1042" priority="2600" operator="containsText" text="Pesquisa de Preços">
      <formula>NOT(ISERROR(SEARCH("Pesquisa de Preços",D5861)))</formula>
    </cfRule>
  </conditionalFormatting>
  <conditionalFormatting sqref="D5865">
    <cfRule type="containsText" dxfId="1041" priority="2599" operator="containsText" text="Pesquisa de Preços">
      <formula>NOT(ISERROR(SEARCH("Pesquisa de Preços",D5865)))</formula>
    </cfRule>
  </conditionalFormatting>
  <conditionalFormatting sqref="D5869">
    <cfRule type="containsText" dxfId="1040" priority="2598" operator="containsText" text="Pesquisa de Preços">
      <formula>NOT(ISERROR(SEARCH("Pesquisa de Preços",D5869)))</formula>
    </cfRule>
  </conditionalFormatting>
  <conditionalFormatting sqref="D5873">
    <cfRule type="containsText" dxfId="1039" priority="2597" operator="containsText" text="Pesquisa de Preços">
      <formula>NOT(ISERROR(SEARCH("Pesquisa de Preços",D5873)))</formula>
    </cfRule>
  </conditionalFormatting>
  <conditionalFormatting sqref="D5877">
    <cfRule type="containsText" dxfId="1038" priority="2596" operator="containsText" text="Pesquisa de Preços">
      <formula>NOT(ISERROR(SEARCH("Pesquisa de Preços",D5877)))</formula>
    </cfRule>
  </conditionalFormatting>
  <conditionalFormatting sqref="D5881">
    <cfRule type="containsText" dxfId="1037" priority="2595" operator="containsText" text="Pesquisa de Preços">
      <formula>NOT(ISERROR(SEARCH("Pesquisa de Preços",D5881)))</formula>
    </cfRule>
  </conditionalFormatting>
  <conditionalFormatting sqref="D5921">
    <cfRule type="containsText" dxfId="1036" priority="2585" operator="containsText" text="Pesquisa de Preços">
      <formula>NOT(ISERROR(SEARCH("Pesquisa de Preços",D5921)))</formula>
    </cfRule>
  </conditionalFormatting>
  <conditionalFormatting sqref="D5897">
    <cfRule type="containsText" dxfId="1035" priority="2591" operator="containsText" text="Pesquisa de Preços">
      <formula>NOT(ISERROR(SEARCH("Pesquisa de Preços",D5897)))</formula>
    </cfRule>
  </conditionalFormatting>
  <conditionalFormatting sqref="D5901">
    <cfRule type="containsText" dxfId="1034" priority="2590" operator="containsText" text="Pesquisa de Preços">
      <formula>NOT(ISERROR(SEARCH("Pesquisa de Preços",D5901)))</formula>
    </cfRule>
  </conditionalFormatting>
  <conditionalFormatting sqref="D5905">
    <cfRule type="containsText" dxfId="1033" priority="2589" operator="containsText" text="Pesquisa de Preços">
      <formula>NOT(ISERROR(SEARCH("Pesquisa de Preços",D5905)))</formula>
    </cfRule>
  </conditionalFormatting>
  <conditionalFormatting sqref="D5909">
    <cfRule type="containsText" dxfId="1032" priority="2588" operator="containsText" text="Pesquisa de Preços">
      <formula>NOT(ISERROR(SEARCH("Pesquisa de Preços",D5909)))</formula>
    </cfRule>
  </conditionalFormatting>
  <conditionalFormatting sqref="D5949 D5945 D5941">
    <cfRule type="containsText" dxfId="1031" priority="2578" operator="containsText" text="Pesquisa de Preços">
      <formula>NOT(ISERROR(SEARCH("Pesquisa de Preços",D5941)))</formula>
    </cfRule>
  </conditionalFormatting>
  <conditionalFormatting sqref="D5917">
    <cfRule type="containsText" dxfId="1030" priority="2586" operator="containsText" text="Pesquisa de Preços">
      <formula>NOT(ISERROR(SEARCH("Pesquisa de Preços",D5917)))</formula>
    </cfRule>
  </conditionalFormatting>
  <conditionalFormatting sqref="D5925">
    <cfRule type="containsText" dxfId="1029" priority="2584" operator="containsText" text="Pesquisa de Preços">
      <formula>NOT(ISERROR(SEARCH("Pesquisa de Preços",D5925)))</formula>
    </cfRule>
  </conditionalFormatting>
  <conditionalFormatting sqref="D5937">
    <cfRule type="containsText" dxfId="1028" priority="2581" operator="containsText" text="Pesquisa de Preços">
      <formula>NOT(ISERROR(SEARCH("Pesquisa de Preços",D5937)))</formula>
    </cfRule>
  </conditionalFormatting>
  <conditionalFormatting sqref="D6133">
    <cfRule type="containsText" dxfId="1027" priority="2538" operator="containsText" text="Pesquisa de Preços">
      <formula>NOT(ISERROR(SEARCH("Pesquisa de Preços",D6133)))</formula>
    </cfRule>
  </conditionalFormatting>
  <conditionalFormatting sqref="D5953">
    <cfRule type="containsText" dxfId="1026" priority="2577" operator="containsText" text="Pesquisa de Preços">
      <formula>NOT(ISERROR(SEARCH("Pesquisa de Preços",D5953)))</formula>
    </cfRule>
  </conditionalFormatting>
  <conditionalFormatting sqref="D5957">
    <cfRule type="containsText" dxfId="1025" priority="2576" operator="containsText" text="Pesquisa de Preços">
      <formula>NOT(ISERROR(SEARCH("Pesquisa de Preços",D5957)))</formula>
    </cfRule>
  </conditionalFormatting>
  <conditionalFormatting sqref="D5997">
    <cfRule type="containsText" dxfId="1024" priority="2566" operator="containsText" text="Pesquisa de Preços">
      <formula>NOT(ISERROR(SEARCH("Pesquisa de Preços",D5997)))</formula>
    </cfRule>
  </conditionalFormatting>
  <conditionalFormatting sqref="D5965">
    <cfRule type="containsText" dxfId="1023" priority="2574" operator="containsText" text="Pesquisa de Preços">
      <formula>NOT(ISERROR(SEARCH("Pesquisa de Preços",D5965)))</formula>
    </cfRule>
  </conditionalFormatting>
  <conditionalFormatting sqref="D5973 D5969">
    <cfRule type="containsText" dxfId="1022" priority="2572" operator="containsText" text="Pesquisa de Preços">
      <formula>NOT(ISERROR(SEARCH("Pesquisa de Preços",D5969)))</formula>
    </cfRule>
  </conditionalFormatting>
  <conditionalFormatting sqref="D5977">
    <cfRule type="containsText" dxfId="1021" priority="2571" operator="containsText" text="Pesquisa de Preços">
      <formula>NOT(ISERROR(SEARCH("Pesquisa de Preços",D5977)))</formula>
    </cfRule>
  </conditionalFormatting>
  <conditionalFormatting sqref="D5981">
    <cfRule type="containsText" dxfId="1020" priority="2570" operator="containsText" text="Pesquisa de Preços">
      <formula>NOT(ISERROR(SEARCH("Pesquisa de Preços",D5981)))</formula>
    </cfRule>
  </conditionalFormatting>
  <conditionalFormatting sqref="D6021">
    <cfRule type="containsText" dxfId="1019" priority="2560" operator="containsText" text="Pesquisa de Preços">
      <formula>NOT(ISERROR(SEARCH("Pesquisa de Preços",D6021)))</formula>
    </cfRule>
  </conditionalFormatting>
  <conditionalFormatting sqref="D5989">
    <cfRule type="containsText" dxfId="1018" priority="2568" operator="containsText" text="Pesquisa de Preços">
      <formula>NOT(ISERROR(SEARCH("Pesquisa de Preços",D5989)))</formula>
    </cfRule>
  </conditionalFormatting>
  <conditionalFormatting sqref="D5993">
    <cfRule type="containsText" dxfId="1017" priority="2567" operator="containsText" text="Pesquisa de Preços">
      <formula>NOT(ISERROR(SEARCH("Pesquisa de Preços",D5993)))</formula>
    </cfRule>
  </conditionalFormatting>
  <conditionalFormatting sqref="D6001">
    <cfRule type="containsText" dxfId="1016" priority="2565" operator="containsText" text="Pesquisa de Preços">
      <formula>NOT(ISERROR(SEARCH("Pesquisa de Preços",D6001)))</formula>
    </cfRule>
  </conditionalFormatting>
  <conditionalFormatting sqref="D6005">
    <cfRule type="containsText" dxfId="1015" priority="2564" operator="containsText" text="Pesquisa de Preços">
      <formula>NOT(ISERROR(SEARCH("Pesquisa de Preços",D6005)))</formula>
    </cfRule>
  </conditionalFormatting>
  <conditionalFormatting sqref="D6009">
    <cfRule type="containsText" dxfId="1014" priority="2563" operator="containsText" text="Pesquisa de Preços">
      <formula>NOT(ISERROR(SEARCH("Pesquisa de Preços",D6009)))</formula>
    </cfRule>
  </conditionalFormatting>
  <conditionalFormatting sqref="D6013">
    <cfRule type="containsText" dxfId="1013" priority="2562" operator="containsText" text="Pesquisa de Preços">
      <formula>NOT(ISERROR(SEARCH("Pesquisa de Preços",D6013)))</formula>
    </cfRule>
  </conditionalFormatting>
  <conditionalFormatting sqref="D6029">
    <cfRule type="containsText" dxfId="1012" priority="2558" operator="containsText" text="Pesquisa de Preços">
      <formula>NOT(ISERROR(SEARCH("Pesquisa de Preços",D6029)))</formula>
    </cfRule>
  </conditionalFormatting>
  <conditionalFormatting sqref="D6033">
    <cfRule type="containsText" dxfId="1011" priority="2557" operator="containsText" text="Pesquisa de Preços">
      <formula>NOT(ISERROR(SEARCH("Pesquisa de Preços",D6033)))</formula>
    </cfRule>
  </conditionalFormatting>
  <conditionalFormatting sqref="D6037">
    <cfRule type="containsText" dxfId="1010" priority="2556" operator="containsText" text="Pesquisa de Preços">
      <formula>NOT(ISERROR(SEARCH("Pesquisa de Preços",D6037)))</formula>
    </cfRule>
  </conditionalFormatting>
  <conditionalFormatting sqref="D6049">
    <cfRule type="containsText" dxfId="1009" priority="2555" operator="containsText" text="Pesquisa de Preços">
      <formula>NOT(ISERROR(SEARCH("Pesquisa de Preços",D6049)))</formula>
    </cfRule>
  </conditionalFormatting>
  <conditionalFormatting sqref="D6053">
    <cfRule type="containsText" dxfId="1008" priority="2554" operator="containsText" text="Pesquisa de Preços">
      <formula>NOT(ISERROR(SEARCH("Pesquisa de Preços",D6053)))</formula>
    </cfRule>
  </conditionalFormatting>
  <conditionalFormatting sqref="D6057">
    <cfRule type="containsText" dxfId="1007" priority="2553" operator="containsText" text="Pesquisa de Preços">
      <formula>NOT(ISERROR(SEARCH("Pesquisa de Preços",D6057)))</formula>
    </cfRule>
  </conditionalFormatting>
  <conditionalFormatting sqref="D6065">
    <cfRule type="containsText" dxfId="1006" priority="2551" operator="containsText" text="Pesquisa de Preços">
      <formula>NOT(ISERROR(SEARCH("Pesquisa de Preços",D6065)))</formula>
    </cfRule>
  </conditionalFormatting>
  <conditionalFormatting sqref="D6069">
    <cfRule type="containsText" dxfId="1005" priority="2550" operator="containsText" text="Pesquisa de Preços">
      <formula>NOT(ISERROR(SEARCH("Pesquisa de Preços",D6069)))</formula>
    </cfRule>
  </conditionalFormatting>
  <conditionalFormatting sqref="D6073">
    <cfRule type="containsText" dxfId="1004" priority="2549" operator="containsText" text="Pesquisa de Preços">
      <formula>NOT(ISERROR(SEARCH("Pesquisa de Preços",D6073)))</formula>
    </cfRule>
  </conditionalFormatting>
  <conditionalFormatting sqref="D6077">
    <cfRule type="containsText" dxfId="1003" priority="2548" operator="containsText" text="Pesquisa de Preços">
      <formula>NOT(ISERROR(SEARCH("Pesquisa de Preços",D6077)))</formula>
    </cfRule>
  </conditionalFormatting>
  <conditionalFormatting sqref="D6081">
    <cfRule type="containsText" dxfId="1002" priority="2547" operator="containsText" text="Pesquisa de Preços">
      <formula>NOT(ISERROR(SEARCH("Pesquisa de Preços",D6081)))</formula>
    </cfRule>
  </conditionalFormatting>
  <conditionalFormatting sqref="D6085">
    <cfRule type="containsText" dxfId="1001" priority="2546" operator="containsText" text="Pesquisa de Preços">
      <formula>NOT(ISERROR(SEARCH("Pesquisa de Preços",D6085)))</formula>
    </cfRule>
  </conditionalFormatting>
  <conditionalFormatting sqref="D6089">
    <cfRule type="containsText" dxfId="1000" priority="2545" operator="containsText" text="Pesquisa de Preços">
      <formula>NOT(ISERROR(SEARCH("Pesquisa de Preços",D6089)))</formula>
    </cfRule>
  </conditionalFormatting>
  <conditionalFormatting sqref="D6093">
    <cfRule type="containsText" dxfId="999" priority="2544" operator="containsText" text="Pesquisa de Preços">
      <formula>NOT(ISERROR(SEARCH("Pesquisa de Preços",D6093)))</formula>
    </cfRule>
  </conditionalFormatting>
  <conditionalFormatting sqref="D6097">
    <cfRule type="containsText" dxfId="998" priority="2543" operator="containsText" text="Pesquisa de Preços">
      <formula>NOT(ISERROR(SEARCH("Pesquisa de Preços",D6097)))</formula>
    </cfRule>
  </conditionalFormatting>
  <conditionalFormatting sqref="D6101">
    <cfRule type="containsText" dxfId="997" priority="2542" operator="containsText" text="Pesquisa de Preços">
      <formula>NOT(ISERROR(SEARCH("Pesquisa de Preços",D6101)))</formula>
    </cfRule>
  </conditionalFormatting>
  <conditionalFormatting sqref="D6105">
    <cfRule type="containsText" dxfId="996" priority="2541" operator="containsText" text="Pesquisa de Preços">
      <formula>NOT(ISERROR(SEARCH("Pesquisa de Preços",D6105)))</formula>
    </cfRule>
  </conditionalFormatting>
  <conditionalFormatting sqref="D6121">
    <cfRule type="containsText" dxfId="995" priority="2540" operator="containsText" text="Pesquisa de Preços">
      <formula>NOT(ISERROR(SEARCH("Pesquisa de Preços",D6121)))</formula>
    </cfRule>
  </conditionalFormatting>
  <conditionalFormatting sqref="D6129">
    <cfRule type="containsText" dxfId="994" priority="2539" operator="containsText" text="Pesquisa de Preços">
      <formula>NOT(ISERROR(SEARCH("Pesquisa de Preços",D6129)))</formula>
    </cfRule>
  </conditionalFormatting>
  <conditionalFormatting sqref="D118">
    <cfRule type="containsText" dxfId="993" priority="2535" operator="containsText" text="Pesquisa de Preços">
      <formula>NOT(ISERROR(SEARCH("Pesquisa de Preços",D118)))</formula>
    </cfRule>
  </conditionalFormatting>
  <conditionalFormatting sqref="D119">
    <cfRule type="containsText" dxfId="992" priority="2534" operator="containsText" text="Pesquisa de Preços">
      <formula>NOT(ISERROR(SEARCH("Pesquisa de Preços",D119)))</formula>
    </cfRule>
  </conditionalFormatting>
  <conditionalFormatting sqref="E118">
    <cfRule type="containsText" dxfId="991" priority="2533" operator="containsText" text="Pesquisa de Preços">
      <formula>NOT(ISERROR(SEARCH("Pesquisa de Preços",E118)))</formula>
    </cfRule>
  </conditionalFormatting>
  <conditionalFormatting sqref="E119">
    <cfRule type="containsText" dxfId="990" priority="2532" operator="containsText" text="Pesquisa de Preços">
      <formula>NOT(ISERROR(SEARCH("Pesquisa de Preços",E119)))</formula>
    </cfRule>
  </conditionalFormatting>
  <conditionalFormatting sqref="D692:D693">
    <cfRule type="containsText" dxfId="989" priority="2526" operator="containsText" text="Pesquisa de Preços">
      <formula>NOT(ISERROR(SEARCH("Pesquisa de Preços",D692)))</formula>
    </cfRule>
  </conditionalFormatting>
  <conditionalFormatting sqref="E692:E693">
    <cfRule type="containsText" dxfId="988" priority="2525" operator="containsText" text="Pesquisa de Preços">
      <formula>NOT(ISERROR(SEARCH("Pesquisa de Preços",E692)))</formula>
    </cfRule>
  </conditionalFormatting>
  <conditionalFormatting sqref="D860">
    <cfRule type="containsText" dxfId="987" priority="2522" operator="containsText" text="Pesquisa de Preços">
      <formula>NOT(ISERROR(SEARCH("Pesquisa de Preços",D860)))</formula>
    </cfRule>
  </conditionalFormatting>
  <conditionalFormatting sqref="E860">
    <cfRule type="containsText" dxfId="986" priority="2521" operator="containsText" text="Pesquisa de Preços">
      <formula>NOT(ISERROR(SEARCH("Pesquisa de Preços",E860)))</formula>
    </cfRule>
  </conditionalFormatting>
  <conditionalFormatting sqref="D864">
    <cfRule type="containsText" dxfId="985" priority="2520" operator="containsText" text="Pesquisa de Preços">
      <formula>NOT(ISERROR(SEARCH("Pesquisa de Preços",D864)))</formula>
    </cfRule>
  </conditionalFormatting>
  <conditionalFormatting sqref="E864">
    <cfRule type="containsText" dxfId="984" priority="2519" operator="containsText" text="Pesquisa de Preços">
      <formula>NOT(ISERROR(SEARCH("Pesquisa de Preços",E864)))</formula>
    </cfRule>
  </conditionalFormatting>
  <conditionalFormatting sqref="D877">
    <cfRule type="containsText" dxfId="983" priority="2516" operator="containsText" text="Pesquisa de Preços">
      <formula>NOT(ISERROR(SEARCH("Pesquisa de Preços",D877)))</formula>
    </cfRule>
  </conditionalFormatting>
  <conditionalFormatting sqref="E877">
    <cfRule type="containsText" dxfId="982" priority="2515" operator="containsText" text="Pesquisa de Preços">
      <formula>NOT(ISERROR(SEARCH("Pesquisa de Preços",E877)))</formula>
    </cfRule>
  </conditionalFormatting>
  <conditionalFormatting sqref="E883">
    <cfRule type="containsText" dxfId="981" priority="2510" operator="containsText" text="Pesquisa de Preços">
      <formula>NOT(ISERROR(SEARCH("Pesquisa de Preços",E883)))</formula>
    </cfRule>
  </conditionalFormatting>
  <conditionalFormatting sqref="E884 E888">
    <cfRule type="containsText" dxfId="980" priority="2511" operator="containsText" text="Pesquisa de Preços">
      <formula>NOT(ISERROR(SEARCH("Pesquisa de Preços",E884)))</formula>
    </cfRule>
  </conditionalFormatting>
  <conditionalFormatting sqref="E885">
    <cfRule type="containsText" dxfId="979" priority="2505" operator="containsText" text="Pesquisa de Preços">
      <formula>NOT(ISERROR(SEARCH("Pesquisa de Preços",E885)))</formula>
    </cfRule>
  </conditionalFormatting>
  <conditionalFormatting sqref="D885">
    <cfRule type="containsText" dxfId="978" priority="2508" operator="containsText" text="Pesquisa de Preços">
      <formula>NOT(ISERROR(SEARCH("Pesquisa de Preços",D885)))</formula>
    </cfRule>
  </conditionalFormatting>
  <conditionalFormatting sqref="D5258">
    <cfRule type="containsText" dxfId="977" priority="2490" operator="containsText" text="Pesquisa de Preços">
      <formula>NOT(ISERROR(SEARCH("Pesquisa de Preços",D5258)))</formula>
    </cfRule>
  </conditionalFormatting>
  <conditionalFormatting sqref="D5259">
    <cfRule type="containsText" dxfId="976" priority="2494" operator="containsText" text="Pesquisa de Preços">
      <formula>NOT(ISERROR(SEARCH("Pesquisa de Preços",D5259)))</formula>
    </cfRule>
  </conditionalFormatting>
  <conditionalFormatting sqref="D5257">
    <cfRule type="containsText" dxfId="975" priority="2491" operator="containsText" text="Pesquisa de Preços">
      <formula>NOT(ISERROR(SEARCH("Pesquisa de Preços",D5257)))</formula>
    </cfRule>
  </conditionalFormatting>
  <conditionalFormatting sqref="D5246">
    <cfRule type="containsText" dxfId="974" priority="2459" operator="containsText" text="Pesquisa de Preços">
      <formula>NOT(ISERROR(SEARCH("Pesquisa de Preços",D5246)))</formula>
    </cfRule>
  </conditionalFormatting>
  <conditionalFormatting sqref="D5247">
    <cfRule type="containsText" dxfId="973" priority="2461" operator="containsText" text="Pesquisa de Preços">
      <formula>NOT(ISERROR(SEARCH("Pesquisa de Preços",D5247)))</formula>
    </cfRule>
  </conditionalFormatting>
  <conditionalFormatting sqref="D5244">
    <cfRule type="containsText" dxfId="972" priority="2460" operator="containsText" text="Pesquisa de Preços">
      <formula>NOT(ISERROR(SEARCH("Pesquisa de Preços",D5244)))</formula>
    </cfRule>
  </conditionalFormatting>
  <conditionalFormatting sqref="D5245">
    <cfRule type="containsText" dxfId="971" priority="2458" operator="containsText" text="Pesquisa de Preços">
      <formula>NOT(ISERROR(SEARCH("Pesquisa de Preços",D5245)))</formula>
    </cfRule>
  </conditionalFormatting>
  <conditionalFormatting sqref="D5368 D5374 D5406 D5344:E5344 D5337:E5337">
    <cfRule type="containsText" dxfId="970" priority="2449" operator="containsText" text="Pesquisa de Preços">
      <formula>NOT(ISERROR(SEARCH("Pesquisa de Preços",D5337)))</formula>
    </cfRule>
  </conditionalFormatting>
  <conditionalFormatting sqref="D5308">
    <cfRule type="containsText" dxfId="969" priority="2439" operator="containsText" text="Pesquisa de Preços">
      <formula>NOT(ISERROR(SEARCH("Pesquisa de Preços",D5308)))</formula>
    </cfRule>
  </conditionalFormatting>
  <conditionalFormatting sqref="D5310">
    <cfRule type="containsText" dxfId="968" priority="2438" operator="containsText" text="Pesquisa de Preços">
      <formula>NOT(ISERROR(SEARCH("Pesquisa de Preços",D5310)))</formula>
    </cfRule>
  </conditionalFormatting>
  <conditionalFormatting sqref="D5306">
    <cfRule type="containsText" dxfId="967" priority="2446" operator="containsText" text="Pesquisa de Preços">
      <formula>NOT(ISERROR(SEARCH("Pesquisa de Preços",D5306)))</formula>
    </cfRule>
  </conditionalFormatting>
  <conditionalFormatting sqref="D5302">
    <cfRule type="containsText" dxfId="966" priority="2428" operator="containsText" text="Pesquisa de Preços">
      <formula>NOT(ISERROR(SEARCH("Pesquisa de Preços",D5302)))</formula>
    </cfRule>
  </conditionalFormatting>
  <conditionalFormatting sqref="D5304">
    <cfRule type="containsText" dxfId="965" priority="2427" operator="containsText" text="Pesquisa de Preços">
      <formula>NOT(ISERROR(SEARCH("Pesquisa de Preços",D5304)))</formula>
    </cfRule>
  </conditionalFormatting>
  <conditionalFormatting sqref="D5300">
    <cfRule type="containsText" dxfId="964" priority="2435" operator="containsText" text="Pesquisa de Preços">
      <formula>NOT(ISERROR(SEARCH("Pesquisa de Preços",D5300)))</formula>
    </cfRule>
  </conditionalFormatting>
  <conditionalFormatting sqref="D5320">
    <cfRule type="containsText" dxfId="963" priority="2417" operator="containsText" text="Pesquisa de Preços">
      <formula>NOT(ISERROR(SEARCH("Pesquisa de Preços",D5320)))</formula>
    </cfRule>
  </conditionalFormatting>
  <conditionalFormatting sqref="D5322">
    <cfRule type="containsText" dxfId="962" priority="2416" operator="containsText" text="Pesquisa de Preços">
      <formula>NOT(ISERROR(SEARCH("Pesquisa de Preços",D5322)))</formula>
    </cfRule>
  </conditionalFormatting>
  <conditionalFormatting sqref="D5318">
    <cfRule type="containsText" dxfId="961" priority="2424" operator="containsText" text="Pesquisa de Preços">
      <formula>NOT(ISERROR(SEARCH("Pesquisa de Preços",D5318)))</formula>
    </cfRule>
  </conditionalFormatting>
  <conditionalFormatting sqref="D5314">
    <cfRule type="containsText" dxfId="960" priority="2406" operator="containsText" text="Pesquisa de Preços">
      <formula>NOT(ISERROR(SEARCH("Pesquisa de Preços",D5314)))</formula>
    </cfRule>
  </conditionalFormatting>
  <conditionalFormatting sqref="D5316">
    <cfRule type="containsText" dxfId="959" priority="2405" operator="containsText" text="Pesquisa de Preços">
      <formula>NOT(ISERROR(SEARCH("Pesquisa de Preços",D5316)))</formula>
    </cfRule>
  </conditionalFormatting>
  <conditionalFormatting sqref="D5312">
    <cfRule type="containsText" dxfId="958" priority="2413" operator="containsText" text="Pesquisa de Preços">
      <formula>NOT(ISERROR(SEARCH("Pesquisa de Preços",D5312)))</formula>
    </cfRule>
  </conditionalFormatting>
  <conditionalFormatting sqref="D5324">
    <cfRule type="containsText" dxfId="957" priority="2402" operator="containsText" text="Pesquisa de Preços">
      <formula>NOT(ISERROR(SEARCH("Pesquisa de Preços",D5324)))</formula>
    </cfRule>
  </conditionalFormatting>
  <conditionalFormatting sqref="D5325:D5326 D5329:D5330">
    <cfRule type="containsText" dxfId="956" priority="2401" operator="containsText" text="Pesquisa de Preços">
      <formula>NOT(ISERROR(SEARCH("Pesquisa de Preços",D5325)))</formula>
    </cfRule>
  </conditionalFormatting>
  <conditionalFormatting sqref="D5327:D5328">
    <cfRule type="containsText" dxfId="955" priority="2400" operator="containsText" text="Pesquisa de Preços">
      <formula>NOT(ISERROR(SEARCH("Pesquisa de Preços",D5327)))</formula>
    </cfRule>
  </conditionalFormatting>
  <conditionalFormatting sqref="E5325:E5326 E5329:E5330">
    <cfRule type="containsText" dxfId="954" priority="2399" operator="containsText" text="Pesquisa de Preços">
      <formula>NOT(ISERROR(SEARCH("Pesquisa de Preços",E5325)))</formula>
    </cfRule>
  </conditionalFormatting>
  <conditionalFormatting sqref="E5324">
    <cfRule type="containsText" dxfId="953" priority="2398" operator="containsText" text="Pesquisa de Preços">
      <formula>NOT(ISERROR(SEARCH("Pesquisa de Preços",E5324)))</formula>
    </cfRule>
  </conditionalFormatting>
  <conditionalFormatting sqref="E5327:E5328">
    <cfRule type="containsText" dxfId="952" priority="2397" operator="containsText" text="Pesquisa de Preços">
      <formula>NOT(ISERROR(SEARCH("Pesquisa de Preços",E5327)))</formula>
    </cfRule>
  </conditionalFormatting>
  <conditionalFormatting sqref="D5296">
    <cfRule type="containsText" dxfId="951" priority="2389" operator="containsText" text="Pesquisa de Preços">
      <formula>NOT(ISERROR(SEARCH("Pesquisa de Preços",D5296)))</formula>
    </cfRule>
  </conditionalFormatting>
  <conditionalFormatting sqref="D5294">
    <cfRule type="containsText" dxfId="950" priority="2390" operator="containsText" text="Pesquisa de Preços">
      <formula>NOT(ISERROR(SEARCH("Pesquisa de Preços",D5294)))</formula>
    </cfRule>
  </conditionalFormatting>
  <conditionalFormatting sqref="D5298">
    <cfRule type="containsText" dxfId="949" priority="2388" operator="containsText" text="Pesquisa de Preços">
      <formula>NOT(ISERROR(SEARCH("Pesquisa de Preços",D5298)))</formula>
    </cfRule>
  </conditionalFormatting>
  <conditionalFormatting sqref="D5331">
    <cfRule type="containsText" dxfId="948" priority="2385" operator="containsText" text="Pesquisa de Preços">
      <formula>NOT(ISERROR(SEARCH("Pesquisa de Preços",D5331)))</formula>
    </cfRule>
  </conditionalFormatting>
  <conditionalFormatting sqref="D5332:D5333">
    <cfRule type="containsText" dxfId="947" priority="2384" operator="containsText" text="Pesquisa de Preços">
      <formula>NOT(ISERROR(SEARCH("Pesquisa de Preços",D5332)))</formula>
    </cfRule>
  </conditionalFormatting>
  <conditionalFormatting sqref="D5334">
    <cfRule type="containsText" dxfId="946" priority="2383" operator="containsText" text="Pesquisa de Preços">
      <formula>NOT(ISERROR(SEARCH("Pesquisa de Preços",D5334)))</formula>
    </cfRule>
  </conditionalFormatting>
  <conditionalFormatting sqref="E5332:E5333">
    <cfRule type="containsText" dxfId="945" priority="2382" operator="containsText" text="Pesquisa de Preços">
      <formula>NOT(ISERROR(SEARCH("Pesquisa de Preços",E5332)))</formula>
    </cfRule>
  </conditionalFormatting>
  <conditionalFormatting sqref="E5331">
    <cfRule type="containsText" dxfId="944" priority="2381" operator="containsText" text="Pesquisa de Preços">
      <formula>NOT(ISERROR(SEARCH("Pesquisa de Preços",E5331)))</formula>
    </cfRule>
  </conditionalFormatting>
  <conditionalFormatting sqref="E5334">
    <cfRule type="containsText" dxfId="943" priority="2380" operator="containsText" text="Pesquisa de Preços">
      <formula>NOT(ISERROR(SEARCH("Pesquisa de Preços",E5334)))</formula>
    </cfRule>
  </conditionalFormatting>
  <conditionalFormatting sqref="D5338">
    <cfRule type="containsText" dxfId="942" priority="2375" operator="containsText" text="Pesquisa de Preços">
      <formula>NOT(ISERROR(SEARCH("Pesquisa de Preços",D5338)))</formula>
    </cfRule>
  </conditionalFormatting>
  <conditionalFormatting sqref="D5339:D5340">
    <cfRule type="containsText" dxfId="941" priority="2374" operator="containsText" text="Pesquisa de Preços">
      <formula>NOT(ISERROR(SEARCH("Pesquisa de Preços",D5339)))</formula>
    </cfRule>
  </conditionalFormatting>
  <conditionalFormatting sqref="D5341:D5342">
    <cfRule type="containsText" dxfId="940" priority="2373" operator="containsText" text="Pesquisa de Preços">
      <formula>NOT(ISERROR(SEARCH("Pesquisa de Preços",D5341)))</formula>
    </cfRule>
  </conditionalFormatting>
  <conditionalFormatting sqref="E5339:E5340">
    <cfRule type="containsText" dxfId="939" priority="2372" operator="containsText" text="Pesquisa de Preços">
      <formula>NOT(ISERROR(SEARCH("Pesquisa de Preços",E5339)))</formula>
    </cfRule>
  </conditionalFormatting>
  <conditionalFormatting sqref="E5338">
    <cfRule type="containsText" dxfId="938" priority="2371" operator="containsText" text="Pesquisa de Preços">
      <formula>NOT(ISERROR(SEARCH("Pesquisa de Preços",E5338)))</formula>
    </cfRule>
  </conditionalFormatting>
  <conditionalFormatting sqref="E5341:E5342">
    <cfRule type="containsText" dxfId="937" priority="2370" operator="containsText" text="Pesquisa de Preços">
      <formula>NOT(ISERROR(SEARCH("Pesquisa de Preços",E5341)))</formula>
    </cfRule>
  </conditionalFormatting>
  <conditionalFormatting sqref="E5336">
    <cfRule type="containsText" dxfId="936" priority="2367" operator="containsText" text="Pesquisa de Preços">
      <formula>NOT(ISERROR(SEARCH("Pesquisa de Preços",E5336)))</formula>
    </cfRule>
  </conditionalFormatting>
  <conditionalFormatting sqref="D5343">
    <cfRule type="containsText" dxfId="935" priority="2366" operator="containsText" text="Pesquisa de Preços">
      <formula>NOT(ISERROR(SEARCH("Pesquisa de Preços",D5343)))</formula>
    </cfRule>
  </conditionalFormatting>
  <conditionalFormatting sqref="E5343">
    <cfRule type="containsText" dxfId="934" priority="2365" operator="containsText" text="Pesquisa de Preços">
      <formula>NOT(ISERROR(SEARCH("Pesquisa de Preços",E5343)))</formula>
    </cfRule>
  </conditionalFormatting>
  <conditionalFormatting sqref="D5335">
    <cfRule type="containsText" dxfId="933" priority="2354" operator="containsText" text="Pesquisa de Preços">
      <formula>NOT(ISERROR(SEARCH("Pesquisa de Preços",D5335)))</formula>
    </cfRule>
  </conditionalFormatting>
  <conditionalFormatting sqref="E5335">
    <cfRule type="containsText" dxfId="932" priority="2353" operator="containsText" text="Pesquisa de Preços">
      <formula>NOT(ISERROR(SEARCH("Pesquisa de Preços",E5335)))</formula>
    </cfRule>
  </conditionalFormatting>
  <conditionalFormatting sqref="D5336">
    <cfRule type="containsText" dxfId="931" priority="2350" operator="containsText" text="Pesquisa de Preços">
      <formula>NOT(ISERROR(SEARCH("Pesquisa de Preços",D5336)))</formula>
    </cfRule>
  </conditionalFormatting>
  <conditionalFormatting sqref="E5359">
    <cfRule type="containsText" dxfId="930" priority="2319" operator="containsText" text="Pesquisa de Preços">
      <formula>NOT(ISERROR(SEARCH("Pesquisa de Preços",E5359)))</formula>
    </cfRule>
  </conditionalFormatting>
  <conditionalFormatting sqref="D5349">
    <cfRule type="containsText" dxfId="929" priority="2340" operator="containsText" text="Pesquisa de Preços">
      <formula>NOT(ISERROR(SEARCH("Pesquisa de Preços",D5349)))</formula>
    </cfRule>
  </conditionalFormatting>
  <conditionalFormatting sqref="D5345">
    <cfRule type="containsText" dxfId="928" priority="2347" operator="containsText" text="Pesquisa de Preços">
      <formula>NOT(ISERROR(SEARCH("Pesquisa de Preços",D5345)))</formula>
    </cfRule>
  </conditionalFormatting>
  <conditionalFormatting sqref="D5347">
    <cfRule type="containsText" dxfId="927" priority="2337" operator="containsText" text="Pesquisa de Preços">
      <formula>NOT(ISERROR(SEARCH("Pesquisa de Preços",D5347)))</formula>
    </cfRule>
  </conditionalFormatting>
  <conditionalFormatting sqref="E5347">
    <cfRule type="containsText" dxfId="926" priority="2336" operator="containsText" text="Pesquisa de Preços">
      <formula>NOT(ISERROR(SEARCH("Pesquisa de Preços",E5347)))</formula>
    </cfRule>
  </conditionalFormatting>
  <conditionalFormatting sqref="D5351">
    <cfRule type="containsText" dxfId="925" priority="2333" operator="containsText" text="Pesquisa de Preços">
      <formula>NOT(ISERROR(SEARCH("Pesquisa de Preços",D5351)))</formula>
    </cfRule>
  </conditionalFormatting>
  <conditionalFormatting sqref="D5354">
    <cfRule type="containsText" dxfId="924" priority="2330" operator="containsText" text="Pesquisa de Preços">
      <formula>NOT(ISERROR(SEARCH("Pesquisa de Preços",D5354)))</formula>
    </cfRule>
  </conditionalFormatting>
  <conditionalFormatting sqref="D5352 D5355:D5356">
    <cfRule type="containsText" dxfId="923" priority="2332" operator="containsText" text="Pesquisa de Preços">
      <formula>NOT(ISERROR(SEARCH("Pesquisa de Preços",D5352)))</formula>
    </cfRule>
  </conditionalFormatting>
  <conditionalFormatting sqref="D5353">
    <cfRule type="containsText" dxfId="922" priority="2331" operator="containsText" text="Pesquisa de Preços">
      <formula>NOT(ISERROR(SEARCH("Pesquisa de Preços",D5353)))</formula>
    </cfRule>
  </conditionalFormatting>
  <conditionalFormatting sqref="E5356">
    <cfRule type="containsText" dxfId="921" priority="2329" operator="containsText" text="Pesquisa de Preços">
      <formula>NOT(ISERROR(SEARCH("Pesquisa de Preços",E5356)))</formula>
    </cfRule>
  </conditionalFormatting>
  <conditionalFormatting sqref="D5357">
    <cfRule type="containsText" dxfId="920" priority="2326" operator="containsText" text="Pesquisa de Preços">
      <formula>NOT(ISERROR(SEARCH("Pesquisa de Preços",D5357)))</formula>
    </cfRule>
  </conditionalFormatting>
  <conditionalFormatting sqref="D5358 D5362:D5363">
    <cfRule type="containsText" dxfId="919" priority="2325" operator="containsText" text="Pesquisa de Preços">
      <formula>NOT(ISERROR(SEARCH("Pesquisa de Preços",D5358)))</formula>
    </cfRule>
  </conditionalFormatting>
  <conditionalFormatting sqref="D5360">
    <cfRule type="containsText" dxfId="918" priority="2323" operator="containsText" text="Pesquisa de Preços">
      <formula>NOT(ISERROR(SEARCH("Pesquisa de Preços",D5360)))</formula>
    </cfRule>
  </conditionalFormatting>
  <conditionalFormatting sqref="D5359">
    <cfRule type="containsText" dxfId="917" priority="2324" operator="containsText" text="Pesquisa de Preços">
      <formula>NOT(ISERROR(SEARCH("Pesquisa de Preços",D5359)))</formula>
    </cfRule>
  </conditionalFormatting>
  <conditionalFormatting sqref="D5361">
    <cfRule type="containsText" dxfId="916" priority="2322" operator="containsText" text="Pesquisa de Preços">
      <formula>NOT(ISERROR(SEARCH("Pesquisa de Preços",D5361)))</formula>
    </cfRule>
  </conditionalFormatting>
  <conditionalFormatting sqref="E5357">
    <cfRule type="containsText" dxfId="915" priority="2320" operator="containsText" text="Pesquisa de Preços">
      <formula>NOT(ISERROR(SEARCH("Pesquisa de Preços",E5357)))</formula>
    </cfRule>
  </conditionalFormatting>
  <conditionalFormatting sqref="E5358 E5362:E5363">
    <cfRule type="containsText" dxfId="914" priority="2321" operator="containsText" text="Pesquisa de Preços">
      <formula>NOT(ISERROR(SEARCH("Pesquisa de Preços",E5358)))</formula>
    </cfRule>
  </conditionalFormatting>
  <conditionalFormatting sqref="E5361">
    <cfRule type="containsText" dxfId="913" priority="2318" operator="containsText" text="Pesquisa de Preços">
      <formula>NOT(ISERROR(SEARCH("Pesquisa de Preços",E5361)))</formula>
    </cfRule>
  </conditionalFormatting>
  <conditionalFormatting sqref="E5366">
    <cfRule type="containsText" dxfId="912" priority="2309" operator="containsText" text="Pesquisa de Preços">
      <formula>NOT(ISERROR(SEARCH("Pesquisa de Preços",E5366)))</formula>
    </cfRule>
  </conditionalFormatting>
  <conditionalFormatting sqref="D5364">
    <cfRule type="containsText" dxfId="911" priority="2315" operator="containsText" text="Pesquisa de Preços">
      <formula>NOT(ISERROR(SEARCH("Pesquisa de Preços",D5364)))</formula>
    </cfRule>
  </conditionalFormatting>
  <conditionalFormatting sqref="D5365 D5369">
    <cfRule type="containsText" dxfId="910" priority="2314" operator="containsText" text="Pesquisa de Preços">
      <formula>NOT(ISERROR(SEARCH("Pesquisa de Preços",D5365)))</formula>
    </cfRule>
  </conditionalFormatting>
  <conditionalFormatting sqref="D5367">
    <cfRule type="containsText" dxfId="909" priority="2312" operator="containsText" text="Pesquisa de Preços">
      <formula>NOT(ISERROR(SEARCH("Pesquisa de Preços",D5367)))</formula>
    </cfRule>
  </conditionalFormatting>
  <conditionalFormatting sqref="D5366">
    <cfRule type="containsText" dxfId="908" priority="2313" operator="containsText" text="Pesquisa de Preços">
      <formula>NOT(ISERROR(SEARCH("Pesquisa de Preços",D5366)))</formula>
    </cfRule>
  </conditionalFormatting>
  <conditionalFormatting sqref="E5371 E5375">
    <cfRule type="containsText" dxfId="907" priority="2302" operator="containsText" text="Pesquisa de Preços">
      <formula>NOT(ISERROR(SEARCH("Pesquisa de Preços",E5371)))</formula>
    </cfRule>
  </conditionalFormatting>
  <conditionalFormatting sqref="E5364">
    <cfRule type="containsText" dxfId="906" priority="2310" operator="containsText" text="Pesquisa de Preços">
      <formula>NOT(ISERROR(SEARCH("Pesquisa de Preços",E5364)))</formula>
    </cfRule>
  </conditionalFormatting>
  <conditionalFormatting sqref="E5365 E5369">
    <cfRule type="containsText" dxfId="905" priority="2311" operator="containsText" text="Pesquisa de Preços">
      <formula>NOT(ISERROR(SEARCH("Pesquisa de Preços",E5365)))</formula>
    </cfRule>
  </conditionalFormatting>
  <conditionalFormatting sqref="E5372">
    <cfRule type="containsText" dxfId="904" priority="2300" operator="containsText" text="Pesquisa de Preços">
      <formula>NOT(ISERROR(SEARCH("Pesquisa de Preços",E5372)))</formula>
    </cfRule>
  </conditionalFormatting>
  <conditionalFormatting sqref="D5370">
    <cfRule type="containsText" dxfId="903" priority="2306" operator="containsText" text="Pesquisa de Preços">
      <formula>NOT(ISERROR(SEARCH("Pesquisa de Preços",D5370)))</formula>
    </cfRule>
  </conditionalFormatting>
  <conditionalFormatting sqref="D5371 D5375">
    <cfRule type="containsText" dxfId="902" priority="2305" operator="containsText" text="Pesquisa de Preços">
      <formula>NOT(ISERROR(SEARCH("Pesquisa de Preços",D5371)))</formula>
    </cfRule>
  </conditionalFormatting>
  <conditionalFormatting sqref="D5373">
    <cfRule type="containsText" dxfId="901" priority="2303" operator="containsText" text="Pesquisa de Preços">
      <formula>NOT(ISERROR(SEARCH("Pesquisa de Preços",D5373)))</formula>
    </cfRule>
  </conditionalFormatting>
  <conditionalFormatting sqref="D5372">
    <cfRule type="containsText" dxfId="900" priority="2304" operator="containsText" text="Pesquisa de Preços">
      <formula>NOT(ISERROR(SEARCH("Pesquisa de Preços",D5372)))</formula>
    </cfRule>
  </conditionalFormatting>
  <conditionalFormatting sqref="E5370">
    <cfRule type="containsText" dxfId="899" priority="2301" operator="containsText" text="Pesquisa de Preços">
      <formula>NOT(ISERROR(SEARCH("Pesquisa de Preços",E5370)))</formula>
    </cfRule>
  </conditionalFormatting>
  <conditionalFormatting sqref="D5376">
    <cfRule type="containsText" dxfId="898" priority="2297" operator="containsText" text="Pesquisa de Preços">
      <formula>NOT(ISERROR(SEARCH("Pesquisa de Preços",D5376)))</formula>
    </cfRule>
  </conditionalFormatting>
  <conditionalFormatting sqref="D5382:D5383 D5377:D5378">
    <cfRule type="containsText" dxfId="897" priority="2296" operator="containsText" text="Pesquisa de Preços">
      <formula>NOT(ISERROR(SEARCH("Pesquisa de Preços",D5377)))</formula>
    </cfRule>
  </conditionalFormatting>
  <conditionalFormatting sqref="E5376">
    <cfRule type="containsText" dxfId="896" priority="2294" operator="containsText" text="Pesquisa de Preços">
      <formula>NOT(ISERROR(SEARCH("Pesquisa de Preços",E5376)))</formula>
    </cfRule>
  </conditionalFormatting>
  <conditionalFormatting sqref="E5377 E5383">
    <cfRule type="containsText" dxfId="895" priority="2295" operator="containsText" text="Pesquisa de Preços">
      <formula>NOT(ISERROR(SEARCH("Pesquisa de Preços",E5377)))</formula>
    </cfRule>
  </conditionalFormatting>
  <conditionalFormatting sqref="E5378">
    <cfRule type="containsText" dxfId="894" priority="2293" operator="containsText" text="Pesquisa de Preços">
      <formula>NOT(ISERROR(SEARCH("Pesquisa de Preços",E5378)))</formula>
    </cfRule>
  </conditionalFormatting>
  <conditionalFormatting sqref="D5384">
    <cfRule type="containsText" dxfId="893" priority="2290" operator="containsText" text="Pesquisa de Preços">
      <formula>NOT(ISERROR(SEARCH("Pesquisa de Preços",D5384)))</formula>
    </cfRule>
  </conditionalFormatting>
  <conditionalFormatting sqref="D5390:D5391 D5385:D5386">
    <cfRule type="containsText" dxfId="892" priority="2289" operator="containsText" text="Pesquisa de Preços">
      <formula>NOT(ISERROR(SEARCH("Pesquisa de Preços",D5385)))</formula>
    </cfRule>
  </conditionalFormatting>
  <conditionalFormatting sqref="E5384">
    <cfRule type="containsText" dxfId="891" priority="2287" operator="containsText" text="Pesquisa de Preços">
      <formula>NOT(ISERROR(SEARCH("Pesquisa de Preços",E5384)))</formula>
    </cfRule>
  </conditionalFormatting>
  <conditionalFormatting sqref="E5385 E5391">
    <cfRule type="containsText" dxfId="890" priority="2288" operator="containsText" text="Pesquisa de Preços">
      <formula>NOT(ISERROR(SEARCH("Pesquisa de Preços",E5385)))</formula>
    </cfRule>
  </conditionalFormatting>
  <conditionalFormatting sqref="E5386">
    <cfRule type="containsText" dxfId="889" priority="2286" operator="containsText" text="Pesquisa de Preços">
      <formula>NOT(ISERROR(SEARCH("Pesquisa de Preços",E5386)))</formula>
    </cfRule>
  </conditionalFormatting>
  <conditionalFormatting sqref="D5392">
    <cfRule type="containsText" dxfId="888" priority="2283" operator="containsText" text="Pesquisa de Preços">
      <formula>NOT(ISERROR(SEARCH("Pesquisa de Preços",D5392)))</formula>
    </cfRule>
  </conditionalFormatting>
  <conditionalFormatting sqref="D5398:D5399 D5393:D5394">
    <cfRule type="containsText" dxfId="887" priority="2282" operator="containsText" text="Pesquisa de Preços">
      <formula>NOT(ISERROR(SEARCH("Pesquisa de Preços",D5393)))</formula>
    </cfRule>
  </conditionalFormatting>
  <conditionalFormatting sqref="E5392">
    <cfRule type="containsText" dxfId="886" priority="2280" operator="containsText" text="Pesquisa de Preços">
      <formula>NOT(ISERROR(SEARCH("Pesquisa de Preços",E5392)))</formula>
    </cfRule>
  </conditionalFormatting>
  <conditionalFormatting sqref="E5393 E5399">
    <cfRule type="containsText" dxfId="885" priority="2281" operator="containsText" text="Pesquisa de Preços">
      <formula>NOT(ISERROR(SEARCH("Pesquisa de Preços",E5393)))</formula>
    </cfRule>
  </conditionalFormatting>
  <conditionalFormatting sqref="E5394">
    <cfRule type="containsText" dxfId="884" priority="2279" operator="containsText" text="Pesquisa de Preços">
      <formula>NOT(ISERROR(SEARCH("Pesquisa de Preços",E5394)))</formula>
    </cfRule>
  </conditionalFormatting>
  <conditionalFormatting sqref="D5400">
    <cfRule type="containsText" dxfId="883" priority="2278" operator="containsText" text="Pesquisa de Preços">
      <formula>NOT(ISERROR(SEARCH("Pesquisa de Preços",D5400)))</formula>
    </cfRule>
  </conditionalFormatting>
  <conditionalFormatting sqref="D5401:D5402">
    <cfRule type="containsText" dxfId="882" priority="2277" operator="containsText" text="Pesquisa de Preços">
      <formula>NOT(ISERROR(SEARCH("Pesquisa de Preços",D5401)))</formula>
    </cfRule>
  </conditionalFormatting>
  <conditionalFormatting sqref="E5400">
    <cfRule type="containsText" dxfId="881" priority="2275" operator="containsText" text="Pesquisa de Preços">
      <formula>NOT(ISERROR(SEARCH("Pesquisa de Preços",E5400)))</formula>
    </cfRule>
  </conditionalFormatting>
  <conditionalFormatting sqref="E5401 E5406">
    <cfRule type="containsText" dxfId="880" priority="2276" operator="containsText" text="Pesquisa de Preços">
      <formula>NOT(ISERROR(SEARCH("Pesquisa de Preços",E5401)))</formula>
    </cfRule>
  </conditionalFormatting>
  <conditionalFormatting sqref="E5402">
    <cfRule type="containsText" dxfId="879" priority="2274" operator="containsText" text="Pesquisa de Preços">
      <formula>NOT(ISERROR(SEARCH("Pesquisa de Preços",E5402)))</formula>
    </cfRule>
  </conditionalFormatting>
  <conditionalFormatting sqref="D5411 D5416">
    <cfRule type="containsText" dxfId="878" priority="2273" operator="containsText" text="Pesquisa de Preços">
      <formula>NOT(ISERROR(SEARCH("Pesquisa de Preços",D5411)))</formula>
    </cfRule>
  </conditionalFormatting>
  <conditionalFormatting sqref="D5407">
    <cfRule type="containsText" dxfId="877" priority="2270" operator="containsText" text="Pesquisa de Preços">
      <formula>NOT(ISERROR(SEARCH("Pesquisa de Preços",D5407)))</formula>
    </cfRule>
  </conditionalFormatting>
  <conditionalFormatting sqref="D5410">
    <cfRule type="containsText" dxfId="876" priority="2267" operator="containsText" text="Pesquisa de Preços">
      <formula>NOT(ISERROR(SEARCH("Pesquisa de Preços",D5410)))</formula>
    </cfRule>
  </conditionalFormatting>
  <conditionalFormatting sqref="D5408">
    <cfRule type="containsText" dxfId="875" priority="2269" operator="containsText" text="Pesquisa de Preços">
      <formula>NOT(ISERROR(SEARCH("Pesquisa de Preços",D5408)))</formula>
    </cfRule>
  </conditionalFormatting>
  <conditionalFormatting sqref="D5409">
    <cfRule type="containsText" dxfId="874" priority="2268" operator="containsText" text="Pesquisa de Preços">
      <formula>NOT(ISERROR(SEARCH("Pesquisa de Preços",D5409)))</formula>
    </cfRule>
  </conditionalFormatting>
  <conditionalFormatting sqref="E5416">
    <cfRule type="containsText" dxfId="873" priority="2266" operator="containsText" text="Pesquisa de Preços">
      <formula>NOT(ISERROR(SEARCH("Pesquisa de Preços",E5416)))</formula>
    </cfRule>
  </conditionalFormatting>
  <conditionalFormatting sqref="D5414">
    <cfRule type="containsText" dxfId="872" priority="2265" operator="containsText" text="Pesquisa de Preços">
      <formula>NOT(ISERROR(SEARCH("Pesquisa de Preços",D5414)))</formula>
    </cfRule>
  </conditionalFormatting>
  <conditionalFormatting sqref="D5413">
    <cfRule type="containsText" dxfId="871" priority="2261" operator="containsText" text="Pesquisa de Preços">
      <formula>NOT(ISERROR(SEARCH("Pesquisa de Preços",D5413)))</formula>
    </cfRule>
  </conditionalFormatting>
  <conditionalFormatting sqref="D5412">
    <cfRule type="containsText" dxfId="870" priority="2262" operator="containsText" text="Pesquisa de Preços">
      <formula>NOT(ISERROR(SEARCH("Pesquisa de Preços",D5412)))</formula>
    </cfRule>
  </conditionalFormatting>
  <conditionalFormatting sqref="D5415">
    <cfRule type="containsText" dxfId="869" priority="2260" operator="containsText" text="Pesquisa de Preços">
      <formula>NOT(ISERROR(SEARCH("Pesquisa de Preços",D5415)))</formula>
    </cfRule>
  </conditionalFormatting>
  <conditionalFormatting sqref="D5419">
    <cfRule type="containsText" dxfId="868" priority="2250" operator="containsText" text="Pesquisa de Preços">
      <formula>NOT(ISERROR(SEARCH("Pesquisa de Preços",D5419)))</formula>
    </cfRule>
  </conditionalFormatting>
  <conditionalFormatting sqref="D5420">
    <cfRule type="containsText" dxfId="867" priority="2249" operator="containsText" text="Pesquisa de Preços">
      <formula>NOT(ISERROR(SEARCH("Pesquisa de Preços",D5420)))</formula>
    </cfRule>
  </conditionalFormatting>
  <conditionalFormatting sqref="D5423">
    <cfRule type="containsText" dxfId="866" priority="2243" operator="containsText" text="Pesquisa de Preços">
      <formula>NOT(ISERROR(SEARCH("Pesquisa de Preços",D5423)))</formula>
    </cfRule>
  </conditionalFormatting>
  <conditionalFormatting sqref="D5422">
    <cfRule type="containsText" dxfId="865" priority="2244" operator="containsText" text="Pesquisa de Preços">
      <formula>NOT(ISERROR(SEARCH("Pesquisa de Preços",D5422)))</formula>
    </cfRule>
  </conditionalFormatting>
  <conditionalFormatting sqref="D5427">
    <cfRule type="containsText" dxfId="864" priority="2242" operator="containsText" text="Pesquisa de Preços">
      <formula>NOT(ISERROR(SEARCH("Pesquisa de Preços",D5427)))</formula>
    </cfRule>
  </conditionalFormatting>
  <conditionalFormatting sqref="D5426">
    <cfRule type="containsText" dxfId="863" priority="2238" operator="containsText" text="Pesquisa de Preços">
      <formula>NOT(ISERROR(SEARCH("Pesquisa de Preços",D5426)))</formula>
    </cfRule>
  </conditionalFormatting>
  <conditionalFormatting sqref="D5421 D5428">
    <cfRule type="containsText" dxfId="862" priority="2255" operator="containsText" text="Pesquisa de Preços">
      <formula>NOT(ISERROR(SEARCH("Pesquisa de Preços",D5421)))</formula>
    </cfRule>
  </conditionalFormatting>
  <conditionalFormatting sqref="D5417">
    <cfRule type="containsText" dxfId="861" priority="2252" operator="containsText" text="Pesquisa de Preços">
      <formula>NOT(ISERROR(SEARCH("Pesquisa de Preços",D5417)))</formula>
    </cfRule>
  </conditionalFormatting>
  <conditionalFormatting sqref="D5418">
    <cfRule type="containsText" dxfId="860" priority="2251" operator="containsText" text="Pesquisa de Preços">
      <formula>NOT(ISERROR(SEARCH("Pesquisa de Preços",D5418)))</formula>
    </cfRule>
  </conditionalFormatting>
  <conditionalFormatting sqref="E5428">
    <cfRule type="containsText" dxfId="859" priority="2248" operator="containsText" text="Pesquisa de Preços">
      <formula>NOT(ISERROR(SEARCH("Pesquisa de Preços",E5428)))</formula>
    </cfRule>
  </conditionalFormatting>
  <conditionalFormatting sqref="D5424">
    <cfRule type="containsText" dxfId="858" priority="2247" operator="containsText" text="Pesquisa de Preços">
      <formula>NOT(ISERROR(SEARCH("Pesquisa de Preços",D5424)))</formula>
    </cfRule>
  </conditionalFormatting>
  <conditionalFormatting sqref="D5425">
    <cfRule type="containsText" dxfId="857" priority="2239" operator="containsText" text="Pesquisa de Preços">
      <formula>NOT(ISERROR(SEARCH("Pesquisa de Preços",D5425)))</formula>
    </cfRule>
  </conditionalFormatting>
  <conditionalFormatting sqref="D5434">
    <cfRule type="containsText" dxfId="856" priority="2227" operator="containsText" text="Pesquisa de Preços">
      <formula>NOT(ISERROR(SEARCH("Pesquisa de Preços",D5434)))</formula>
    </cfRule>
  </conditionalFormatting>
  <conditionalFormatting sqref="D5429">
    <cfRule type="containsText" dxfId="855" priority="2226" operator="containsText" text="Pesquisa de Preços">
      <formula>NOT(ISERROR(SEARCH("Pesquisa de Preços",D5429)))</formula>
    </cfRule>
  </conditionalFormatting>
  <conditionalFormatting sqref="D5430:D5431">
    <cfRule type="containsText" dxfId="854" priority="2225" operator="containsText" text="Pesquisa de Preços">
      <formula>NOT(ISERROR(SEARCH("Pesquisa de Preços",D5430)))</formula>
    </cfRule>
  </conditionalFormatting>
  <conditionalFormatting sqref="E5429">
    <cfRule type="containsText" dxfId="853" priority="2223" operator="containsText" text="Pesquisa de Preços">
      <formula>NOT(ISERROR(SEARCH("Pesquisa de Preços",E5429)))</formula>
    </cfRule>
  </conditionalFormatting>
  <conditionalFormatting sqref="E5430 E5434">
    <cfRule type="containsText" dxfId="852" priority="2224" operator="containsText" text="Pesquisa de Preços">
      <formula>NOT(ISERROR(SEARCH("Pesquisa de Preços",E5430)))</formula>
    </cfRule>
  </conditionalFormatting>
  <conditionalFormatting sqref="E5431">
    <cfRule type="containsText" dxfId="851" priority="2222" operator="containsText" text="Pesquisa de Preços">
      <formula>NOT(ISERROR(SEARCH("Pesquisa de Preços",E5431)))</formula>
    </cfRule>
  </conditionalFormatting>
  <conditionalFormatting sqref="D5440">
    <cfRule type="containsText" dxfId="850" priority="2219" operator="containsText" text="Pesquisa de Preços">
      <formula>NOT(ISERROR(SEARCH("Pesquisa de Preços",D5440)))</formula>
    </cfRule>
  </conditionalFormatting>
  <conditionalFormatting sqref="D5435">
    <cfRule type="containsText" dxfId="849" priority="2218" operator="containsText" text="Pesquisa de Preços">
      <formula>NOT(ISERROR(SEARCH("Pesquisa de Preços",D5435)))</formula>
    </cfRule>
  </conditionalFormatting>
  <conditionalFormatting sqref="D5436:D5437">
    <cfRule type="containsText" dxfId="848" priority="2217" operator="containsText" text="Pesquisa de Preços">
      <formula>NOT(ISERROR(SEARCH("Pesquisa de Preços",D5436)))</formula>
    </cfRule>
  </conditionalFormatting>
  <conditionalFormatting sqref="E5435">
    <cfRule type="containsText" dxfId="847" priority="2215" operator="containsText" text="Pesquisa de Preços">
      <formula>NOT(ISERROR(SEARCH("Pesquisa de Preços",E5435)))</formula>
    </cfRule>
  </conditionalFormatting>
  <conditionalFormatting sqref="E5436 E5440">
    <cfRule type="containsText" dxfId="846" priority="2216" operator="containsText" text="Pesquisa de Preços">
      <formula>NOT(ISERROR(SEARCH("Pesquisa de Preços",E5436)))</formula>
    </cfRule>
  </conditionalFormatting>
  <conditionalFormatting sqref="E5437">
    <cfRule type="containsText" dxfId="845" priority="2214" operator="containsText" text="Pesquisa de Preços">
      <formula>NOT(ISERROR(SEARCH("Pesquisa de Preços",E5437)))</formula>
    </cfRule>
  </conditionalFormatting>
  <conditionalFormatting sqref="D5441">
    <cfRule type="containsText" dxfId="844" priority="2213" operator="containsText" text="Pesquisa de Preços">
      <formula>NOT(ISERROR(SEARCH("Pesquisa de Preços",D5441)))</formula>
    </cfRule>
  </conditionalFormatting>
  <conditionalFormatting sqref="D5442 D5446:D5447">
    <cfRule type="containsText" dxfId="843" priority="2212" operator="containsText" text="Pesquisa de Preços">
      <formula>NOT(ISERROR(SEARCH("Pesquisa de Preços",D5442)))</formula>
    </cfRule>
  </conditionalFormatting>
  <conditionalFormatting sqref="D5443">
    <cfRule type="containsText" dxfId="842" priority="2211" operator="containsText" text="Pesquisa de Preços">
      <formula>NOT(ISERROR(SEARCH("Pesquisa de Preços",D5443)))</formula>
    </cfRule>
  </conditionalFormatting>
  <conditionalFormatting sqref="D5444">
    <cfRule type="containsText" dxfId="841" priority="2210" operator="containsText" text="Pesquisa de Preços">
      <formula>NOT(ISERROR(SEARCH("Pesquisa de Preços",D5444)))</formula>
    </cfRule>
  </conditionalFormatting>
  <conditionalFormatting sqref="D5445">
    <cfRule type="containsText" dxfId="840" priority="2209" operator="containsText" text="Pesquisa de Preços">
      <formula>NOT(ISERROR(SEARCH("Pesquisa de Preços",D5445)))</formula>
    </cfRule>
  </conditionalFormatting>
  <conditionalFormatting sqref="E5442 E5446:E5447">
    <cfRule type="containsText" dxfId="839" priority="2208" operator="containsText" text="Pesquisa de Preços">
      <formula>NOT(ISERROR(SEARCH("Pesquisa de Preços",E5442)))</formula>
    </cfRule>
  </conditionalFormatting>
  <conditionalFormatting sqref="E5441">
    <cfRule type="containsText" dxfId="838" priority="2207" operator="containsText" text="Pesquisa de Preços">
      <formula>NOT(ISERROR(SEARCH("Pesquisa de Preços",E5441)))</formula>
    </cfRule>
  </conditionalFormatting>
  <conditionalFormatting sqref="E5445">
    <cfRule type="containsText" dxfId="837" priority="2205" operator="containsText" text="Pesquisa de Preços">
      <formula>NOT(ISERROR(SEARCH("Pesquisa de Preços",E5445)))</formula>
    </cfRule>
  </conditionalFormatting>
  <conditionalFormatting sqref="E5443">
    <cfRule type="containsText" dxfId="836" priority="2206" operator="containsText" text="Pesquisa de Preços">
      <formula>NOT(ISERROR(SEARCH("Pesquisa de Preços",E5443)))</formula>
    </cfRule>
  </conditionalFormatting>
  <conditionalFormatting sqref="D5453">
    <cfRule type="containsText" dxfId="835" priority="2200" operator="containsText" text="Pesquisa de Preços">
      <formula>NOT(ISERROR(SEARCH("Pesquisa de Preços",D5453)))</formula>
    </cfRule>
  </conditionalFormatting>
  <conditionalFormatting sqref="D5448">
    <cfRule type="containsText" dxfId="834" priority="2199" operator="containsText" text="Pesquisa de Preços">
      <formula>NOT(ISERROR(SEARCH("Pesquisa de Preços",D5448)))</formula>
    </cfRule>
  </conditionalFormatting>
  <conditionalFormatting sqref="D5449:D5450">
    <cfRule type="containsText" dxfId="833" priority="2198" operator="containsText" text="Pesquisa de Preços">
      <formula>NOT(ISERROR(SEARCH("Pesquisa de Preços",D5449)))</formula>
    </cfRule>
  </conditionalFormatting>
  <conditionalFormatting sqref="E5448">
    <cfRule type="containsText" dxfId="832" priority="2196" operator="containsText" text="Pesquisa de Preços">
      <formula>NOT(ISERROR(SEARCH("Pesquisa de Preços",E5448)))</formula>
    </cfRule>
  </conditionalFormatting>
  <conditionalFormatting sqref="E5449 E5453">
    <cfRule type="containsText" dxfId="831" priority="2197" operator="containsText" text="Pesquisa de Preços">
      <formula>NOT(ISERROR(SEARCH("Pesquisa de Preços",E5449)))</formula>
    </cfRule>
  </conditionalFormatting>
  <conditionalFormatting sqref="E5450">
    <cfRule type="containsText" dxfId="830" priority="2195" operator="containsText" text="Pesquisa de Preços">
      <formula>NOT(ISERROR(SEARCH("Pesquisa de Preços",E5450)))</formula>
    </cfRule>
  </conditionalFormatting>
  <conditionalFormatting sqref="D5459">
    <cfRule type="containsText" dxfId="829" priority="2192" operator="containsText" text="Pesquisa de Preços">
      <formula>NOT(ISERROR(SEARCH("Pesquisa de Preços",D5459)))</formula>
    </cfRule>
  </conditionalFormatting>
  <conditionalFormatting sqref="D5454">
    <cfRule type="containsText" dxfId="828" priority="2191" operator="containsText" text="Pesquisa de Preços">
      <formula>NOT(ISERROR(SEARCH("Pesquisa de Preços",D5454)))</formula>
    </cfRule>
  </conditionalFormatting>
  <conditionalFormatting sqref="D5455">
    <cfRule type="containsText" dxfId="827" priority="2190" operator="containsText" text="Pesquisa de Preços">
      <formula>NOT(ISERROR(SEARCH("Pesquisa de Preços",D5455)))</formula>
    </cfRule>
  </conditionalFormatting>
  <conditionalFormatting sqref="E5454">
    <cfRule type="containsText" dxfId="826" priority="2188" operator="containsText" text="Pesquisa de Preços">
      <formula>NOT(ISERROR(SEARCH("Pesquisa de Preços",E5454)))</formula>
    </cfRule>
  </conditionalFormatting>
  <conditionalFormatting sqref="E5455 E5459">
    <cfRule type="containsText" dxfId="825" priority="2189" operator="containsText" text="Pesquisa de Preços">
      <formula>NOT(ISERROR(SEARCH("Pesquisa de Preços",E5455)))</formula>
    </cfRule>
  </conditionalFormatting>
  <conditionalFormatting sqref="D5456">
    <cfRule type="containsText" dxfId="824" priority="2187" operator="containsText" text="Pesquisa de Preços">
      <formula>NOT(ISERROR(SEARCH("Pesquisa de Preços",D5456)))</formula>
    </cfRule>
  </conditionalFormatting>
  <conditionalFormatting sqref="E5456">
    <cfRule type="containsText" dxfId="823" priority="2186" operator="containsText" text="Pesquisa de Preços">
      <formula>NOT(ISERROR(SEARCH("Pesquisa de Preços",E5456)))</formula>
    </cfRule>
  </conditionalFormatting>
  <conditionalFormatting sqref="D5464">
    <cfRule type="containsText" dxfId="822" priority="2185" operator="containsText" text="Pesquisa de Preços">
      <formula>NOT(ISERROR(SEARCH("Pesquisa de Preços",D5464)))</formula>
    </cfRule>
  </conditionalFormatting>
  <conditionalFormatting sqref="E5461 E5465">
    <cfRule type="containsText" dxfId="821" priority="2180" operator="containsText" text="Pesquisa de Preços">
      <formula>NOT(ISERROR(SEARCH("Pesquisa de Preços",E5461)))</formula>
    </cfRule>
  </conditionalFormatting>
  <conditionalFormatting sqref="E5462">
    <cfRule type="containsText" dxfId="820" priority="2178" operator="containsText" text="Pesquisa de Preços">
      <formula>NOT(ISERROR(SEARCH("Pesquisa de Preços",E5462)))</formula>
    </cfRule>
  </conditionalFormatting>
  <conditionalFormatting sqref="D5460">
    <cfRule type="containsText" dxfId="819" priority="2184" operator="containsText" text="Pesquisa de Preços">
      <formula>NOT(ISERROR(SEARCH("Pesquisa de Preços",D5460)))</formula>
    </cfRule>
  </conditionalFormatting>
  <conditionalFormatting sqref="D5461 D5465">
    <cfRule type="containsText" dxfId="818" priority="2183" operator="containsText" text="Pesquisa de Preços">
      <formula>NOT(ISERROR(SEARCH("Pesquisa de Preços",D5461)))</formula>
    </cfRule>
  </conditionalFormatting>
  <conditionalFormatting sqref="D5463">
    <cfRule type="containsText" dxfId="817" priority="2181" operator="containsText" text="Pesquisa de Preços">
      <formula>NOT(ISERROR(SEARCH("Pesquisa de Preços",D5463)))</formula>
    </cfRule>
  </conditionalFormatting>
  <conditionalFormatting sqref="D5462">
    <cfRule type="containsText" dxfId="816" priority="2182" operator="containsText" text="Pesquisa de Preços">
      <formula>NOT(ISERROR(SEARCH("Pesquisa de Preços",D5462)))</formula>
    </cfRule>
  </conditionalFormatting>
  <conditionalFormatting sqref="E5460">
    <cfRule type="containsText" dxfId="815" priority="2179" operator="containsText" text="Pesquisa de Preços">
      <formula>NOT(ISERROR(SEARCH("Pesquisa de Preços",E5460)))</formula>
    </cfRule>
  </conditionalFormatting>
  <conditionalFormatting sqref="E5463">
    <cfRule type="containsText" dxfId="814" priority="2173" operator="containsText" text="Pesquisa de Preços">
      <formula>NOT(ISERROR(SEARCH("Pesquisa de Preços",E5463)))</formula>
    </cfRule>
  </conditionalFormatting>
  <conditionalFormatting sqref="E5467 E5469">
    <cfRule type="containsText" dxfId="813" priority="2169" operator="containsText" text="Pesquisa de Preços">
      <formula>NOT(ISERROR(SEARCH("Pesquisa de Preços",E5467)))</formula>
    </cfRule>
  </conditionalFormatting>
  <conditionalFormatting sqref="E5468">
    <cfRule type="containsText" dxfId="812" priority="2167" operator="containsText" text="Pesquisa de Preços">
      <formula>NOT(ISERROR(SEARCH("Pesquisa de Preços",E5468)))</formula>
    </cfRule>
  </conditionalFormatting>
  <conditionalFormatting sqref="D5466">
    <cfRule type="containsText" dxfId="811" priority="2172" operator="containsText" text="Pesquisa de Preços">
      <formula>NOT(ISERROR(SEARCH("Pesquisa de Preços",D5466)))</formula>
    </cfRule>
  </conditionalFormatting>
  <conditionalFormatting sqref="D5467 D5469">
    <cfRule type="containsText" dxfId="810" priority="2171" operator="containsText" text="Pesquisa de Preços">
      <formula>NOT(ISERROR(SEARCH("Pesquisa de Preços",D5467)))</formula>
    </cfRule>
  </conditionalFormatting>
  <conditionalFormatting sqref="D5468">
    <cfRule type="containsText" dxfId="809" priority="2170" operator="containsText" text="Pesquisa de Preços">
      <formula>NOT(ISERROR(SEARCH("Pesquisa de Preços",D5468)))</formula>
    </cfRule>
  </conditionalFormatting>
  <conditionalFormatting sqref="E5466">
    <cfRule type="containsText" dxfId="808" priority="2168" operator="containsText" text="Pesquisa de Preços">
      <formula>NOT(ISERROR(SEARCH("Pesquisa de Preços",E5466)))</formula>
    </cfRule>
  </conditionalFormatting>
  <conditionalFormatting sqref="E5478 E5480">
    <cfRule type="containsText" dxfId="807" priority="2161" operator="containsText" text="Pesquisa de Preços">
      <formula>NOT(ISERROR(SEARCH("Pesquisa de Preços",E5478)))</formula>
    </cfRule>
  </conditionalFormatting>
  <conditionalFormatting sqref="E5479">
    <cfRule type="containsText" dxfId="806" priority="2159" operator="containsText" text="Pesquisa de Preços">
      <formula>NOT(ISERROR(SEARCH("Pesquisa de Preços",E5479)))</formula>
    </cfRule>
  </conditionalFormatting>
  <conditionalFormatting sqref="D5477">
    <cfRule type="containsText" dxfId="805" priority="2164" operator="containsText" text="Pesquisa de Preços">
      <formula>NOT(ISERROR(SEARCH("Pesquisa de Preços",D5477)))</formula>
    </cfRule>
  </conditionalFormatting>
  <conditionalFormatting sqref="D5478 D5480">
    <cfRule type="containsText" dxfId="804" priority="2163" operator="containsText" text="Pesquisa de Preços">
      <formula>NOT(ISERROR(SEARCH("Pesquisa de Preços",D5478)))</formula>
    </cfRule>
  </conditionalFormatting>
  <conditionalFormatting sqref="D5479">
    <cfRule type="containsText" dxfId="803" priority="2162" operator="containsText" text="Pesquisa de Preços">
      <formula>NOT(ISERROR(SEARCH("Pesquisa de Preços",D5479)))</formula>
    </cfRule>
  </conditionalFormatting>
  <conditionalFormatting sqref="E5477">
    <cfRule type="containsText" dxfId="802" priority="2160" operator="containsText" text="Pesquisa de Preços">
      <formula>NOT(ISERROR(SEARCH("Pesquisa de Preços",E5477)))</formula>
    </cfRule>
  </conditionalFormatting>
  <conditionalFormatting sqref="D5475">
    <cfRule type="containsText" dxfId="801" priority="2140" operator="containsText" text="Pesquisa de Preços">
      <formula>NOT(ISERROR(SEARCH("Pesquisa de Preços",D5475)))</formula>
    </cfRule>
  </conditionalFormatting>
  <conditionalFormatting sqref="E5471 E5476">
    <cfRule type="containsText" dxfId="800" priority="2148" operator="containsText" text="Pesquisa de Preços">
      <formula>NOT(ISERROR(SEARCH("Pesquisa de Preços",E5471)))</formula>
    </cfRule>
  </conditionalFormatting>
  <conditionalFormatting sqref="D5470">
    <cfRule type="containsText" dxfId="799" priority="2152" operator="containsText" text="Pesquisa de Preços">
      <formula>NOT(ISERROR(SEARCH("Pesquisa de Preços",D5470)))</formula>
    </cfRule>
  </conditionalFormatting>
  <conditionalFormatting sqref="D5471 D5476">
    <cfRule type="containsText" dxfId="798" priority="2151" operator="containsText" text="Pesquisa de Preços">
      <formula>NOT(ISERROR(SEARCH("Pesquisa de Preços",D5471)))</formula>
    </cfRule>
  </conditionalFormatting>
  <conditionalFormatting sqref="E5473:E5474">
    <cfRule type="containsText" dxfId="797" priority="2136" operator="containsText" text="Pesquisa de Preços">
      <formula>NOT(ISERROR(SEARCH("Pesquisa de Preços",E5473)))</formula>
    </cfRule>
  </conditionalFormatting>
  <conditionalFormatting sqref="E5472">
    <cfRule type="containsText" dxfId="796" priority="2137" operator="containsText" text="Pesquisa de Preços">
      <formula>NOT(ISERROR(SEARCH("Pesquisa de Preços",E5472)))</formula>
    </cfRule>
  </conditionalFormatting>
  <conditionalFormatting sqref="E5470">
    <cfRule type="containsText" dxfId="795" priority="2147" operator="containsText" text="Pesquisa de Preços">
      <formula>NOT(ISERROR(SEARCH("Pesquisa de Preços",E5470)))</formula>
    </cfRule>
  </conditionalFormatting>
  <conditionalFormatting sqref="D5473:D5474">
    <cfRule type="containsText" dxfId="794" priority="2138" operator="containsText" text="Pesquisa de Preços">
      <formula>NOT(ISERROR(SEARCH("Pesquisa de Preços",D5473)))</formula>
    </cfRule>
  </conditionalFormatting>
  <conditionalFormatting sqref="D5472">
    <cfRule type="containsText" dxfId="793" priority="2139" operator="containsText" text="Pesquisa de Preços">
      <formula>NOT(ISERROR(SEARCH("Pesquisa de Preços",D5472)))</formula>
    </cfRule>
  </conditionalFormatting>
  <conditionalFormatting sqref="D6236">
    <cfRule type="containsText" dxfId="792" priority="2122" operator="containsText" text="Pesquisa de Preços">
      <formula>NOT(ISERROR(SEARCH("Pesquisa de Preços",D6236)))</formula>
    </cfRule>
  </conditionalFormatting>
  <conditionalFormatting sqref="D6234:D6235">
    <cfRule type="containsText" dxfId="791" priority="2120" operator="containsText" text="Pesquisa de Preços">
      <formula>NOT(ISERROR(SEARCH("Pesquisa de Preços",D6234)))</formula>
    </cfRule>
  </conditionalFormatting>
  <conditionalFormatting sqref="D6233">
    <cfRule type="containsText" dxfId="790" priority="2121" operator="containsText" text="Pesquisa de Preços">
      <formula>NOT(ISERROR(SEARCH("Pesquisa de Preços",D6233)))</formula>
    </cfRule>
  </conditionalFormatting>
  <conditionalFormatting sqref="D6231">
    <cfRule type="containsText" dxfId="789" priority="2119" operator="containsText" text="Pesquisa de Preços">
      <formula>NOT(ISERROR(SEARCH("Pesquisa de Preços",D6231)))</formula>
    </cfRule>
  </conditionalFormatting>
  <conditionalFormatting sqref="D6245">
    <cfRule type="containsText" dxfId="788" priority="2114" operator="containsText" text="Pesquisa de Preços">
      <formula>NOT(ISERROR(SEARCH("Pesquisa de Preços",D6245)))</formula>
    </cfRule>
  </conditionalFormatting>
  <conditionalFormatting sqref="D6239">
    <cfRule type="containsText" dxfId="787" priority="2113" operator="containsText" text="Pesquisa de Preços">
      <formula>NOT(ISERROR(SEARCH("Pesquisa de Preços",D6239)))</formula>
    </cfRule>
  </conditionalFormatting>
  <conditionalFormatting sqref="D6237">
    <cfRule type="containsText" dxfId="786" priority="2112" operator="containsText" text="Pesquisa de Preços">
      <formula>NOT(ISERROR(SEARCH("Pesquisa de Preços",D6237)))</formula>
    </cfRule>
  </conditionalFormatting>
  <conditionalFormatting sqref="D6240:D6244">
    <cfRule type="containsText" dxfId="785" priority="2109" operator="containsText" text="Pesquisa de Preços">
      <formula>NOT(ISERROR(SEARCH("Pesquisa de Preços",D6240)))</formula>
    </cfRule>
  </conditionalFormatting>
  <conditionalFormatting sqref="D6256">
    <cfRule type="containsText" dxfId="784" priority="2101" operator="containsText" text="Pesquisa de Preços">
      <formula>NOT(ISERROR(SEARCH("Pesquisa de Preços",D6256)))</formula>
    </cfRule>
  </conditionalFormatting>
  <conditionalFormatting sqref="D6248">
    <cfRule type="containsText" dxfId="783" priority="2100" operator="containsText" text="Pesquisa de Preços">
      <formula>NOT(ISERROR(SEARCH("Pesquisa de Preços",D6248)))</formula>
    </cfRule>
  </conditionalFormatting>
  <conditionalFormatting sqref="D6246">
    <cfRule type="containsText" dxfId="782" priority="2099" operator="containsText" text="Pesquisa de Preços">
      <formula>NOT(ISERROR(SEARCH("Pesquisa de Preços",D6246)))</formula>
    </cfRule>
  </conditionalFormatting>
  <conditionalFormatting sqref="D6249:D6253">
    <cfRule type="containsText" dxfId="781" priority="2096" operator="containsText" text="Pesquisa de Preços">
      <formula>NOT(ISERROR(SEARCH("Pesquisa de Preços",D6249)))</formula>
    </cfRule>
  </conditionalFormatting>
  <conditionalFormatting sqref="D6255">
    <cfRule type="containsText" dxfId="780" priority="2095" operator="containsText" text="Pesquisa de Preços">
      <formula>NOT(ISERROR(SEARCH("Pesquisa de Preços",D6255)))</formula>
    </cfRule>
  </conditionalFormatting>
  <conditionalFormatting sqref="D6254">
    <cfRule type="containsText" dxfId="779" priority="2092" operator="containsText" text="Pesquisa de Preços">
      <formula>NOT(ISERROR(SEARCH("Pesquisa de Preços",D6254)))</formula>
    </cfRule>
  </conditionalFormatting>
  <conditionalFormatting sqref="D6264">
    <cfRule type="containsText" dxfId="778" priority="2079" operator="containsText" text="Pesquisa de Preços">
      <formula>NOT(ISERROR(SEARCH("Pesquisa de Preços",D6264)))</formula>
    </cfRule>
  </conditionalFormatting>
  <conditionalFormatting sqref="D6259">
    <cfRule type="containsText" dxfId="777" priority="2078" operator="containsText" text="Pesquisa de Preços">
      <formula>NOT(ISERROR(SEARCH("Pesquisa de Preços",D6259)))</formula>
    </cfRule>
  </conditionalFormatting>
  <conditionalFormatting sqref="D6257">
    <cfRule type="containsText" dxfId="776" priority="2077" operator="containsText" text="Pesquisa de Preços">
      <formula>NOT(ISERROR(SEARCH("Pesquisa de Preços",D6257)))</formula>
    </cfRule>
  </conditionalFormatting>
  <conditionalFormatting sqref="D6260:D6263">
    <cfRule type="containsText" dxfId="775" priority="2074" operator="containsText" text="Pesquisa de Preços">
      <formula>NOT(ISERROR(SEARCH("Pesquisa de Preços",D6260)))</formula>
    </cfRule>
  </conditionalFormatting>
  <conditionalFormatting sqref="D6272">
    <cfRule type="containsText" dxfId="774" priority="2067" operator="containsText" text="Pesquisa de Preços">
      <formula>NOT(ISERROR(SEARCH("Pesquisa de Preços",D6272)))</formula>
    </cfRule>
  </conditionalFormatting>
  <conditionalFormatting sqref="D6267">
    <cfRule type="containsText" dxfId="773" priority="2066" operator="containsText" text="Pesquisa de Preços">
      <formula>NOT(ISERROR(SEARCH("Pesquisa de Preços",D6267)))</formula>
    </cfRule>
  </conditionalFormatting>
  <conditionalFormatting sqref="D6265">
    <cfRule type="containsText" dxfId="772" priority="2065" operator="containsText" text="Pesquisa de Preços">
      <formula>NOT(ISERROR(SEARCH("Pesquisa de Preços",D6265)))</formula>
    </cfRule>
  </conditionalFormatting>
  <conditionalFormatting sqref="D6268:D6271">
    <cfRule type="containsText" dxfId="771" priority="2062" operator="containsText" text="Pesquisa de Preços">
      <formula>NOT(ISERROR(SEARCH("Pesquisa de Preços",D6268)))</formula>
    </cfRule>
  </conditionalFormatting>
  <conditionalFormatting sqref="D6281">
    <cfRule type="containsText" dxfId="770" priority="2057" operator="containsText" text="Pesquisa de Preços">
      <formula>NOT(ISERROR(SEARCH("Pesquisa de Preços",D6281)))</formula>
    </cfRule>
  </conditionalFormatting>
  <conditionalFormatting sqref="D6275">
    <cfRule type="containsText" dxfId="769" priority="2056" operator="containsText" text="Pesquisa de Preços">
      <formula>NOT(ISERROR(SEARCH("Pesquisa de Preços",D6275)))</formula>
    </cfRule>
  </conditionalFormatting>
  <conditionalFormatting sqref="D6273">
    <cfRule type="containsText" dxfId="768" priority="2055" operator="containsText" text="Pesquisa de Preços">
      <formula>NOT(ISERROR(SEARCH("Pesquisa de Preços",D6273)))</formula>
    </cfRule>
  </conditionalFormatting>
  <conditionalFormatting sqref="D6276:D6280">
    <cfRule type="containsText" dxfId="767" priority="2052" operator="containsText" text="Pesquisa de Preços">
      <formula>NOT(ISERROR(SEARCH("Pesquisa de Preços",D6276)))</formula>
    </cfRule>
  </conditionalFormatting>
  <conditionalFormatting sqref="D6292">
    <cfRule type="containsText" dxfId="766" priority="2045" operator="containsText" text="Pesquisa de Preços">
      <formula>NOT(ISERROR(SEARCH("Pesquisa de Preços",D6292)))</formula>
    </cfRule>
  </conditionalFormatting>
  <conditionalFormatting sqref="D6284">
    <cfRule type="containsText" dxfId="765" priority="2044" operator="containsText" text="Pesquisa de Preços">
      <formula>NOT(ISERROR(SEARCH("Pesquisa de Preços",D6284)))</formula>
    </cfRule>
  </conditionalFormatting>
  <conditionalFormatting sqref="D6282">
    <cfRule type="containsText" dxfId="764" priority="2043" operator="containsText" text="Pesquisa de Preços">
      <formula>NOT(ISERROR(SEARCH("Pesquisa de Preços",D6282)))</formula>
    </cfRule>
  </conditionalFormatting>
  <conditionalFormatting sqref="D6285:D6289">
    <cfRule type="containsText" dxfId="763" priority="2040" operator="containsText" text="Pesquisa de Preços">
      <formula>NOT(ISERROR(SEARCH("Pesquisa de Preços",D6285)))</formula>
    </cfRule>
  </conditionalFormatting>
  <conditionalFormatting sqref="D6290">
    <cfRule type="containsText" dxfId="762" priority="2036" operator="containsText" text="Pesquisa de Preços">
      <formula>NOT(ISERROR(SEARCH("Pesquisa de Preços",D6290)))</formula>
    </cfRule>
  </conditionalFormatting>
  <conditionalFormatting sqref="D6291">
    <cfRule type="containsText" dxfId="761" priority="2033" operator="containsText" text="Pesquisa de Preços">
      <formula>NOT(ISERROR(SEARCH("Pesquisa de Preços",D6291)))</formula>
    </cfRule>
  </conditionalFormatting>
  <conditionalFormatting sqref="D6316">
    <cfRule type="containsText" dxfId="760" priority="2026" operator="containsText" text="Pesquisa de Preços">
      <formula>NOT(ISERROR(SEARCH("Pesquisa de Preços",D6316)))</formula>
    </cfRule>
  </conditionalFormatting>
  <conditionalFormatting sqref="D6295">
    <cfRule type="containsText" dxfId="759" priority="2025" operator="containsText" text="Pesquisa de Preços">
      <formula>NOT(ISERROR(SEARCH("Pesquisa de Preços",D6295)))</formula>
    </cfRule>
  </conditionalFormatting>
  <conditionalFormatting sqref="D6293">
    <cfRule type="containsText" dxfId="758" priority="2024" operator="containsText" text="Pesquisa de Preços">
      <formula>NOT(ISERROR(SEARCH("Pesquisa de Preços",D6293)))</formula>
    </cfRule>
  </conditionalFormatting>
  <conditionalFormatting sqref="D6296">
    <cfRule type="containsText" dxfId="757" priority="2021" operator="containsText" text="Pesquisa de Preços">
      <formula>NOT(ISERROR(SEARCH("Pesquisa de Preços",D6296)))</formula>
    </cfRule>
  </conditionalFormatting>
  <conditionalFormatting sqref="D6332 D6330">
    <cfRule type="containsText" dxfId="756" priority="1992" operator="containsText" text="Pesquisa de Preços">
      <formula>NOT(ISERROR(SEARCH("Pesquisa de Preços",D6330)))</formula>
    </cfRule>
  </conditionalFormatting>
  <conditionalFormatting sqref="D6297:D6309">
    <cfRule type="containsText" dxfId="755" priority="2018" operator="containsText" text="Pesquisa de Preços">
      <formula>NOT(ISERROR(SEARCH("Pesquisa de Preços",D6297)))</formula>
    </cfRule>
  </conditionalFormatting>
  <conditionalFormatting sqref="D6317">
    <cfRule type="containsText" dxfId="754" priority="2006" operator="containsText" text="Pesquisa de Preços">
      <formula>NOT(ISERROR(SEARCH("Pesquisa de Preços",D6317)))</formula>
    </cfRule>
  </conditionalFormatting>
  <conditionalFormatting sqref="D6310:D6315">
    <cfRule type="containsText" dxfId="753" priority="2015" operator="containsText" text="Pesquisa de Preços">
      <formula>NOT(ISERROR(SEARCH("Pesquisa de Preços",D6310)))</formula>
    </cfRule>
  </conditionalFormatting>
  <conditionalFormatting sqref="D6321">
    <cfRule type="containsText" dxfId="752" priority="2003" operator="containsText" text="Pesquisa de Preços">
      <formula>NOT(ISERROR(SEARCH("Pesquisa de Preços",D6321)))</formula>
    </cfRule>
  </conditionalFormatting>
  <conditionalFormatting sqref="D6329">
    <cfRule type="containsText" dxfId="751" priority="1994" operator="containsText" text="Pesquisa de Preços">
      <formula>NOT(ISERROR(SEARCH("Pesquisa de Preços",D6329)))</formula>
    </cfRule>
  </conditionalFormatting>
  <conditionalFormatting sqref="D6333:D6334">
    <cfRule type="containsText" dxfId="750" priority="1990" operator="containsText" text="Pesquisa de Preços">
      <formula>NOT(ISERROR(SEARCH("Pesquisa de Preços",D6333)))</formula>
    </cfRule>
  </conditionalFormatting>
  <conditionalFormatting sqref="D6326">
    <cfRule type="containsText" dxfId="749" priority="2008" operator="containsText" text="Pesquisa de Preços">
      <formula>NOT(ISERROR(SEARCH("Pesquisa de Preços",D6326)))</formula>
    </cfRule>
  </conditionalFormatting>
  <conditionalFormatting sqref="D6319">
    <cfRule type="containsText" dxfId="748" priority="2007" operator="containsText" text="Pesquisa de Preços">
      <formula>NOT(ISERROR(SEARCH("Pesquisa de Preços",D6319)))</formula>
    </cfRule>
  </conditionalFormatting>
  <conditionalFormatting sqref="D6325">
    <cfRule type="containsText" dxfId="747" priority="2005" operator="containsText" text="Pesquisa de Preços">
      <formula>NOT(ISERROR(SEARCH("Pesquisa de Preços",D6325)))</formula>
    </cfRule>
  </conditionalFormatting>
  <conditionalFormatting sqref="D6336">
    <cfRule type="containsText" dxfId="746" priority="1984" operator="containsText" text="Pesquisa de Preços">
      <formula>NOT(ISERROR(SEARCH("Pesquisa de Preços",D6336)))</formula>
    </cfRule>
  </conditionalFormatting>
  <conditionalFormatting sqref="D6322 D6320">
    <cfRule type="containsText" dxfId="745" priority="2004" operator="containsText" text="Pesquisa de Preços">
      <formula>NOT(ISERROR(SEARCH("Pesquisa de Preços",D6320)))</formula>
    </cfRule>
  </conditionalFormatting>
  <conditionalFormatting sqref="D6323:D6324">
    <cfRule type="containsText" dxfId="744" priority="2002" operator="containsText" text="Pesquisa de Preços">
      <formula>NOT(ISERROR(SEARCH("Pesquisa de Preços",D6323)))</formula>
    </cfRule>
  </conditionalFormatting>
  <conditionalFormatting sqref="D6327">
    <cfRule type="containsText" dxfId="743" priority="1993" operator="containsText" text="Pesquisa de Preços">
      <formula>NOT(ISERROR(SEARCH("Pesquisa de Preços",D6327)))</formula>
    </cfRule>
  </conditionalFormatting>
  <conditionalFormatting sqref="D6331">
    <cfRule type="containsText" dxfId="742" priority="1991" operator="containsText" text="Pesquisa de Preços">
      <formula>NOT(ISERROR(SEARCH("Pesquisa de Preços",D6331)))</formula>
    </cfRule>
  </conditionalFormatting>
  <conditionalFormatting sqref="D6335">
    <cfRule type="containsText" dxfId="741" priority="1995" operator="containsText" text="Pesquisa de Preços">
      <formula>NOT(ISERROR(SEARCH("Pesquisa de Preços",D6335)))</formula>
    </cfRule>
  </conditionalFormatting>
  <conditionalFormatting sqref="D6340">
    <cfRule type="containsText" dxfId="740" priority="1987" operator="containsText" text="Pesquisa de Preços">
      <formula>NOT(ISERROR(SEARCH("Pesquisa de Preços",D6340)))</formula>
    </cfRule>
  </conditionalFormatting>
  <conditionalFormatting sqref="D6339">
    <cfRule type="containsText" dxfId="739" priority="1985" operator="containsText" text="Pesquisa de Preços">
      <formula>NOT(ISERROR(SEARCH("Pesquisa de Preços",D6339)))</formula>
    </cfRule>
  </conditionalFormatting>
  <conditionalFormatting sqref="D6338">
    <cfRule type="containsText" dxfId="738" priority="1986" operator="containsText" text="Pesquisa de Preços">
      <formula>NOT(ISERROR(SEARCH("Pesquisa de Preços",D6338)))</formula>
    </cfRule>
  </conditionalFormatting>
  <conditionalFormatting sqref="D6354">
    <cfRule type="containsText" dxfId="737" priority="1977" operator="containsText" text="Pesquisa de Preços">
      <formula>NOT(ISERROR(SEARCH("Pesquisa de Preços",D6354)))</formula>
    </cfRule>
  </conditionalFormatting>
  <conditionalFormatting sqref="D6343">
    <cfRule type="containsText" dxfId="736" priority="1976" operator="containsText" text="Pesquisa de Preços">
      <formula>NOT(ISERROR(SEARCH("Pesquisa de Preços",D6343)))</formula>
    </cfRule>
  </conditionalFormatting>
  <conditionalFormatting sqref="D6341">
    <cfRule type="containsText" dxfId="735" priority="1975" operator="containsText" text="Pesquisa de Preços">
      <formula>NOT(ISERROR(SEARCH("Pesquisa de Preços",D6341)))</formula>
    </cfRule>
  </conditionalFormatting>
  <conditionalFormatting sqref="D6344:D6348">
    <cfRule type="containsText" dxfId="734" priority="1972" operator="containsText" text="Pesquisa de Preços">
      <formula>NOT(ISERROR(SEARCH("Pesquisa de Preços",D6344)))</formula>
    </cfRule>
  </conditionalFormatting>
  <conditionalFormatting sqref="D6352">
    <cfRule type="containsText" dxfId="733" priority="1971" operator="containsText" text="Pesquisa de Preços">
      <formula>NOT(ISERROR(SEARCH("Pesquisa de Preços",D6352)))</formula>
    </cfRule>
  </conditionalFormatting>
  <conditionalFormatting sqref="D6349">
    <cfRule type="containsText" dxfId="732" priority="1968" operator="containsText" text="Pesquisa de Preços">
      <formula>NOT(ISERROR(SEARCH("Pesquisa de Preços",D6349)))</formula>
    </cfRule>
  </conditionalFormatting>
  <conditionalFormatting sqref="D6353">
    <cfRule type="containsText" dxfId="731" priority="1965" operator="containsText" text="Pesquisa de Preços">
      <formula>NOT(ISERROR(SEARCH("Pesquisa de Preços",D6353)))</formula>
    </cfRule>
  </conditionalFormatting>
  <conditionalFormatting sqref="D6350">
    <cfRule type="containsText" dxfId="730" priority="1962" operator="containsText" text="Pesquisa de Preços">
      <formula>NOT(ISERROR(SEARCH("Pesquisa de Preços",D6350)))</formula>
    </cfRule>
  </conditionalFormatting>
  <conditionalFormatting sqref="D6351">
    <cfRule type="containsText" dxfId="729" priority="1959" operator="containsText" text="Pesquisa de Preços">
      <formula>NOT(ISERROR(SEARCH("Pesquisa de Preços",D6351)))</formula>
    </cfRule>
  </conditionalFormatting>
  <conditionalFormatting sqref="D6369">
    <cfRule type="containsText" dxfId="728" priority="1952" operator="containsText" text="Pesquisa de Preços">
      <formula>NOT(ISERROR(SEARCH("Pesquisa de Preços",D6369)))</formula>
    </cfRule>
  </conditionalFormatting>
  <conditionalFormatting sqref="D6355">
    <cfRule type="containsText" dxfId="727" priority="1950" operator="containsText" text="Pesquisa de Preços">
      <formula>NOT(ISERROR(SEARCH("Pesquisa de Preços",D6355)))</formula>
    </cfRule>
  </conditionalFormatting>
  <conditionalFormatting sqref="D6371:D6372">
    <cfRule type="containsText" dxfId="726" priority="1940" operator="containsText" text="Pesquisa de Preços">
      <formula>NOT(ISERROR(SEARCH("Pesquisa de Preços",D6371)))</formula>
    </cfRule>
  </conditionalFormatting>
  <conditionalFormatting sqref="E6372">
    <cfRule type="containsText" dxfId="725" priority="1937" operator="containsText" text="Pesquisa de Preços">
      <formula>NOT(ISERROR(SEARCH("Pesquisa de Preços",E6372)))</formula>
    </cfRule>
  </conditionalFormatting>
  <conditionalFormatting sqref="D6367:D6368">
    <cfRule type="containsText" dxfId="724" priority="1945" operator="containsText" text="Pesquisa de Preços">
      <formula>NOT(ISERROR(SEARCH("Pesquisa de Preços",D6367)))</formula>
    </cfRule>
  </conditionalFormatting>
  <conditionalFormatting sqref="D6378:D6379">
    <cfRule type="containsText" dxfId="723" priority="1934" operator="containsText" text="Pesquisa de Preços">
      <formula>NOT(ISERROR(SEARCH("Pesquisa de Preços",D6378)))</formula>
    </cfRule>
  </conditionalFormatting>
  <conditionalFormatting sqref="E6379">
    <cfRule type="containsText" dxfId="722" priority="1931" operator="containsText" text="Pesquisa de Preços">
      <formula>NOT(ISERROR(SEARCH("Pesquisa de Preços",E6379)))</formula>
    </cfRule>
  </conditionalFormatting>
  <conditionalFormatting sqref="D6376">
    <cfRule type="containsText" dxfId="721" priority="1944" operator="containsText" text="Pesquisa de Preços">
      <formula>NOT(ISERROR(SEARCH("Pesquisa de Preços",D6376)))</formula>
    </cfRule>
  </conditionalFormatting>
  <conditionalFormatting sqref="D6370">
    <cfRule type="containsText" dxfId="720" priority="1941" operator="containsText" text="Pesquisa de Preços">
      <formula>NOT(ISERROR(SEARCH("Pesquisa de Preços",D6370)))</formula>
    </cfRule>
  </conditionalFormatting>
  <conditionalFormatting sqref="E6370">
    <cfRule type="containsText" dxfId="719" priority="1938" operator="containsText" text="Pesquisa de Preços">
      <formula>NOT(ISERROR(SEARCH("Pesquisa de Preços",E6370)))</formula>
    </cfRule>
  </conditionalFormatting>
  <conditionalFormatting sqref="E6371 E6376">
    <cfRule type="containsText" dxfId="718" priority="1939" operator="containsText" text="Pesquisa de Preços">
      <formula>NOT(ISERROR(SEARCH("Pesquisa de Preços",E6371)))</formula>
    </cfRule>
  </conditionalFormatting>
  <conditionalFormatting sqref="D6382">
    <cfRule type="containsText" dxfId="717" priority="1936" operator="containsText" text="Pesquisa de Preços">
      <formula>NOT(ISERROR(SEARCH("Pesquisa de Preços",D6382)))</formula>
    </cfRule>
  </conditionalFormatting>
  <conditionalFormatting sqref="D6377">
    <cfRule type="containsText" dxfId="716" priority="1935" operator="containsText" text="Pesquisa de Preços">
      <formula>NOT(ISERROR(SEARCH("Pesquisa de Preços",D6377)))</formula>
    </cfRule>
  </conditionalFormatting>
  <conditionalFormatting sqref="E6377">
    <cfRule type="containsText" dxfId="715" priority="1932" operator="containsText" text="Pesquisa de Preços">
      <formula>NOT(ISERROR(SEARCH("Pesquisa de Preços",E6377)))</formula>
    </cfRule>
  </conditionalFormatting>
  <conditionalFormatting sqref="E6378 E6382">
    <cfRule type="containsText" dxfId="714" priority="1933" operator="containsText" text="Pesquisa de Preços">
      <formula>NOT(ISERROR(SEARCH("Pesquisa de Preços",E6378)))</formula>
    </cfRule>
  </conditionalFormatting>
  <conditionalFormatting sqref="D6358:D6360 D6362">
    <cfRule type="containsText" dxfId="713" priority="1923" operator="containsText" text="Pesquisa de Preços">
      <formula>NOT(ISERROR(SEARCH("Pesquisa de Preços",D6358)))</formula>
    </cfRule>
  </conditionalFormatting>
  <conditionalFormatting sqref="D6364">
    <cfRule type="containsText" dxfId="712" priority="1922" operator="containsText" text="Pesquisa de Preços">
      <formula>NOT(ISERROR(SEARCH("Pesquisa de Preços",D6364)))</formula>
    </cfRule>
  </conditionalFormatting>
  <conditionalFormatting sqref="D6365">
    <cfRule type="containsText" dxfId="711" priority="1921" operator="containsText" text="Pesquisa de Preços">
      <formula>NOT(ISERROR(SEARCH("Pesquisa de Preços",D6365)))</formula>
    </cfRule>
  </conditionalFormatting>
  <conditionalFormatting sqref="E6365:E6366">
    <cfRule type="containsText" dxfId="710" priority="1920" operator="containsText" text="Pesquisa de Preços">
      <formula>NOT(ISERROR(SEARCH("Pesquisa de Preços",E6365)))</formula>
    </cfRule>
  </conditionalFormatting>
  <conditionalFormatting sqref="D6357">
    <cfRule type="containsText" dxfId="709" priority="1919" operator="containsText" text="Pesquisa de Preços">
      <formula>NOT(ISERROR(SEARCH("Pesquisa de Preços",D6357)))</formula>
    </cfRule>
  </conditionalFormatting>
  <conditionalFormatting sqref="D6363">
    <cfRule type="containsText" dxfId="708" priority="1918" operator="containsText" text="Pesquisa de Preços">
      <formula>NOT(ISERROR(SEARCH("Pesquisa de Preços",D6363)))</formula>
    </cfRule>
  </conditionalFormatting>
  <conditionalFormatting sqref="D6361">
    <cfRule type="containsText" dxfId="707" priority="1917" operator="containsText" text="Pesquisa de Preços">
      <formula>NOT(ISERROR(SEARCH("Pesquisa de Preços",D6361)))</formula>
    </cfRule>
  </conditionalFormatting>
  <conditionalFormatting sqref="D6169">
    <cfRule type="containsText" dxfId="706" priority="1911" operator="containsText" text="Pesquisa de Preços">
      <formula>NOT(ISERROR(SEARCH("Pesquisa de Preços",D6169)))</formula>
    </cfRule>
  </conditionalFormatting>
  <conditionalFormatting sqref="D6165">
    <cfRule type="containsText" dxfId="705" priority="1910" operator="containsText" text="Pesquisa de Preços">
      <formula>NOT(ISERROR(SEARCH("Pesquisa de Preços",D6165)))</formula>
    </cfRule>
  </conditionalFormatting>
  <conditionalFormatting sqref="D6163">
    <cfRule type="containsText" dxfId="704" priority="1908" operator="containsText" text="Pesquisa de Preços">
      <formula>NOT(ISERROR(SEARCH("Pesquisa de Preços",D6163)))</formula>
    </cfRule>
  </conditionalFormatting>
  <conditionalFormatting sqref="D6151">
    <cfRule type="containsText" dxfId="703" priority="1904" operator="containsText" text="Pesquisa de Preços">
      <formula>NOT(ISERROR(SEARCH("Pesquisa de Preços",D6151)))</formula>
    </cfRule>
  </conditionalFormatting>
  <conditionalFormatting sqref="D6141">
    <cfRule type="containsText" dxfId="702" priority="1901" operator="containsText" text="Pesquisa de Preços">
      <formula>NOT(ISERROR(SEARCH("Pesquisa de Preços",D6141)))</formula>
    </cfRule>
  </conditionalFormatting>
  <conditionalFormatting sqref="D6142">
    <cfRule type="containsText" dxfId="701" priority="1900" operator="containsText" text="Pesquisa de Preços">
      <formula>NOT(ISERROR(SEARCH("Pesquisa de Preços",D6142)))</formula>
    </cfRule>
  </conditionalFormatting>
  <conditionalFormatting sqref="E6151">
    <cfRule type="containsText" dxfId="700" priority="1897" operator="containsText" text="Pesquisa de Preços">
      <formula>NOT(ISERROR(SEARCH("Pesquisa de Preços",E6151)))</formula>
    </cfRule>
  </conditionalFormatting>
  <conditionalFormatting sqref="D6162">
    <cfRule type="containsText" dxfId="699" priority="1877" operator="containsText" text="Pesquisa de Preços">
      <formula>NOT(ISERROR(SEARCH("Pesquisa de Preços",D6162)))</formula>
    </cfRule>
  </conditionalFormatting>
  <conditionalFormatting sqref="D6152">
    <cfRule type="containsText" dxfId="698" priority="1874" operator="containsText" text="Pesquisa de Preços">
      <formula>NOT(ISERROR(SEARCH("Pesquisa de Preços",D6152)))</formula>
    </cfRule>
  </conditionalFormatting>
  <conditionalFormatting sqref="D6153">
    <cfRule type="containsText" dxfId="697" priority="1873" operator="containsText" text="Pesquisa de Preços">
      <formula>NOT(ISERROR(SEARCH("Pesquisa de Preços",D6153)))</formula>
    </cfRule>
  </conditionalFormatting>
  <conditionalFormatting sqref="E6162">
    <cfRule type="containsText" dxfId="696" priority="1870" operator="containsText" text="Pesquisa de Preços">
      <formula>NOT(ISERROR(SEARCH("Pesquisa de Preços",E6162)))</formula>
    </cfRule>
  </conditionalFormatting>
  <conditionalFormatting sqref="D6174">
    <cfRule type="containsText" dxfId="695" priority="1836" operator="containsText" text="Pesquisa de Preços">
      <formula>NOT(ISERROR(SEARCH("Pesquisa de Preços",D6174)))</formula>
    </cfRule>
  </conditionalFormatting>
  <conditionalFormatting sqref="D6170">
    <cfRule type="containsText" dxfId="694" priority="1834" operator="containsText" text="Pesquisa de Preços">
      <formula>NOT(ISERROR(SEARCH("Pesquisa de Preços",D6170)))</formula>
    </cfRule>
  </conditionalFormatting>
  <conditionalFormatting sqref="D6179">
    <cfRule type="containsText" dxfId="693" priority="1826" operator="containsText" text="Pesquisa de Preços">
      <formula>NOT(ISERROR(SEARCH("Pesquisa de Preços",D6179)))</formula>
    </cfRule>
  </conditionalFormatting>
  <conditionalFormatting sqref="D6175">
    <cfRule type="containsText" dxfId="692" priority="1825" operator="containsText" text="Pesquisa de Preços">
      <formula>NOT(ISERROR(SEARCH("Pesquisa de Preços",D6175)))</formula>
    </cfRule>
  </conditionalFormatting>
  <conditionalFormatting sqref="D6195">
    <cfRule type="containsText" dxfId="691" priority="1815" operator="containsText" text="Pesquisa de Preços">
      <formula>NOT(ISERROR(SEARCH("Pesquisa de Preços",D6195)))</formula>
    </cfRule>
  </conditionalFormatting>
  <conditionalFormatting sqref="D6190">
    <cfRule type="containsText" dxfId="690" priority="1814" operator="containsText" text="Pesquisa de Preços">
      <formula>NOT(ISERROR(SEARCH("Pesquisa de Preços",D6190)))</formula>
    </cfRule>
  </conditionalFormatting>
  <conditionalFormatting sqref="D6188">
    <cfRule type="containsText" dxfId="689" priority="1813" operator="containsText" text="Pesquisa de Preços">
      <formula>NOT(ISERROR(SEARCH("Pesquisa de Preços",D6188)))</formula>
    </cfRule>
  </conditionalFormatting>
  <conditionalFormatting sqref="D6191:D6194">
    <cfRule type="containsText" dxfId="688" priority="1810" operator="containsText" text="Pesquisa de Preços">
      <formula>NOT(ISERROR(SEARCH("Pesquisa de Preços",D6191)))</formula>
    </cfRule>
  </conditionalFormatting>
  <conditionalFormatting sqref="D6183:D6186">
    <cfRule type="containsText" dxfId="687" priority="1809" operator="containsText" text="Pesquisa de Preços">
      <formula>NOT(ISERROR(SEARCH("Pesquisa de Preços",D6183)))</formula>
    </cfRule>
  </conditionalFormatting>
  <conditionalFormatting sqref="D6187">
    <cfRule type="containsText" dxfId="686" priority="1804" operator="containsText" text="Pesquisa de Preços">
      <formula>NOT(ISERROR(SEARCH("Pesquisa de Preços",D6187)))</formula>
    </cfRule>
  </conditionalFormatting>
  <conditionalFormatting sqref="D6182">
    <cfRule type="containsText" dxfId="685" priority="1803" operator="containsText" text="Pesquisa de Preços">
      <formula>NOT(ISERROR(SEARCH("Pesquisa de Preços",D6182)))</formula>
    </cfRule>
  </conditionalFormatting>
  <conditionalFormatting sqref="D6180">
    <cfRule type="containsText" dxfId="684" priority="1802" operator="containsText" text="Pesquisa de Preços">
      <formula>NOT(ISERROR(SEARCH("Pesquisa de Preços",D6180)))</formula>
    </cfRule>
  </conditionalFormatting>
  <conditionalFormatting sqref="D6199 D6202:D6204">
    <cfRule type="containsText" dxfId="683" priority="1779" operator="containsText" text="Pesquisa de Preços">
      <formula>NOT(ISERROR(SEARCH("Pesquisa de Preços",D6199)))</formula>
    </cfRule>
  </conditionalFormatting>
  <conditionalFormatting sqref="D6198">
    <cfRule type="containsText" dxfId="682" priority="1791" operator="containsText" text="Pesquisa de Preços">
      <formula>NOT(ISERROR(SEARCH("Pesquisa de Preços",D6198)))</formula>
    </cfRule>
  </conditionalFormatting>
  <conditionalFormatting sqref="D6196">
    <cfRule type="containsText" dxfId="681" priority="1790" operator="containsText" text="Pesquisa de Preços">
      <formula>NOT(ISERROR(SEARCH("Pesquisa de Preços",D6196)))</formula>
    </cfRule>
  </conditionalFormatting>
  <conditionalFormatting sqref="D6200:D6201">
    <cfRule type="containsText" dxfId="680" priority="1775" operator="containsText" text="Pesquisa de Preços">
      <formula>NOT(ISERROR(SEARCH("Pesquisa de Preços",D6200)))</formula>
    </cfRule>
  </conditionalFormatting>
  <conditionalFormatting sqref="D6211">
    <cfRule type="containsText" dxfId="679" priority="1765" operator="containsText" text="Pesquisa de Preços">
      <formula>NOT(ISERROR(SEARCH("Pesquisa de Preços",D6211)))</formula>
    </cfRule>
  </conditionalFormatting>
  <conditionalFormatting sqref="D6207">
    <cfRule type="containsText" dxfId="678" priority="1764" operator="containsText" text="Pesquisa de Preços">
      <formula>NOT(ISERROR(SEARCH("Pesquisa de Preços",D6207)))</formula>
    </cfRule>
  </conditionalFormatting>
  <conditionalFormatting sqref="D6205">
    <cfRule type="containsText" dxfId="677" priority="1763" operator="containsText" text="Pesquisa de Preços">
      <formula>NOT(ISERROR(SEARCH("Pesquisa de Preços",D6205)))</formula>
    </cfRule>
  </conditionalFormatting>
  <conditionalFormatting sqref="D6208:D6210">
    <cfRule type="containsText" dxfId="676" priority="1760" operator="containsText" text="Pesquisa de Preços">
      <formula>NOT(ISERROR(SEARCH("Pesquisa de Preços",D6208)))</formula>
    </cfRule>
  </conditionalFormatting>
  <conditionalFormatting sqref="D6217">
    <cfRule type="containsText" dxfId="675" priority="1752" operator="containsText" text="Pesquisa de Preços">
      <formula>NOT(ISERROR(SEARCH("Pesquisa de Preços",D6217)))</formula>
    </cfRule>
  </conditionalFormatting>
  <conditionalFormatting sqref="D6212">
    <cfRule type="containsText" dxfId="674" priority="1750" operator="containsText" text="Pesquisa de Preços">
      <formula>NOT(ISERROR(SEARCH("Pesquisa de Preços",D6212)))</formula>
    </cfRule>
  </conditionalFormatting>
  <conditionalFormatting sqref="D6216">
    <cfRule type="containsText" dxfId="673" priority="1747" operator="containsText" text="Pesquisa de Preços">
      <formula>NOT(ISERROR(SEARCH("Pesquisa de Preços",D6216)))</formula>
    </cfRule>
  </conditionalFormatting>
  <conditionalFormatting sqref="D6214:D6215">
    <cfRule type="containsText" dxfId="672" priority="1744" operator="containsText" text="Pesquisa de Preços">
      <formula>NOT(ISERROR(SEARCH("Pesquisa de Preços",D6214)))</formula>
    </cfRule>
  </conditionalFormatting>
  <conditionalFormatting sqref="D6224">
    <cfRule type="containsText" dxfId="671" priority="1734" operator="containsText" text="Pesquisa de Preços">
      <formula>NOT(ISERROR(SEARCH("Pesquisa de Preços",D6224)))</formula>
    </cfRule>
  </conditionalFormatting>
  <conditionalFormatting sqref="D6220">
    <cfRule type="containsText" dxfId="670" priority="1733" operator="containsText" text="Pesquisa de Preços">
      <formula>NOT(ISERROR(SEARCH("Pesquisa de Preços",D6220)))</formula>
    </cfRule>
  </conditionalFormatting>
  <conditionalFormatting sqref="D6218">
    <cfRule type="containsText" dxfId="669" priority="1732" operator="containsText" text="Pesquisa de Preços">
      <formula>NOT(ISERROR(SEARCH("Pesquisa de Preços",D6218)))</formula>
    </cfRule>
  </conditionalFormatting>
  <conditionalFormatting sqref="D6221:D6223">
    <cfRule type="containsText" dxfId="668" priority="1729" operator="containsText" text="Pesquisa de Preços">
      <formula>NOT(ISERROR(SEARCH("Pesquisa de Preços",D6221)))</formula>
    </cfRule>
  </conditionalFormatting>
  <conditionalFormatting sqref="D6230">
    <cfRule type="containsText" dxfId="667" priority="1719" operator="containsText" text="Pesquisa de Preços">
      <formula>NOT(ISERROR(SEARCH("Pesquisa de Preços",D6230)))</formula>
    </cfRule>
  </conditionalFormatting>
  <conditionalFormatting sqref="D6228:D6229">
    <cfRule type="containsText" dxfId="666" priority="1717" operator="containsText" text="Pesquisa de Preços">
      <formula>NOT(ISERROR(SEARCH("Pesquisa de Preços",D6228)))</formula>
    </cfRule>
  </conditionalFormatting>
  <conditionalFormatting sqref="D6227">
    <cfRule type="containsText" dxfId="665" priority="1718" operator="containsText" text="Pesquisa de Preços">
      <formula>NOT(ISERROR(SEARCH("Pesquisa de Preços",D6227)))</formula>
    </cfRule>
  </conditionalFormatting>
  <conditionalFormatting sqref="D6225">
    <cfRule type="containsText" dxfId="664" priority="1716" operator="containsText" text="Pesquisa de Preços">
      <formula>NOT(ISERROR(SEARCH("Pesquisa de Preços",D6225)))</formula>
    </cfRule>
  </conditionalFormatting>
  <conditionalFormatting sqref="D5005 D4188 D640">
    <cfRule type="containsText" dxfId="663" priority="1715" operator="containsText" text="Pesquisa de Preços">
      <formula>NOT(ISERROR(SEARCH("Pesquisa de Preços",D640)))</formula>
    </cfRule>
  </conditionalFormatting>
  <conditionalFormatting sqref="E1234:E1235">
    <cfRule type="containsText" dxfId="662" priority="1700" operator="containsText" text="Pesquisa de Preços">
      <formula>NOT(ISERROR(SEARCH("Pesquisa de Preços",E1234)))</formula>
    </cfRule>
  </conditionalFormatting>
  <conditionalFormatting sqref="E1233">
    <cfRule type="containsText" dxfId="661" priority="1699" operator="containsText" text="Pesquisa de Preços">
      <formula>NOT(ISERROR(SEARCH("Pesquisa de Preços",E1233)))</formula>
    </cfRule>
  </conditionalFormatting>
  <conditionalFormatting sqref="D1239">
    <cfRule type="containsText" dxfId="660" priority="1698" operator="containsText" text="Pesquisa de Preços">
      <formula>NOT(ISERROR(SEARCH("Pesquisa de Preços",D1239)))</formula>
    </cfRule>
  </conditionalFormatting>
  <conditionalFormatting sqref="D1240:D1241">
    <cfRule type="containsText" dxfId="659" priority="1697" operator="containsText" text="Pesquisa de Preços">
      <formula>NOT(ISERROR(SEARCH("Pesquisa de Preços",D1240)))</formula>
    </cfRule>
  </conditionalFormatting>
  <conditionalFormatting sqref="E1240:E1241">
    <cfRule type="containsText" dxfId="658" priority="1696" operator="containsText" text="Pesquisa de Preços">
      <formula>NOT(ISERROR(SEARCH("Pesquisa de Preços",E1240)))</formula>
    </cfRule>
  </conditionalFormatting>
  <conditionalFormatting sqref="E1239">
    <cfRule type="containsText" dxfId="657" priority="1695" operator="containsText" text="Pesquisa de Preços">
      <formula>NOT(ISERROR(SEARCH("Pesquisa de Preços",E1239)))</formula>
    </cfRule>
  </conditionalFormatting>
  <conditionalFormatting sqref="E1980">
    <cfRule type="containsText" dxfId="656" priority="1693" operator="containsText" text="Pesquisa de Preços">
      <formula>NOT(ISERROR(SEARCH("Pesquisa de Preços",E1980)))</formula>
    </cfRule>
  </conditionalFormatting>
  <conditionalFormatting sqref="E1981">
    <cfRule type="containsText" dxfId="655" priority="1692" operator="containsText" text="Pesquisa de Preços">
      <formula>NOT(ISERROR(SEARCH("Pesquisa de Preços",E1981)))</formula>
    </cfRule>
  </conditionalFormatting>
  <conditionalFormatting sqref="E1982">
    <cfRule type="containsText" dxfId="654" priority="1691" operator="containsText" text="Pesquisa de Preços">
      <formula>NOT(ISERROR(SEARCH("Pesquisa de Preços",E1982)))</formula>
    </cfRule>
  </conditionalFormatting>
  <conditionalFormatting sqref="E1988">
    <cfRule type="containsText" dxfId="653" priority="1690" operator="containsText" text="Pesquisa de Preços">
      <formula>NOT(ISERROR(SEARCH("Pesquisa de Preços",E1988)))</formula>
    </cfRule>
  </conditionalFormatting>
  <conditionalFormatting sqref="E1989">
    <cfRule type="containsText" dxfId="652" priority="1689" operator="containsText" text="Pesquisa de Preços">
      <formula>NOT(ISERROR(SEARCH("Pesquisa de Preços",E1989)))</formula>
    </cfRule>
  </conditionalFormatting>
  <conditionalFormatting sqref="E1990">
    <cfRule type="containsText" dxfId="651" priority="1688" operator="containsText" text="Pesquisa de Preços">
      <formula>NOT(ISERROR(SEARCH("Pesquisa de Preços",E1990)))</formula>
    </cfRule>
  </conditionalFormatting>
  <conditionalFormatting sqref="E2006">
    <cfRule type="containsText" dxfId="650" priority="1687" operator="containsText" text="Pesquisa de Preços">
      <formula>NOT(ISERROR(SEARCH("Pesquisa de Preços",E2006)))</formula>
    </cfRule>
  </conditionalFormatting>
  <conditionalFormatting sqref="E2013">
    <cfRule type="containsText" dxfId="649" priority="1686" operator="containsText" text="Pesquisa de Preços">
      <formula>NOT(ISERROR(SEARCH("Pesquisa de Preços",E2013)))</formula>
    </cfRule>
  </conditionalFormatting>
  <conditionalFormatting sqref="E2020">
    <cfRule type="containsText" dxfId="648" priority="1685" operator="containsText" text="Pesquisa de Preços">
      <formula>NOT(ISERROR(SEARCH("Pesquisa de Preços",E2020)))</formula>
    </cfRule>
  </conditionalFormatting>
  <conditionalFormatting sqref="D1321">
    <cfRule type="containsText" dxfId="647" priority="1681" operator="containsText" text="Pesquisa de Preços">
      <formula>NOT(ISERROR(SEARCH("Pesquisa de Preços",D1321)))</formula>
    </cfRule>
  </conditionalFormatting>
  <conditionalFormatting sqref="E1321">
    <cfRule type="containsText" dxfId="646" priority="1680" operator="containsText" text="Pesquisa de Preços">
      <formula>NOT(ISERROR(SEARCH("Pesquisa de Preços",E1321)))</formula>
    </cfRule>
  </conditionalFormatting>
  <conditionalFormatting sqref="E1320">
    <cfRule type="containsText" dxfId="645" priority="1679" operator="containsText" text="Pesquisa de Preços">
      <formula>NOT(ISERROR(SEARCH("Pesquisa de Preços",E1320)))</formula>
    </cfRule>
  </conditionalFormatting>
  <conditionalFormatting sqref="E4880">
    <cfRule type="containsText" dxfId="644" priority="1640" operator="containsText" text="Pesquisa de Preços">
      <formula>NOT(ISERROR(SEARCH("Pesquisa de Preços",E4880)))</formula>
    </cfRule>
  </conditionalFormatting>
  <conditionalFormatting sqref="D4880">
    <cfRule type="containsText" dxfId="643" priority="1641" operator="containsText" text="Pesquisa de Preços">
      <formula>NOT(ISERROR(SEARCH("Pesquisa de Preços",D4880)))</formula>
    </cfRule>
  </conditionalFormatting>
  <conditionalFormatting sqref="E4949">
    <cfRule type="containsText" dxfId="642" priority="1637" operator="containsText" text="Pesquisa de Preços">
      <formula>NOT(ISERROR(SEARCH("Pesquisa de Preços",E4949)))</formula>
    </cfRule>
  </conditionalFormatting>
  <conditionalFormatting sqref="E5028">
    <cfRule type="containsText" dxfId="641" priority="1631" operator="containsText" text="Pesquisa de Preços">
      <formula>NOT(ISERROR(SEARCH("Pesquisa de Preços",E5028)))</formula>
    </cfRule>
  </conditionalFormatting>
  <conditionalFormatting sqref="D5028">
    <cfRule type="containsText" dxfId="640" priority="1632" operator="containsText" text="Pesquisa de Preços">
      <formula>NOT(ISERROR(SEARCH("Pesquisa de Preços",D5028)))</formula>
    </cfRule>
  </conditionalFormatting>
  <conditionalFormatting sqref="D5028:E5028">
    <cfRule type="containsText" dxfId="639" priority="1633" operator="containsText" text="Pesquisa de Preços">
      <formula>NOT(ISERROR(SEARCH("Pesquisa de Preços",D5028)))</formula>
    </cfRule>
  </conditionalFormatting>
  <conditionalFormatting sqref="D879:E880">
    <cfRule type="containsText" dxfId="638" priority="1630" operator="containsText" text="Pesquisa de Preços">
      <formula>NOT(ISERROR(SEARCH("Pesquisa de Preços",D879)))</formula>
    </cfRule>
  </conditionalFormatting>
  <conditionalFormatting sqref="D886:D887">
    <cfRule type="containsText" dxfId="637" priority="1627" operator="containsText" text="Pesquisa de Preços">
      <formula>NOT(ISERROR(SEARCH("Pesquisa de Preços",D886)))</formula>
    </cfRule>
  </conditionalFormatting>
  <conditionalFormatting sqref="E886:E887">
    <cfRule type="containsText" dxfId="636" priority="1624" operator="containsText" text="Pesquisa de Preços">
      <formula>NOT(ISERROR(SEARCH("Pesquisa de Preços",E886)))</formula>
    </cfRule>
  </conditionalFormatting>
  <conditionalFormatting sqref="D6408">
    <cfRule type="containsText" dxfId="635" priority="1614" operator="containsText" text="Pesquisa de Preços">
      <formula>NOT(ISERROR(SEARCH("Pesquisa de Preços",D6408)))</formula>
    </cfRule>
  </conditionalFormatting>
  <conditionalFormatting sqref="D6411">
    <cfRule type="containsText" dxfId="634" priority="1616" operator="containsText" text="Pesquisa de Preços">
      <formula>NOT(ISERROR(SEARCH("Pesquisa de Preços",D6411)))</formula>
    </cfRule>
  </conditionalFormatting>
  <conditionalFormatting sqref="D6407">
    <cfRule type="containsText" dxfId="633" priority="1615" operator="containsText" text="Pesquisa de Preços">
      <formula>NOT(ISERROR(SEARCH("Pesquisa de Preços",D6407)))</formula>
    </cfRule>
  </conditionalFormatting>
  <conditionalFormatting sqref="E6407">
    <cfRule type="containsText" dxfId="632" priority="1612" operator="containsText" text="Pesquisa de Preços">
      <formula>NOT(ISERROR(SEARCH("Pesquisa de Preços",E6407)))</formula>
    </cfRule>
  </conditionalFormatting>
  <conditionalFormatting sqref="E6408 E6411">
    <cfRule type="containsText" dxfId="631" priority="1613" operator="containsText" text="Pesquisa de Preços">
      <formula>NOT(ISERROR(SEARCH("Pesquisa de Preços",E6408)))</formula>
    </cfRule>
  </conditionalFormatting>
  <conditionalFormatting sqref="D6413:D6414">
    <cfRule type="containsText" dxfId="630" priority="1605" operator="containsText" text="Pesquisa de Preços">
      <formula>NOT(ISERROR(SEARCH("Pesquisa de Preços",D6413)))</formula>
    </cfRule>
  </conditionalFormatting>
  <conditionalFormatting sqref="E6414">
    <cfRule type="containsText" dxfId="629" priority="1602" operator="containsText" text="Pesquisa de Preços">
      <formula>NOT(ISERROR(SEARCH("Pesquisa de Preços",E6414)))</formula>
    </cfRule>
  </conditionalFormatting>
  <conditionalFormatting sqref="D6416">
    <cfRule type="containsText" dxfId="628" priority="1607" operator="containsText" text="Pesquisa de Preços">
      <formula>NOT(ISERROR(SEARCH("Pesquisa de Preços",D6416)))</formula>
    </cfRule>
  </conditionalFormatting>
  <conditionalFormatting sqref="D6412">
    <cfRule type="containsText" dxfId="627" priority="1606" operator="containsText" text="Pesquisa de Preços">
      <formula>NOT(ISERROR(SEARCH("Pesquisa de Preços",D6412)))</formula>
    </cfRule>
  </conditionalFormatting>
  <conditionalFormatting sqref="E6412">
    <cfRule type="containsText" dxfId="626" priority="1603" operator="containsText" text="Pesquisa de Preços">
      <formula>NOT(ISERROR(SEARCH("Pesquisa de Preços",E6412)))</formula>
    </cfRule>
  </conditionalFormatting>
  <conditionalFormatting sqref="E6413 E6416">
    <cfRule type="containsText" dxfId="625" priority="1604" operator="containsText" text="Pesquisa de Preços">
      <formula>NOT(ISERROR(SEARCH("Pesquisa de Preços",E6413)))</formula>
    </cfRule>
  </conditionalFormatting>
  <conditionalFormatting sqref="D6410">
    <cfRule type="containsText" dxfId="624" priority="1600" operator="containsText" text="Pesquisa de Preços">
      <formula>NOT(ISERROR(SEARCH("Pesquisa de Preços",D6410)))</formula>
    </cfRule>
  </conditionalFormatting>
  <conditionalFormatting sqref="D6409">
    <cfRule type="containsText" dxfId="623" priority="1601" operator="containsText" text="Pesquisa de Preços">
      <formula>NOT(ISERROR(SEARCH("Pesquisa de Preços",D6409)))</formula>
    </cfRule>
  </conditionalFormatting>
  <conditionalFormatting sqref="D6384:D6385">
    <cfRule type="containsText" dxfId="622" priority="1588" operator="containsText" text="Pesquisa de Preços">
      <formula>NOT(ISERROR(SEARCH("Pesquisa de Preços",D6384)))</formula>
    </cfRule>
  </conditionalFormatting>
  <conditionalFormatting sqref="E6385">
    <cfRule type="containsText" dxfId="621" priority="1585" operator="containsText" text="Pesquisa de Preços">
      <formula>NOT(ISERROR(SEARCH("Pesquisa de Preços",E6385)))</formula>
    </cfRule>
  </conditionalFormatting>
  <conditionalFormatting sqref="D6389">
    <cfRule type="containsText" dxfId="620" priority="1592" operator="containsText" text="Pesquisa de Preços">
      <formula>NOT(ISERROR(SEARCH("Pesquisa de Preços",D6389)))</formula>
    </cfRule>
  </conditionalFormatting>
  <conditionalFormatting sqref="D6383">
    <cfRule type="containsText" dxfId="619" priority="1589" operator="containsText" text="Pesquisa de Preços">
      <formula>NOT(ISERROR(SEARCH("Pesquisa de Preços",D6383)))</formula>
    </cfRule>
  </conditionalFormatting>
  <conditionalFormatting sqref="E6383">
    <cfRule type="containsText" dxfId="618" priority="1586" operator="containsText" text="Pesquisa de Preços">
      <formula>NOT(ISERROR(SEARCH("Pesquisa de Preços",E6383)))</formula>
    </cfRule>
  </conditionalFormatting>
  <conditionalFormatting sqref="E6384 E6389">
    <cfRule type="containsText" dxfId="617" priority="1587" operator="containsText" text="Pesquisa de Preços">
      <formula>NOT(ISERROR(SEARCH("Pesquisa de Preços",E6384)))</formula>
    </cfRule>
  </conditionalFormatting>
  <conditionalFormatting sqref="D6391">
    <cfRule type="containsText" dxfId="616" priority="1575" operator="containsText" text="Pesquisa de Preços">
      <formula>NOT(ISERROR(SEARCH("Pesquisa de Preços",D6391)))</formula>
    </cfRule>
  </conditionalFormatting>
  <conditionalFormatting sqref="D6393">
    <cfRule type="containsText" dxfId="615" priority="1577" operator="containsText" text="Pesquisa de Preços">
      <formula>NOT(ISERROR(SEARCH("Pesquisa de Preços",D6393)))</formula>
    </cfRule>
  </conditionalFormatting>
  <conditionalFormatting sqref="D6390">
    <cfRule type="containsText" dxfId="614" priority="1576" operator="containsText" text="Pesquisa de Preços">
      <formula>NOT(ISERROR(SEARCH("Pesquisa de Preços",D6390)))</formula>
    </cfRule>
  </conditionalFormatting>
  <conditionalFormatting sqref="E6390">
    <cfRule type="containsText" dxfId="613" priority="1573" operator="containsText" text="Pesquisa de Preços">
      <formula>NOT(ISERROR(SEARCH("Pesquisa de Preços",E6390)))</formula>
    </cfRule>
  </conditionalFormatting>
  <conditionalFormatting sqref="E6391 E6393">
    <cfRule type="containsText" dxfId="612" priority="1574" operator="containsText" text="Pesquisa de Preços">
      <formula>NOT(ISERROR(SEARCH("Pesquisa de Preços",E6391)))</formula>
    </cfRule>
  </conditionalFormatting>
  <conditionalFormatting sqref="D6395">
    <cfRule type="containsText" dxfId="611" priority="1561" operator="containsText" text="Pesquisa de Preços">
      <formula>NOT(ISERROR(SEARCH("Pesquisa de Preços",D6395)))</formula>
    </cfRule>
  </conditionalFormatting>
  <conditionalFormatting sqref="D6398">
    <cfRule type="containsText" dxfId="610" priority="1563" operator="containsText" text="Pesquisa de Preços">
      <formula>NOT(ISERROR(SEARCH("Pesquisa de Preços",D6398)))</formula>
    </cfRule>
  </conditionalFormatting>
  <conditionalFormatting sqref="D6394">
    <cfRule type="containsText" dxfId="609" priority="1562" operator="containsText" text="Pesquisa de Preços">
      <formula>NOT(ISERROR(SEARCH("Pesquisa de Preços",D6394)))</formula>
    </cfRule>
  </conditionalFormatting>
  <conditionalFormatting sqref="E6394">
    <cfRule type="containsText" dxfId="608" priority="1559" operator="containsText" text="Pesquisa de Preços">
      <formula>NOT(ISERROR(SEARCH("Pesquisa de Preços",E6394)))</formula>
    </cfRule>
  </conditionalFormatting>
  <conditionalFormatting sqref="E6395 E6398">
    <cfRule type="containsText" dxfId="607" priority="1560" operator="containsText" text="Pesquisa de Preços">
      <formula>NOT(ISERROR(SEARCH("Pesquisa de Preços",E6395)))</formula>
    </cfRule>
  </conditionalFormatting>
  <conditionalFormatting sqref="E6403">
    <cfRule type="containsText" dxfId="606" priority="1530" operator="containsText" text="Pesquisa de Preços">
      <formula>NOT(ISERROR(SEARCH("Pesquisa de Preços",E6403)))</formula>
    </cfRule>
  </conditionalFormatting>
  <conditionalFormatting sqref="D6400">
    <cfRule type="containsText" dxfId="605" priority="1542" operator="containsText" text="Pesquisa de Preços">
      <formula>NOT(ISERROR(SEARCH("Pesquisa de Preços",D6400)))</formula>
    </cfRule>
  </conditionalFormatting>
  <conditionalFormatting sqref="D6402">
    <cfRule type="containsText" dxfId="604" priority="1544" operator="containsText" text="Pesquisa de Preços">
      <formula>NOT(ISERROR(SEARCH("Pesquisa de Preços",D6402)))</formula>
    </cfRule>
  </conditionalFormatting>
  <conditionalFormatting sqref="D6399">
    <cfRule type="containsText" dxfId="603" priority="1543" operator="containsText" text="Pesquisa de Preços">
      <formula>NOT(ISERROR(SEARCH("Pesquisa de Preços",D6399)))</formula>
    </cfRule>
  </conditionalFormatting>
  <conditionalFormatting sqref="E6399">
    <cfRule type="containsText" dxfId="602" priority="1540" operator="containsText" text="Pesquisa de Preços">
      <formula>NOT(ISERROR(SEARCH("Pesquisa de Preços",E6399)))</formula>
    </cfRule>
  </conditionalFormatting>
  <conditionalFormatting sqref="E6400 E6402">
    <cfRule type="containsText" dxfId="601" priority="1541" operator="containsText" text="Pesquisa de Preços">
      <formula>NOT(ISERROR(SEARCH("Pesquisa de Preços",E6400)))</formula>
    </cfRule>
  </conditionalFormatting>
  <conditionalFormatting sqref="D6404">
    <cfRule type="containsText" dxfId="600" priority="1532" operator="containsText" text="Pesquisa de Preços">
      <formula>NOT(ISERROR(SEARCH("Pesquisa de Preços",D6404)))</formula>
    </cfRule>
  </conditionalFormatting>
  <conditionalFormatting sqref="D6406">
    <cfRule type="containsText" dxfId="599" priority="1534" operator="containsText" text="Pesquisa de Preços">
      <formula>NOT(ISERROR(SEARCH("Pesquisa de Preços",D6406)))</formula>
    </cfRule>
  </conditionalFormatting>
  <conditionalFormatting sqref="D6403">
    <cfRule type="containsText" dxfId="598" priority="1533" operator="containsText" text="Pesquisa de Preços">
      <formula>NOT(ISERROR(SEARCH("Pesquisa de Preços",D6403)))</formula>
    </cfRule>
  </conditionalFormatting>
  <conditionalFormatting sqref="E6404 E6406">
    <cfRule type="containsText" dxfId="597" priority="1531" operator="containsText" text="Pesquisa de Preços">
      <formula>NOT(ISERROR(SEARCH("Pesquisa de Preços",E6404)))</formula>
    </cfRule>
  </conditionalFormatting>
  <conditionalFormatting sqref="D1377">
    <cfRule type="containsText" dxfId="596" priority="1522" operator="containsText" text="Pesquisa de Preços">
      <formula>NOT(ISERROR(SEARCH("Pesquisa de Preços",D1377)))</formula>
    </cfRule>
  </conditionalFormatting>
  <conditionalFormatting sqref="D1378">
    <cfRule type="containsText" dxfId="595" priority="1519" operator="containsText" text="Pesquisa de Preços">
      <formula>NOT(ISERROR(SEARCH("Pesquisa de Preços",D1378)))</formula>
    </cfRule>
  </conditionalFormatting>
  <conditionalFormatting sqref="D1949">
    <cfRule type="containsText" dxfId="594" priority="1515" operator="containsText" text="Pesquisa de Preços">
      <formula>NOT(ISERROR(SEARCH("Pesquisa de Preços",D1949)))</formula>
    </cfRule>
  </conditionalFormatting>
  <conditionalFormatting sqref="E1949">
    <cfRule type="containsText" dxfId="593" priority="1514" operator="containsText" text="Pesquisa de Preços">
      <formula>NOT(ISERROR(SEARCH("Pesquisa de Preços",E1949)))</formula>
    </cfRule>
  </conditionalFormatting>
  <conditionalFormatting sqref="D1948">
    <cfRule type="containsText" dxfId="592" priority="1513" operator="containsText" text="Pesquisa de Preços">
      <formula>NOT(ISERROR(SEARCH("Pesquisa de Preços",D1948)))</formula>
    </cfRule>
  </conditionalFormatting>
  <conditionalFormatting sqref="E1948">
    <cfRule type="containsText" dxfId="591" priority="1512" operator="containsText" text="Pesquisa de Preços">
      <formula>NOT(ISERROR(SEARCH("Pesquisa de Preços",E1948)))</formula>
    </cfRule>
  </conditionalFormatting>
  <conditionalFormatting sqref="D2227">
    <cfRule type="containsText" dxfId="590" priority="1508" operator="containsText" text="Pesquisa de Preços">
      <formula>NOT(ISERROR(SEARCH("Pesquisa de Preços",D2227)))</formula>
    </cfRule>
  </conditionalFormatting>
  <conditionalFormatting sqref="D2226">
    <cfRule type="containsText" dxfId="589" priority="1507" operator="containsText" text="Pesquisa de Preços">
      <formula>NOT(ISERROR(SEARCH("Pesquisa de Preços",D2226)))</formula>
    </cfRule>
  </conditionalFormatting>
  <conditionalFormatting sqref="E2233">
    <cfRule type="containsText" dxfId="588" priority="1506" operator="containsText" text="Pesquisa de Preços">
      <formula>NOT(ISERROR(SEARCH("Pesquisa de Preços",E2233)))</formula>
    </cfRule>
  </conditionalFormatting>
  <conditionalFormatting sqref="D2233">
    <cfRule type="containsText" dxfId="587" priority="1505" operator="containsText" text="Pesquisa de Preços">
      <formula>NOT(ISERROR(SEARCH("Pesquisa de Preços",D2233)))</formula>
    </cfRule>
  </conditionalFormatting>
  <conditionalFormatting sqref="D6433">
    <cfRule type="containsText" dxfId="586" priority="1497" operator="containsText" text="Pesquisa de Preços">
      <formula>NOT(ISERROR(SEARCH("Pesquisa de Preços",D6433)))</formula>
    </cfRule>
  </conditionalFormatting>
  <conditionalFormatting sqref="D6430">
    <cfRule type="containsText" dxfId="585" priority="1495" operator="containsText" text="Pesquisa de Preços">
      <formula>NOT(ISERROR(SEARCH("Pesquisa de Preços",D6430)))</formula>
    </cfRule>
  </conditionalFormatting>
  <conditionalFormatting sqref="D6442">
    <cfRule type="containsText" dxfId="584" priority="1486" operator="containsText" text="Pesquisa de Preços">
      <formula>NOT(ISERROR(SEARCH("Pesquisa de Preços",D6442)))</formula>
    </cfRule>
  </conditionalFormatting>
  <conditionalFormatting sqref="D6429">
    <cfRule type="containsText" dxfId="583" priority="1496" operator="containsText" text="Pesquisa de Preços">
      <formula>NOT(ISERROR(SEARCH("Pesquisa de Preços",D6429)))</formula>
    </cfRule>
  </conditionalFormatting>
  <conditionalFormatting sqref="E6429">
    <cfRule type="containsText" dxfId="582" priority="1493" operator="containsText" text="Pesquisa de Preços">
      <formula>NOT(ISERROR(SEARCH("Pesquisa de Preços",E6429)))</formula>
    </cfRule>
  </conditionalFormatting>
  <conditionalFormatting sqref="E6430 E6433">
    <cfRule type="containsText" dxfId="581" priority="1494" operator="containsText" text="Pesquisa de Preços">
      <formula>NOT(ISERROR(SEARCH("Pesquisa de Preços",E6430)))</formula>
    </cfRule>
  </conditionalFormatting>
  <conditionalFormatting sqref="D6435:D6436">
    <cfRule type="containsText" dxfId="580" priority="1484" operator="containsText" text="Pesquisa de Preços">
      <formula>NOT(ISERROR(SEARCH("Pesquisa de Preços",D6435)))</formula>
    </cfRule>
  </conditionalFormatting>
  <conditionalFormatting sqref="E6436">
    <cfRule type="containsText" dxfId="579" priority="1481" operator="containsText" text="Pesquisa de Preços">
      <formula>NOT(ISERROR(SEARCH("Pesquisa de Preços",E6436)))</formula>
    </cfRule>
  </conditionalFormatting>
  <conditionalFormatting sqref="D6434">
    <cfRule type="containsText" dxfId="578" priority="1485" operator="containsText" text="Pesquisa de Preços">
      <formula>NOT(ISERROR(SEARCH("Pesquisa de Preços",D6434)))</formula>
    </cfRule>
  </conditionalFormatting>
  <conditionalFormatting sqref="E6434">
    <cfRule type="containsText" dxfId="577" priority="1482" operator="containsText" text="Pesquisa de Preços">
      <formula>NOT(ISERROR(SEARCH("Pesquisa de Preços",E6434)))</formula>
    </cfRule>
  </conditionalFormatting>
  <conditionalFormatting sqref="E6435 E6442">
    <cfRule type="containsText" dxfId="576" priority="1483" operator="containsText" text="Pesquisa de Preços">
      <formula>NOT(ISERROR(SEARCH("Pesquisa de Preços",E6435)))</formula>
    </cfRule>
  </conditionalFormatting>
  <conditionalFormatting sqref="D6432">
    <cfRule type="containsText" dxfId="575" priority="1478" operator="containsText" text="Pesquisa de Preços">
      <formula>NOT(ISERROR(SEARCH("Pesquisa de Preços",D6432)))</formula>
    </cfRule>
  </conditionalFormatting>
  <conditionalFormatting sqref="D6444">
    <cfRule type="containsText" dxfId="574" priority="1467" operator="containsText" text="Pesquisa de Preços">
      <formula>NOT(ISERROR(SEARCH("Pesquisa de Preços",D6444)))</formula>
    </cfRule>
  </conditionalFormatting>
  <conditionalFormatting sqref="E6445">
    <cfRule type="containsText" dxfId="573" priority="1458" operator="containsText" text="Pesquisa de Preços">
      <formula>NOT(ISERROR(SEARCH("Pesquisa de Preços",E6445)))</formula>
    </cfRule>
  </conditionalFormatting>
  <conditionalFormatting sqref="D6449">
    <cfRule type="containsText" dxfId="572" priority="1471" operator="containsText" text="Pesquisa de Preços">
      <formula>NOT(ISERROR(SEARCH("Pesquisa de Preços",D6449)))</formula>
    </cfRule>
  </conditionalFormatting>
  <conditionalFormatting sqref="D6443">
    <cfRule type="containsText" dxfId="571" priority="1468" operator="containsText" text="Pesquisa de Preços">
      <formula>NOT(ISERROR(SEARCH("Pesquisa de Preços",D6443)))</formula>
    </cfRule>
  </conditionalFormatting>
  <conditionalFormatting sqref="E6443">
    <cfRule type="containsText" dxfId="570" priority="1465" operator="containsText" text="Pesquisa de Preços">
      <formula>NOT(ISERROR(SEARCH("Pesquisa de Preços",E6443)))</formula>
    </cfRule>
  </conditionalFormatting>
  <conditionalFormatting sqref="E6444 E6449">
    <cfRule type="containsText" dxfId="569" priority="1466" operator="containsText" text="Pesquisa de Preços">
      <formula>NOT(ISERROR(SEARCH("Pesquisa de Preços",E6444)))</formula>
    </cfRule>
  </conditionalFormatting>
  <conditionalFormatting sqref="D6445">
    <cfRule type="containsText" dxfId="568" priority="1459" operator="containsText" text="Pesquisa de Preços">
      <formula>NOT(ISERROR(SEARCH("Pesquisa de Preços",D6445)))</formula>
    </cfRule>
  </conditionalFormatting>
  <conditionalFormatting sqref="D6451">
    <cfRule type="containsText" dxfId="567" priority="1448" operator="containsText" text="Pesquisa de Preços">
      <formula>NOT(ISERROR(SEARCH("Pesquisa de Preços",D6451)))</formula>
    </cfRule>
  </conditionalFormatting>
  <conditionalFormatting sqref="D6456">
    <cfRule type="containsText" dxfId="566" priority="1452" operator="containsText" text="Pesquisa de Preços">
      <formula>NOT(ISERROR(SEARCH("Pesquisa de Preços",D6456)))</formula>
    </cfRule>
  </conditionalFormatting>
  <conditionalFormatting sqref="D6450">
    <cfRule type="containsText" dxfId="565" priority="1449" operator="containsText" text="Pesquisa de Preços">
      <formula>NOT(ISERROR(SEARCH("Pesquisa de Preços",D6450)))</formula>
    </cfRule>
  </conditionalFormatting>
  <conditionalFormatting sqref="E6450">
    <cfRule type="containsText" dxfId="564" priority="1446" operator="containsText" text="Pesquisa de Preços">
      <formula>NOT(ISERROR(SEARCH("Pesquisa de Preços",E6450)))</formula>
    </cfRule>
  </conditionalFormatting>
  <conditionalFormatting sqref="E6451 E6456">
    <cfRule type="containsText" dxfId="563" priority="1447" operator="containsText" text="Pesquisa de Preços">
      <formula>NOT(ISERROR(SEARCH("Pesquisa de Preços",E6451)))</formula>
    </cfRule>
  </conditionalFormatting>
  <conditionalFormatting sqref="D6458">
    <cfRule type="containsText" dxfId="562" priority="1434" operator="containsText" text="Pesquisa de Preços">
      <formula>NOT(ISERROR(SEARCH("Pesquisa de Preços",D6458)))</formula>
    </cfRule>
  </conditionalFormatting>
  <conditionalFormatting sqref="D6457">
    <cfRule type="containsText" dxfId="561" priority="1435" operator="containsText" text="Pesquisa de Preços">
      <formula>NOT(ISERROR(SEARCH("Pesquisa de Preços",D6457)))</formula>
    </cfRule>
  </conditionalFormatting>
  <conditionalFormatting sqref="E6457">
    <cfRule type="containsText" dxfId="560" priority="1432" operator="containsText" text="Pesquisa de Preços">
      <formula>NOT(ISERROR(SEARCH("Pesquisa de Preços",E6457)))</formula>
    </cfRule>
  </conditionalFormatting>
  <conditionalFormatting sqref="E6458">
    <cfRule type="containsText" dxfId="559" priority="1433" operator="containsText" text="Pesquisa de Preços">
      <formula>NOT(ISERROR(SEARCH("Pesquisa de Preços",E6458)))</formula>
    </cfRule>
  </conditionalFormatting>
  <conditionalFormatting sqref="D6452">
    <cfRule type="containsText" dxfId="558" priority="1425" operator="containsText" text="Pesquisa de Preços">
      <formula>NOT(ISERROR(SEARCH("Pesquisa de Preços",D6452)))</formula>
    </cfRule>
  </conditionalFormatting>
  <conditionalFormatting sqref="E6452">
    <cfRule type="containsText" dxfId="557" priority="1424" operator="containsText" text="Pesquisa de Preços">
      <formula>NOT(ISERROR(SEARCH("Pesquisa de Preços",E6452)))</formula>
    </cfRule>
  </conditionalFormatting>
  <conditionalFormatting sqref="D6463">
    <cfRule type="containsText" dxfId="556" priority="1415" operator="containsText" text="Pesquisa de Preços">
      <formula>NOT(ISERROR(SEARCH("Pesquisa de Preços",D6463)))</formula>
    </cfRule>
  </conditionalFormatting>
  <conditionalFormatting sqref="E6463">
    <cfRule type="containsText" dxfId="555" priority="1412" operator="containsText" text="Pesquisa de Preços">
      <formula>NOT(ISERROR(SEARCH("Pesquisa de Preços",E6463)))</formula>
    </cfRule>
  </conditionalFormatting>
  <conditionalFormatting sqref="D373">
    <cfRule type="containsText" dxfId="554" priority="1411" operator="containsText" text="Pesquisa de Preços">
      <formula>NOT(ISERROR(SEARCH("Pesquisa de Preços",D373)))</formula>
    </cfRule>
  </conditionalFormatting>
  <conditionalFormatting sqref="D6471">
    <cfRule type="containsText" dxfId="553" priority="1394" operator="containsText" text="Pesquisa de Preços">
      <formula>NOT(ISERROR(SEARCH("Pesquisa de Preços",D6471)))</formula>
    </cfRule>
  </conditionalFormatting>
  <conditionalFormatting sqref="E6468">
    <cfRule type="containsText" dxfId="552" priority="1390" operator="containsText" text="Pesquisa de Preços">
      <formula>NOT(ISERROR(SEARCH("Pesquisa de Preços",E6468)))</formula>
    </cfRule>
  </conditionalFormatting>
  <conditionalFormatting sqref="D6469">
    <cfRule type="containsText" dxfId="551" priority="1392" operator="containsText" text="Pesquisa de Preços">
      <formula>NOT(ISERROR(SEARCH("Pesquisa de Preços",D6469)))</formula>
    </cfRule>
  </conditionalFormatting>
  <conditionalFormatting sqref="D6468">
    <cfRule type="containsText" dxfId="550" priority="1393" operator="containsText" text="Pesquisa de Preços">
      <formula>NOT(ISERROR(SEARCH("Pesquisa de Preços",D6468)))</formula>
    </cfRule>
  </conditionalFormatting>
  <conditionalFormatting sqref="E6469 E6471">
    <cfRule type="containsText" dxfId="549" priority="1391" operator="containsText" text="Pesquisa de Preços">
      <formula>NOT(ISERROR(SEARCH("Pesquisa de Preços",E6469)))</formula>
    </cfRule>
  </conditionalFormatting>
  <conditionalFormatting sqref="D6475">
    <cfRule type="containsText" dxfId="548" priority="1384" operator="containsText" text="Pesquisa de Preços">
      <formula>NOT(ISERROR(SEARCH("Pesquisa de Preços",D6475)))</formula>
    </cfRule>
  </conditionalFormatting>
  <conditionalFormatting sqref="E6472">
    <cfRule type="containsText" dxfId="547" priority="1380" operator="containsText" text="Pesquisa de Preços">
      <formula>NOT(ISERROR(SEARCH("Pesquisa de Preços",E6472)))</formula>
    </cfRule>
  </conditionalFormatting>
  <conditionalFormatting sqref="D6473">
    <cfRule type="containsText" dxfId="546" priority="1382" operator="containsText" text="Pesquisa de Preços">
      <formula>NOT(ISERROR(SEARCH("Pesquisa de Preços",D6473)))</formula>
    </cfRule>
  </conditionalFormatting>
  <conditionalFormatting sqref="D6472">
    <cfRule type="containsText" dxfId="545" priority="1383" operator="containsText" text="Pesquisa de Preços">
      <formula>NOT(ISERROR(SEARCH("Pesquisa de Preços",D6472)))</formula>
    </cfRule>
  </conditionalFormatting>
  <conditionalFormatting sqref="E6473 E6475">
    <cfRule type="containsText" dxfId="544" priority="1381" operator="containsText" text="Pesquisa de Preços">
      <formula>NOT(ISERROR(SEARCH("Pesquisa de Preços",E6473)))</formula>
    </cfRule>
  </conditionalFormatting>
  <conditionalFormatting sqref="D6479">
    <cfRule type="containsText" dxfId="543" priority="1374" operator="containsText" text="Pesquisa de Preços">
      <formula>NOT(ISERROR(SEARCH("Pesquisa de Preços",D6479)))</formula>
    </cfRule>
  </conditionalFormatting>
  <conditionalFormatting sqref="E6476">
    <cfRule type="containsText" dxfId="542" priority="1370" operator="containsText" text="Pesquisa de Preços">
      <formula>NOT(ISERROR(SEARCH("Pesquisa de Preços",E6476)))</formula>
    </cfRule>
  </conditionalFormatting>
  <conditionalFormatting sqref="D6477">
    <cfRule type="containsText" dxfId="541" priority="1372" operator="containsText" text="Pesquisa de Preços">
      <formula>NOT(ISERROR(SEARCH("Pesquisa de Preços",D6477)))</formula>
    </cfRule>
  </conditionalFormatting>
  <conditionalFormatting sqref="D6476">
    <cfRule type="containsText" dxfId="540" priority="1373" operator="containsText" text="Pesquisa de Preços">
      <formula>NOT(ISERROR(SEARCH("Pesquisa de Preços",D6476)))</formula>
    </cfRule>
  </conditionalFormatting>
  <conditionalFormatting sqref="E6477 E6479">
    <cfRule type="containsText" dxfId="539" priority="1371" operator="containsText" text="Pesquisa de Preços">
      <formula>NOT(ISERROR(SEARCH("Pesquisa de Preços",E6477)))</formula>
    </cfRule>
  </conditionalFormatting>
  <conditionalFormatting sqref="D6483">
    <cfRule type="containsText" dxfId="538" priority="1344" operator="containsText" text="Pesquisa de Preços">
      <formula>NOT(ISERROR(SEARCH("Pesquisa de Preços",D6483)))</formula>
    </cfRule>
  </conditionalFormatting>
  <conditionalFormatting sqref="E6480">
    <cfRule type="containsText" dxfId="537" priority="1340" operator="containsText" text="Pesquisa de Preços">
      <formula>NOT(ISERROR(SEARCH("Pesquisa de Preços",E6480)))</formula>
    </cfRule>
  </conditionalFormatting>
  <conditionalFormatting sqref="D6481">
    <cfRule type="containsText" dxfId="536" priority="1342" operator="containsText" text="Pesquisa de Preços">
      <formula>NOT(ISERROR(SEARCH("Pesquisa de Preços",D6481)))</formula>
    </cfRule>
  </conditionalFormatting>
  <conditionalFormatting sqref="D6480">
    <cfRule type="containsText" dxfId="535" priority="1343" operator="containsText" text="Pesquisa de Preços">
      <formula>NOT(ISERROR(SEARCH("Pesquisa de Preços",D6480)))</formula>
    </cfRule>
  </conditionalFormatting>
  <conditionalFormatting sqref="E6481 E6483">
    <cfRule type="containsText" dxfId="534" priority="1341" operator="containsText" text="Pesquisa de Preços">
      <formula>NOT(ISERROR(SEARCH("Pesquisa de Preços",E6481)))</formula>
    </cfRule>
  </conditionalFormatting>
  <conditionalFormatting sqref="D6487">
    <cfRule type="containsText" dxfId="533" priority="1334" operator="containsText" text="Pesquisa de Preços">
      <formula>NOT(ISERROR(SEARCH("Pesquisa de Preços",D6487)))</formula>
    </cfRule>
  </conditionalFormatting>
  <conditionalFormatting sqref="E6484">
    <cfRule type="containsText" dxfId="532" priority="1330" operator="containsText" text="Pesquisa de Preços">
      <formula>NOT(ISERROR(SEARCH("Pesquisa de Preços",E6484)))</formula>
    </cfRule>
  </conditionalFormatting>
  <conditionalFormatting sqref="D6485">
    <cfRule type="containsText" dxfId="531" priority="1332" operator="containsText" text="Pesquisa de Preços">
      <formula>NOT(ISERROR(SEARCH("Pesquisa de Preços",D6485)))</formula>
    </cfRule>
  </conditionalFormatting>
  <conditionalFormatting sqref="D6484">
    <cfRule type="containsText" dxfId="530" priority="1333" operator="containsText" text="Pesquisa de Preços">
      <formula>NOT(ISERROR(SEARCH("Pesquisa de Preços",D6484)))</formula>
    </cfRule>
  </conditionalFormatting>
  <conditionalFormatting sqref="E6485 E6487">
    <cfRule type="containsText" dxfId="529" priority="1331" operator="containsText" text="Pesquisa de Preços">
      <formula>NOT(ISERROR(SEARCH("Pesquisa de Preços",E6485)))</formula>
    </cfRule>
  </conditionalFormatting>
  <conditionalFormatting sqref="D6491">
    <cfRule type="containsText" dxfId="528" priority="1324" operator="containsText" text="Pesquisa de Preços">
      <formula>NOT(ISERROR(SEARCH("Pesquisa de Preços",D6491)))</formula>
    </cfRule>
  </conditionalFormatting>
  <conditionalFormatting sqref="E6488">
    <cfRule type="containsText" dxfId="527" priority="1320" operator="containsText" text="Pesquisa de Preços">
      <formula>NOT(ISERROR(SEARCH("Pesquisa de Preços",E6488)))</formula>
    </cfRule>
  </conditionalFormatting>
  <conditionalFormatting sqref="D6489">
    <cfRule type="containsText" dxfId="526" priority="1322" operator="containsText" text="Pesquisa de Preços">
      <formula>NOT(ISERROR(SEARCH("Pesquisa de Preços",D6489)))</formula>
    </cfRule>
  </conditionalFormatting>
  <conditionalFormatting sqref="D6488">
    <cfRule type="containsText" dxfId="525" priority="1323" operator="containsText" text="Pesquisa de Preços">
      <formula>NOT(ISERROR(SEARCH("Pesquisa de Preços",D6488)))</formula>
    </cfRule>
  </conditionalFormatting>
  <conditionalFormatting sqref="E6489 E6491">
    <cfRule type="containsText" dxfId="524" priority="1321" operator="containsText" text="Pesquisa de Preços">
      <formula>NOT(ISERROR(SEARCH("Pesquisa de Preços",E6489)))</formula>
    </cfRule>
  </conditionalFormatting>
  <conditionalFormatting sqref="D6495">
    <cfRule type="containsText" dxfId="523" priority="1314" operator="containsText" text="Pesquisa de Preços">
      <formula>NOT(ISERROR(SEARCH("Pesquisa de Preços",D6495)))</formula>
    </cfRule>
  </conditionalFormatting>
  <conditionalFormatting sqref="E6492">
    <cfRule type="containsText" dxfId="522" priority="1310" operator="containsText" text="Pesquisa de Preços">
      <formula>NOT(ISERROR(SEARCH("Pesquisa de Preços",E6492)))</formula>
    </cfRule>
  </conditionalFormatting>
  <conditionalFormatting sqref="D6493">
    <cfRule type="containsText" dxfId="521" priority="1312" operator="containsText" text="Pesquisa de Preços">
      <formula>NOT(ISERROR(SEARCH("Pesquisa de Preços",D6493)))</formula>
    </cfRule>
  </conditionalFormatting>
  <conditionalFormatting sqref="D6492">
    <cfRule type="containsText" dxfId="520" priority="1313" operator="containsText" text="Pesquisa de Preços">
      <formula>NOT(ISERROR(SEARCH("Pesquisa de Preços",D6492)))</formula>
    </cfRule>
  </conditionalFormatting>
  <conditionalFormatting sqref="E6493 E6495">
    <cfRule type="containsText" dxfId="519" priority="1311" operator="containsText" text="Pesquisa de Preços">
      <formula>NOT(ISERROR(SEARCH("Pesquisa de Preços",E6493)))</formula>
    </cfRule>
  </conditionalFormatting>
  <conditionalFormatting sqref="D6499">
    <cfRule type="containsText" dxfId="518" priority="1304" operator="containsText" text="Pesquisa de Preços">
      <formula>NOT(ISERROR(SEARCH("Pesquisa de Preços",D6499)))</formula>
    </cfRule>
  </conditionalFormatting>
  <conditionalFormatting sqref="E6496">
    <cfRule type="containsText" dxfId="517" priority="1300" operator="containsText" text="Pesquisa de Preços">
      <formula>NOT(ISERROR(SEARCH("Pesquisa de Preços",E6496)))</formula>
    </cfRule>
  </conditionalFormatting>
  <conditionalFormatting sqref="D6497">
    <cfRule type="containsText" dxfId="516" priority="1302" operator="containsText" text="Pesquisa de Preços">
      <formula>NOT(ISERROR(SEARCH("Pesquisa de Preços",D6497)))</formula>
    </cfRule>
  </conditionalFormatting>
  <conditionalFormatting sqref="D6496">
    <cfRule type="containsText" dxfId="515" priority="1303" operator="containsText" text="Pesquisa de Preços">
      <formula>NOT(ISERROR(SEARCH("Pesquisa de Preços",D6496)))</formula>
    </cfRule>
  </conditionalFormatting>
  <conditionalFormatting sqref="E6497 E6499">
    <cfRule type="containsText" dxfId="514" priority="1301" operator="containsText" text="Pesquisa de Preços">
      <formula>NOT(ISERROR(SEARCH("Pesquisa de Preços",E6497)))</formula>
    </cfRule>
  </conditionalFormatting>
  <conditionalFormatting sqref="D6503">
    <cfRule type="containsText" dxfId="513" priority="1284" operator="containsText" text="Pesquisa de Preços">
      <formula>NOT(ISERROR(SEARCH("Pesquisa de Preços",D6503)))</formula>
    </cfRule>
  </conditionalFormatting>
  <conditionalFormatting sqref="E6500">
    <cfRule type="containsText" dxfId="512" priority="1280" operator="containsText" text="Pesquisa de Preços">
      <formula>NOT(ISERROR(SEARCH("Pesquisa de Preços",E6500)))</formula>
    </cfRule>
  </conditionalFormatting>
  <conditionalFormatting sqref="D6501">
    <cfRule type="containsText" dxfId="511" priority="1282" operator="containsText" text="Pesquisa de Preços">
      <formula>NOT(ISERROR(SEARCH("Pesquisa de Preços",D6501)))</formula>
    </cfRule>
  </conditionalFormatting>
  <conditionalFormatting sqref="D6500">
    <cfRule type="containsText" dxfId="510" priority="1283" operator="containsText" text="Pesquisa de Preços">
      <formula>NOT(ISERROR(SEARCH("Pesquisa de Preços",D6500)))</formula>
    </cfRule>
  </conditionalFormatting>
  <conditionalFormatting sqref="E6501 E6503">
    <cfRule type="containsText" dxfId="509" priority="1281" operator="containsText" text="Pesquisa de Preços">
      <formula>NOT(ISERROR(SEARCH("Pesquisa de Preços",E6501)))</formula>
    </cfRule>
  </conditionalFormatting>
  <conditionalFormatting sqref="D6507">
    <cfRule type="containsText" dxfId="508" priority="1274" operator="containsText" text="Pesquisa de Preços">
      <formula>NOT(ISERROR(SEARCH("Pesquisa de Preços",D6507)))</formula>
    </cfRule>
  </conditionalFormatting>
  <conditionalFormatting sqref="E6504">
    <cfRule type="containsText" dxfId="507" priority="1270" operator="containsText" text="Pesquisa de Preços">
      <formula>NOT(ISERROR(SEARCH("Pesquisa de Preços",E6504)))</formula>
    </cfRule>
  </conditionalFormatting>
  <conditionalFormatting sqref="D6505">
    <cfRule type="containsText" dxfId="506" priority="1272" operator="containsText" text="Pesquisa de Preços">
      <formula>NOT(ISERROR(SEARCH("Pesquisa de Preços",D6505)))</formula>
    </cfRule>
  </conditionalFormatting>
  <conditionalFormatting sqref="D6504">
    <cfRule type="containsText" dxfId="505" priority="1273" operator="containsText" text="Pesquisa de Preços">
      <formula>NOT(ISERROR(SEARCH("Pesquisa de Preços",D6504)))</formula>
    </cfRule>
  </conditionalFormatting>
  <conditionalFormatting sqref="E6505 E6507">
    <cfRule type="containsText" dxfId="504" priority="1271" operator="containsText" text="Pesquisa de Preços">
      <formula>NOT(ISERROR(SEARCH("Pesquisa de Preços",E6505)))</formula>
    </cfRule>
  </conditionalFormatting>
  <conditionalFormatting sqref="D6515">
    <cfRule type="containsText" dxfId="503" priority="1264" operator="containsText" text="Pesquisa de Preços">
      <formula>NOT(ISERROR(SEARCH("Pesquisa de Preços",D6515)))</formula>
    </cfRule>
  </conditionalFormatting>
  <conditionalFormatting sqref="E6512">
    <cfRule type="containsText" dxfId="502" priority="1260" operator="containsText" text="Pesquisa de Preços">
      <formula>NOT(ISERROR(SEARCH("Pesquisa de Preços",E6512)))</formula>
    </cfRule>
  </conditionalFormatting>
  <conditionalFormatting sqref="D6513">
    <cfRule type="containsText" dxfId="501" priority="1262" operator="containsText" text="Pesquisa de Preços">
      <formula>NOT(ISERROR(SEARCH("Pesquisa de Preços",D6513)))</formula>
    </cfRule>
  </conditionalFormatting>
  <conditionalFormatting sqref="D6512">
    <cfRule type="containsText" dxfId="500" priority="1263" operator="containsText" text="Pesquisa de Preços">
      <formula>NOT(ISERROR(SEARCH("Pesquisa de Preços",D6512)))</formula>
    </cfRule>
  </conditionalFormatting>
  <conditionalFormatting sqref="E6513 E6515">
    <cfRule type="containsText" dxfId="499" priority="1261" operator="containsText" text="Pesquisa de Preços">
      <formula>NOT(ISERROR(SEARCH("Pesquisa de Preços",E6513)))</formula>
    </cfRule>
  </conditionalFormatting>
  <conditionalFormatting sqref="D6519">
    <cfRule type="containsText" dxfId="498" priority="1254" operator="containsText" text="Pesquisa de Preços">
      <formula>NOT(ISERROR(SEARCH("Pesquisa de Preços",D6519)))</formula>
    </cfRule>
  </conditionalFormatting>
  <conditionalFormatting sqref="E6516">
    <cfRule type="containsText" dxfId="497" priority="1250" operator="containsText" text="Pesquisa de Preços">
      <formula>NOT(ISERROR(SEARCH("Pesquisa de Preços",E6516)))</formula>
    </cfRule>
  </conditionalFormatting>
  <conditionalFormatting sqref="D6517">
    <cfRule type="containsText" dxfId="496" priority="1252" operator="containsText" text="Pesquisa de Preços">
      <formula>NOT(ISERROR(SEARCH("Pesquisa de Preços",D6517)))</formula>
    </cfRule>
  </conditionalFormatting>
  <conditionalFormatting sqref="D6516">
    <cfRule type="containsText" dxfId="495" priority="1253" operator="containsText" text="Pesquisa de Preços">
      <formula>NOT(ISERROR(SEARCH("Pesquisa de Preços",D6516)))</formula>
    </cfRule>
  </conditionalFormatting>
  <conditionalFormatting sqref="E6517 E6519">
    <cfRule type="containsText" dxfId="494" priority="1251" operator="containsText" text="Pesquisa de Preços">
      <formula>NOT(ISERROR(SEARCH("Pesquisa de Preços",E6517)))</formula>
    </cfRule>
  </conditionalFormatting>
  <conditionalFormatting sqref="D6523">
    <cfRule type="containsText" dxfId="493" priority="1244" operator="containsText" text="Pesquisa de Preços">
      <formula>NOT(ISERROR(SEARCH("Pesquisa de Preços",D6523)))</formula>
    </cfRule>
  </conditionalFormatting>
  <conditionalFormatting sqref="E6520">
    <cfRule type="containsText" dxfId="492" priority="1240" operator="containsText" text="Pesquisa de Preços">
      <formula>NOT(ISERROR(SEARCH("Pesquisa de Preços",E6520)))</formula>
    </cfRule>
  </conditionalFormatting>
  <conditionalFormatting sqref="D6521">
    <cfRule type="containsText" dxfId="491" priority="1242" operator="containsText" text="Pesquisa de Preços">
      <formula>NOT(ISERROR(SEARCH("Pesquisa de Preços",D6521)))</formula>
    </cfRule>
  </conditionalFormatting>
  <conditionalFormatting sqref="D6520">
    <cfRule type="containsText" dxfId="490" priority="1243" operator="containsText" text="Pesquisa de Preços">
      <formula>NOT(ISERROR(SEARCH("Pesquisa de Preços",D6520)))</formula>
    </cfRule>
  </conditionalFormatting>
  <conditionalFormatting sqref="E6521 E6523">
    <cfRule type="containsText" dxfId="489" priority="1241" operator="containsText" text="Pesquisa de Preços">
      <formula>NOT(ISERROR(SEARCH("Pesquisa de Preços",E6521)))</formula>
    </cfRule>
  </conditionalFormatting>
  <conditionalFormatting sqref="D6527">
    <cfRule type="containsText" dxfId="488" priority="1224" operator="containsText" text="Pesquisa de Preços">
      <formula>NOT(ISERROR(SEARCH("Pesquisa de Preços",D6527)))</formula>
    </cfRule>
  </conditionalFormatting>
  <conditionalFormatting sqref="E6524">
    <cfRule type="containsText" dxfId="487" priority="1220" operator="containsText" text="Pesquisa de Preços">
      <formula>NOT(ISERROR(SEARCH("Pesquisa de Preços",E6524)))</formula>
    </cfRule>
  </conditionalFormatting>
  <conditionalFormatting sqref="D6525">
    <cfRule type="containsText" dxfId="486" priority="1222" operator="containsText" text="Pesquisa de Preços">
      <formula>NOT(ISERROR(SEARCH("Pesquisa de Preços",D6525)))</formula>
    </cfRule>
  </conditionalFormatting>
  <conditionalFormatting sqref="D6524">
    <cfRule type="containsText" dxfId="485" priority="1223" operator="containsText" text="Pesquisa de Preços">
      <formula>NOT(ISERROR(SEARCH("Pesquisa de Preços",D6524)))</formula>
    </cfRule>
  </conditionalFormatting>
  <conditionalFormatting sqref="E6525 E6527">
    <cfRule type="containsText" dxfId="484" priority="1221" operator="containsText" text="Pesquisa de Preços">
      <formula>NOT(ISERROR(SEARCH("Pesquisa de Preços",E6525)))</formula>
    </cfRule>
  </conditionalFormatting>
  <conditionalFormatting sqref="D6535">
    <cfRule type="containsText" dxfId="483" priority="1164" operator="containsText" text="Pesquisa de Preços">
      <formula>NOT(ISERROR(SEARCH("Pesquisa de Preços",D6535)))</formula>
    </cfRule>
  </conditionalFormatting>
  <conditionalFormatting sqref="E6532">
    <cfRule type="containsText" dxfId="482" priority="1160" operator="containsText" text="Pesquisa de Preços">
      <formula>NOT(ISERROR(SEARCH("Pesquisa de Preços",E6532)))</formula>
    </cfRule>
  </conditionalFormatting>
  <conditionalFormatting sqref="D6533">
    <cfRule type="containsText" dxfId="481" priority="1162" operator="containsText" text="Pesquisa de Preços">
      <formula>NOT(ISERROR(SEARCH("Pesquisa de Preços",D6533)))</formula>
    </cfRule>
  </conditionalFormatting>
  <conditionalFormatting sqref="D6532">
    <cfRule type="containsText" dxfId="480" priority="1163" operator="containsText" text="Pesquisa de Preços">
      <formula>NOT(ISERROR(SEARCH("Pesquisa de Preços",D6532)))</formula>
    </cfRule>
  </conditionalFormatting>
  <conditionalFormatting sqref="E6533 E6535">
    <cfRule type="containsText" dxfId="479" priority="1161" operator="containsText" text="Pesquisa de Preços">
      <formula>NOT(ISERROR(SEARCH("Pesquisa de Preços",E6533)))</formula>
    </cfRule>
  </conditionalFormatting>
  <conditionalFormatting sqref="D6539">
    <cfRule type="containsText" dxfId="478" priority="1104" operator="containsText" text="Pesquisa de Preços">
      <formula>NOT(ISERROR(SEARCH("Pesquisa de Preços",D6539)))</formula>
    </cfRule>
  </conditionalFormatting>
  <conditionalFormatting sqref="E6536">
    <cfRule type="containsText" dxfId="477" priority="1100" operator="containsText" text="Pesquisa de Preços">
      <formula>NOT(ISERROR(SEARCH("Pesquisa de Preços",E6536)))</formula>
    </cfRule>
  </conditionalFormatting>
  <conditionalFormatting sqref="D6537">
    <cfRule type="containsText" dxfId="476" priority="1102" operator="containsText" text="Pesquisa de Preços">
      <formula>NOT(ISERROR(SEARCH("Pesquisa de Preços",D6537)))</formula>
    </cfRule>
  </conditionalFormatting>
  <conditionalFormatting sqref="D6536">
    <cfRule type="containsText" dxfId="475" priority="1103" operator="containsText" text="Pesquisa de Preços">
      <formula>NOT(ISERROR(SEARCH("Pesquisa de Preços",D6536)))</formula>
    </cfRule>
  </conditionalFormatting>
  <conditionalFormatting sqref="E6537 E6539">
    <cfRule type="containsText" dxfId="474" priority="1101" operator="containsText" text="Pesquisa de Preços">
      <formula>NOT(ISERROR(SEARCH("Pesquisa de Preços",E6537)))</formula>
    </cfRule>
  </conditionalFormatting>
  <conditionalFormatting sqref="D6543">
    <cfRule type="containsText" dxfId="473" priority="1094" operator="containsText" text="Pesquisa de Preços">
      <formula>NOT(ISERROR(SEARCH("Pesquisa de Preços",D6543)))</formula>
    </cfRule>
  </conditionalFormatting>
  <conditionalFormatting sqref="E6540">
    <cfRule type="containsText" dxfId="472" priority="1090" operator="containsText" text="Pesquisa de Preços">
      <formula>NOT(ISERROR(SEARCH("Pesquisa de Preços",E6540)))</formula>
    </cfRule>
  </conditionalFormatting>
  <conditionalFormatting sqref="D6541">
    <cfRule type="containsText" dxfId="471" priority="1092" operator="containsText" text="Pesquisa de Preços">
      <formula>NOT(ISERROR(SEARCH("Pesquisa de Preços",D6541)))</formula>
    </cfRule>
  </conditionalFormatting>
  <conditionalFormatting sqref="D6540">
    <cfRule type="containsText" dxfId="470" priority="1093" operator="containsText" text="Pesquisa de Preços">
      <formula>NOT(ISERROR(SEARCH("Pesquisa de Preços",D6540)))</formula>
    </cfRule>
  </conditionalFormatting>
  <conditionalFormatting sqref="E6541 E6543">
    <cfRule type="containsText" dxfId="469" priority="1091" operator="containsText" text="Pesquisa de Preços">
      <formula>NOT(ISERROR(SEARCH("Pesquisa de Preços",E6541)))</formula>
    </cfRule>
  </conditionalFormatting>
  <conditionalFormatting sqref="D6547">
    <cfRule type="containsText" dxfId="468" priority="1084" operator="containsText" text="Pesquisa de Preços">
      <formula>NOT(ISERROR(SEARCH("Pesquisa de Preços",D6547)))</formula>
    </cfRule>
  </conditionalFormatting>
  <conditionalFormatting sqref="E6544">
    <cfRule type="containsText" dxfId="467" priority="1080" operator="containsText" text="Pesquisa de Preços">
      <formula>NOT(ISERROR(SEARCH("Pesquisa de Preços",E6544)))</formula>
    </cfRule>
  </conditionalFormatting>
  <conditionalFormatting sqref="D6545">
    <cfRule type="containsText" dxfId="466" priority="1082" operator="containsText" text="Pesquisa de Preços">
      <formula>NOT(ISERROR(SEARCH("Pesquisa de Preços",D6545)))</formula>
    </cfRule>
  </conditionalFormatting>
  <conditionalFormatting sqref="D6544">
    <cfRule type="containsText" dxfId="465" priority="1083" operator="containsText" text="Pesquisa de Preços">
      <formula>NOT(ISERROR(SEARCH("Pesquisa de Preços",D6544)))</formula>
    </cfRule>
  </conditionalFormatting>
  <conditionalFormatting sqref="E6545 E6547">
    <cfRule type="containsText" dxfId="464" priority="1081" operator="containsText" text="Pesquisa de Preços">
      <formula>NOT(ISERROR(SEARCH("Pesquisa de Preços",E6545)))</formula>
    </cfRule>
  </conditionalFormatting>
  <conditionalFormatting sqref="D6551">
    <cfRule type="containsText" dxfId="463" priority="1074" operator="containsText" text="Pesquisa de Preços">
      <formula>NOT(ISERROR(SEARCH("Pesquisa de Preços",D6551)))</formula>
    </cfRule>
  </conditionalFormatting>
  <conditionalFormatting sqref="E6548">
    <cfRule type="containsText" dxfId="462" priority="1070" operator="containsText" text="Pesquisa de Preços">
      <formula>NOT(ISERROR(SEARCH("Pesquisa de Preços",E6548)))</formula>
    </cfRule>
  </conditionalFormatting>
  <conditionalFormatting sqref="D6549">
    <cfRule type="containsText" dxfId="461" priority="1072" operator="containsText" text="Pesquisa de Preços">
      <formula>NOT(ISERROR(SEARCH("Pesquisa de Preços",D6549)))</formula>
    </cfRule>
  </conditionalFormatting>
  <conditionalFormatting sqref="D6548">
    <cfRule type="containsText" dxfId="460" priority="1073" operator="containsText" text="Pesquisa de Preços">
      <formula>NOT(ISERROR(SEARCH("Pesquisa de Preços",D6548)))</formula>
    </cfRule>
  </conditionalFormatting>
  <conditionalFormatting sqref="E6549 E6551">
    <cfRule type="containsText" dxfId="459" priority="1071" operator="containsText" text="Pesquisa de Preços">
      <formula>NOT(ISERROR(SEARCH("Pesquisa de Preços",E6549)))</formula>
    </cfRule>
  </conditionalFormatting>
  <conditionalFormatting sqref="D6555">
    <cfRule type="containsText" dxfId="458" priority="1064" operator="containsText" text="Pesquisa de Preços">
      <formula>NOT(ISERROR(SEARCH("Pesquisa de Preços",D6555)))</formula>
    </cfRule>
  </conditionalFormatting>
  <conditionalFormatting sqref="E6552">
    <cfRule type="containsText" dxfId="457" priority="1060" operator="containsText" text="Pesquisa de Preços">
      <formula>NOT(ISERROR(SEARCH("Pesquisa de Preços",E6552)))</formula>
    </cfRule>
  </conditionalFormatting>
  <conditionalFormatting sqref="D6553">
    <cfRule type="containsText" dxfId="456" priority="1062" operator="containsText" text="Pesquisa de Preços">
      <formula>NOT(ISERROR(SEARCH("Pesquisa de Preços",D6553)))</formula>
    </cfRule>
  </conditionalFormatting>
  <conditionalFormatting sqref="D6552">
    <cfRule type="containsText" dxfId="455" priority="1063" operator="containsText" text="Pesquisa de Preços">
      <formula>NOT(ISERROR(SEARCH("Pesquisa de Preços",D6552)))</formula>
    </cfRule>
  </conditionalFormatting>
  <conditionalFormatting sqref="E6553 E6555">
    <cfRule type="containsText" dxfId="454" priority="1061" operator="containsText" text="Pesquisa de Preços">
      <formula>NOT(ISERROR(SEARCH("Pesquisa de Preços",E6553)))</formula>
    </cfRule>
  </conditionalFormatting>
  <conditionalFormatting sqref="D6563">
    <cfRule type="containsText" dxfId="453" priority="1054" operator="containsText" text="Pesquisa de Preços">
      <formula>NOT(ISERROR(SEARCH("Pesquisa de Preços",D6563)))</formula>
    </cfRule>
  </conditionalFormatting>
  <conditionalFormatting sqref="E6560">
    <cfRule type="containsText" dxfId="452" priority="1050" operator="containsText" text="Pesquisa de Preços">
      <formula>NOT(ISERROR(SEARCH("Pesquisa de Preços",E6560)))</formula>
    </cfRule>
  </conditionalFormatting>
  <conditionalFormatting sqref="D6561">
    <cfRule type="containsText" dxfId="451" priority="1052" operator="containsText" text="Pesquisa de Preços">
      <formula>NOT(ISERROR(SEARCH("Pesquisa de Preços",D6561)))</formula>
    </cfRule>
  </conditionalFormatting>
  <conditionalFormatting sqref="D6560">
    <cfRule type="containsText" dxfId="450" priority="1053" operator="containsText" text="Pesquisa de Preços">
      <formula>NOT(ISERROR(SEARCH("Pesquisa de Preços",D6560)))</formula>
    </cfRule>
  </conditionalFormatting>
  <conditionalFormatting sqref="E6561 E6563">
    <cfRule type="containsText" dxfId="449" priority="1051" operator="containsText" text="Pesquisa de Preços">
      <formula>NOT(ISERROR(SEARCH("Pesquisa de Preços",E6561)))</formula>
    </cfRule>
  </conditionalFormatting>
  <conditionalFormatting sqref="D6567">
    <cfRule type="containsText" dxfId="448" priority="1044" operator="containsText" text="Pesquisa de Preços">
      <formula>NOT(ISERROR(SEARCH("Pesquisa de Preços",D6567)))</formula>
    </cfRule>
  </conditionalFormatting>
  <conditionalFormatting sqref="E6564">
    <cfRule type="containsText" dxfId="447" priority="1040" operator="containsText" text="Pesquisa de Preços">
      <formula>NOT(ISERROR(SEARCH("Pesquisa de Preços",E6564)))</formula>
    </cfRule>
  </conditionalFormatting>
  <conditionalFormatting sqref="D6565">
    <cfRule type="containsText" dxfId="446" priority="1042" operator="containsText" text="Pesquisa de Preços">
      <formula>NOT(ISERROR(SEARCH("Pesquisa de Preços",D6565)))</formula>
    </cfRule>
  </conditionalFormatting>
  <conditionalFormatting sqref="D6564">
    <cfRule type="containsText" dxfId="445" priority="1043" operator="containsText" text="Pesquisa de Preços">
      <formula>NOT(ISERROR(SEARCH("Pesquisa de Preços",D6564)))</formula>
    </cfRule>
  </conditionalFormatting>
  <conditionalFormatting sqref="E6565 E6567">
    <cfRule type="containsText" dxfId="444" priority="1041" operator="containsText" text="Pesquisa de Preços">
      <formula>NOT(ISERROR(SEARCH("Pesquisa de Preços",E6565)))</formula>
    </cfRule>
  </conditionalFormatting>
  <conditionalFormatting sqref="D6571">
    <cfRule type="containsText" dxfId="443" priority="1034" operator="containsText" text="Pesquisa de Preços">
      <formula>NOT(ISERROR(SEARCH("Pesquisa de Preços",D6571)))</formula>
    </cfRule>
  </conditionalFormatting>
  <conditionalFormatting sqref="E6568">
    <cfRule type="containsText" dxfId="442" priority="1030" operator="containsText" text="Pesquisa de Preços">
      <formula>NOT(ISERROR(SEARCH("Pesquisa de Preços",E6568)))</formula>
    </cfRule>
  </conditionalFormatting>
  <conditionalFormatting sqref="D6569">
    <cfRule type="containsText" dxfId="441" priority="1032" operator="containsText" text="Pesquisa de Preços">
      <formula>NOT(ISERROR(SEARCH("Pesquisa de Preços",D6569)))</formula>
    </cfRule>
  </conditionalFormatting>
  <conditionalFormatting sqref="D6568">
    <cfRule type="containsText" dxfId="440" priority="1033" operator="containsText" text="Pesquisa de Preços">
      <formula>NOT(ISERROR(SEARCH("Pesquisa de Preços",D6568)))</formula>
    </cfRule>
  </conditionalFormatting>
  <conditionalFormatting sqref="E6569 E6571">
    <cfRule type="containsText" dxfId="439" priority="1031" operator="containsText" text="Pesquisa de Preços">
      <formula>NOT(ISERROR(SEARCH("Pesquisa de Preços",E6569)))</formula>
    </cfRule>
  </conditionalFormatting>
  <conditionalFormatting sqref="D6575">
    <cfRule type="containsText" dxfId="438" priority="1024" operator="containsText" text="Pesquisa de Preços">
      <formula>NOT(ISERROR(SEARCH("Pesquisa de Preços",D6575)))</formula>
    </cfRule>
  </conditionalFormatting>
  <conditionalFormatting sqref="E6572">
    <cfRule type="containsText" dxfId="437" priority="1020" operator="containsText" text="Pesquisa de Preços">
      <formula>NOT(ISERROR(SEARCH("Pesquisa de Preços",E6572)))</formula>
    </cfRule>
  </conditionalFormatting>
  <conditionalFormatting sqref="D6573">
    <cfRule type="containsText" dxfId="436" priority="1022" operator="containsText" text="Pesquisa de Preços">
      <formula>NOT(ISERROR(SEARCH("Pesquisa de Preços",D6573)))</formula>
    </cfRule>
  </conditionalFormatting>
  <conditionalFormatting sqref="D6572">
    <cfRule type="containsText" dxfId="435" priority="1023" operator="containsText" text="Pesquisa de Preços">
      <formula>NOT(ISERROR(SEARCH("Pesquisa de Preços",D6572)))</formula>
    </cfRule>
  </conditionalFormatting>
  <conditionalFormatting sqref="E6573 E6575">
    <cfRule type="containsText" dxfId="434" priority="1021" operator="containsText" text="Pesquisa de Preços">
      <formula>NOT(ISERROR(SEARCH("Pesquisa de Preços",E6573)))</formula>
    </cfRule>
  </conditionalFormatting>
  <conditionalFormatting sqref="D6579">
    <cfRule type="containsText" dxfId="433" priority="1014" operator="containsText" text="Pesquisa de Preços">
      <formula>NOT(ISERROR(SEARCH("Pesquisa de Preços",D6579)))</formula>
    </cfRule>
  </conditionalFormatting>
  <conditionalFormatting sqref="E6576">
    <cfRule type="containsText" dxfId="432" priority="1010" operator="containsText" text="Pesquisa de Preços">
      <formula>NOT(ISERROR(SEARCH("Pesquisa de Preços",E6576)))</formula>
    </cfRule>
  </conditionalFormatting>
  <conditionalFormatting sqref="D6577">
    <cfRule type="containsText" dxfId="431" priority="1012" operator="containsText" text="Pesquisa de Preços">
      <formula>NOT(ISERROR(SEARCH("Pesquisa de Preços",D6577)))</formula>
    </cfRule>
  </conditionalFormatting>
  <conditionalFormatting sqref="D6576">
    <cfRule type="containsText" dxfId="430" priority="1013" operator="containsText" text="Pesquisa de Preços">
      <formula>NOT(ISERROR(SEARCH("Pesquisa de Preços",D6576)))</formula>
    </cfRule>
  </conditionalFormatting>
  <conditionalFormatting sqref="E6577 E6579">
    <cfRule type="containsText" dxfId="429" priority="1011" operator="containsText" text="Pesquisa de Preços">
      <formula>NOT(ISERROR(SEARCH("Pesquisa de Preços",E6577)))</formula>
    </cfRule>
  </conditionalFormatting>
  <conditionalFormatting sqref="D6583">
    <cfRule type="containsText" dxfId="428" priority="1004" operator="containsText" text="Pesquisa de Preços">
      <formula>NOT(ISERROR(SEARCH("Pesquisa de Preços",D6583)))</formula>
    </cfRule>
  </conditionalFormatting>
  <conditionalFormatting sqref="E6580">
    <cfRule type="containsText" dxfId="427" priority="1000" operator="containsText" text="Pesquisa de Preços">
      <formula>NOT(ISERROR(SEARCH("Pesquisa de Preços",E6580)))</formula>
    </cfRule>
  </conditionalFormatting>
  <conditionalFormatting sqref="D6581">
    <cfRule type="containsText" dxfId="426" priority="1002" operator="containsText" text="Pesquisa de Preços">
      <formula>NOT(ISERROR(SEARCH("Pesquisa de Preços",D6581)))</formula>
    </cfRule>
  </conditionalFormatting>
  <conditionalFormatting sqref="D6580">
    <cfRule type="containsText" dxfId="425" priority="1003" operator="containsText" text="Pesquisa de Preços">
      <formula>NOT(ISERROR(SEARCH("Pesquisa de Preços",D6580)))</formula>
    </cfRule>
  </conditionalFormatting>
  <conditionalFormatting sqref="E6581 E6583">
    <cfRule type="containsText" dxfId="424" priority="1001" operator="containsText" text="Pesquisa de Preços">
      <formula>NOT(ISERROR(SEARCH("Pesquisa de Preços",E6581)))</formula>
    </cfRule>
  </conditionalFormatting>
  <conditionalFormatting sqref="D6587">
    <cfRule type="containsText" dxfId="423" priority="994" operator="containsText" text="Pesquisa de Preços">
      <formula>NOT(ISERROR(SEARCH("Pesquisa de Preços",D6587)))</formula>
    </cfRule>
  </conditionalFormatting>
  <conditionalFormatting sqref="E6584">
    <cfRule type="containsText" dxfId="422" priority="990" operator="containsText" text="Pesquisa de Preços">
      <formula>NOT(ISERROR(SEARCH("Pesquisa de Preços",E6584)))</formula>
    </cfRule>
  </conditionalFormatting>
  <conditionalFormatting sqref="D6585">
    <cfRule type="containsText" dxfId="421" priority="992" operator="containsText" text="Pesquisa de Preços">
      <formula>NOT(ISERROR(SEARCH("Pesquisa de Preços",D6585)))</formula>
    </cfRule>
  </conditionalFormatting>
  <conditionalFormatting sqref="D6584">
    <cfRule type="containsText" dxfId="420" priority="993" operator="containsText" text="Pesquisa de Preços">
      <formula>NOT(ISERROR(SEARCH("Pesquisa de Preços",D6584)))</formula>
    </cfRule>
  </conditionalFormatting>
  <conditionalFormatting sqref="E6585 E6587">
    <cfRule type="containsText" dxfId="419" priority="991" operator="containsText" text="Pesquisa de Preços">
      <formula>NOT(ISERROR(SEARCH("Pesquisa de Preços",E6585)))</formula>
    </cfRule>
  </conditionalFormatting>
  <conditionalFormatting sqref="D6591">
    <cfRule type="containsText" dxfId="418" priority="984" operator="containsText" text="Pesquisa de Preços">
      <formula>NOT(ISERROR(SEARCH("Pesquisa de Preços",D6591)))</formula>
    </cfRule>
  </conditionalFormatting>
  <conditionalFormatting sqref="E6588">
    <cfRule type="containsText" dxfId="417" priority="980" operator="containsText" text="Pesquisa de Preços">
      <formula>NOT(ISERROR(SEARCH("Pesquisa de Preços",E6588)))</formula>
    </cfRule>
  </conditionalFormatting>
  <conditionalFormatting sqref="D6589">
    <cfRule type="containsText" dxfId="416" priority="982" operator="containsText" text="Pesquisa de Preços">
      <formula>NOT(ISERROR(SEARCH("Pesquisa de Preços",D6589)))</formula>
    </cfRule>
  </conditionalFormatting>
  <conditionalFormatting sqref="D6588">
    <cfRule type="containsText" dxfId="415" priority="983" operator="containsText" text="Pesquisa de Preços">
      <formula>NOT(ISERROR(SEARCH("Pesquisa de Preços",D6588)))</formula>
    </cfRule>
  </conditionalFormatting>
  <conditionalFormatting sqref="E6589 E6591">
    <cfRule type="containsText" dxfId="414" priority="981" operator="containsText" text="Pesquisa de Preços">
      <formula>NOT(ISERROR(SEARCH("Pesquisa de Preços",E6589)))</formula>
    </cfRule>
  </conditionalFormatting>
  <conditionalFormatting sqref="D6595">
    <cfRule type="containsText" dxfId="413" priority="974" operator="containsText" text="Pesquisa de Preços">
      <formula>NOT(ISERROR(SEARCH("Pesquisa de Preços",D6595)))</formula>
    </cfRule>
  </conditionalFormatting>
  <conditionalFormatting sqref="E6592">
    <cfRule type="containsText" dxfId="412" priority="970" operator="containsText" text="Pesquisa de Preços">
      <formula>NOT(ISERROR(SEARCH("Pesquisa de Preços",E6592)))</formula>
    </cfRule>
  </conditionalFormatting>
  <conditionalFormatting sqref="D6593">
    <cfRule type="containsText" dxfId="411" priority="972" operator="containsText" text="Pesquisa de Preços">
      <formula>NOT(ISERROR(SEARCH("Pesquisa de Preços",D6593)))</formula>
    </cfRule>
  </conditionalFormatting>
  <conditionalFormatting sqref="D6592">
    <cfRule type="containsText" dxfId="410" priority="973" operator="containsText" text="Pesquisa de Preços">
      <formula>NOT(ISERROR(SEARCH("Pesquisa de Preços",D6592)))</formula>
    </cfRule>
  </conditionalFormatting>
  <conditionalFormatting sqref="E6593 E6595">
    <cfRule type="containsText" dxfId="409" priority="971" operator="containsText" text="Pesquisa de Preços">
      <formula>NOT(ISERROR(SEARCH("Pesquisa de Preços",E6593)))</formula>
    </cfRule>
  </conditionalFormatting>
  <conditionalFormatting sqref="D6611">
    <cfRule type="containsText" dxfId="408" priority="944" operator="containsText" text="Pesquisa de Preços">
      <formula>NOT(ISERROR(SEARCH("Pesquisa de Preços",D6611)))</formula>
    </cfRule>
  </conditionalFormatting>
  <conditionalFormatting sqref="E6608">
    <cfRule type="containsText" dxfId="407" priority="940" operator="containsText" text="Pesquisa de Preços">
      <formula>NOT(ISERROR(SEARCH("Pesquisa de Preços",E6608)))</formula>
    </cfRule>
  </conditionalFormatting>
  <conditionalFormatting sqref="D6609">
    <cfRule type="containsText" dxfId="406" priority="942" operator="containsText" text="Pesquisa de Preços">
      <formula>NOT(ISERROR(SEARCH("Pesquisa de Preços",D6609)))</formula>
    </cfRule>
  </conditionalFormatting>
  <conditionalFormatting sqref="D6608">
    <cfRule type="containsText" dxfId="405" priority="943" operator="containsText" text="Pesquisa de Preços">
      <formula>NOT(ISERROR(SEARCH("Pesquisa de Preços",D6608)))</formula>
    </cfRule>
  </conditionalFormatting>
  <conditionalFormatting sqref="E6609 E6611">
    <cfRule type="containsText" dxfId="404" priority="941" operator="containsText" text="Pesquisa de Preços">
      <formula>NOT(ISERROR(SEARCH("Pesquisa de Preços",E6609)))</formula>
    </cfRule>
  </conditionalFormatting>
  <conditionalFormatting sqref="D6615">
    <cfRule type="containsText" dxfId="403" priority="934" operator="containsText" text="Pesquisa de Preços">
      <formula>NOT(ISERROR(SEARCH("Pesquisa de Preços",D6615)))</formula>
    </cfRule>
  </conditionalFormatting>
  <conditionalFormatting sqref="E6612">
    <cfRule type="containsText" dxfId="402" priority="930" operator="containsText" text="Pesquisa de Preços">
      <formula>NOT(ISERROR(SEARCH("Pesquisa de Preços",E6612)))</formula>
    </cfRule>
  </conditionalFormatting>
  <conditionalFormatting sqref="D6613">
    <cfRule type="containsText" dxfId="401" priority="932" operator="containsText" text="Pesquisa de Preços">
      <formula>NOT(ISERROR(SEARCH("Pesquisa de Preços",D6613)))</formula>
    </cfRule>
  </conditionalFormatting>
  <conditionalFormatting sqref="D6612">
    <cfRule type="containsText" dxfId="400" priority="933" operator="containsText" text="Pesquisa de Preços">
      <formula>NOT(ISERROR(SEARCH("Pesquisa de Preços",D6612)))</formula>
    </cfRule>
  </conditionalFormatting>
  <conditionalFormatting sqref="E6613 E6615">
    <cfRule type="containsText" dxfId="399" priority="931" operator="containsText" text="Pesquisa de Preços">
      <formula>NOT(ISERROR(SEARCH("Pesquisa de Preços",E6613)))</formula>
    </cfRule>
  </conditionalFormatting>
  <conditionalFormatting sqref="D6619">
    <cfRule type="containsText" dxfId="398" priority="924" operator="containsText" text="Pesquisa de Preços">
      <formula>NOT(ISERROR(SEARCH("Pesquisa de Preços",D6619)))</formula>
    </cfRule>
  </conditionalFormatting>
  <conditionalFormatting sqref="E6616">
    <cfRule type="containsText" dxfId="397" priority="920" operator="containsText" text="Pesquisa de Preços">
      <formula>NOT(ISERROR(SEARCH("Pesquisa de Preços",E6616)))</formula>
    </cfRule>
  </conditionalFormatting>
  <conditionalFormatting sqref="D6617">
    <cfRule type="containsText" dxfId="396" priority="922" operator="containsText" text="Pesquisa de Preços">
      <formula>NOT(ISERROR(SEARCH("Pesquisa de Preços",D6617)))</formula>
    </cfRule>
  </conditionalFormatting>
  <conditionalFormatting sqref="D6616">
    <cfRule type="containsText" dxfId="395" priority="923" operator="containsText" text="Pesquisa de Preços">
      <formula>NOT(ISERROR(SEARCH("Pesquisa de Preços",D6616)))</formula>
    </cfRule>
  </conditionalFormatting>
  <conditionalFormatting sqref="E6617 E6619">
    <cfRule type="containsText" dxfId="394" priority="921" operator="containsText" text="Pesquisa de Preços">
      <formula>NOT(ISERROR(SEARCH("Pesquisa de Preços",E6617)))</formula>
    </cfRule>
  </conditionalFormatting>
  <conditionalFormatting sqref="D6635">
    <cfRule type="containsText" dxfId="393" priority="884" operator="containsText" text="Pesquisa de Preços">
      <formula>NOT(ISERROR(SEARCH("Pesquisa de Preços",D6635)))</formula>
    </cfRule>
  </conditionalFormatting>
  <conditionalFormatting sqref="E6632">
    <cfRule type="containsText" dxfId="392" priority="880" operator="containsText" text="Pesquisa de Preços">
      <formula>NOT(ISERROR(SEARCH("Pesquisa de Preços",E6632)))</formula>
    </cfRule>
  </conditionalFormatting>
  <conditionalFormatting sqref="D6633">
    <cfRule type="containsText" dxfId="391" priority="882" operator="containsText" text="Pesquisa de Preços">
      <formula>NOT(ISERROR(SEARCH("Pesquisa de Preços",D6633)))</formula>
    </cfRule>
  </conditionalFormatting>
  <conditionalFormatting sqref="D6632">
    <cfRule type="containsText" dxfId="390" priority="883" operator="containsText" text="Pesquisa de Preços">
      <formula>NOT(ISERROR(SEARCH("Pesquisa de Preços",D6632)))</formula>
    </cfRule>
  </conditionalFormatting>
  <conditionalFormatting sqref="E6633 E6635">
    <cfRule type="containsText" dxfId="389" priority="881" operator="containsText" text="Pesquisa de Preços">
      <formula>NOT(ISERROR(SEARCH("Pesquisa de Preços",E6633)))</formula>
    </cfRule>
  </conditionalFormatting>
  <conditionalFormatting sqref="D6639">
    <cfRule type="containsText" dxfId="388" priority="874" operator="containsText" text="Pesquisa de Preços">
      <formula>NOT(ISERROR(SEARCH("Pesquisa de Preços",D6639)))</formula>
    </cfRule>
  </conditionalFormatting>
  <conditionalFormatting sqref="E6636">
    <cfRule type="containsText" dxfId="387" priority="870" operator="containsText" text="Pesquisa de Preços">
      <formula>NOT(ISERROR(SEARCH("Pesquisa de Preços",E6636)))</formula>
    </cfRule>
  </conditionalFormatting>
  <conditionalFormatting sqref="D6637">
    <cfRule type="containsText" dxfId="386" priority="872" operator="containsText" text="Pesquisa de Preços">
      <formula>NOT(ISERROR(SEARCH("Pesquisa de Preços",D6637)))</formula>
    </cfRule>
  </conditionalFormatting>
  <conditionalFormatting sqref="D6636">
    <cfRule type="containsText" dxfId="385" priority="873" operator="containsText" text="Pesquisa de Preços">
      <formula>NOT(ISERROR(SEARCH("Pesquisa de Preços",D6636)))</formula>
    </cfRule>
  </conditionalFormatting>
  <conditionalFormatting sqref="E6637 E6639">
    <cfRule type="containsText" dxfId="384" priority="871" operator="containsText" text="Pesquisa de Preços">
      <formula>NOT(ISERROR(SEARCH("Pesquisa de Preços",E6637)))</formula>
    </cfRule>
  </conditionalFormatting>
  <conditionalFormatting sqref="D6643">
    <cfRule type="containsText" dxfId="383" priority="864" operator="containsText" text="Pesquisa de Preços">
      <formula>NOT(ISERROR(SEARCH("Pesquisa de Preços",D6643)))</formula>
    </cfRule>
  </conditionalFormatting>
  <conditionalFormatting sqref="E6640">
    <cfRule type="containsText" dxfId="382" priority="860" operator="containsText" text="Pesquisa de Preços">
      <formula>NOT(ISERROR(SEARCH("Pesquisa de Preços",E6640)))</formula>
    </cfRule>
  </conditionalFormatting>
  <conditionalFormatting sqref="D6641">
    <cfRule type="containsText" dxfId="381" priority="862" operator="containsText" text="Pesquisa de Preços">
      <formula>NOT(ISERROR(SEARCH("Pesquisa de Preços",D6641)))</formula>
    </cfRule>
  </conditionalFormatting>
  <conditionalFormatting sqref="D6640">
    <cfRule type="containsText" dxfId="380" priority="863" operator="containsText" text="Pesquisa de Preços">
      <formula>NOT(ISERROR(SEARCH("Pesquisa de Preços",D6640)))</formula>
    </cfRule>
  </conditionalFormatting>
  <conditionalFormatting sqref="E6641 E6643">
    <cfRule type="containsText" dxfId="379" priority="861" operator="containsText" text="Pesquisa de Preços">
      <formula>NOT(ISERROR(SEARCH("Pesquisa de Preços",E6641)))</formula>
    </cfRule>
  </conditionalFormatting>
  <conditionalFormatting sqref="D6647">
    <cfRule type="containsText" dxfId="378" priority="854" operator="containsText" text="Pesquisa de Preços">
      <formula>NOT(ISERROR(SEARCH("Pesquisa de Preços",D6647)))</formula>
    </cfRule>
  </conditionalFormatting>
  <conditionalFormatting sqref="E6644">
    <cfRule type="containsText" dxfId="377" priority="850" operator="containsText" text="Pesquisa de Preços">
      <formula>NOT(ISERROR(SEARCH("Pesquisa de Preços",E6644)))</formula>
    </cfRule>
  </conditionalFormatting>
  <conditionalFormatting sqref="D6645">
    <cfRule type="containsText" dxfId="376" priority="852" operator="containsText" text="Pesquisa de Preços">
      <formula>NOT(ISERROR(SEARCH("Pesquisa de Preços",D6645)))</formula>
    </cfRule>
  </conditionalFormatting>
  <conditionalFormatting sqref="D6644">
    <cfRule type="containsText" dxfId="375" priority="853" operator="containsText" text="Pesquisa de Preços">
      <formula>NOT(ISERROR(SEARCH("Pesquisa de Preços",D6644)))</formula>
    </cfRule>
  </conditionalFormatting>
  <conditionalFormatting sqref="E6645 E6647">
    <cfRule type="containsText" dxfId="374" priority="851" operator="containsText" text="Pesquisa de Preços">
      <formula>NOT(ISERROR(SEARCH("Pesquisa de Preços",E6645)))</formula>
    </cfRule>
  </conditionalFormatting>
  <conditionalFormatting sqref="D6651">
    <cfRule type="containsText" dxfId="373" priority="844" operator="containsText" text="Pesquisa de Preços">
      <formula>NOT(ISERROR(SEARCH("Pesquisa de Preços",D6651)))</formula>
    </cfRule>
  </conditionalFormatting>
  <conditionalFormatting sqref="E6648">
    <cfRule type="containsText" dxfId="372" priority="840" operator="containsText" text="Pesquisa de Preços">
      <formula>NOT(ISERROR(SEARCH("Pesquisa de Preços",E6648)))</formula>
    </cfRule>
  </conditionalFormatting>
  <conditionalFormatting sqref="D6649">
    <cfRule type="containsText" dxfId="371" priority="842" operator="containsText" text="Pesquisa de Preços">
      <formula>NOT(ISERROR(SEARCH("Pesquisa de Preços",D6649)))</formula>
    </cfRule>
  </conditionalFormatting>
  <conditionalFormatting sqref="D6648">
    <cfRule type="containsText" dxfId="370" priority="843" operator="containsText" text="Pesquisa de Preços">
      <formula>NOT(ISERROR(SEARCH("Pesquisa de Preços",D6648)))</formula>
    </cfRule>
  </conditionalFormatting>
  <conditionalFormatting sqref="E6649 E6651">
    <cfRule type="containsText" dxfId="369" priority="841" operator="containsText" text="Pesquisa de Preços">
      <formula>NOT(ISERROR(SEARCH("Pesquisa de Preços",E6649)))</formula>
    </cfRule>
  </conditionalFormatting>
  <conditionalFormatting sqref="D6843">
    <cfRule type="containsText" dxfId="368" priority="774" operator="containsText" text="Pesquisa de Preços">
      <formula>NOT(ISERROR(SEARCH("Pesquisa de Preços",D6843)))</formula>
    </cfRule>
  </conditionalFormatting>
  <conditionalFormatting sqref="E6840">
    <cfRule type="containsText" dxfId="367" priority="770" operator="containsText" text="Pesquisa de Preços">
      <formula>NOT(ISERROR(SEARCH("Pesquisa de Preços",E6840)))</formula>
    </cfRule>
  </conditionalFormatting>
  <conditionalFormatting sqref="D6841">
    <cfRule type="containsText" dxfId="366" priority="772" operator="containsText" text="Pesquisa de Preços">
      <formula>NOT(ISERROR(SEARCH("Pesquisa de Preços",D6841)))</formula>
    </cfRule>
  </conditionalFormatting>
  <conditionalFormatting sqref="D6840">
    <cfRule type="containsText" dxfId="365" priority="773" operator="containsText" text="Pesquisa de Preços">
      <formula>NOT(ISERROR(SEARCH("Pesquisa de Preços",D6840)))</formula>
    </cfRule>
  </conditionalFormatting>
  <conditionalFormatting sqref="E6841 E6843">
    <cfRule type="containsText" dxfId="364" priority="771" operator="containsText" text="Pesquisa de Preços">
      <formula>NOT(ISERROR(SEARCH("Pesquisa de Preços",E6841)))</formula>
    </cfRule>
  </conditionalFormatting>
  <conditionalFormatting sqref="D6847">
    <cfRule type="containsText" dxfId="363" priority="764" operator="containsText" text="Pesquisa de Preços">
      <formula>NOT(ISERROR(SEARCH("Pesquisa de Preços",D6847)))</formula>
    </cfRule>
  </conditionalFormatting>
  <conditionalFormatting sqref="E6844">
    <cfRule type="containsText" dxfId="362" priority="760" operator="containsText" text="Pesquisa de Preços">
      <formula>NOT(ISERROR(SEARCH("Pesquisa de Preços",E6844)))</formula>
    </cfRule>
  </conditionalFormatting>
  <conditionalFormatting sqref="D6845">
    <cfRule type="containsText" dxfId="361" priority="762" operator="containsText" text="Pesquisa de Preços">
      <formula>NOT(ISERROR(SEARCH("Pesquisa de Preços",D6845)))</formula>
    </cfRule>
  </conditionalFormatting>
  <conditionalFormatting sqref="D6844">
    <cfRule type="containsText" dxfId="360" priority="763" operator="containsText" text="Pesquisa de Preços">
      <formula>NOT(ISERROR(SEARCH("Pesquisa de Preços",D6844)))</formula>
    </cfRule>
  </conditionalFormatting>
  <conditionalFormatting sqref="E6845 E6847">
    <cfRule type="containsText" dxfId="359" priority="761" operator="containsText" text="Pesquisa de Preços">
      <formula>NOT(ISERROR(SEARCH("Pesquisa de Preços",E6845)))</formula>
    </cfRule>
  </conditionalFormatting>
  <conditionalFormatting sqref="D6851">
    <cfRule type="containsText" dxfId="358" priority="754" operator="containsText" text="Pesquisa de Preços">
      <formula>NOT(ISERROR(SEARCH("Pesquisa de Preços",D6851)))</formula>
    </cfRule>
  </conditionalFormatting>
  <conditionalFormatting sqref="E6848">
    <cfRule type="containsText" dxfId="357" priority="750" operator="containsText" text="Pesquisa de Preços">
      <formula>NOT(ISERROR(SEARCH("Pesquisa de Preços",E6848)))</formula>
    </cfRule>
  </conditionalFormatting>
  <conditionalFormatting sqref="D6849">
    <cfRule type="containsText" dxfId="356" priority="752" operator="containsText" text="Pesquisa de Preços">
      <formula>NOT(ISERROR(SEARCH("Pesquisa de Preços",D6849)))</formula>
    </cfRule>
  </conditionalFormatting>
  <conditionalFormatting sqref="D6848">
    <cfRule type="containsText" dxfId="355" priority="753" operator="containsText" text="Pesquisa de Preços">
      <formula>NOT(ISERROR(SEARCH("Pesquisa de Preços",D6848)))</formula>
    </cfRule>
  </conditionalFormatting>
  <conditionalFormatting sqref="E6849 E6851">
    <cfRule type="containsText" dxfId="354" priority="751" operator="containsText" text="Pesquisa de Preços">
      <formula>NOT(ISERROR(SEARCH("Pesquisa de Preços",E6849)))</formula>
    </cfRule>
  </conditionalFormatting>
  <conditionalFormatting sqref="D6855">
    <cfRule type="containsText" dxfId="353" priority="744" operator="containsText" text="Pesquisa de Preços">
      <formula>NOT(ISERROR(SEARCH("Pesquisa de Preços",D6855)))</formula>
    </cfRule>
  </conditionalFormatting>
  <conditionalFormatting sqref="E6852">
    <cfRule type="containsText" dxfId="352" priority="740" operator="containsText" text="Pesquisa de Preços">
      <formula>NOT(ISERROR(SEARCH("Pesquisa de Preços",E6852)))</formula>
    </cfRule>
  </conditionalFormatting>
  <conditionalFormatting sqref="D6853">
    <cfRule type="containsText" dxfId="351" priority="742" operator="containsText" text="Pesquisa de Preços">
      <formula>NOT(ISERROR(SEARCH("Pesquisa de Preços",D6853)))</formula>
    </cfRule>
  </conditionalFormatting>
  <conditionalFormatting sqref="D6852">
    <cfRule type="containsText" dxfId="350" priority="743" operator="containsText" text="Pesquisa de Preços">
      <formula>NOT(ISERROR(SEARCH("Pesquisa de Preços",D6852)))</formula>
    </cfRule>
  </conditionalFormatting>
  <conditionalFormatting sqref="E6853 E6855">
    <cfRule type="containsText" dxfId="349" priority="741" operator="containsText" text="Pesquisa de Preços">
      <formula>NOT(ISERROR(SEARCH("Pesquisa de Preços",E6853)))</formula>
    </cfRule>
  </conditionalFormatting>
  <conditionalFormatting sqref="D6859">
    <cfRule type="containsText" dxfId="348" priority="734" operator="containsText" text="Pesquisa de Preços">
      <formula>NOT(ISERROR(SEARCH("Pesquisa de Preços",D6859)))</formula>
    </cfRule>
  </conditionalFormatting>
  <conditionalFormatting sqref="E6856">
    <cfRule type="containsText" dxfId="347" priority="730" operator="containsText" text="Pesquisa de Preços">
      <formula>NOT(ISERROR(SEARCH("Pesquisa de Preços",E6856)))</formula>
    </cfRule>
  </conditionalFormatting>
  <conditionalFormatting sqref="D6857">
    <cfRule type="containsText" dxfId="346" priority="732" operator="containsText" text="Pesquisa de Preços">
      <formula>NOT(ISERROR(SEARCH("Pesquisa de Preços",D6857)))</formula>
    </cfRule>
  </conditionalFormatting>
  <conditionalFormatting sqref="D6856">
    <cfRule type="containsText" dxfId="345" priority="733" operator="containsText" text="Pesquisa de Preços">
      <formula>NOT(ISERROR(SEARCH("Pesquisa de Preços",D6856)))</formula>
    </cfRule>
  </conditionalFormatting>
  <conditionalFormatting sqref="E6857 E6859">
    <cfRule type="containsText" dxfId="344" priority="731" operator="containsText" text="Pesquisa de Preços">
      <formula>NOT(ISERROR(SEARCH("Pesquisa de Preços",E6857)))</formula>
    </cfRule>
  </conditionalFormatting>
  <conditionalFormatting sqref="D6863">
    <cfRule type="containsText" dxfId="343" priority="724" operator="containsText" text="Pesquisa de Preços">
      <formula>NOT(ISERROR(SEARCH("Pesquisa de Preços",D6863)))</formula>
    </cfRule>
  </conditionalFormatting>
  <conditionalFormatting sqref="E6860">
    <cfRule type="containsText" dxfId="342" priority="720" operator="containsText" text="Pesquisa de Preços">
      <formula>NOT(ISERROR(SEARCH("Pesquisa de Preços",E6860)))</formula>
    </cfRule>
  </conditionalFormatting>
  <conditionalFormatting sqref="D6861">
    <cfRule type="containsText" dxfId="341" priority="722" operator="containsText" text="Pesquisa de Preços">
      <formula>NOT(ISERROR(SEARCH("Pesquisa de Preços",D6861)))</formula>
    </cfRule>
  </conditionalFormatting>
  <conditionalFormatting sqref="D6860">
    <cfRule type="containsText" dxfId="340" priority="723" operator="containsText" text="Pesquisa de Preços">
      <formula>NOT(ISERROR(SEARCH("Pesquisa de Preços",D6860)))</formula>
    </cfRule>
  </conditionalFormatting>
  <conditionalFormatting sqref="E6861 E6863">
    <cfRule type="containsText" dxfId="339" priority="721" operator="containsText" text="Pesquisa de Preços">
      <formula>NOT(ISERROR(SEARCH("Pesquisa de Preços",E6861)))</formula>
    </cfRule>
  </conditionalFormatting>
  <conditionalFormatting sqref="D6871">
    <cfRule type="containsText" dxfId="338" priority="714" operator="containsText" text="Pesquisa de Preços">
      <formula>NOT(ISERROR(SEARCH("Pesquisa de Preços",D6871)))</formula>
    </cfRule>
  </conditionalFormatting>
  <conditionalFormatting sqref="E6892">
    <cfRule type="containsText" dxfId="337" priority="690" operator="containsText" text="Pesquisa de Preços">
      <formula>NOT(ISERROR(SEARCH("Pesquisa de Preços",E6892)))</formula>
    </cfRule>
  </conditionalFormatting>
  <conditionalFormatting sqref="E6872">
    <cfRule type="containsText" dxfId="336" priority="700" operator="containsText" text="Pesquisa de Preços">
      <formula>NOT(ISERROR(SEARCH("Pesquisa de Preços",E6872)))</formula>
    </cfRule>
  </conditionalFormatting>
  <conditionalFormatting sqref="E6873 E6875">
    <cfRule type="containsText" dxfId="335" priority="701" operator="containsText" text="Pesquisa de Preços">
      <formula>NOT(ISERROR(SEARCH("Pesquisa de Preços",E6873)))</formula>
    </cfRule>
  </conditionalFormatting>
  <conditionalFormatting sqref="E6871">
    <cfRule type="containsText" dxfId="334" priority="711" operator="containsText" text="Pesquisa de Preços">
      <formula>NOT(ISERROR(SEARCH("Pesquisa de Preços",E6871)))</formula>
    </cfRule>
  </conditionalFormatting>
  <conditionalFormatting sqref="D6875">
    <cfRule type="containsText" dxfId="333" priority="704" operator="containsText" text="Pesquisa de Preços">
      <formula>NOT(ISERROR(SEARCH("Pesquisa de Preços",D6875)))</formula>
    </cfRule>
  </conditionalFormatting>
  <conditionalFormatting sqref="D6893">
    <cfRule type="containsText" dxfId="332" priority="692" operator="containsText" text="Pesquisa de Preços">
      <formula>NOT(ISERROR(SEARCH("Pesquisa de Preços",D6893)))</formula>
    </cfRule>
  </conditionalFormatting>
  <conditionalFormatting sqref="D6873">
    <cfRule type="containsText" dxfId="331" priority="702" operator="containsText" text="Pesquisa de Preços">
      <formula>NOT(ISERROR(SEARCH("Pesquisa de Preços",D6873)))</formula>
    </cfRule>
  </conditionalFormatting>
  <conditionalFormatting sqref="D6872">
    <cfRule type="containsText" dxfId="330" priority="703" operator="containsText" text="Pesquisa de Preços">
      <formula>NOT(ISERROR(SEARCH("Pesquisa de Preços",D6872)))</formula>
    </cfRule>
  </conditionalFormatting>
  <conditionalFormatting sqref="D6892">
    <cfRule type="containsText" dxfId="329" priority="693" operator="containsText" text="Pesquisa de Preços">
      <formula>NOT(ISERROR(SEARCH("Pesquisa de Preços",D6892)))</formula>
    </cfRule>
  </conditionalFormatting>
  <conditionalFormatting sqref="D6895">
    <cfRule type="containsText" dxfId="328" priority="694" operator="containsText" text="Pesquisa de Preços">
      <formula>NOT(ISERROR(SEARCH("Pesquisa de Preços",D6895)))</formula>
    </cfRule>
  </conditionalFormatting>
  <conditionalFormatting sqref="D6911">
    <cfRule type="containsText" dxfId="327" priority="674" operator="containsText" text="Pesquisa de Preços">
      <formula>NOT(ISERROR(SEARCH("Pesquisa de Preços",D6911)))</formula>
    </cfRule>
  </conditionalFormatting>
  <conditionalFormatting sqref="E6912">
    <cfRule type="containsText" dxfId="326" priority="660" operator="containsText" text="Pesquisa de Preços">
      <formula>NOT(ISERROR(SEARCH("Pesquisa de Preços",E6912)))</formula>
    </cfRule>
  </conditionalFormatting>
  <conditionalFormatting sqref="E6893 E6895">
    <cfRule type="containsText" dxfId="325" priority="691" operator="containsText" text="Pesquisa de Preços">
      <formula>NOT(ISERROR(SEARCH("Pesquisa de Preços",E6893)))</formula>
    </cfRule>
  </conditionalFormatting>
  <conditionalFormatting sqref="D6907">
    <cfRule type="containsText" dxfId="324" priority="684" operator="containsText" text="Pesquisa de Preços">
      <formula>NOT(ISERROR(SEARCH("Pesquisa de Preços",D6907)))</formula>
    </cfRule>
  </conditionalFormatting>
  <conditionalFormatting sqref="E6904">
    <cfRule type="containsText" dxfId="323" priority="680" operator="containsText" text="Pesquisa de Preços">
      <formula>NOT(ISERROR(SEARCH("Pesquisa de Preços",E6904)))</formula>
    </cfRule>
  </conditionalFormatting>
  <conditionalFormatting sqref="D6905">
    <cfRule type="containsText" dxfId="322" priority="682" operator="containsText" text="Pesquisa de Preços">
      <formula>NOT(ISERROR(SEARCH("Pesquisa de Preços",D6905)))</formula>
    </cfRule>
  </conditionalFormatting>
  <conditionalFormatting sqref="D6904">
    <cfRule type="containsText" dxfId="321" priority="683" operator="containsText" text="Pesquisa de Preços">
      <formula>NOT(ISERROR(SEARCH("Pesquisa de Preços",D6904)))</formula>
    </cfRule>
  </conditionalFormatting>
  <conditionalFormatting sqref="E6905 E6907">
    <cfRule type="containsText" dxfId="320" priority="681" operator="containsText" text="Pesquisa de Preços">
      <formula>NOT(ISERROR(SEARCH("Pesquisa de Preços",E6905)))</formula>
    </cfRule>
  </conditionalFormatting>
  <conditionalFormatting sqref="E6913 E6915">
    <cfRule type="containsText" dxfId="319" priority="661" operator="containsText" text="Pesquisa de Preços">
      <formula>NOT(ISERROR(SEARCH("Pesquisa de Preços",E6913)))</formula>
    </cfRule>
  </conditionalFormatting>
  <conditionalFormatting sqref="E6908">
    <cfRule type="containsText" dxfId="318" priority="670" operator="containsText" text="Pesquisa de Preços">
      <formula>NOT(ISERROR(SEARCH("Pesquisa de Preços",E6908)))</formula>
    </cfRule>
  </conditionalFormatting>
  <conditionalFormatting sqref="D6909">
    <cfRule type="containsText" dxfId="317" priority="672" operator="containsText" text="Pesquisa de Preços">
      <formula>NOT(ISERROR(SEARCH("Pesquisa de Preços",D6909)))</formula>
    </cfRule>
  </conditionalFormatting>
  <conditionalFormatting sqref="D6605">
    <cfRule type="containsText" dxfId="316" priority="543" operator="containsText" text="Pesquisa de Preços">
      <formula>NOT(ISERROR(SEARCH("Pesquisa de Preços",D6605)))</formula>
    </cfRule>
  </conditionalFormatting>
  <conditionalFormatting sqref="D6908">
    <cfRule type="containsText" dxfId="315" priority="673" operator="containsText" text="Pesquisa de Preços">
      <formula>NOT(ISERROR(SEARCH("Pesquisa de Preços",D6908)))</formula>
    </cfRule>
  </conditionalFormatting>
  <conditionalFormatting sqref="E6909 E6911">
    <cfRule type="containsText" dxfId="314" priority="671" operator="containsText" text="Pesquisa de Preços">
      <formula>NOT(ISERROR(SEARCH("Pesquisa de Preços",E6909)))</formula>
    </cfRule>
  </conditionalFormatting>
  <conditionalFormatting sqref="D6915">
    <cfRule type="containsText" dxfId="313" priority="664" operator="containsText" text="Pesquisa de Preços">
      <formula>NOT(ISERROR(SEARCH("Pesquisa de Preços",D6915)))</formula>
    </cfRule>
  </conditionalFormatting>
  <conditionalFormatting sqref="E6928">
    <cfRule type="containsText" dxfId="312" priority="620" operator="containsText" text="Pesquisa de Preços">
      <formula>NOT(ISERROR(SEARCH("Pesquisa de Preços",E6928)))</formula>
    </cfRule>
  </conditionalFormatting>
  <conditionalFormatting sqref="D6913">
    <cfRule type="containsText" dxfId="311" priority="662" operator="containsText" text="Pesquisa de Preços">
      <formula>NOT(ISERROR(SEARCH("Pesquisa de Preços",D6913)))</formula>
    </cfRule>
  </conditionalFormatting>
  <conditionalFormatting sqref="D6912">
    <cfRule type="containsText" dxfId="310" priority="663" operator="containsText" text="Pesquisa de Preços">
      <formula>NOT(ISERROR(SEARCH("Pesquisa de Preços",D6912)))</formula>
    </cfRule>
  </conditionalFormatting>
  <conditionalFormatting sqref="E6929 E6931">
    <cfRule type="containsText" dxfId="309" priority="621" operator="containsText" text="Pesquisa de Preços">
      <formula>NOT(ISERROR(SEARCH("Pesquisa de Preços",E6929)))</formula>
    </cfRule>
  </conditionalFormatting>
  <conditionalFormatting sqref="D6919">
    <cfRule type="containsText" dxfId="308" priority="654" operator="containsText" text="Pesquisa de Preços">
      <formula>NOT(ISERROR(SEARCH("Pesquisa de Preços",D6919)))</formula>
    </cfRule>
  </conditionalFormatting>
  <conditionalFormatting sqref="E6916">
    <cfRule type="containsText" dxfId="307" priority="650" operator="containsText" text="Pesquisa de Preços">
      <formula>NOT(ISERROR(SEARCH("Pesquisa de Preços",E6916)))</formula>
    </cfRule>
  </conditionalFormatting>
  <conditionalFormatting sqref="D6917">
    <cfRule type="containsText" dxfId="306" priority="652" operator="containsText" text="Pesquisa de Preços">
      <formula>NOT(ISERROR(SEARCH("Pesquisa de Preços",D6917)))</formula>
    </cfRule>
  </conditionalFormatting>
  <conditionalFormatting sqref="D6916">
    <cfRule type="containsText" dxfId="305" priority="653" operator="containsText" text="Pesquisa de Preços">
      <formula>NOT(ISERROR(SEARCH("Pesquisa de Preços",D6916)))</formula>
    </cfRule>
  </conditionalFormatting>
  <conditionalFormatting sqref="E6917 E6919">
    <cfRule type="containsText" dxfId="304" priority="651" operator="containsText" text="Pesquisa de Preços">
      <formula>NOT(ISERROR(SEARCH("Pesquisa de Preços",E6917)))</formula>
    </cfRule>
  </conditionalFormatting>
  <conditionalFormatting sqref="D6923">
    <cfRule type="containsText" dxfId="303" priority="644" operator="containsText" text="Pesquisa de Preços">
      <formula>NOT(ISERROR(SEARCH("Pesquisa de Preços",D6923)))</formula>
    </cfRule>
  </conditionalFormatting>
  <conditionalFormatting sqref="E6920">
    <cfRule type="containsText" dxfId="302" priority="640" operator="containsText" text="Pesquisa de Preços">
      <formula>NOT(ISERROR(SEARCH("Pesquisa de Preços",E6920)))</formula>
    </cfRule>
  </conditionalFormatting>
  <conditionalFormatting sqref="D6921">
    <cfRule type="containsText" dxfId="301" priority="642" operator="containsText" text="Pesquisa de Preços">
      <formula>NOT(ISERROR(SEARCH("Pesquisa de Preços",D6921)))</formula>
    </cfRule>
  </conditionalFormatting>
  <conditionalFormatting sqref="D6920">
    <cfRule type="containsText" dxfId="300" priority="643" operator="containsText" text="Pesquisa de Preços">
      <formula>NOT(ISERROR(SEARCH("Pesquisa de Preços",D6920)))</formula>
    </cfRule>
  </conditionalFormatting>
  <conditionalFormatting sqref="E6921 E6923">
    <cfRule type="containsText" dxfId="299" priority="641" operator="containsText" text="Pesquisa de Preços">
      <formula>NOT(ISERROR(SEARCH("Pesquisa de Preços",E6921)))</formula>
    </cfRule>
  </conditionalFormatting>
  <conditionalFormatting sqref="D6927">
    <cfRule type="containsText" dxfId="298" priority="634" operator="containsText" text="Pesquisa de Preços">
      <formula>NOT(ISERROR(SEARCH("Pesquisa de Preços",D6927)))</formula>
    </cfRule>
  </conditionalFormatting>
  <conditionalFormatting sqref="E6924">
    <cfRule type="containsText" dxfId="297" priority="630" operator="containsText" text="Pesquisa de Preços">
      <formula>NOT(ISERROR(SEARCH("Pesquisa de Preços",E6924)))</formula>
    </cfRule>
  </conditionalFormatting>
  <conditionalFormatting sqref="D6925">
    <cfRule type="containsText" dxfId="296" priority="632" operator="containsText" text="Pesquisa de Preços">
      <formula>NOT(ISERROR(SEARCH("Pesquisa de Preços",D6925)))</formula>
    </cfRule>
  </conditionalFormatting>
  <conditionalFormatting sqref="D6924">
    <cfRule type="containsText" dxfId="295" priority="633" operator="containsText" text="Pesquisa de Preços">
      <formula>NOT(ISERROR(SEARCH("Pesquisa de Preços",D6924)))</formula>
    </cfRule>
  </conditionalFormatting>
  <conditionalFormatting sqref="E6925 E6927">
    <cfRule type="containsText" dxfId="294" priority="631" operator="containsText" text="Pesquisa de Preços">
      <formula>NOT(ISERROR(SEARCH("Pesquisa de Preços",E6925)))</formula>
    </cfRule>
  </conditionalFormatting>
  <conditionalFormatting sqref="D6931">
    <cfRule type="containsText" dxfId="293" priority="624" operator="containsText" text="Pesquisa de Preços">
      <formula>NOT(ISERROR(SEARCH("Pesquisa de Preços",D6931)))</formula>
    </cfRule>
  </conditionalFormatting>
  <conditionalFormatting sqref="D6607">
    <cfRule type="containsText" dxfId="292" priority="545" operator="containsText" text="Pesquisa de Preços">
      <formula>NOT(ISERROR(SEARCH("Pesquisa de Preços",D6607)))</formula>
    </cfRule>
  </conditionalFormatting>
  <conditionalFormatting sqref="D6929">
    <cfRule type="containsText" dxfId="291" priority="622" operator="containsText" text="Pesquisa de Preços">
      <formula>NOT(ISERROR(SEARCH("Pesquisa de Preços",D6929)))</formula>
    </cfRule>
  </conditionalFormatting>
  <conditionalFormatting sqref="D6928">
    <cfRule type="containsText" dxfId="290" priority="623" operator="containsText" text="Pesquisa de Preços">
      <formula>NOT(ISERROR(SEARCH("Pesquisa de Preços",D6928)))</formula>
    </cfRule>
  </conditionalFormatting>
  <conditionalFormatting sqref="D2742">
    <cfRule type="containsText" dxfId="289" priority="582" operator="containsText" text="Pesquisa de Preços">
      <formula>NOT(ISERROR(SEARCH("Pesquisa de Preços",D2742)))</formula>
    </cfRule>
  </conditionalFormatting>
  <conditionalFormatting sqref="D6935">
    <cfRule type="containsText" dxfId="288" priority="614" operator="containsText" text="Pesquisa de Preços">
      <formula>NOT(ISERROR(SEARCH("Pesquisa de Preços",D6935)))</formula>
    </cfRule>
  </conditionalFormatting>
  <conditionalFormatting sqref="E6932">
    <cfRule type="containsText" dxfId="287" priority="610" operator="containsText" text="Pesquisa de Preços">
      <formula>NOT(ISERROR(SEARCH("Pesquisa de Preços",E6932)))</formula>
    </cfRule>
  </conditionalFormatting>
  <conditionalFormatting sqref="D6933">
    <cfRule type="containsText" dxfId="286" priority="612" operator="containsText" text="Pesquisa de Preços">
      <formula>NOT(ISERROR(SEARCH("Pesquisa de Preços",D6933)))</formula>
    </cfRule>
  </conditionalFormatting>
  <conditionalFormatting sqref="D6932">
    <cfRule type="containsText" dxfId="285" priority="613" operator="containsText" text="Pesquisa de Preços">
      <formula>NOT(ISERROR(SEARCH("Pesquisa de Preços",D6932)))</formula>
    </cfRule>
  </conditionalFormatting>
  <conditionalFormatting sqref="E6933 E6935">
    <cfRule type="containsText" dxfId="284" priority="611" operator="containsText" text="Pesquisa de Preços">
      <formula>NOT(ISERROR(SEARCH("Pesquisa de Preços",E6933)))</formula>
    </cfRule>
  </conditionalFormatting>
  <conditionalFormatting sqref="D2738">
    <cfRule type="containsText" dxfId="283" priority="600" operator="containsText" text="Pesquisa de Preços">
      <formula>NOT(ISERROR(SEARCH("Pesquisa de Preços",D2738)))</formula>
    </cfRule>
  </conditionalFormatting>
  <conditionalFormatting sqref="D2736">
    <cfRule type="containsText" dxfId="282" priority="599" operator="containsText" text="Pesquisa de Preços">
      <formula>NOT(ISERROR(SEARCH("Pesquisa de Preços",D2736)))</formula>
    </cfRule>
  </conditionalFormatting>
  <conditionalFormatting sqref="D2732">
    <cfRule type="containsText" dxfId="281" priority="596" operator="containsText" text="Pesquisa de Preços">
      <formula>NOT(ISERROR(SEARCH("Pesquisa de Preços",D2732)))</formula>
    </cfRule>
  </conditionalFormatting>
  <conditionalFormatting sqref="D2734">
    <cfRule type="containsText" dxfId="280" priority="595" operator="containsText" text="Pesquisa de Preços">
      <formula>NOT(ISERROR(SEARCH("Pesquisa de Preços",D2734)))</formula>
    </cfRule>
  </conditionalFormatting>
  <conditionalFormatting sqref="D2746">
    <cfRule type="containsText" dxfId="279" priority="587" operator="containsText" text="Pesquisa de Preços">
      <formula>NOT(ISERROR(SEARCH("Pesquisa de Preços",D2746)))</formula>
    </cfRule>
  </conditionalFormatting>
  <conditionalFormatting sqref="D2744">
    <cfRule type="containsText" dxfId="278" priority="586" operator="containsText" text="Pesquisa de Preços">
      <formula>NOT(ISERROR(SEARCH("Pesquisa de Preços",D2744)))</formula>
    </cfRule>
  </conditionalFormatting>
  <conditionalFormatting sqref="D2740">
    <cfRule type="containsText" dxfId="277" priority="583" operator="containsText" text="Pesquisa de Preços">
      <formula>NOT(ISERROR(SEARCH("Pesquisa de Preços",D2740)))</formula>
    </cfRule>
  </conditionalFormatting>
  <conditionalFormatting sqref="D2758">
    <cfRule type="containsText" dxfId="276" priority="574" operator="containsText" text="Pesquisa de Preços">
      <formula>NOT(ISERROR(SEARCH("Pesquisa de Preços",D2758)))</formula>
    </cfRule>
  </conditionalFormatting>
  <conditionalFormatting sqref="D2756">
    <cfRule type="containsText" dxfId="275" priority="573" operator="containsText" text="Pesquisa de Preços">
      <formula>NOT(ISERROR(SEARCH("Pesquisa de Preços",D2756)))</formula>
    </cfRule>
  </conditionalFormatting>
  <conditionalFormatting sqref="D2752">
    <cfRule type="containsText" dxfId="274" priority="570" operator="containsText" text="Pesquisa de Preços">
      <formula>NOT(ISERROR(SEARCH("Pesquisa de Preços",D2752)))</formula>
    </cfRule>
  </conditionalFormatting>
  <conditionalFormatting sqref="D2754">
    <cfRule type="containsText" dxfId="273" priority="569" operator="containsText" text="Pesquisa de Preços">
      <formula>NOT(ISERROR(SEARCH("Pesquisa de Preços",D2754)))</formula>
    </cfRule>
  </conditionalFormatting>
  <conditionalFormatting sqref="D4736">
    <cfRule type="containsText" dxfId="272" priority="563" operator="containsText" text="Pesquisa de Preços">
      <formula>NOT(ISERROR(SEARCH("Pesquisa de Preços",D4736)))</formula>
    </cfRule>
  </conditionalFormatting>
  <conditionalFormatting sqref="D4740">
    <cfRule type="containsText" dxfId="271" priority="559" operator="containsText" text="Pesquisa de Preços">
      <formula>NOT(ISERROR(SEARCH("Pesquisa de Preços",D4740)))</formula>
    </cfRule>
  </conditionalFormatting>
  <conditionalFormatting sqref="D4748">
    <cfRule type="containsText" dxfId="270" priority="551" operator="containsText" text="Pesquisa de Preços">
      <formula>NOT(ISERROR(SEARCH("Pesquisa de Preços",D4748)))</formula>
    </cfRule>
  </conditionalFormatting>
  <conditionalFormatting sqref="E6604">
    <cfRule type="containsText" dxfId="269" priority="541" operator="containsText" text="Pesquisa de Preços">
      <formula>NOT(ISERROR(SEARCH("Pesquisa de Preços",E6604)))</formula>
    </cfRule>
  </conditionalFormatting>
  <conditionalFormatting sqref="D6604">
    <cfRule type="containsText" dxfId="268" priority="544" operator="containsText" text="Pesquisa de Preços">
      <formula>NOT(ISERROR(SEARCH("Pesquisa de Preços",D6604)))</formula>
    </cfRule>
  </conditionalFormatting>
  <conditionalFormatting sqref="E6605 E6607">
    <cfRule type="containsText" dxfId="267" priority="542" operator="containsText" text="Pesquisa de Preços">
      <formula>NOT(ISERROR(SEARCH("Pesquisa de Preços",E6605)))</formula>
    </cfRule>
  </conditionalFormatting>
  <conditionalFormatting sqref="D6467">
    <cfRule type="containsText" dxfId="266" priority="535" operator="containsText" text="Pesquisa de Preços">
      <formula>NOT(ISERROR(SEARCH("Pesquisa de Preços",D6467)))</formula>
    </cfRule>
  </conditionalFormatting>
  <conditionalFormatting sqref="E6464">
    <cfRule type="containsText" dxfId="265" priority="531" operator="containsText" text="Pesquisa de Preços">
      <formula>NOT(ISERROR(SEARCH("Pesquisa de Preços",E6464)))</formula>
    </cfRule>
  </conditionalFormatting>
  <conditionalFormatting sqref="D6465">
    <cfRule type="containsText" dxfId="264" priority="533" operator="containsText" text="Pesquisa de Preços">
      <formula>NOT(ISERROR(SEARCH("Pesquisa de Preços",D6465)))</formula>
    </cfRule>
  </conditionalFormatting>
  <conditionalFormatting sqref="D6464">
    <cfRule type="containsText" dxfId="263" priority="534" operator="containsText" text="Pesquisa de Preços">
      <formula>NOT(ISERROR(SEARCH("Pesquisa de Preços",D6464)))</formula>
    </cfRule>
  </conditionalFormatting>
  <conditionalFormatting sqref="E6465 E6467">
    <cfRule type="containsText" dxfId="262" priority="532" operator="containsText" text="Pesquisa de Preços">
      <formula>NOT(ISERROR(SEARCH("Pesquisa de Preços",E6465)))</formula>
    </cfRule>
  </conditionalFormatting>
  <conditionalFormatting sqref="D6509">
    <cfRule type="containsText" dxfId="261" priority="527" operator="containsText" text="Pesquisa de Preços">
      <formula>NOT(ISERROR(SEARCH("Pesquisa de Preços",D6509)))</formula>
    </cfRule>
  </conditionalFormatting>
  <conditionalFormatting sqref="E6508">
    <cfRule type="containsText" dxfId="260" priority="525" operator="containsText" text="Pesquisa de Preços">
      <formula>NOT(ISERROR(SEARCH("Pesquisa de Preços",E6508)))</formula>
    </cfRule>
  </conditionalFormatting>
  <conditionalFormatting sqref="D6511">
    <cfRule type="containsText" dxfId="259" priority="529" operator="containsText" text="Pesquisa de Preços">
      <formula>NOT(ISERROR(SEARCH("Pesquisa de Preços",D6511)))</formula>
    </cfRule>
  </conditionalFormatting>
  <conditionalFormatting sqref="D6508">
    <cfRule type="containsText" dxfId="258" priority="528" operator="containsText" text="Pesquisa de Preços">
      <formula>NOT(ISERROR(SEARCH("Pesquisa de Preços",D6508)))</formula>
    </cfRule>
  </conditionalFormatting>
  <conditionalFormatting sqref="E6509 E6511">
    <cfRule type="containsText" dxfId="257" priority="526" operator="containsText" text="Pesquisa de Preços">
      <formula>NOT(ISERROR(SEARCH("Pesquisa de Preços",E6509)))</formula>
    </cfRule>
  </conditionalFormatting>
  <conditionalFormatting sqref="D6557">
    <cfRule type="containsText" dxfId="256" priority="519" operator="containsText" text="Pesquisa de Preços">
      <formula>NOT(ISERROR(SEARCH("Pesquisa de Preços",D6557)))</formula>
    </cfRule>
  </conditionalFormatting>
  <conditionalFormatting sqref="E6556">
    <cfRule type="containsText" dxfId="255" priority="517" operator="containsText" text="Pesquisa de Preços">
      <formula>NOT(ISERROR(SEARCH("Pesquisa de Preços",E6556)))</formula>
    </cfRule>
  </conditionalFormatting>
  <conditionalFormatting sqref="D6559">
    <cfRule type="containsText" dxfId="254" priority="521" operator="containsText" text="Pesquisa de Preços">
      <formula>NOT(ISERROR(SEARCH("Pesquisa de Preços",D6559)))</formula>
    </cfRule>
  </conditionalFormatting>
  <conditionalFormatting sqref="D6556">
    <cfRule type="containsText" dxfId="253" priority="520" operator="containsText" text="Pesquisa de Preços">
      <formula>NOT(ISERROR(SEARCH("Pesquisa de Preços",D6556)))</formula>
    </cfRule>
  </conditionalFormatting>
  <conditionalFormatting sqref="E6557 E6559">
    <cfRule type="containsText" dxfId="252" priority="518" operator="containsText" text="Pesquisa de Preços">
      <formula>NOT(ISERROR(SEARCH("Pesquisa de Preços",E6557)))</formula>
    </cfRule>
  </conditionalFormatting>
  <conditionalFormatting sqref="D6621">
    <cfRule type="containsText" dxfId="251" priority="509" operator="containsText" text="Pesquisa de Preços">
      <formula>NOT(ISERROR(SEARCH("Pesquisa de Preços",D6621)))</formula>
    </cfRule>
  </conditionalFormatting>
  <conditionalFormatting sqref="E6620">
    <cfRule type="containsText" dxfId="250" priority="507" operator="containsText" text="Pesquisa de Preços">
      <formula>NOT(ISERROR(SEARCH("Pesquisa de Preços",E6620)))</formula>
    </cfRule>
  </conditionalFormatting>
  <conditionalFormatting sqref="D6623">
    <cfRule type="containsText" dxfId="249" priority="511" operator="containsText" text="Pesquisa de Preços">
      <formula>NOT(ISERROR(SEARCH("Pesquisa de Preços",D6623)))</formula>
    </cfRule>
  </conditionalFormatting>
  <conditionalFormatting sqref="D6620">
    <cfRule type="containsText" dxfId="248" priority="510" operator="containsText" text="Pesquisa de Preços">
      <formula>NOT(ISERROR(SEARCH("Pesquisa de Preços",D6620)))</formula>
    </cfRule>
  </conditionalFormatting>
  <conditionalFormatting sqref="E6621 E6623">
    <cfRule type="containsText" dxfId="247" priority="508" operator="containsText" text="Pesquisa de Preços">
      <formula>NOT(ISERROR(SEARCH("Pesquisa de Preços",E6621)))</formula>
    </cfRule>
  </conditionalFormatting>
  <conditionalFormatting sqref="D6625">
    <cfRule type="containsText" dxfId="246" priority="503" operator="containsText" text="Pesquisa de Preços">
      <formula>NOT(ISERROR(SEARCH("Pesquisa de Preços",D6625)))</formula>
    </cfRule>
  </conditionalFormatting>
  <conditionalFormatting sqref="E6624">
    <cfRule type="containsText" dxfId="245" priority="501" operator="containsText" text="Pesquisa de Preços">
      <formula>NOT(ISERROR(SEARCH("Pesquisa de Preços",E6624)))</formula>
    </cfRule>
  </conditionalFormatting>
  <conditionalFormatting sqref="D6627">
    <cfRule type="containsText" dxfId="244" priority="505" operator="containsText" text="Pesquisa de Preços">
      <formula>NOT(ISERROR(SEARCH("Pesquisa de Preços",D6627)))</formula>
    </cfRule>
  </conditionalFormatting>
  <conditionalFormatting sqref="D6624">
    <cfRule type="containsText" dxfId="243" priority="504" operator="containsText" text="Pesquisa de Preços">
      <formula>NOT(ISERROR(SEARCH("Pesquisa de Preços",D6624)))</formula>
    </cfRule>
  </conditionalFormatting>
  <conditionalFormatting sqref="E6625 E6627">
    <cfRule type="containsText" dxfId="242" priority="502" operator="containsText" text="Pesquisa de Preços">
      <formula>NOT(ISERROR(SEARCH("Pesquisa de Preços",E6625)))</formula>
    </cfRule>
  </conditionalFormatting>
  <conditionalFormatting sqref="D6629">
    <cfRule type="containsText" dxfId="241" priority="497" operator="containsText" text="Pesquisa de Preços">
      <formula>NOT(ISERROR(SEARCH("Pesquisa de Preços",D6629)))</formula>
    </cfRule>
  </conditionalFormatting>
  <conditionalFormatting sqref="E6628">
    <cfRule type="containsText" dxfId="240" priority="495" operator="containsText" text="Pesquisa de Preços">
      <formula>NOT(ISERROR(SEARCH("Pesquisa de Preços",E6628)))</formula>
    </cfRule>
  </conditionalFormatting>
  <conditionalFormatting sqref="D6631">
    <cfRule type="containsText" dxfId="239" priority="499" operator="containsText" text="Pesquisa de Preços">
      <formula>NOT(ISERROR(SEARCH("Pesquisa de Preços",D6631)))</formula>
    </cfRule>
  </conditionalFormatting>
  <conditionalFormatting sqref="D6628">
    <cfRule type="containsText" dxfId="238" priority="498" operator="containsText" text="Pesquisa de Preços">
      <formula>NOT(ISERROR(SEARCH("Pesquisa de Preços",D6628)))</formula>
    </cfRule>
  </conditionalFormatting>
  <conditionalFormatting sqref="E6629 E6631">
    <cfRule type="containsText" dxfId="237" priority="496" operator="containsText" text="Pesquisa de Preços">
      <formula>NOT(ISERROR(SEARCH("Pesquisa de Preços",E6629)))</formula>
    </cfRule>
  </conditionalFormatting>
  <conditionalFormatting sqref="D6601">
    <cfRule type="containsText" dxfId="236" priority="487" operator="containsText" text="Pesquisa de Preços">
      <formula>NOT(ISERROR(SEARCH("Pesquisa de Preços",D6601)))</formula>
    </cfRule>
  </conditionalFormatting>
  <conditionalFormatting sqref="E6600">
    <cfRule type="containsText" dxfId="235" priority="485" operator="containsText" text="Pesquisa de Preços">
      <formula>NOT(ISERROR(SEARCH("Pesquisa de Preços",E6600)))</formula>
    </cfRule>
  </conditionalFormatting>
  <conditionalFormatting sqref="D6603">
    <cfRule type="containsText" dxfId="234" priority="489" operator="containsText" text="Pesquisa de Preços">
      <formula>NOT(ISERROR(SEARCH("Pesquisa de Preços",D6603)))</formula>
    </cfRule>
  </conditionalFormatting>
  <conditionalFormatting sqref="D6600">
    <cfRule type="containsText" dxfId="233" priority="488" operator="containsText" text="Pesquisa de Preços">
      <formula>NOT(ISERROR(SEARCH("Pesquisa de Preços",D6600)))</formula>
    </cfRule>
  </conditionalFormatting>
  <conditionalFormatting sqref="E6601 E6603">
    <cfRule type="containsText" dxfId="232" priority="486" operator="containsText" text="Pesquisa de Preços">
      <formula>NOT(ISERROR(SEARCH("Pesquisa de Preços",E6601)))</formula>
    </cfRule>
  </conditionalFormatting>
  <conditionalFormatting sqref="D6597">
    <cfRule type="containsText" dxfId="231" priority="477" operator="containsText" text="Pesquisa de Preços">
      <formula>NOT(ISERROR(SEARCH("Pesquisa de Preços",D6597)))</formula>
    </cfRule>
  </conditionalFormatting>
  <conditionalFormatting sqref="E6596">
    <cfRule type="containsText" dxfId="230" priority="475" operator="containsText" text="Pesquisa de Preços">
      <formula>NOT(ISERROR(SEARCH("Pesquisa de Preços",E6596)))</formula>
    </cfRule>
  </conditionalFormatting>
  <conditionalFormatting sqref="D6599">
    <cfRule type="containsText" dxfId="229" priority="479" operator="containsText" text="Pesquisa de Preços">
      <formula>NOT(ISERROR(SEARCH("Pesquisa de Preços",D6599)))</formula>
    </cfRule>
  </conditionalFormatting>
  <conditionalFormatting sqref="D6596">
    <cfRule type="containsText" dxfId="228" priority="478" operator="containsText" text="Pesquisa de Preços">
      <formula>NOT(ISERROR(SEARCH("Pesquisa de Preços",D6596)))</formula>
    </cfRule>
  </conditionalFormatting>
  <conditionalFormatting sqref="E6597 E6599">
    <cfRule type="containsText" dxfId="227" priority="476" operator="containsText" text="Pesquisa de Preços">
      <formula>NOT(ISERROR(SEARCH("Pesquisa de Preços",E6597)))</formula>
    </cfRule>
  </conditionalFormatting>
  <conditionalFormatting sqref="D6653 D6657 D6661 D6665 D6669 D6673 D6677 D6681 D6685 D6689 D6697 D6701 D6705 D6709 D6713 D6717 D6721 D6725 D6729 D6733 D6737 D6741 D6745 D6749 D6753 D6757 D6761 D6765 D6769 D6773 D6777 D6781 D6785 D6789 D6793 D6797 D6801 D6805 D6809 D6813 D6817 D6833 D6837">
    <cfRule type="containsText" dxfId="226" priority="469" operator="containsText" text="Pesquisa de Preços">
      <formula>NOT(ISERROR(SEARCH("Pesquisa de Preços",D6653)))</formula>
    </cfRule>
  </conditionalFormatting>
  <conditionalFormatting sqref="E6652 E6656 E6660 E6664 E6668 E6672 E6676 E6680 E6684 E6688 E6696 E6700 E6704 E6708 E6712 E6716 E6720 E6724 E6728 E6732 E6736 E6740 E6744 E6748 E6752 E6756 E6760 E6764 E6768 E6772 E6776 E6780 E6784 E6788 E6792 E6796 E6800 E6804 E6808 E6812 E6816 E6832 E6836">
    <cfRule type="containsText" dxfId="225" priority="467" operator="containsText" text="Pesquisa de Preços">
      <formula>NOT(ISERROR(SEARCH("Pesquisa de Preços",E6652)))</formula>
    </cfRule>
  </conditionalFormatting>
  <conditionalFormatting sqref="D6655 D6659 D6663 D6667 D6671 D6675 D6679 D6683 D6687 D6691 D6699 D6703 D6707 D6711 D6715 D6719 D6723 D6727 D6731 D6735 D6739 D6743 D6747 D6751 D6755 D6759 D6763 D6767 D6771 D6775 D6779 D6783 D6787 D6791 D6795 D6799 D6803 D6807 D6811 D6815 D6819 D6835 D6839">
    <cfRule type="containsText" dxfId="224" priority="471" operator="containsText" text="Pesquisa de Preços">
      <formula>NOT(ISERROR(SEARCH("Pesquisa de Preços",D6655)))</formula>
    </cfRule>
  </conditionalFormatting>
  <conditionalFormatting sqref="D6652 D6656 D6660 D6664 D6668 D6672 D6676 D6680 D6684 D6688 D6696 D6700 D6704 D6708 D6712 D6716 D6720 D6724 D6728 D6732 D6736 D6740 D6744 D6748 D6752 D6756 D6760 D6764 D6768 D6772 D6776 D6780 D6784 D6788 D6792 D6796 D6800 D6804 D6808 D6812 D6816 D6832 D6836">
    <cfRule type="containsText" dxfId="223" priority="470" operator="containsText" text="Pesquisa de Preços">
      <formula>NOT(ISERROR(SEARCH("Pesquisa de Preços",D6652)))</formula>
    </cfRule>
  </conditionalFormatting>
  <conditionalFormatting sqref="E6653 E6657 E6661 E6665 E6669 E6673 E6677 E6681 E6685 E6689 E6697 E6701 E6705 E6709 E6713 E6717 E6721 E6725 E6729 E6733 E6737 E6741 E6745 E6749 E6753 E6757 E6761 E6765 E6769 E6773 E6777 E6781 E6785 E6789 E6793 E6797 E6801 E6805 E6809 E6813 E6817 E6833 E6837 E6655 E6659 E6663 E6667 E6671 E6675 E6679 E6683 E6687 E6691 E6699 E6703 E6707 E6711 E6715 E6719 E6723 E6727 E6731 E6735 E6739 E6743 E6747 E6751 E6755 E6759 E6763 E6767 E6771 E6775 E6779 E6783 E6787 E6791 E6795 E6799 E6803 E6807 E6811 E6815 E6819 E6835 E6839">
    <cfRule type="containsText" dxfId="222" priority="468" operator="containsText" text="Pesquisa de Preços">
      <formula>NOT(ISERROR(SEARCH("Pesquisa de Preços",E6653)))</formula>
    </cfRule>
  </conditionalFormatting>
  <conditionalFormatting sqref="D6877">
    <cfRule type="containsText" dxfId="221" priority="461" operator="containsText" text="Pesquisa de Preços">
      <formula>NOT(ISERROR(SEARCH("Pesquisa de Preços",D6877)))</formula>
    </cfRule>
  </conditionalFormatting>
  <conditionalFormatting sqref="E6876">
    <cfRule type="containsText" dxfId="220" priority="459" operator="containsText" text="Pesquisa de Preços">
      <formula>NOT(ISERROR(SEARCH("Pesquisa de Preços",E6876)))</formula>
    </cfRule>
  </conditionalFormatting>
  <conditionalFormatting sqref="D6879">
    <cfRule type="containsText" dxfId="219" priority="463" operator="containsText" text="Pesquisa de Preços">
      <formula>NOT(ISERROR(SEARCH("Pesquisa de Preços",D6879)))</formula>
    </cfRule>
  </conditionalFormatting>
  <conditionalFormatting sqref="D6876">
    <cfRule type="containsText" dxfId="218" priority="462" operator="containsText" text="Pesquisa de Preços">
      <formula>NOT(ISERROR(SEARCH("Pesquisa de Preços",D6876)))</formula>
    </cfRule>
  </conditionalFormatting>
  <conditionalFormatting sqref="E6877 E6879">
    <cfRule type="containsText" dxfId="217" priority="460" operator="containsText" text="Pesquisa de Preços">
      <formula>NOT(ISERROR(SEARCH("Pesquisa de Preços",E6877)))</formula>
    </cfRule>
  </conditionalFormatting>
  <conditionalFormatting sqref="D6881">
    <cfRule type="containsText" dxfId="216" priority="455" operator="containsText" text="Pesquisa de Preços">
      <formula>NOT(ISERROR(SEARCH("Pesquisa de Preços",D6881)))</formula>
    </cfRule>
  </conditionalFormatting>
  <conditionalFormatting sqref="E6880">
    <cfRule type="containsText" dxfId="215" priority="453" operator="containsText" text="Pesquisa de Preços">
      <formula>NOT(ISERROR(SEARCH("Pesquisa de Preços",E6880)))</formula>
    </cfRule>
  </conditionalFormatting>
  <conditionalFormatting sqref="D6883">
    <cfRule type="containsText" dxfId="214" priority="457" operator="containsText" text="Pesquisa de Preços">
      <formula>NOT(ISERROR(SEARCH("Pesquisa de Preços",D6883)))</formula>
    </cfRule>
  </conditionalFormatting>
  <conditionalFormatting sqref="D6880">
    <cfRule type="containsText" dxfId="213" priority="456" operator="containsText" text="Pesquisa de Preços">
      <formula>NOT(ISERROR(SEARCH("Pesquisa de Preços",D6880)))</formula>
    </cfRule>
  </conditionalFormatting>
  <conditionalFormatting sqref="E6881 E6883">
    <cfRule type="containsText" dxfId="212" priority="454" operator="containsText" text="Pesquisa de Preços">
      <formula>NOT(ISERROR(SEARCH("Pesquisa de Preços",E6881)))</formula>
    </cfRule>
  </conditionalFormatting>
  <conditionalFormatting sqref="D6885">
    <cfRule type="containsText" dxfId="211" priority="447" operator="containsText" text="Pesquisa de Preços">
      <formula>NOT(ISERROR(SEARCH("Pesquisa de Preços",D6885)))</formula>
    </cfRule>
  </conditionalFormatting>
  <conditionalFormatting sqref="E6884">
    <cfRule type="containsText" dxfId="210" priority="445" operator="containsText" text="Pesquisa de Preços">
      <formula>NOT(ISERROR(SEARCH("Pesquisa de Preços",E6884)))</formula>
    </cfRule>
  </conditionalFormatting>
  <conditionalFormatting sqref="D6887">
    <cfRule type="containsText" dxfId="209" priority="449" operator="containsText" text="Pesquisa de Preços">
      <formula>NOT(ISERROR(SEARCH("Pesquisa de Preços",D6887)))</formula>
    </cfRule>
  </conditionalFormatting>
  <conditionalFormatting sqref="D6884">
    <cfRule type="containsText" dxfId="208" priority="448" operator="containsText" text="Pesquisa de Preços">
      <formula>NOT(ISERROR(SEARCH("Pesquisa de Preços",D6884)))</formula>
    </cfRule>
  </conditionalFormatting>
  <conditionalFormatting sqref="E6885 E6887">
    <cfRule type="containsText" dxfId="207" priority="446" operator="containsText" text="Pesquisa de Preços">
      <formula>NOT(ISERROR(SEARCH("Pesquisa de Preços",E6885)))</formula>
    </cfRule>
  </conditionalFormatting>
  <conditionalFormatting sqref="D6901">
    <cfRule type="containsText" dxfId="206" priority="439" operator="containsText" text="Pesquisa de Preços">
      <formula>NOT(ISERROR(SEARCH("Pesquisa de Preços",D6901)))</formula>
    </cfRule>
  </conditionalFormatting>
  <conditionalFormatting sqref="E6900">
    <cfRule type="containsText" dxfId="205" priority="437" operator="containsText" text="Pesquisa de Preços">
      <formula>NOT(ISERROR(SEARCH("Pesquisa de Preços",E6900)))</formula>
    </cfRule>
  </conditionalFormatting>
  <conditionalFormatting sqref="D6903">
    <cfRule type="containsText" dxfId="204" priority="441" operator="containsText" text="Pesquisa de Preços">
      <formula>NOT(ISERROR(SEARCH("Pesquisa de Preços",D6903)))</formula>
    </cfRule>
  </conditionalFormatting>
  <conditionalFormatting sqref="D6900">
    <cfRule type="containsText" dxfId="203" priority="440" operator="containsText" text="Pesquisa de Preços">
      <formula>NOT(ISERROR(SEARCH("Pesquisa de Preços",D6900)))</formula>
    </cfRule>
  </conditionalFormatting>
  <conditionalFormatting sqref="E6901 E6903">
    <cfRule type="containsText" dxfId="202" priority="438" operator="containsText" text="Pesquisa de Preços">
      <formula>NOT(ISERROR(SEARCH("Pesquisa de Preços",E6901)))</formula>
    </cfRule>
  </conditionalFormatting>
  <conditionalFormatting sqref="D6897">
    <cfRule type="containsText" dxfId="201" priority="431" operator="containsText" text="Pesquisa de Preços">
      <formula>NOT(ISERROR(SEARCH("Pesquisa de Preços",D6897)))</formula>
    </cfRule>
  </conditionalFormatting>
  <conditionalFormatting sqref="E6896">
    <cfRule type="containsText" dxfId="200" priority="429" operator="containsText" text="Pesquisa de Preços">
      <formula>NOT(ISERROR(SEARCH("Pesquisa de Preços",E6896)))</formula>
    </cfRule>
  </conditionalFormatting>
  <conditionalFormatting sqref="D6899">
    <cfRule type="containsText" dxfId="199" priority="433" operator="containsText" text="Pesquisa de Preços">
      <formula>NOT(ISERROR(SEARCH("Pesquisa de Preços",D6899)))</formula>
    </cfRule>
  </conditionalFormatting>
  <conditionalFormatting sqref="D6896">
    <cfRule type="containsText" dxfId="198" priority="432" operator="containsText" text="Pesquisa de Preços">
      <formula>NOT(ISERROR(SEARCH("Pesquisa de Preços",D6896)))</formula>
    </cfRule>
  </conditionalFormatting>
  <conditionalFormatting sqref="E6897 E6899">
    <cfRule type="containsText" dxfId="197" priority="430" operator="containsText" text="Pesquisa de Preços">
      <formula>NOT(ISERROR(SEARCH("Pesquisa de Preços",E6897)))</formula>
    </cfRule>
  </conditionalFormatting>
  <conditionalFormatting sqref="E6936 E6940 E6948 E6952 E6956 E6960 E6964 E6968 E6972 E6976 E6980 E6984 E6992 E6996 E7000 E7004 E7008 E7012 E7028">
    <cfRule type="containsText" dxfId="196" priority="421" operator="containsText" text="Pesquisa de Preços">
      <formula>NOT(ISERROR(SEARCH("Pesquisa de Preços",E6936)))</formula>
    </cfRule>
  </conditionalFormatting>
  <conditionalFormatting sqref="D6937 D6941 D6949 D6953 D6957 D6961 D6965 D6969 D6973 D6977 D6981 D6985 D6993 D6997 D7001 D7005 D7009 D7013 D7029">
    <cfRule type="containsText" dxfId="195" priority="423" operator="containsText" text="Pesquisa de Preços">
      <formula>NOT(ISERROR(SEARCH("Pesquisa de Preços",D6937)))</formula>
    </cfRule>
  </conditionalFormatting>
  <conditionalFormatting sqref="D6939 D6943 D6951 D6955 D6959 D6963 D6967 D6971 D6975 D6979 D6983 D6987 D6995 D6999 D7003 D7007 D7011 D7015 D7031">
    <cfRule type="containsText" dxfId="194" priority="425" operator="containsText" text="Pesquisa de Preços">
      <formula>NOT(ISERROR(SEARCH("Pesquisa de Preços",D6939)))</formula>
    </cfRule>
  </conditionalFormatting>
  <conditionalFormatting sqref="D6936 D6940 D6948 D6952 D6956 D6960 D6964 D6968 D6972 D6976 D6980 D6984 D6992 D6996 D7000 D7004 D7008 D7012 D7028">
    <cfRule type="containsText" dxfId="193" priority="424" operator="containsText" text="Pesquisa de Preços">
      <formula>NOT(ISERROR(SEARCH("Pesquisa de Preços",D6936)))</formula>
    </cfRule>
  </conditionalFormatting>
  <conditionalFormatting sqref="E6937 E6941 E6949 E6953 E6957 E6961 E6965 E6969 E6973 E6977 E6981 E6985 E6993 E6997 E7001 E7005 E7009 E7013 E7029 E6939 E6943 E6951 E6955 E6959 E6963 E6967 E6971 E6975 E6979 E6983 E6987 E6995 E6999 E7003 E7007 E7011 E7015 E7031">
    <cfRule type="containsText" dxfId="192" priority="422" operator="containsText" text="Pesquisa de Preços">
      <formula>NOT(ISERROR(SEARCH("Pesquisa de Preços",E6937)))</formula>
    </cfRule>
  </conditionalFormatting>
  <conditionalFormatting sqref="D7033 D7037 D7041 D7045 D7049 D7053 D7057 D7061 D7065 D7069 D7073 D7077 D7081 D7085 D7089 D7093 D7097 D7101 D7105 D7109 D7113 D7117 D7121 D7193">
    <cfRule type="containsText" dxfId="191" priority="415" operator="containsText" text="Pesquisa de Preços">
      <formula>NOT(ISERROR(SEARCH("Pesquisa de Preços",D7033)))</formula>
    </cfRule>
  </conditionalFormatting>
  <conditionalFormatting sqref="E7032 E7036 E7040 E7044 E7048 E7052 E7056 E7060 E7064 E7068 E7072 E7076 E7080 E7084 E7088 E7092 E7096 E7100 E7104 E7108 E7112 E7116 E7120 E7192">
    <cfRule type="containsText" dxfId="190" priority="413" operator="containsText" text="Pesquisa de Preços">
      <formula>NOT(ISERROR(SEARCH("Pesquisa de Preços",E7032)))</formula>
    </cfRule>
  </conditionalFormatting>
  <conditionalFormatting sqref="D7035 D7039 D7043 D7047 D7051 D7055 D7059 D7063 D7067 D7071 D7075 D7079 D7083 D7087 D7091 D7095 D7099 D7103 D7107 D7111 D7115 D7119 D7123 D7195">
    <cfRule type="containsText" dxfId="189" priority="417" operator="containsText" text="Pesquisa de Preços">
      <formula>NOT(ISERROR(SEARCH("Pesquisa de Preços",D7035)))</formula>
    </cfRule>
  </conditionalFormatting>
  <conditionalFormatting sqref="D7032 D7036 D7040 D7044 D7048 D7052 D7056 D7060 D7064 D7068 D7072 D7076 D7080 D7084 D7088 D7092 D7096 D7100 D7104 D7108 D7112 D7116 D7120 D7192">
    <cfRule type="containsText" dxfId="188" priority="416" operator="containsText" text="Pesquisa de Preços">
      <formula>NOT(ISERROR(SEARCH("Pesquisa de Preços",D7032)))</formula>
    </cfRule>
  </conditionalFormatting>
  <conditionalFormatting sqref="E7033 E7037 E7041 E7045 E7049 E7053 E7057 E7061 E7065 E7069 E7073 E7077 E7081 E7085 E7089 E7093 E7097 E7101 E7105 E7109 E7113 E7117 E7121 E7193 E7035 E7039 E7043 E7047 E7051 E7055 E7059 E7063 E7067 E7071 E7075 E7079 E7083 E7087 E7091 E7095 E7099 E7103 E7107 E7111 E7115 E7119 E7123 E7195">
    <cfRule type="containsText" dxfId="187" priority="414" operator="containsText" text="Pesquisa de Preços">
      <formula>NOT(ISERROR(SEARCH("Pesquisa de Preços",E7033)))</formula>
    </cfRule>
  </conditionalFormatting>
  <conditionalFormatting sqref="D7017">
    <cfRule type="containsText" dxfId="186" priority="407" operator="containsText" text="Pesquisa de Preços">
      <formula>NOT(ISERROR(SEARCH("Pesquisa de Preços",D7017)))</formula>
    </cfRule>
  </conditionalFormatting>
  <conditionalFormatting sqref="E7016">
    <cfRule type="containsText" dxfId="185" priority="405" operator="containsText" text="Pesquisa de Preços">
      <formula>NOT(ISERROR(SEARCH("Pesquisa de Preços",E7016)))</formula>
    </cfRule>
  </conditionalFormatting>
  <conditionalFormatting sqref="D7019">
    <cfRule type="containsText" dxfId="184" priority="409" operator="containsText" text="Pesquisa de Preços">
      <formula>NOT(ISERROR(SEARCH("Pesquisa de Preços",D7019)))</formula>
    </cfRule>
  </conditionalFormatting>
  <conditionalFormatting sqref="D7016">
    <cfRule type="containsText" dxfId="183" priority="408" operator="containsText" text="Pesquisa de Preços">
      <formula>NOT(ISERROR(SEARCH("Pesquisa de Preços",D7016)))</formula>
    </cfRule>
  </conditionalFormatting>
  <conditionalFormatting sqref="E7017 E7019">
    <cfRule type="containsText" dxfId="182" priority="406" operator="containsText" text="Pesquisa de Preços">
      <formula>NOT(ISERROR(SEARCH("Pesquisa de Preços",E7017)))</formula>
    </cfRule>
  </conditionalFormatting>
  <conditionalFormatting sqref="D7021">
    <cfRule type="containsText" dxfId="181" priority="399" operator="containsText" text="Pesquisa de Preços">
      <formula>NOT(ISERROR(SEARCH("Pesquisa de Preços",D7021)))</formula>
    </cfRule>
  </conditionalFormatting>
  <conditionalFormatting sqref="E7020">
    <cfRule type="containsText" dxfId="180" priority="397" operator="containsText" text="Pesquisa de Preços">
      <formula>NOT(ISERROR(SEARCH("Pesquisa de Preços",E7020)))</formula>
    </cfRule>
  </conditionalFormatting>
  <conditionalFormatting sqref="D7023">
    <cfRule type="containsText" dxfId="179" priority="401" operator="containsText" text="Pesquisa de Preços">
      <formula>NOT(ISERROR(SEARCH("Pesquisa de Preços",D7023)))</formula>
    </cfRule>
  </conditionalFormatting>
  <conditionalFormatting sqref="D7020">
    <cfRule type="containsText" dxfId="178" priority="400" operator="containsText" text="Pesquisa de Preços">
      <formula>NOT(ISERROR(SEARCH("Pesquisa de Preços",D7020)))</formula>
    </cfRule>
  </conditionalFormatting>
  <conditionalFormatting sqref="E7021 E7023">
    <cfRule type="containsText" dxfId="177" priority="398" operator="containsText" text="Pesquisa de Preços">
      <formula>NOT(ISERROR(SEARCH("Pesquisa de Preços",E7021)))</formula>
    </cfRule>
  </conditionalFormatting>
  <conditionalFormatting sqref="D7025">
    <cfRule type="containsText" dxfId="176" priority="391" operator="containsText" text="Pesquisa de Preços">
      <formula>NOT(ISERROR(SEARCH("Pesquisa de Preços",D7025)))</formula>
    </cfRule>
  </conditionalFormatting>
  <conditionalFormatting sqref="E7024">
    <cfRule type="containsText" dxfId="175" priority="389" operator="containsText" text="Pesquisa de Preços">
      <formula>NOT(ISERROR(SEARCH("Pesquisa de Preços",E7024)))</formula>
    </cfRule>
  </conditionalFormatting>
  <conditionalFormatting sqref="D7027">
    <cfRule type="containsText" dxfId="174" priority="393" operator="containsText" text="Pesquisa de Preços">
      <formula>NOT(ISERROR(SEARCH("Pesquisa de Preços",D7027)))</formula>
    </cfRule>
  </conditionalFormatting>
  <conditionalFormatting sqref="D7024">
    <cfRule type="containsText" dxfId="173" priority="392" operator="containsText" text="Pesquisa de Preços">
      <formula>NOT(ISERROR(SEARCH("Pesquisa de Preços",D7024)))</formula>
    </cfRule>
  </conditionalFormatting>
  <conditionalFormatting sqref="E7025 E7027">
    <cfRule type="containsText" dxfId="172" priority="390" operator="containsText" text="Pesquisa de Preços">
      <formula>NOT(ISERROR(SEARCH("Pesquisa de Preços",E7025)))</formula>
    </cfRule>
  </conditionalFormatting>
  <conditionalFormatting sqref="D6821">
    <cfRule type="containsText" dxfId="171" priority="383" operator="containsText" text="Pesquisa de Preços">
      <formula>NOT(ISERROR(SEARCH("Pesquisa de Preços",D6821)))</formula>
    </cfRule>
  </conditionalFormatting>
  <conditionalFormatting sqref="E6820">
    <cfRule type="containsText" dxfId="170" priority="381" operator="containsText" text="Pesquisa de Preços">
      <formula>NOT(ISERROR(SEARCH("Pesquisa de Preços",E6820)))</formula>
    </cfRule>
  </conditionalFormatting>
  <conditionalFormatting sqref="D6823">
    <cfRule type="containsText" dxfId="169" priority="385" operator="containsText" text="Pesquisa de Preços">
      <formula>NOT(ISERROR(SEARCH("Pesquisa de Preços",D6823)))</formula>
    </cfRule>
  </conditionalFormatting>
  <conditionalFormatting sqref="D6820">
    <cfRule type="containsText" dxfId="168" priority="384" operator="containsText" text="Pesquisa de Preços">
      <formula>NOT(ISERROR(SEARCH("Pesquisa de Preços",D6820)))</formula>
    </cfRule>
  </conditionalFormatting>
  <conditionalFormatting sqref="E6821 E6823">
    <cfRule type="containsText" dxfId="167" priority="382" operator="containsText" text="Pesquisa de Preços">
      <formula>NOT(ISERROR(SEARCH("Pesquisa de Preços",E6821)))</formula>
    </cfRule>
  </conditionalFormatting>
  <conditionalFormatting sqref="D6693">
    <cfRule type="containsText" dxfId="166" priority="375" operator="containsText" text="Pesquisa de Preços">
      <formula>NOT(ISERROR(SEARCH("Pesquisa de Preços",D6693)))</formula>
    </cfRule>
  </conditionalFormatting>
  <conditionalFormatting sqref="E6692">
    <cfRule type="containsText" dxfId="165" priority="373" operator="containsText" text="Pesquisa de Preços">
      <formula>NOT(ISERROR(SEARCH("Pesquisa de Preços",E6692)))</formula>
    </cfRule>
  </conditionalFormatting>
  <conditionalFormatting sqref="D6695">
    <cfRule type="containsText" dxfId="164" priority="377" operator="containsText" text="Pesquisa de Preços">
      <formula>NOT(ISERROR(SEARCH("Pesquisa de Preços",D6695)))</formula>
    </cfRule>
  </conditionalFormatting>
  <conditionalFormatting sqref="D6692">
    <cfRule type="containsText" dxfId="163" priority="376" operator="containsText" text="Pesquisa de Preços">
      <formula>NOT(ISERROR(SEARCH("Pesquisa de Preços",D6692)))</formula>
    </cfRule>
  </conditionalFormatting>
  <conditionalFormatting sqref="E6693 E6695">
    <cfRule type="containsText" dxfId="162" priority="374" operator="containsText" text="Pesquisa de Preços">
      <formula>NOT(ISERROR(SEARCH("Pesquisa de Preços",E6693)))</formula>
    </cfRule>
  </conditionalFormatting>
  <conditionalFormatting sqref="D6529">
    <cfRule type="containsText" dxfId="161" priority="365" operator="containsText" text="Pesquisa de Preços">
      <formula>NOT(ISERROR(SEARCH("Pesquisa de Preços",D6529)))</formula>
    </cfRule>
  </conditionalFormatting>
  <conditionalFormatting sqref="E6528">
    <cfRule type="containsText" dxfId="160" priority="363" operator="containsText" text="Pesquisa de Preços">
      <formula>NOT(ISERROR(SEARCH("Pesquisa de Preços",E6528)))</formula>
    </cfRule>
  </conditionalFormatting>
  <conditionalFormatting sqref="D6531">
    <cfRule type="containsText" dxfId="159" priority="367" operator="containsText" text="Pesquisa de Preços">
      <formula>NOT(ISERROR(SEARCH("Pesquisa de Preços",D6531)))</formula>
    </cfRule>
  </conditionalFormatting>
  <conditionalFormatting sqref="D6528">
    <cfRule type="containsText" dxfId="158" priority="366" operator="containsText" text="Pesquisa de Preços">
      <formula>NOT(ISERROR(SEARCH("Pesquisa de Preços",D6528)))</formula>
    </cfRule>
  </conditionalFormatting>
  <conditionalFormatting sqref="E6529 E6531">
    <cfRule type="containsText" dxfId="157" priority="364" operator="containsText" text="Pesquisa de Preços">
      <formula>NOT(ISERROR(SEARCH("Pesquisa de Preços",E6529)))</formula>
    </cfRule>
  </conditionalFormatting>
  <conditionalFormatting sqref="D6865">
    <cfRule type="containsText" dxfId="156" priority="357" operator="containsText" text="Pesquisa de Preços">
      <formula>NOT(ISERROR(SEARCH("Pesquisa de Preços",D6865)))</formula>
    </cfRule>
  </conditionalFormatting>
  <conditionalFormatting sqref="E6864">
    <cfRule type="containsText" dxfId="155" priority="355" operator="containsText" text="Pesquisa de Preços">
      <formula>NOT(ISERROR(SEARCH("Pesquisa de Preços",E6864)))</formula>
    </cfRule>
  </conditionalFormatting>
  <conditionalFormatting sqref="D6867">
    <cfRule type="containsText" dxfId="154" priority="359" operator="containsText" text="Pesquisa de Preços">
      <formula>NOT(ISERROR(SEARCH("Pesquisa de Preços",D6867)))</formula>
    </cfRule>
  </conditionalFormatting>
  <conditionalFormatting sqref="D6864">
    <cfRule type="containsText" dxfId="153" priority="358" operator="containsText" text="Pesquisa de Preços">
      <formula>NOT(ISERROR(SEARCH("Pesquisa de Preços",D6864)))</formula>
    </cfRule>
  </conditionalFormatting>
  <conditionalFormatting sqref="E6865 E6867">
    <cfRule type="containsText" dxfId="152" priority="356" operator="containsText" text="Pesquisa de Preços">
      <formula>NOT(ISERROR(SEARCH("Pesquisa de Preços",E6865)))</formula>
    </cfRule>
  </conditionalFormatting>
  <conditionalFormatting sqref="E6868">
    <cfRule type="containsText" dxfId="151" priority="349" operator="containsText" text="Pesquisa de Preços">
      <formula>NOT(ISERROR(SEARCH("Pesquisa de Preços",E6868)))</formula>
    </cfRule>
  </conditionalFormatting>
  <conditionalFormatting sqref="D6869">
    <cfRule type="containsText" dxfId="150" priority="351" operator="containsText" text="Pesquisa de Preços">
      <formula>NOT(ISERROR(SEARCH("Pesquisa de Preços",D6869)))</formula>
    </cfRule>
  </conditionalFormatting>
  <conditionalFormatting sqref="D6868">
    <cfRule type="containsText" dxfId="149" priority="352" operator="containsText" text="Pesquisa de Preços">
      <formula>NOT(ISERROR(SEARCH("Pesquisa de Preços",D6868)))</formula>
    </cfRule>
  </conditionalFormatting>
  <conditionalFormatting sqref="E6869">
    <cfRule type="containsText" dxfId="148" priority="350" operator="containsText" text="Pesquisa de Preços">
      <formula>NOT(ISERROR(SEARCH("Pesquisa de Preços",E6869)))</formula>
    </cfRule>
  </conditionalFormatting>
  <conditionalFormatting sqref="D6989">
    <cfRule type="containsText" dxfId="147" priority="345" operator="containsText" text="Pesquisa de Preços">
      <formula>NOT(ISERROR(SEARCH("Pesquisa de Preços",D6989)))</formula>
    </cfRule>
  </conditionalFormatting>
  <conditionalFormatting sqref="E6988">
    <cfRule type="containsText" dxfId="146" priority="343" operator="containsText" text="Pesquisa de Preços">
      <formula>NOT(ISERROR(SEARCH("Pesquisa de Preços",E6988)))</formula>
    </cfRule>
  </conditionalFormatting>
  <conditionalFormatting sqref="D6991">
    <cfRule type="containsText" dxfId="145" priority="347" operator="containsText" text="Pesquisa de Preços">
      <formula>NOT(ISERROR(SEARCH("Pesquisa de Preços",D6991)))</formula>
    </cfRule>
  </conditionalFormatting>
  <conditionalFormatting sqref="D6988">
    <cfRule type="containsText" dxfId="144" priority="346" operator="containsText" text="Pesquisa de Preços">
      <formula>NOT(ISERROR(SEARCH("Pesquisa de Preços",D6988)))</formula>
    </cfRule>
  </conditionalFormatting>
  <conditionalFormatting sqref="E6989 E6991">
    <cfRule type="containsText" dxfId="143" priority="344" operator="containsText" text="Pesquisa de Preços">
      <formula>NOT(ISERROR(SEARCH("Pesquisa de Preços",E6989)))</formula>
    </cfRule>
  </conditionalFormatting>
  <conditionalFormatting sqref="D6825 D6829">
    <cfRule type="containsText" dxfId="142" priority="329" operator="containsText" text="Pesquisa de Preços">
      <formula>NOT(ISERROR(SEARCH("Pesquisa de Preços",D6825)))</formula>
    </cfRule>
  </conditionalFormatting>
  <conditionalFormatting sqref="E6824 E6828">
    <cfRule type="containsText" dxfId="141" priority="327" operator="containsText" text="Pesquisa de Preços">
      <formula>NOT(ISERROR(SEARCH("Pesquisa de Preços",E6824)))</formula>
    </cfRule>
  </conditionalFormatting>
  <conditionalFormatting sqref="D6827 D6831">
    <cfRule type="containsText" dxfId="140" priority="331" operator="containsText" text="Pesquisa de Preços">
      <formula>NOT(ISERROR(SEARCH("Pesquisa de Preços",D6827)))</formula>
    </cfRule>
  </conditionalFormatting>
  <conditionalFormatting sqref="D6824 D6828">
    <cfRule type="containsText" dxfId="139" priority="330" operator="containsText" text="Pesquisa de Preços">
      <formula>NOT(ISERROR(SEARCH("Pesquisa de Preços",D6824)))</formula>
    </cfRule>
  </conditionalFormatting>
  <conditionalFormatting sqref="E6825 E6829 E6827 E6831">
    <cfRule type="containsText" dxfId="138" priority="328" operator="containsText" text="Pesquisa de Preços">
      <formula>NOT(ISERROR(SEARCH("Pesquisa de Preços",E6825)))</formula>
    </cfRule>
  </conditionalFormatting>
  <conditionalFormatting sqref="D7142">
    <cfRule type="containsText" dxfId="137" priority="287" operator="containsText" text="Pesquisa de Preços">
      <formula>NOT(ISERROR(SEARCH("Pesquisa de Preços",D7142)))</formula>
    </cfRule>
  </conditionalFormatting>
  <conditionalFormatting sqref="D7136">
    <cfRule type="containsText" dxfId="136" priority="291" operator="containsText" text="Pesquisa de Preços">
      <formula>NOT(ISERROR(SEARCH("Pesquisa de Preços",D7136)))</formula>
    </cfRule>
  </conditionalFormatting>
  <conditionalFormatting sqref="D7197">
    <cfRule type="containsText" dxfId="135" priority="321" operator="containsText" text="Pesquisa de Preços">
      <formula>NOT(ISERROR(SEARCH("Pesquisa de Preços",D7197)))</formula>
    </cfRule>
  </conditionalFormatting>
  <conditionalFormatting sqref="E7196">
    <cfRule type="containsText" dxfId="134" priority="319" operator="containsText" text="Pesquisa de Preços">
      <formula>NOT(ISERROR(SEARCH("Pesquisa de Preços",E7196)))</formula>
    </cfRule>
  </conditionalFormatting>
  <conditionalFormatting sqref="D7199">
    <cfRule type="containsText" dxfId="133" priority="323" operator="containsText" text="Pesquisa de Preços">
      <formula>NOT(ISERROR(SEARCH("Pesquisa de Preços",D7199)))</formula>
    </cfRule>
  </conditionalFormatting>
  <conditionalFormatting sqref="D7196">
    <cfRule type="containsText" dxfId="132" priority="322" operator="containsText" text="Pesquisa de Preços">
      <formula>NOT(ISERROR(SEARCH("Pesquisa de Preços",D7196)))</formula>
    </cfRule>
  </conditionalFormatting>
  <conditionalFormatting sqref="E7197 E7199">
    <cfRule type="containsText" dxfId="131" priority="320" operator="containsText" text="Pesquisa de Preços">
      <formula>NOT(ISERROR(SEARCH("Pesquisa de Preços",E7197)))</formula>
    </cfRule>
  </conditionalFormatting>
  <conditionalFormatting sqref="D7185">
    <cfRule type="containsText" dxfId="130" priority="313" operator="containsText" text="Pesquisa de Preços">
      <formula>NOT(ISERROR(SEARCH("Pesquisa de Preços",D7185)))</formula>
    </cfRule>
  </conditionalFormatting>
  <conditionalFormatting sqref="E7184">
    <cfRule type="containsText" dxfId="129" priority="311" operator="containsText" text="Pesquisa de Preços">
      <formula>NOT(ISERROR(SEARCH("Pesquisa de Preços",E7184)))</formula>
    </cfRule>
  </conditionalFormatting>
  <conditionalFormatting sqref="D7187">
    <cfRule type="containsText" dxfId="128" priority="315" operator="containsText" text="Pesquisa de Preços">
      <formula>NOT(ISERROR(SEARCH("Pesquisa de Preços",D7187)))</formula>
    </cfRule>
  </conditionalFormatting>
  <conditionalFormatting sqref="D7184">
    <cfRule type="containsText" dxfId="127" priority="314" operator="containsText" text="Pesquisa de Preços">
      <formula>NOT(ISERROR(SEARCH("Pesquisa de Preços",D7184)))</formula>
    </cfRule>
  </conditionalFormatting>
  <conditionalFormatting sqref="E7185 E7187">
    <cfRule type="containsText" dxfId="126" priority="312" operator="containsText" text="Pesquisa de Preços">
      <formula>NOT(ISERROR(SEARCH("Pesquisa de Preços",E7185)))</formula>
    </cfRule>
  </conditionalFormatting>
  <conditionalFormatting sqref="D7189">
    <cfRule type="containsText" dxfId="125" priority="305" operator="containsText" text="Pesquisa de Preços">
      <formula>NOT(ISERROR(SEARCH("Pesquisa de Preços",D7189)))</formula>
    </cfRule>
  </conditionalFormatting>
  <conditionalFormatting sqref="E7188">
    <cfRule type="containsText" dxfId="124" priority="303" operator="containsText" text="Pesquisa de Preços">
      <formula>NOT(ISERROR(SEARCH("Pesquisa de Preços",E7188)))</formula>
    </cfRule>
  </conditionalFormatting>
  <conditionalFormatting sqref="D7191">
    <cfRule type="containsText" dxfId="123" priority="307" operator="containsText" text="Pesquisa de Preços">
      <formula>NOT(ISERROR(SEARCH("Pesquisa de Preços",D7191)))</formula>
    </cfRule>
  </conditionalFormatting>
  <conditionalFormatting sqref="D7188">
    <cfRule type="containsText" dxfId="122" priority="306" operator="containsText" text="Pesquisa de Preços">
      <formula>NOT(ISERROR(SEARCH("Pesquisa de Preços",D7188)))</formula>
    </cfRule>
  </conditionalFormatting>
  <conditionalFormatting sqref="E7189 E7191">
    <cfRule type="containsText" dxfId="121" priority="304" operator="containsText" text="Pesquisa de Preços">
      <formula>NOT(ISERROR(SEARCH("Pesquisa de Preços",E7189)))</formula>
    </cfRule>
  </conditionalFormatting>
  <conditionalFormatting sqref="D7124">
    <cfRule type="containsText" dxfId="120" priority="299" operator="containsText" text="Pesquisa de Preços">
      <formula>NOT(ISERROR(SEARCH("Pesquisa de Preços",D7124)))</formula>
    </cfRule>
  </conditionalFormatting>
  <conditionalFormatting sqref="D7130">
    <cfRule type="containsText" dxfId="119" priority="295" operator="containsText" text="Pesquisa de Preços">
      <formula>NOT(ISERROR(SEARCH("Pesquisa de Preços",D7130)))</formula>
    </cfRule>
  </conditionalFormatting>
  <conditionalFormatting sqref="D3779">
    <cfRule type="containsText" dxfId="118" priority="216" operator="containsText" text="Pesquisa de Preços">
      <formula>NOT(ISERROR(SEARCH("Pesquisa de Preços",D3779)))</formula>
    </cfRule>
  </conditionalFormatting>
  <conditionalFormatting sqref="D3785">
    <cfRule type="containsText" dxfId="117" priority="212" operator="containsText" text="Pesquisa de Preços">
      <formula>NOT(ISERROR(SEARCH("Pesquisa de Preços",D3785)))</formula>
    </cfRule>
  </conditionalFormatting>
  <conditionalFormatting sqref="D7148">
    <cfRule type="containsText" dxfId="116" priority="283" operator="containsText" text="Pesquisa de Preços">
      <formula>NOT(ISERROR(SEARCH("Pesquisa de Preços",D7148)))</formula>
    </cfRule>
  </conditionalFormatting>
  <conditionalFormatting sqref="D7154">
    <cfRule type="containsText" dxfId="115" priority="279" operator="containsText" text="Pesquisa de Preços">
      <formula>NOT(ISERROR(SEARCH("Pesquisa de Preços",D7154)))</formula>
    </cfRule>
  </conditionalFormatting>
  <conditionalFormatting sqref="D7160">
    <cfRule type="containsText" dxfId="114" priority="275" operator="containsText" text="Pesquisa de Preços">
      <formula>NOT(ISERROR(SEARCH("Pesquisa de Preços",D7160)))</formula>
    </cfRule>
  </conditionalFormatting>
  <conditionalFormatting sqref="D7166">
    <cfRule type="containsText" dxfId="113" priority="271" operator="containsText" text="Pesquisa de Preços">
      <formula>NOT(ISERROR(SEARCH("Pesquisa de Preços",D7166)))</formula>
    </cfRule>
  </conditionalFormatting>
  <conditionalFormatting sqref="D7172">
    <cfRule type="containsText" dxfId="112" priority="267" operator="containsText" text="Pesquisa de Preços">
      <formula>NOT(ISERROR(SEARCH("Pesquisa de Preços",D7172)))</formula>
    </cfRule>
  </conditionalFormatting>
  <conditionalFormatting sqref="D7178">
    <cfRule type="containsText" dxfId="111" priority="263" operator="containsText" text="Pesquisa de Preços">
      <formula>NOT(ISERROR(SEARCH("Pesquisa de Preços",D7178)))</formula>
    </cfRule>
  </conditionalFormatting>
  <conditionalFormatting sqref="D6889">
    <cfRule type="containsText" dxfId="110" priority="257" operator="containsText" text="Pesquisa de Preços">
      <formula>NOT(ISERROR(SEARCH("Pesquisa de Preços",D6889)))</formula>
    </cfRule>
  </conditionalFormatting>
  <conditionalFormatting sqref="E6888">
    <cfRule type="containsText" dxfId="109" priority="255" operator="containsText" text="Pesquisa de Preços">
      <formula>NOT(ISERROR(SEARCH("Pesquisa de Preços",E6888)))</formula>
    </cfRule>
  </conditionalFormatting>
  <conditionalFormatting sqref="D6891">
    <cfRule type="containsText" dxfId="108" priority="259" operator="containsText" text="Pesquisa de Preços">
      <formula>NOT(ISERROR(SEARCH("Pesquisa de Preços",D6891)))</formula>
    </cfRule>
  </conditionalFormatting>
  <conditionalFormatting sqref="D6888">
    <cfRule type="containsText" dxfId="107" priority="258" operator="containsText" text="Pesquisa de Preços">
      <formula>NOT(ISERROR(SEARCH("Pesquisa de Preços",D6888)))</formula>
    </cfRule>
  </conditionalFormatting>
  <conditionalFormatting sqref="E6889 E6891">
    <cfRule type="containsText" dxfId="106" priority="256" operator="containsText" text="Pesquisa de Preços">
      <formula>NOT(ISERROR(SEARCH("Pesquisa de Preços",E6889)))</formula>
    </cfRule>
  </conditionalFormatting>
  <conditionalFormatting sqref="D3773">
    <cfRule type="containsText" dxfId="105" priority="220" operator="containsText" text="Pesquisa de Preços">
      <formula>NOT(ISERROR(SEARCH("Pesquisa de Preços",D3773)))</formula>
    </cfRule>
  </conditionalFormatting>
  <conditionalFormatting sqref="D3791">
    <cfRule type="containsText" dxfId="104" priority="208" operator="containsText" text="Pesquisa de Preços">
      <formula>NOT(ISERROR(SEARCH("Pesquisa de Preços",D3791)))</formula>
    </cfRule>
  </conditionalFormatting>
  <conditionalFormatting sqref="D3797">
    <cfRule type="containsText" dxfId="103" priority="204" operator="containsText" text="Pesquisa de Preços">
      <formula>NOT(ISERROR(SEARCH("Pesquisa de Preços",D3797)))</formula>
    </cfRule>
  </conditionalFormatting>
  <conditionalFormatting sqref="D3803">
    <cfRule type="containsText" dxfId="102" priority="200" operator="containsText" text="Pesquisa de Preços">
      <formula>NOT(ISERROR(SEARCH("Pesquisa de Preços",D3803)))</formula>
    </cfRule>
  </conditionalFormatting>
  <conditionalFormatting sqref="D3809">
    <cfRule type="containsText" dxfId="101" priority="196" operator="containsText" text="Pesquisa de Preços">
      <formula>NOT(ISERROR(SEARCH("Pesquisa de Preços",D3809)))</formula>
    </cfRule>
  </conditionalFormatting>
  <conditionalFormatting sqref="D3815">
    <cfRule type="containsText" dxfId="100" priority="192" operator="containsText" text="Pesquisa de Preços">
      <formula>NOT(ISERROR(SEARCH("Pesquisa de Preços",D3815)))</formula>
    </cfRule>
  </conditionalFormatting>
  <conditionalFormatting sqref="D3821">
    <cfRule type="containsText" dxfId="99" priority="188" operator="containsText" text="Pesquisa de Preços">
      <formula>NOT(ISERROR(SEARCH("Pesquisa de Preços",D3821)))</formula>
    </cfRule>
  </conditionalFormatting>
  <conditionalFormatting sqref="D2720">
    <cfRule type="containsText" dxfId="98" priority="178" operator="containsText" text="Pesquisa de Preços">
      <formula>NOT(ISERROR(SEARCH("Pesquisa de Preços",D2720)))</formula>
    </cfRule>
  </conditionalFormatting>
  <conditionalFormatting sqref="D2722">
    <cfRule type="containsText" dxfId="97" priority="177" operator="containsText" text="Pesquisa de Preços">
      <formula>NOT(ISERROR(SEARCH("Pesquisa de Preços",D2722)))</formula>
    </cfRule>
  </conditionalFormatting>
  <conditionalFormatting sqref="D2724">
    <cfRule type="containsText" dxfId="96" priority="171" operator="containsText" text="Pesquisa de Preços">
      <formula>NOT(ISERROR(SEARCH("Pesquisa de Preços",D2724)))</formula>
    </cfRule>
  </conditionalFormatting>
  <conditionalFormatting sqref="D2726">
    <cfRule type="containsText" dxfId="95" priority="170" operator="containsText" text="Pesquisa de Preços">
      <formula>NOT(ISERROR(SEARCH("Pesquisa de Preços",D2726)))</formula>
    </cfRule>
  </conditionalFormatting>
  <conditionalFormatting sqref="D2728">
    <cfRule type="containsText" dxfId="94" priority="164" operator="containsText" text="Pesquisa de Preços">
      <formula>NOT(ISERROR(SEARCH("Pesquisa de Preços",D2728)))</formula>
    </cfRule>
  </conditionalFormatting>
  <conditionalFormatting sqref="D2730">
    <cfRule type="containsText" dxfId="93" priority="163" operator="containsText" text="Pesquisa de Preços">
      <formula>NOT(ISERROR(SEARCH("Pesquisa de Preços",D2730)))</formula>
    </cfRule>
  </conditionalFormatting>
  <conditionalFormatting sqref="D2750">
    <cfRule type="containsText" dxfId="92" priority="159" operator="containsText" text="Pesquisa de Preços">
      <formula>NOT(ISERROR(SEARCH("Pesquisa de Preços",D2750)))</formula>
    </cfRule>
  </conditionalFormatting>
  <conditionalFormatting sqref="D2748">
    <cfRule type="containsText" dxfId="91" priority="158" operator="containsText" text="Pesquisa de Preços">
      <formula>NOT(ISERROR(SEARCH("Pesquisa de Preços",D2748)))</formula>
    </cfRule>
  </conditionalFormatting>
  <conditionalFormatting sqref="D2760">
    <cfRule type="containsText" dxfId="90" priority="148" operator="containsText" text="Pesquisa de Preços">
      <formula>NOT(ISERROR(SEARCH("Pesquisa de Preços",D2760)))</formula>
    </cfRule>
  </conditionalFormatting>
  <conditionalFormatting sqref="D2762">
    <cfRule type="containsText" dxfId="89" priority="147" operator="containsText" text="Pesquisa de Preços">
      <formula>NOT(ISERROR(SEARCH("Pesquisa de Preços",D2762)))</formula>
    </cfRule>
  </conditionalFormatting>
  <conditionalFormatting sqref="D3467">
    <cfRule type="containsText" dxfId="88" priority="145" operator="containsText" text="Pesquisa de Preços">
      <formula>NOT(ISERROR(SEARCH("Pesquisa de Preços",D3467)))</formula>
    </cfRule>
  </conditionalFormatting>
  <conditionalFormatting sqref="D3538">
    <cfRule type="containsText" dxfId="87" priority="141" operator="containsText" text="Pesquisa de Preços">
      <formula>NOT(ISERROR(SEARCH("Pesquisa de Preços",D3538)))</formula>
    </cfRule>
  </conditionalFormatting>
  <conditionalFormatting sqref="D4732">
    <cfRule type="containsText" dxfId="86" priority="135" operator="containsText" text="Pesquisa de Preços">
      <formula>NOT(ISERROR(SEARCH("Pesquisa de Preços",D4732)))</formula>
    </cfRule>
  </conditionalFormatting>
  <conditionalFormatting sqref="D6025">
    <cfRule type="containsText" dxfId="85" priority="122" operator="containsText" text="Pesquisa de Preços">
      <formula>NOT(ISERROR(SEARCH("Pesquisa de Preços",D6025)))</formula>
    </cfRule>
  </conditionalFormatting>
  <conditionalFormatting sqref="D6045">
    <cfRule type="containsText" dxfId="84" priority="111" operator="containsText" text="Pesquisa de Preços">
      <formula>NOT(ISERROR(SEARCH("Pesquisa de Preços",D6045)))</formula>
    </cfRule>
  </conditionalFormatting>
  <conditionalFormatting sqref="D4744">
    <cfRule type="containsText" dxfId="83" priority="131" operator="containsText" text="Pesquisa de Preços">
      <formula>NOT(ISERROR(SEARCH("Pesquisa de Preços",D4744)))</formula>
    </cfRule>
  </conditionalFormatting>
  <conditionalFormatting sqref="D6027">
    <cfRule type="containsText" dxfId="82" priority="123" operator="containsText" text="Pesquisa de Preços">
      <formula>NOT(ISERROR(SEARCH("Pesquisa de Preços",D6027)))</formula>
    </cfRule>
  </conditionalFormatting>
  <conditionalFormatting sqref="D6109">
    <cfRule type="containsText" dxfId="81" priority="104" operator="containsText" text="Pesquisa de Preços">
      <formula>NOT(ISERROR(SEARCH("Pesquisa de Preços",D6109)))</formula>
    </cfRule>
  </conditionalFormatting>
  <conditionalFormatting sqref="D6043">
    <cfRule type="containsText" dxfId="80" priority="116" operator="containsText" text="Pesquisa de Preços">
      <formula>NOT(ISERROR(SEARCH("Pesquisa de Preços",D6043)))</formula>
    </cfRule>
  </conditionalFormatting>
  <conditionalFormatting sqref="D6047">
    <cfRule type="containsText" dxfId="79" priority="113" operator="containsText" text="Pesquisa de Preços">
      <formula>NOT(ISERROR(SEARCH("Pesquisa de Preços",D6047)))</formula>
    </cfRule>
  </conditionalFormatting>
  <conditionalFormatting sqref="D6041">
    <cfRule type="containsText" dxfId="78" priority="112" operator="containsText" text="Pesquisa de Preços">
      <formula>NOT(ISERROR(SEARCH("Pesquisa de Preços",D6041)))</formula>
    </cfRule>
  </conditionalFormatting>
  <conditionalFormatting sqref="D6111">
    <cfRule type="containsText" dxfId="77" priority="105" operator="containsText" text="Pesquisa de Preços">
      <formula>NOT(ISERROR(SEARCH("Pesquisa de Preços",D6111)))</formula>
    </cfRule>
  </conditionalFormatting>
  <conditionalFormatting sqref="D6113">
    <cfRule type="containsText" dxfId="76" priority="97" operator="containsText" text="Pesquisa de Preços">
      <formula>NOT(ISERROR(SEARCH("Pesquisa de Preços",D6113)))</formula>
    </cfRule>
  </conditionalFormatting>
  <conditionalFormatting sqref="D6115">
    <cfRule type="containsText" dxfId="75" priority="98" operator="containsText" text="Pesquisa de Preços">
      <formula>NOT(ISERROR(SEARCH("Pesquisa de Preços",D6115)))</formula>
    </cfRule>
  </conditionalFormatting>
  <conditionalFormatting sqref="D6117">
    <cfRule type="containsText" dxfId="74" priority="90" operator="containsText" text="Pesquisa de Preços">
      <formula>NOT(ISERROR(SEARCH("Pesquisa de Preços",D6117)))</formula>
    </cfRule>
  </conditionalFormatting>
  <conditionalFormatting sqref="D6119">
    <cfRule type="containsText" dxfId="73" priority="91" operator="containsText" text="Pesquisa de Preços">
      <formula>NOT(ISERROR(SEARCH("Pesquisa de Preços",D6119)))</formula>
    </cfRule>
  </conditionalFormatting>
  <conditionalFormatting sqref="D6947">
    <cfRule type="containsText" dxfId="72" priority="86" operator="containsText" text="Pesquisa de Preços">
      <formula>NOT(ISERROR(SEARCH("Pesquisa de Preços",D6947)))</formula>
    </cfRule>
  </conditionalFormatting>
  <conditionalFormatting sqref="E6944">
    <cfRule type="containsText" dxfId="71" priority="82" operator="containsText" text="Pesquisa de Preços">
      <formula>NOT(ISERROR(SEARCH("Pesquisa de Preços",E6944)))</formula>
    </cfRule>
  </conditionalFormatting>
  <conditionalFormatting sqref="D6945">
    <cfRule type="containsText" dxfId="70" priority="84" operator="containsText" text="Pesquisa de Preços">
      <formula>NOT(ISERROR(SEARCH("Pesquisa de Preços",D6945)))</formula>
    </cfRule>
  </conditionalFormatting>
  <conditionalFormatting sqref="D6944">
    <cfRule type="containsText" dxfId="69" priority="85" operator="containsText" text="Pesquisa de Preços">
      <formula>NOT(ISERROR(SEARCH("Pesquisa de Preços",D6944)))</formula>
    </cfRule>
  </conditionalFormatting>
  <conditionalFormatting sqref="E6945 E6947">
    <cfRule type="containsText" dxfId="68" priority="83" operator="containsText" text="Pesquisa de Preços">
      <formula>NOT(ISERROR(SEARCH("Pesquisa de Preços",E6945)))</formula>
    </cfRule>
  </conditionalFormatting>
  <conditionalFormatting sqref="E307">
    <cfRule type="containsText" dxfId="67" priority="77" operator="containsText" text="Pesquisa de Preços">
      <formula>NOT(ISERROR(SEARCH("Pesquisa de Preços",E307)))</formula>
    </cfRule>
  </conditionalFormatting>
  <conditionalFormatting sqref="D7211">
    <cfRule type="containsText" dxfId="66" priority="71" operator="containsText" text="Pesquisa de Preços">
      <formula>NOT(ISERROR(SEARCH("Pesquisa de Preços",D7211)))</formula>
    </cfRule>
  </conditionalFormatting>
  <conditionalFormatting sqref="D7206">
    <cfRule type="containsText" dxfId="65" priority="68" operator="containsText" text="Pesquisa de Preços">
      <formula>NOT(ISERROR(SEARCH("Pesquisa de Preços",D7206)))</formula>
    </cfRule>
  </conditionalFormatting>
  <conditionalFormatting sqref="D7214">
    <cfRule type="containsText" dxfId="64" priority="62" operator="containsText" text="Pesquisa de Preços">
      <formula>NOT(ISERROR(SEARCH("Pesquisa de Preços",D7214)))</formula>
    </cfRule>
  </conditionalFormatting>
  <conditionalFormatting sqref="D7212">
    <cfRule type="containsText" dxfId="63" priority="61" operator="containsText" text="Pesquisa de Preços">
      <formula>NOT(ISERROR(SEARCH("Pesquisa de Preços",D7212)))</formula>
    </cfRule>
  </conditionalFormatting>
  <conditionalFormatting sqref="D7215">
    <cfRule type="containsText" dxfId="62" priority="53" operator="containsText" text="Pesquisa de Preços">
      <formula>NOT(ISERROR(SEARCH("Pesquisa de Preços",D7215)))</formula>
    </cfRule>
  </conditionalFormatting>
  <conditionalFormatting sqref="D7216:D7217">
    <cfRule type="containsText" dxfId="61" priority="57" operator="containsText" text="Pesquisa de Preços">
      <formula>NOT(ISERROR(SEARCH("Pesquisa de Preços",D7216)))</formula>
    </cfRule>
  </conditionalFormatting>
  <conditionalFormatting sqref="E7215">
    <cfRule type="containsText" dxfId="60" priority="52" operator="containsText" text="Pesquisa de Preços">
      <formula>NOT(ISERROR(SEARCH("Pesquisa de Preços",E7215)))</formula>
    </cfRule>
  </conditionalFormatting>
  <conditionalFormatting sqref="E7200">
    <cfRule type="containsText" dxfId="59" priority="44" operator="containsText" text="Pesquisa de Preços">
      <formula>NOT(ISERROR(SEARCH("Pesquisa de Preços",E7200)))</formula>
    </cfRule>
  </conditionalFormatting>
  <conditionalFormatting sqref="E7203">
    <cfRule type="containsText" dxfId="58" priority="43" operator="containsText" text="Pesquisa de Preços">
      <formula>NOT(ISERROR(SEARCH("Pesquisa de Preços",E7203)))</formula>
    </cfRule>
  </conditionalFormatting>
  <conditionalFormatting sqref="D7200">
    <cfRule type="containsText" dxfId="57" priority="48" operator="containsText" text="Pesquisa de Preços">
      <formula>NOT(ISERROR(SEARCH("Pesquisa de Preços",D7200)))</formula>
    </cfRule>
  </conditionalFormatting>
  <conditionalFormatting sqref="D7203">
    <cfRule type="containsText" dxfId="56" priority="46" operator="containsText" text="Pesquisa de Preços">
      <formula>NOT(ISERROR(SEARCH("Pesquisa de Preços",D7203)))</formula>
    </cfRule>
  </conditionalFormatting>
  <conditionalFormatting sqref="D7201:D7202 D7204:D7205">
    <cfRule type="containsText" dxfId="55" priority="47" operator="containsText" text="Pesquisa de Preços">
      <formula>NOT(ISERROR(SEARCH("Pesquisa de Preços",D7201)))</formula>
    </cfRule>
  </conditionalFormatting>
  <conditionalFormatting sqref="E7201:E7202 E7204:E7205">
    <cfRule type="containsText" dxfId="54" priority="45" operator="containsText" text="Pesquisa de Preços">
      <formula>NOT(ISERROR(SEARCH("Pesquisa de Preços",E7201)))</formula>
    </cfRule>
  </conditionalFormatting>
  <conditionalFormatting sqref="E7216">
    <cfRule type="containsText" dxfId="53" priority="32" operator="containsText" text="Pesquisa de Preços">
      <formula>NOT(ISERROR(SEARCH("Pesquisa de Preços",E7216)))</formula>
    </cfRule>
  </conditionalFormatting>
  <conditionalFormatting sqref="E7217">
    <cfRule type="containsText" dxfId="52" priority="31" operator="containsText" text="Pesquisa de Preços">
      <formula>NOT(ISERROR(SEARCH("Pesquisa de Preços",E7217)))</formula>
    </cfRule>
  </conditionalFormatting>
  <conditionalFormatting sqref="D6418:D6419">
    <cfRule type="containsText" dxfId="51" priority="25" operator="containsText" text="Pesquisa de Preços">
      <formula>NOT(ISERROR(SEARCH("Pesquisa de Preços",D6418)))</formula>
    </cfRule>
  </conditionalFormatting>
  <conditionalFormatting sqref="D6421">
    <cfRule type="containsText" dxfId="50" priority="27" operator="containsText" text="Pesquisa de Preços">
      <formula>NOT(ISERROR(SEARCH("Pesquisa de Preços",D6421)))</formula>
    </cfRule>
  </conditionalFormatting>
  <conditionalFormatting sqref="D6417">
    <cfRule type="containsText" dxfId="49" priority="26" operator="containsText" text="Pesquisa de Preços">
      <formula>NOT(ISERROR(SEARCH("Pesquisa de Preços",D6417)))</formula>
    </cfRule>
  </conditionalFormatting>
  <conditionalFormatting sqref="E6417">
    <cfRule type="containsText" dxfId="48" priority="23" operator="containsText" text="Pesquisa de Preços">
      <formula>NOT(ISERROR(SEARCH("Pesquisa de Preços",E6417)))</formula>
    </cfRule>
  </conditionalFormatting>
  <conditionalFormatting sqref="E6418 E6421">
    <cfRule type="containsText" dxfId="47" priority="24" operator="containsText" text="Pesquisa de Preços">
      <formula>NOT(ISERROR(SEARCH("Pesquisa de Preços",E6418)))</formula>
    </cfRule>
  </conditionalFormatting>
  <conditionalFormatting sqref="D6423">
    <cfRule type="containsText" dxfId="46" priority="12" operator="containsText" text="Pesquisa de Preços">
      <formula>NOT(ISERROR(SEARCH("Pesquisa de Preços",D6423)))</formula>
    </cfRule>
  </conditionalFormatting>
  <conditionalFormatting sqref="D6428">
    <cfRule type="containsText" dxfId="45" priority="14" operator="containsText" text="Pesquisa de Preços">
      <formula>NOT(ISERROR(SEARCH("Pesquisa de Preços",D6428)))</formula>
    </cfRule>
  </conditionalFormatting>
  <conditionalFormatting sqref="D6422">
    <cfRule type="containsText" dxfId="44" priority="13" operator="containsText" text="Pesquisa de Preços">
      <formula>NOT(ISERROR(SEARCH("Pesquisa de Preços",D6422)))</formula>
    </cfRule>
  </conditionalFormatting>
  <conditionalFormatting sqref="E6422">
    <cfRule type="containsText" dxfId="43" priority="10" operator="containsText" text="Pesquisa de Preços">
      <formula>NOT(ISERROR(SEARCH("Pesquisa de Preços",E6422)))</formula>
    </cfRule>
  </conditionalFormatting>
  <conditionalFormatting sqref="E6423 E6428">
    <cfRule type="containsText" dxfId="42" priority="11" operator="containsText" text="Pesquisa de Preços">
      <formula>NOT(ISERROR(SEARCH("Pesquisa de Preços",E6423)))</formula>
    </cfRule>
  </conditionalFormatting>
  <hyperlinks>
    <hyperlink ref="C462" r:id="rId1"/>
    <hyperlink ref="C496" r:id="rId2"/>
    <hyperlink ref="C495" r:id="rId3"/>
    <hyperlink ref="C481" r:id="rId4"/>
    <hyperlink ref="C4649" r:id="rId5"/>
    <hyperlink ref="C4716" r:id="rId6"/>
    <hyperlink ref="C4695" r:id="rId7"/>
    <hyperlink ref="C3184" r:id="rId8"/>
    <hyperlink ref="C480" r:id="rId9"/>
  </hyperlinks>
  <printOptions horizontalCentered="1"/>
  <pageMargins left="0.19685039370078741" right="0.19685039370078741" top="0.98425196850393704" bottom="0.59055118110236227" header="0.19685039370078741" footer="0.19685039370078741"/>
  <pageSetup paperSize="9" scale="65"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2172" max="10" man="1"/>
    <brk id="6426" max="10"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656"/>
  <sheetViews>
    <sheetView view="pageBreakPreview" zoomScale="60" zoomScaleNormal="80" workbookViewId="0">
      <pane ySplit="5" topLeftCell="A6" activePane="bottomLeft" state="frozen"/>
      <selection pane="bottomLeft" activeCell="P11" sqref="P11"/>
    </sheetView>
  </sheetViews>
  <sheetFormatPr defaultRowHeight="15" x14ac:dyDescent="0.25"/>
  <cols>
    <col min="1" max="1" width="46.85546875" style="165" customWidth="1"/>
    <col min="2" max="2" width="65.7109375" style="5"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254" t="s">
        <v>7768</v>
      </c>
      <c r="B1" s="254"/>
      <c r="C1" s="254"/>
      <c r="D1" s="254"/>
      <c r="E1" s="254"/>
      <c r="F1" s="254"/>
      <c r="G1" s="254"/>
      <c r="H1" s="77"/>
      <c r="I1" s="78"/>
    </row>
    <row r="2" spans="1:9" ht="24.95" customHeight="1" x14ac:dyDescent="0.25">
      <c r="A2" s="255" t="s">
        <v>1419</v>
      </c>
      <c r="B2" s="255"/>
      <c r="C2" s="255"/>
      <c r="D2" s="255"/>
      <c r="E2" s="255"/>
      <c r="F2" s="255"/>
      <c r="G2" s="255"/>
      <c r="H2" s="13"/>
      <c r="I2" s="78"/>
    </row>
    <row r="3" spans="1:9" ht="20.100000000000001" customHeight="1" x14ac:dyDescent="0.25">
      <c r="A3" s="256" t="s">
        <v>7772</v>
      </c>
      <c r="B3" s="256"/>
      <c r="C3" s="256"/>
      <c r="D3" s="256"/>
      <c r="E3" s="256"/>
      <c r="F3" s="256"/>
      <c r="G3" s="256"/>
      <c r="H3" s="14"/>
      <c r="I3" s="79"/>
    </row>
    <row r="4" spans="1:9" s="169" customFormat="1" ht="15.75" thickBot="1" x14ac:dyDescent="0.3">
      <c r="A4" s="170"/>
      <c r="B4" s="171"/>
      <c r="C4" s="171"/>
      <c r="D4" s="171"/>
      <c r="E4" s="171"/>
      <c r="F4" s="171"/>
      <c r="G4" s="171"/>
      <c r="H4" s="173"/>
      <c r="I4" s="174"/>
    </row>
    <row r="5" spans="1:9" ht="30.75" thickBot="1" x14ac:dyDescent="0.3">
      <c r="A5" s="16" t="s">
        <v>2</v>
      </c>
      <c r="B5" s="17" t="s">
        <v>3</v>
      </c>
      <c r="C5" s="17" t="s">
        <v>4</v>
      </c>
      <c r="D5" s="17" t="s">
        <v>5</v>
      </c>
      <c r="E5" s="17" t="s">
        <v>6</v>
      </c>
      <c r="F5" s="17" t="s">
        <v>7</v>
      </c>
      <c r="G5" s="17" t="s">
        <v>1420</v>
      </c>
      <c r="H5" s="20"/>
      <c r="I5" s="80" t="s">
        <v>9</v>
      </c>
    </row>
    <row r="6" spans="1:9" ht="26.25" customHeight="1" thickBot="1" x14ac:dyDescent="0.3">
      <c r="A6" s="252" t="s">
        <v>108</v>
      </c>
      <c r="B6" s="152" t="s">
        <v>523</v>
      </c>
      <c r="C6" s="81" t="s">
        <v>120</v>
      </c>
      <c r="D6" s="82"/>
      <c r="E6" s="67" t="s">
        <v>523</v>
      </c>
      <c r="F6" s="67" t="str">
        <f t="shared" ref="F6:F69" si="0">IF(ISNUMBER(E6),E6*$D6,"")</f>
        <v/>
      </c>
      <c r="G6" s="68"/>
      <c r="H6" s="26"/>
      <c r="I6" s="142">
        <v>0.13469999999999999</v>
      </c>
    </row>
    <row r="7" spans="1:9" x14ac:dyDescent="0.25">
      <c r="A7" s="247"/>
      <c r="B7" s="28" t="s">
        <v>523</v>
      </c>
      <c r="C7" s="28"/>
      <c r="D7" s="83"/>
      <c r="E7" s="27" t="s">
        <v>523</v>
      </c>
      <c r="F7" s="27" t="str">
        <f t="shared" si="0"/>
        <v/>
      </c>
      <c r="G7" s="31"/>
      <c r="H7" s="27"/>
      <c r="I7" s="142">
        <v>0.13469999999999999</v>
      </c>
    </row>
    <row r="8" spans="1:9" ht="25.5" x14ac:dyDescent="0.25">
      <c r="A8" s="247"/>
      <c r="B8" s="32" t="s">
        <v>754</v>
      </c>
      <c r="C8" s="32" t="s">
        <v>120</v>
      </c>
      <c r="D8" s="33">
        <v>1.07</v>
      </c>
      <c r="E8" s="27">
        <v>160.53099999999998</v>
      </c>
      <c r="F8" s="30">
        <f t="shared" si="0"/>
        <v>171.76817</v>
      </c>
      <c r="G8" s="41">
        <f>SUM(F8:F12)</f>
        <v>706.05601614499994</v>
      </c>
      <c r="H8" s="42"/>
      <c r="I8" s="142">
        <v>0.13469999999999999</v>
      </c>
    </row>
    <row r="9" spans="1:9" x14ac:dyDescent="0.25">
      <c r="A9" s="247"/>
      <c r="B9" s="32" t="s">
        <v>750</v>
      </c>
      <c r="C9" s="32" t="s">
        <v>901</v>
      </c>
      <c r="D9" s="33">
        <v>482.96</v>
      </c>
      <c r="E9" s="30">
        <v>0.64600000000000002</v>
      </c>
      <c r="F9" s="30">
        <f t="shared" si="0"/>
        <v>311.99216000000001</v>
      </c>
      <c r="G9" s="41"/>
      <c r="H9" s="42"/>
      <c r="I9" s="142">
        <v>0.13469999999999999</v>
      </c>
    </row>
    <row r="10" spans="1:9" x14ac:dyDescent="0.25">
      <c r="A10" s="247"/>
      <c r="B10" s="32" t="s">
        <v>1421</v>
      </c>
      <c r="C10" s="32" t="s">
        <v>705</v>
      </c>
      <c r="D10" s="33">
        <v>8.57</v>
      </c>
      <c r="E10" s="27">
        <v>18.420500000000001</v>
      </c>
      <c r="F10" s="30">
        <f t="shared" si="0"/>
        <v>157.863685</v>
      </c>
      <c r="G10" s="41"/>
      <c r="H10" s="42"/>
      <c r="I10" s="142">
        <v>0.13469999999999999</v>
      </c>
    </row>
    <row r="11" spans="1:9" ht="51" x14ac:dyDescent="0.25">
      <c r="A11" s="247"/>
      <c r="B11" s="32" t="s">
        <v>3532</v>
      </c>
      <c r="C11" s="32" t="s">
        <v>120</v>
      </c>
      <c r="D11" s="33">
        <f>ROUND(1*D8,4)</f>
        <v>1.07</v>
      </c>
      <c r="E11" s="27">
        <v>7.8726404999999993</v>
      </c>
      <c r="F11" s="30">
        <f t="shared" si="0"/>
        <v>8.4237253350000003</v>
      </c>
      <c r="G11" s="41"/>
      <c r="H11" s="42"/>
      <c r="I11" s="142">
        <v>0.13469999999999999</v>
      </c>
    </row>
    <row r="12" spans="1:9" ht="38.25" x14ac:dyDescent="0.25">
      <c r="A12" s="247"/>
      <c r="B12" s="32" t="s">
        <v>3529</v>
      </c>
      <c r="C12" s="43" t="s">
        <v>122</v>
      </c>
      <c r="D12" s="33">
        <f>ROUND(D8*20,4)</f>
        <v>21.4</v>
      </c>
      <c r="E12" s="27">
        <v>2.6172091499999994</v>
      </c>
      <c r="F12" s="30">
        <f t="shared" si="0"/>
        <v>56.008275809999986</v>
      </c>
      <c r="G12" s="41"/>
      <c r="H12" s="42"/>
      <c r="I12" s="142">
        <v>0.13469999999999999</v>
      </c>
    </row>
    <row r="13" spans="1:9" x14ac:dyDescent="0.25">
      <c r="A13" s="247"/>
      <c r="B13" s="47"/>
      <c r="C13" s="43"/>
      <c r="D13" s="33"/>
      <c r="E13" s="27" t="s">
        <v>523</v>
      </c>
      <c r="F13" s="30" t="str">
        <f t="shared" si="0"/>
        <v/>
      </c>
      <c r="G13" s="41"/>
      <c r="H13" s="42"/>
      <c r="I13" s="142">
        <v>0.13469999999999999</v>
      </c>
    </row>
    <row r="14" spans="1:9" x14ac:dyDescent="0.25">
      <c r="A14" s="247"/>
      <c r="B14" s="44" t="s">
        <v>757</v>
      </c>
      <c r="C14" s="43"/>
      <c r="D14" s="33"/>
      <c r="E14" s="27" t="s">
        <v>523</v>
      </c>
      <c r="F14" s="30" t="str">
        <f t="shared" si="0"/>
        <v/>
      </c>
      <c r="G14" s="41"/>
      <c r="H14" s="42"/>
      <c r="I14" s="142">
        <v>0.13469999999999999</v>
      </c>
    </row>
    <row r="15" spans="1:9" ht="15.75" thickBot="1" x14ac:dyDescent="0.3">
      <c r="A15" s="253"/>
      <c r="B15" s="32" t="s">
        <v>523</v>
      </c>
      <c r="C15" s="32"/>
      <c r="D15" s="84"/>
      <c r="E15" s="27" t="s">
        <v>523</v>
      </c>
      <c r="F15" s="30" t="str">
        <f t="shared" si="0"/>
        <v/>
      </c>
      <c r="G15" s="31"/>
      <c r="H15" s="27"/>
      <c r="I15" s="142">
        <v>0.13469999999999999</v>
      </c>
    </row>
    <row r="16" spans="1:9" ht="15.75" hidden="1" customHeight="1" x14ac:dyDescent="0.25">
      <c r="A16" s="252" t="s">
        <v>3229</v>
      </c>
      <c r="B16" s="37" t="s">
        <v>523</v>
      </c>
      <c r="C16" s="22" t="s">
        <v>280</v>
      </c>
      <c r="D16" s="85"/>
      <c r="E16" s="38" t="s">
        <v>523</v>
      </c>
      <c r="F16" s="38" t="str">
        <f t="shared" si="0"/>
        <v/>
      </c>
      <c r="G16" s="25"/>
      <c r="H16" s="26"/>
      <c r="I16" s="142">
        <v>0</v>
      </c>
    </row>
    <row r="17" spans="1:9" ht="15.75" hidden="1" thickBot="1" x14ac:dyDescent="0.3">
      <c r="A17" s="247"/>
      <c r="B17" s="28" t="s">
        <v>523</v>
      </c>
      <c r="C17" s="28"/>
      <c r="D17" s="83"/>
      <c r="E17" s="39" t="s">
        <v>523</v>
      </c>
      <c r="F17" s="27" t="str">
        <f t="shared" si="0"/>
        <v/>
      </c>
      <c r="G17" s="31"/>
      <c r="H17" s="27"/>
      <c r="I17" s="142">
        <v>0</v>
      </c>
    </row>
    <row r="18" spans="1:9" ht="26.25" hidden="1" thickBot="1" x14ac:dyDescent="0.3">
      <c r="A18" s="247"/>
      <c r="B18" s="32" t="s">
        <v>107</v>
      </c>
      <c r="C18" s="32" t="s">
        <v>705</v>
      </c>
      <c r="D18" s="33">
        <v>2.2700000000000001E-2</v>
      </c>
      <c r="E18" s="27">
        <v>19.094999999999999</v>
      </c>
      <c r="F18" s="30">
        <f t="shared" si="0"/>
        <v>0.43345650000000002</v>
      </c>
      <c r="G18" s="41">
        <f>SUM(F18:F19)</f>
        <v>4.3726485999999998</v>
      </c>
      <c r="H18" s="42"/>
      <c r="I18" s="142">
        <v>0</v>
      </c>
    </row>
    <row r="19" spans="1:9" ht="15.75" hidden="1" thickBot="1" x14ac:dyDescent="0.3">
      <c r="A19" s="247"/>
      <c r="B19" s="32" t="s">
        <v>1422</v>
      </c>
      <c r="C19" s="32" t="s">
        <v>705</v>
      </c>
      <c r="D19" s="33">
        <v>0.16209999999999999</v>
      </c>
      <c r="E19" s="27">
        <v>24.300999999999998</v>
      </c>
      <c r="F19" s="30">
        <f t="shared" si="0"/>
        <v>3.9391920999999996</v>
      </c>
      <c r="G19" s="41"/>
      <c r="H19" s="42"/>
      <c r="I19" s="142">
        <v>0</v>
      </c>
    </row>
    <row r="20" spans="1:9" ht="15.75" hidden="1" thickBot="1" x14ac:dyDescent="0.3">
      <c r="A20" s="253"/>
      <c r="B20" s="32" t="s">
        <v>523</v>
      </c>
      <c r="C20" s="32"/>
      <c r="D20" s="84"/>
      <c r="E20" s="27" t="s">
        <v>523</v>
      </c>
      <c r="F20" s="27" t="str">
        <f t="shared" si="0"/>
        <v/>
      </c>
      <c r="G20" s="31"/>
      <c r="H20" s="27"/>
      <c r="I20" s="142">
        <v>0</v>
      </c>
    </row>
    <row r="21" spans="1:9" ht="15.75" hidden="1" customHeight="1" thickBot="1" x14ac:dyDescent="0.3">
      <c r="A21" s="252" t="s">
        <v>3226</v>
      </c>
      <c r="B21" s="37" t="s">
        <v>523</v>
      </c>
      <c r="C21" s="22" t="s">
        <v>480</v>
      </c>
      <c r="D21" s="85"/>
      <c r="E21" s="38" t="s">
        <v>523</v>
      </c>
      <c r="F21" s="38" t="str">
        <f t="shared" si="0"/>
        <v/>
      </c>
      <c r="G21" s="25"/>
      <c r="H21" s="26"/>
      <c r="I21" s="142">
        <v>0</v>
      </c>
    </row>
    <row r="22" spans="1:9" ht="15.75" hidden="1" thickBot="1" x14ac:dyDescent="0.3">
      <c r="A22" s="247"/>
      <c r="B22" s="28" t="s">
        <v>523</v>
      </c>
      <c r="C22" s="28"/>
      <c r="D22" s="83"/>
      <c r="E22" s="39" t="s">
        <v>523</v>
      </c>
      <c r="F22" s="27" t="str">
        <f t="shared" si="0"/>
        <v/>
      </c>
      <c r="G22" s="31"/>
      <c r="H22" s="27"/>
      <c r="I22" s="142">
        <v>0</v>
      </c>
    </row>
    <row r="23" spans="1:9" ht="26.25" hidden="1" thickBot="1" x14ac:dyDescent="0.3">
      <c r="A23" s="247"/>
      <c r="B23" s="32" t="s">
        <v>6657</v>
      </c>
      <c r="C23" s="32" t="s">
        <v>280</v>
      </c>
      <c r="D23" s="33">
        <v>0.65</v>
      </c>
      <c r="E23" s="30">
        <v>1.5105</v>
      </c>
      <c r="F23" s="30">
        <f t="shared" si="0"/>
        <v>0.98182500000000006</v>
      </c>
      <c r="G23" s="41">
        <f>SUM(F23:F25)</f>
        <v>2.8495439999999999</v>
      </c>
      <c r="H23" s="42"/>
      <c r="I23" s="142">
        <v>0</v>
      </c>
    </row>
    <row r="24" spans="1:9" ht="26.25" hidden="1" thickBot="1" x14ac:dyDescent="0.3">
      <c r="A24" s="247"/>
      <c r="B24" s="32" t="s">
        <v>107</v>
      </c>
      <c r="C24" s="32" t="s">
        <v>705</v>
      </c>
      <c r="D24" s="33">
        <v>0.01</v>
      </c>
      <c r="E24" s="27">
        <v>19.094999999999999</v>
      </c>
      <c r="F24" s="30">
        <f t="shared" si="0"/>
        <v>0.19094999999999998</v>
      </c>
      <c r="G24" s="41"/>
      <c r="H24" s="42"/>
      <c r="I24" s="142">
        <v>0</v>
      </c>
    </row>
    <row r="25" spans="1:9" ht="15.75" hidden="1" thickBot="1" x14ac:dyDescent="0.3">
      <c r="A25" s="247"/>
      <c r="B25" s="32" t="s">
        <v>1422</v>
      </c>
      <c r="C25" s="32" t="s">
        <v>705</v>
      </c>
      <c r="D25" s="33">
        <v>6.9000000000000006E-2</v>
      </c>
      <c r="E25" s="27">
        <v>24.300999999999998</v>
      </c>
      <c r="F25" s="30">
        <f t="shared" si="0"/>
        <v>1.676769</v>
      </c>
      <c r="G25" s="41"/>
      <c r="H25" s="42"/>
      <c r="I25" s="142">
        <v>0</v>
      </c>
    </row>
    <row r="26" spans="1:9" ht="15.75" hidden="1" thickBot="1" x14ac:dyDescent="0.3">
      <c r="A26" s="253"/>
      <c r="B26" s="32" t="s">
        <v>523</v>
      </c>
      <c r="C26" s="32"/>
      <c r="D26" s="84"/>
      <c r="E26" s="27" t="s">
        <v>523</v>
      </c>
      <c r="F26" s="27" t="str">
        <f t="shared" si="0"/>
        <v/>
      </c>
      <c r="G26" s="31"/>
      <c r="H26" s="27"/>
      <c r="I26" s="142">
        <v>0</v>
      </c>
    </row>
    <row r="27" spans="1:9" ht="15.75" hidden="1" customHeight="1" thickBot="1" x14ac:dyDescent="0.3">
      <c r="A27" s="252" t="s">
        <v>3692</v>
      </c>
      <c r="B27" s="37" t="s">
        <v>523</v>
      </c>
      <c r="C27" s="22" t="s">
        <v>995</v>
      </c>
      <c r="D27" s="85"/>
      <c r="E27" s="38" t="s">
        <v>523</v>
      </c>
      <c r="F27" s="38" t="str">
        <f t="shared" si="0"/>
        <v/>
      </c>
      <c r="G27" s="25"/>
      <c r="H27" s="26"/>
      <c r="I27" s="142">
        <v>0</v>
      </c>
    </row>
    <row r="28" spans="1:9" ht="15.75" hidden="1" thickBot="1" x14ac:dyDescent="0.3">
      <c r="A28" s="247"/>
      <c r="B28" s="28" t="s">
        <v>523</v>
      </c>
      <c r="C28" s="28"/>
      <c r="D28" s="83"/>
      <c r="E28" s="39" t="s">
        <v>523</v>
      </c>
      <c r="F28" s="27" t="str">
        <f t="shared" si="0"/>
        <v/>
      </c>
      <c r="G28" s="31"/>
      <c r="H28" s="27"/>
      <c r="I28" s="142">
        <v>0</v>
      </c>
    </row>
    <row r="29" spans="1:9" ht="39" hidden="1" thickBot="1" x14ac:dyDescent="0.3">
      <c r="A29" s="247"/>
      <c r="B29" s="32" t="s">
        <v>6799</v>
      </c>
      <c r="C29" s="32" t="s">
        <v>995</v>
      </c>
      <c r="D29" s="33">
        <v>1.1459999999999999</v>
      </c>
      <c r="E29" s="30">
        <v>52.953000000000003</v>
      </c>
      <c r="F29" s="30">
        <f t="shared" si="0"/>
        <v>60.684137999999997</v>
      </c>
      <c r="G29" s="41">
        <f>SUM(F29:F36)</f>
        <v>119.32408499999998</v>
      </c>
      <c r="H29" s="42"/>
      <c r="I29" s="142">
        <v>0</v>
      </c>
    </row>
    <row r="30" spans="1:9" ht="26.25" hidden="1" thickBot="1" x14ac:dyDescent="0.3">
      <c r="A30" s="247"/>
      <c r="B30" s="32" t="s">
        <v>3709</v>
      </c>
      <c r="C30" s="32" t="s">
        <v>480</v>
      </c>
      <c r="D30" s="33">
        <v>0.16600000000000001</v>
      </c>
      <c r="E30" s="30">
        <v>8.5879999999999992</v>
      </c>
      <c r="F30" s="30">
        <f t="shared" si="0"/>
        <v>1.425608</v>
      </c>
      <c r="G30" s="41"/>
      <c r="H30" s="42"/>
      <c r="I30" s="142">
        <v>0</v>
      </c>
    </row>
    <row r="31" spans="1:9" ht="26.25" hidden="1" thickBot="1" x14ac:dyDescent="0.3">
      <c r="A31" s="247"/>
      <c r="B31" s="32" t="s">
        <v>3711</v>
      </c>
      <c r="C31" s="32" t="s">
        <v>480</v>
      </c>
      <c r="D31" s="33">
        <v>6.952</v>
      </c>
      <c r="E31" s="30">
        <v>3.0019999999999998</v>
      </c>
      <c r="F31" s="30">
        <f t="shared" si="0"/>
        <v>20.869903999999998</v>
      </c>
      <c r="G31" s="41"/>
      <c r="H31" s="42"/>
      <c r="I31" s="142">
        <v>0</v>
      </c>
    </row>
    <row r="32" spans="1:9" ht="15.75" hidden="1" thickBot="1" x14ac:dyDescent="0.3">
      <c r="A32" s="247"/>
      <c r="B32" s="32" t="s">
        <v>1423</v>
      </c>
      <c r="C32" s="32" t="s">
        <v>901</v>
      </c>
      <c r="D32" s="33">
        <v>0.159</v>
      </c>
      <c r="E32" s="30">
        <v>22.077999999999996</v>
      </c>
      <c r="F32" s="30">
        <f t="shared" si="0"/>
        <v>3.5104019999999996</v>
      </c>
      <c r="G32" s="41"/>
      <c r="H32" s="42"/>
      <c r="I32" s="142">
        <v>0</v>
      </c>
    </row>
    <row r="33" spans="1:9" ht="15.75" hidden="1" thickBot="1" x14ac:dyDescent="0.3">
      <c r="A33" s="247"/>
      <c r="B33" s="32" t="s">
        <v>128</v>
      </c>
      <c r="C33" s="32" t="s">
        <v>705</v>
      </c>
      <c r="D33" s="33">
        <v>0.20200000000000001</v>
      </c>
      <c r="E33" s="27">
        <v>19.494</v>
      </c>
      <c r="F33" s="30">
        <f t="shared" si="0"/>
        <v>3.9377880000000003</v>
      </c>
      <c r="G33" s="41"/>
      <c r="H33" s="42"/>
      <c r="I33" s="142">
        <v>0</v>
      </c>
    </row>
    <row r="34" spans="1:9" ht="15.75" hidden="1" thickBot="1" x14ac:dyDescent="0.3">
      <c r="A34" s="247"/>
      <c r="B34" s="32" t="s">
        <v>78</v>
      </c>
      <c r="C34" s="32" t="s">
        <v>705</v>
      </c>
      <c r="D34" s="33">
        <v>1.012</v>
      </c>
      <c r="E34" s="27">
        <v>24.633499999999998</v>
      </c>
      <c r="F34" s="30">
        <f t="shared" si="0"/>
        <v>24.929101999999997</v>
      </c>
      <c r="G34" s="41"/>
      <c r="H34" s="42"/>
      <c r="I34" s="142">
        <v>0</v>
      </c>
    </row>
    <row r="35" spans="1:9" ht="26.25" hidden="1" thickBot="1" x14ac:dyDescent="0.3">
      <c r="A35" s="247"/>
      <c r="B35" s="32" t="s">
        <v>1424</v>
      </c>
      <c r="C35" s="32" t="s">
        <v>945</v>
      </c>
      <c r="D35" s="33">
        <v>0.05</v>
      </c>
      <c r="E35" s="27">
        <v>20.225499999999997</v>
      </c>
      <c r="F35" s="27">
        <f t="shared" si="0"/>
        <v>1.0112749999999999</v>
      </c>
      <c r="G35" s="41"/>
      <c r="H35" s="42"/>
      <c r="I35" s="142">
        <v>0</v>
      </c>
    </row>
    <row r="36" spans="1:9" ht="26.25" hidden="1" thickBot="1" x14ac:dyDescent="0.3">
      <c r="A36" s="247"/>
      <c r="B36" s="32" t="s">
        <v>1425</v>
      </c>
      <c r="C36" s="32" t="s">
        <v>947</v>
      </c>
      <c r="D36" s="33">
        <v>0.152</v>
      </c>
      <c r="E36" s="27">
        <v>19.446499999999997</v>
      </c>
      <c r="F36" s="27">
        <f t="shared" si="0"/>
        <v>2.9558679999999993</v>
      </c>
      <c r="G36" s="41"/>
      <c r="H36" s="42"/>
      <c r="I36" s="142">
        <v>0</v>
      </c>
    </row>
    <row r="37" spans="1:9" ht="15.75" hidden="1" thickBot="1" x14ac:dyDescent="0.3">
      <c r="A37" s="253"/>
      <c r="B37" s="32" t="s">
        <v>523</v>
      </c>
      <c r="C37" s="32"/>
      <c r="D37" s="84"/>
      <c r="E37" s="27" t="s">
        <v>523</v>
      </c>
      <c r="F37" s="27" t="str">
        <f t="shared" si="0"/>
        <v/>
      </c>
      <c r="G37" s="31"/>
      <c r="H37" s="27"/>
      <c r="I37" s="142">
        <v>0</v>
      </c>
    </row>
    <row r="38" spans="1:9" ht="15.75" hidden="1" customHeight="1" thickBot="1" x14ac:dyDescent="0.3">
      <c r="A38" s="252" t="s">
        <v>3694</v>
      </c>
      <c r="B38" s="37" t="s">
        <v>523</v>
      </c>
      <c r="C38" s="22" t="s">
        <v>480</v>
      </c>
      <c r="D38" s="85"/>
      <c r="E38" s="38" t="s">
        <v>523</v>
      </c>
      <c r="F38" s="38" t="str">
        <f t="shared" si="0"/>
        <v/>
      </c>
      <c r="G38" s="25"/>
      <c r="H38" s="26"/>
      <c r="I38" s="142">
        <v>0</v>
      </c>
    </row>
    <row r="39" spans="1:9" ht="15.75" hidden="1" thickBot="1" x14ac:dyDescent="0.3">
      <c r="A39" s="247"/>
      <c r="B39" s="28" t="s">
        <v>523</v>
      </c>
      <c r="C39" s="28"/>
      <c r="D39" s="83"/>
      <c r="E39" s="39" t="s">
        <v>523</v>
      </c>
      <c r="F39" s="27" t="str">
        <f t="shared" si="0"/>
        <v/>
      </c>
      <c r="G39" s="31"/>
      <c r="H39" s="27"/>
      <c r="I39" s="142">
        <v>0</v>
      </c>
    </row>
    <row r="40" spans="1:9" ht="39" hidden="1" thickBot="1" x14ac:dyDescent="0.3">
      <c r="A40" s="247"/>
      <c r="B40" s="32" t="s">
        <v>6798</v>
      </c>
      <c r="C40" s="32" t="s">
        <v>995</v>
      </c>
      <c r="D40" s="33">
        <v>0.13600000000000001</v>
      </c>
      <c r="E40" s="27">
        <v>89.68</v>
      </c>
      <c r="F40" s="27">
        <f t="shared" si="0"/>
        <v>12.196480000000001</v>
      </c>
      <c r="G40" s="41">
        <f>SUM(F40:F46)</f>
        <v>37.803739499999992</v>
      </c>
      <c r="H40" s="42"/>
      <c r="I40" s="142">
        <v>0</v>
      </c>
    </row>
    <row r="41" spans="1:9" ht="26.25" hidden="1" thickBot="1" x14ac:dyDescent="0.3">
      <c r="A41" s="247"/>
      <c r="B41" s="32" t="s">
        <v>3709</v>
      </c>
      <c r="C41" s="32" t="s">
        <v>480</v>
      </c>
      <c r="D41" s="33">
        <v>2.3420000000000001</v>
      </c>
      <c r="E41" s="27">
        <v>8.5879999999999992</v>
      </c>
      <c r="F41" s="27">
        <f t="shared" si="0"/>
        <v>20.113095999999999</v>
      </c>
      <c r="G41" s="41"/>
      <c r="H41" s="42"/>
      <c r="I41" s="142">
        <v>0</v>
      </c>
    </row>
    <row r="42" spans="1:9" ht="15.75" hidden="1" thickBot="1" x14ac:dyDescent="0.3">
      <c r="A42" s="247"/>
      <c r="B42" s="32" t="s">
        <v>1371</v>
      </c>
      <c r="C42" s="32" t="s">
        <v>901</v>
      </c>
      <c r="D42" s="33">
        <v>1.2E-2</v>
      </c>
      <c r="E42" s="27">
        <v>22.077999999999996</v>
      </c>
      <c r="F42" s="27">
        <f t="shared" si="0"/>
        <v>0.26493599999999995</v>
      </c>
      <c r="G42" s="41"/>
      <c r="H42" s="42"/>
      <c r="I42" s="142">
        <v>0</v>
      </c>
    </row>
    <row r="43" spans="1:9" ht="15.75" hidden="1" thickBot="1" x14ac:dyDescent="0.3">
      <c r="A43" s="247"/>
      <c r="B43" s="32" t="s">
        <v>788</v>
      </c>
      <c r="C43" s="32" t="s">
        <v>705</v>
      </c>
      <c r="D43" s="33">
        <v>3.2000000000000001E-2</v>
      </c>
      <c r="E43" s="27">
        <v>19.494</v>
      </c>
      <c r="F43" s="27">
        <f t="shared" si="0"/>
        <v>0.62380800000000003</v>
      </c>
      <c r="G43" s="41"/>
      <c r="H43" s="42"/>
      <c r="I43" s="142">
        <v>0</v>
      </c>
    </row>
    <row r="44" spans="1:9" ht="15.75" hidden="1" thickBot="1" x14ac:dyDescent="0.3">
      <c r="A44" s="247"/>
      <c r="B44" s="32" t="s">
        <v>996</v>
      </c>
      <c r="C44" s="32" t="s">
        <v>705</v>
      </c>
      <c r="D44" s="33">
        <v>0.161</v>
      </c>
      <c r="E44" s="27">
        <v>24.633499999999998</v>
      </c>
      <c r="F44" s="27">
        <f t="shared" si="0"/>
        <v>3.9659934999999997</v>
      </c>
      <c r="G44" s="41"/>
      <c r="H44" s="42"/>
      <c r="I44" s="142">
        <v>0</v>
      </c>
    </row>
    <row r="45" spans="1:9" ht="26.25" hidden="1" thickBot="1" x14ac:dyDescent="0.3">
      <c r="A45" s="247"/>
      <c r="B45" s="32" t="s">
        <v>1159</v>
      </c>
      <c r="C45" s="32" t="s">
        <v>945</v>
      </c>
      <c r="D45" s="33">
        <v>2.1999999999999999E-2</v>
      </c>
      <c r="E45" s="27">
        <v>20.225499999999997</v>
      </c>
      <c r="F45" s="27">
        <f t="shared" si="0"/>
        <v>0.44496099999999988</v>
      </c>
      <c r="G45" s="41"/>
      <c r="H45" s="42"/>
      <c r="I45" s="142">
        <v>0</v>
      </c>
    </row>
    <row r="46" spans="1:9" ht="26.25" hidden="1" thickBot="1" x14ac:dyDescent="0.3">
      <c r="A46" s="247"/>
      <c r="B46" s="32" t="s">
        <v>1160</v>
      </c>
      <c r="C46" s="32" t="s">
        <v>947</v>
      </c>
      <c r="D46" s="33">
        <v>0.01</v>
      </c>
      <c r="E46" s="27">
        <v>19.446499999999997</v>
      </c>
      <c r="F46" s="30">
        <f t="shared" si="0"/>
        <v>0.19446499999999997</v>
      </c>
      <c r="G46" s="41"/>
      <c r="H46" s="42"/>
      <c r="I46" s="142">
        <v>0</v>
      </c>
    </row>
    <row r="47" spans="1:9" ht="15.75" hidden="1" thickBot="1" x14ac:dyDescent="0.3">
      <c r="A47" s="253"/>
      <c r="B47" s="32" t="s">
        <v>523</v>
      </c>
      <c r="C47" s="32"/>
      <c r="D47" s="84"/>
      <c r="E47" s="27" t="s">
        <v>523</v>
      </c>
      <c r="F47" s="27" t="str">
        <f t="shared" si="0"/>
        <v/>
      </c>
      <c r="G47" s="31"/>
      <c r="H47" s="27"/>
      <c r="I47" s="142">
        <v>0</v>
      </c>
    </row>
    <row r="48" spans="1:9" ht="26.25" customHeight="1" thickBot="1" x14ac:dyDescent="0.3">
      <c r="A48" s="252" t="s">
        <v>154</v>
      </c>
      <c r="B48" s="37" t="s">
        <v>523</v>
      </c>
      <c r="C48" s="22" t="s">
        <v>120</v>
      </c>
      <c r="D48" s="85"/>
      <c r="E48" s="38" t="s">
        <v>523</v>
      </c>
      <c r="F48" s="38" t="str">
        <f t="shared" si="0"/>
        <v/>
      </c>
      <c r="G48" s="25"/>
      <c r="H48" s="26"/>
      <c r="I48" s="142">
        <v>1.0010000000000002E-2</v>
      </c>
    </row>
    <row r="49" spans="1:9" x14ac:dyDescent="0.25">
      <c r="A49" s="247"/>
      <c r="B49" s="28" t="s">
        <v>523</v>
      </c>
      <c r="C49" s="28"/>
      <c r="D49" s="83"/>
      <c r="E49" s="39" t="s">
        <v>523</v>
      </c>
      <c r="F49" s="27" t="str">
        <f t="shared" si="0"/>
        <v/>
      </c>
      <c r="G49" s="31"/>
      <c r="H49" s="27"/>
      <c r="I49" s="142">
        <v>1.0010000000000002E-2</v>
      </c>
    </row>
    <row r="50" spans="1:9" ht="25.5" x14ac:dyDescent="0.25">
      <c r="A50" s="247"/>
      <c r="B50" s="32" t="s">
        <v>754</v>
      </c>
      <c r="C50" s="32" t="s">
        <v>120</v>
      </c>
      <c r="D50" s="33">
        <v>1.1599999999999999</v>
      </c>
      <c r="E50" s="30">
        <v>160.53099999999998</v>
      </c>
      <c r="F50" s="30">
        <f t="shared" si="0"/>
        <v>186.21595999999997</v>
      </c>
      <c r="G50" s="41">
        <f>SUM(F50:F57)</f>
        <v>650.67733525999995</v>
      </c>
      <c r="H50" s="42"/>
      <c r="I50" s="142">
        <v>1.0010000000000002E-2</v>
      </c>
    </row>
    <row r="51" spans="1:9" x14ac:dyDescent="0.25">
      <c r="A51" s="247"/>
      <c r="B51" s="32" t="s">
        <v>1426</v>
      </c>
      <c r="C51" s="32" t="s">
        <v>901</v>
      </c>
      <c r="D51" s="33">
        <v>174.1</v>
      </c>
      <c r="E51" s="30">
        <v>1.0449999999999999</v>
      </c>
      <c r="F51" s="30">
        <f t="shared" si="0"/>
        <v>181.93449999999999</v>
      </c>
      <c r="G51" s="41"/>
      <c r="H51" s="42"/>
      <c r="I51" s="142">
        <v>1.0010000000000002E-2</v>
      </c>
    </row>
    <row r="52" spans="1:9" x14ac:dyDescent="0.25">
      <c r="A52" s="247"/>
      <c r="B52" s="32" t="s">
        <v>750</v>
      </c>
      <c r="C52" s="32" t="s">
        <v>901</v>
      </c>
      <c r="D52" s="33">
        <v>195.86</v>
      </c>
      <c r="E52" s="30">
        <v>0.64600000000000002</v>
      </c>
      <c r="F52" s="30">
        <f t="shared" si="0"/>
        <v>126.52556000000001</v>
      </c>
      <c r="G52" s="41"/>
      <c r="H52" s="42"/>
      <c r="I52" s="142">
        <v>1.0010000000000002E-2</v>
      </c>
    </row>
    <row r="53" spans="1:9" ht="25.5" x14ac:dyDescent="0.25">
      <c r="A53" s="247"/>
      <c r="B53" s="32" t="s">
        <v>116</v>
      </c>
      <c r="C53" s="32" t="s">
        <v>705</v>
      </c>
      <c r="D53" s="33">
        <v>4.5</v>
      </c>
      <c r="E53" s="27">
        <v>18.534500000000001</v>
      </c>
      <c r="F53" s="30">
        <f t="shared" si="0"/>
        <v>83.405250000000009</v>
      </c>
      <c r="G53" s="41"/>
      <c r="H53" s="42"/>
      <c r="I53" s="142">
        <v>1.0010000000000002E-2</v>
      </c>
    </row>
    <row r="54" spans="1:9" ht="38.25" x14ac:dyDescent="0.25">
      <c r="A54" s="247"/>
      <c r="B54" s="32" t="s">
        <v>1427</v>
      </c>
      <c r="C54" s="32" t="s">
        <v>945</v>
      </c>
      <c r="D54" s="33">
        <v>1.05</v>
      </c>
      <c r="E54" s="27">
        <v>1.3964999999999999</v>
      </c>
      <c r="F54" s="30">
        <f t="shared" si="0"/>
        <v>1.4663249999999999</v>
      </c>
      <c r="G54" s="41"/>
      <c r="H54" s="42"/>
      <c r="I54" s="142">
        <v>1.0010000000000002E-2</v>
      </c>
    </row>
    <row r="55" spans="1:9" ht="38.25" x14ac:dyDescent="0.25">
      <c r="A55" s="247"/>
      <c r="B55" s="32" t="s">
        <v>1428</v>
      </c>
      <c r="C55" s="32" t="s">
        <v>947</v>
      </c>
      <c r="D55" s="33">
        <v>3.45</v>
      </c>
      <c r="E55" s="27">
        <v>0.3705</v>
      </c>
      <c r="F55" s="30">
        <f t="shared" si="0"/>
        <v>1.2782249999999999</v>
      </c>
      <c r="G55" s="41"/>
      <c r="H55" s="42"/>
      <c r="I55" s="142">
        <v>1.0010000000000002E-2</v>
      </c>
    </row>
    <row r="56" spans="1:9" ht="51" x14ac:dyDescent="0.25">
      <c r="A56" s="247"/>
      <c r="B56" s="32" t="s">
        <v>3532</v>
      </c>
      <c r="C56" s="32" t="s">
        <v>120</v>
      </c>
      <c r="D56" s="33">
        <f>ROUND(1*D50,4)</f>
        <v>1.1599999999999999</v>
      </c>
      <c r="E56" s="27">
        <v>7.8726404999999993</v>
      </c>
      <c r="F56" s="30">
        <f t="shared" si="0"/>
        <v>9.1322629799999984</v>
      </c>
      <c r="G56" s="41"/>
      <c r="H56" s="42"/>
      <c r="I56" s="142">
        <v>1.0010000000000002E-2</v>
      </c>
    </row>
    <row r="57" spans="1:9" ht="38.25" x14ac:dyDescent="0.25">
      <c r="A57" s="247"/>
      <c r="B57" s="32" t="s">
        <v>3529</v>
      </c>
      <c r="C57" s="43" t="s">
        <v>122</v>
      </c>
      <c r="D57" s="33">
        <f>ROUND(D50*20,4)</f>
        <v>23.2</v>
      </c>
      <c r="E57" s="27">
        <v>2.6172091499999994</v>
      </c>
      <c r="F57" s="30">
        <f t="shared" si="0"/>
        <v>60.719252279999985</v>
      </c>
      <c r="G57" s="41"/>
      <c r="H57" s="42"/>
      <c r="I57" s="142">
        <v>1.0010000000000002E-2</v>
      </c>
    </row>
    <row r="58" spans="1:9" x14ac:dyDescent="0.25">
      <c r="A58" s="247"/>
      <c r="B58" s="47"/>
      <c r="C58" s="43"/>
      <c r="D58" s="33"/>
      <c r="E58" s="27" t="s">
        <v>523</v>
      </c>
      <c r="F58" s="30" t="str">
        <f t="shared" si="0"/>
        <v/>
      </c>
      <c r="G58" s="41"/>
      <c r="H58" s="42"/>
      <c r="I58" s="142">
        <v>1.0010000000000002E-2</v>
      </c>
    </row>
    <row r="59" spans="1:9" x14ac:dyDescent="0.25">
      <c r="A59" s="247"/>
      <c r="B59" s="44" t="s">
        <v>757</v>
      </c>
      <c r="C59" s="43"/>
      <c r="D59" s="33"/>
      <c r="E59" s="27" t="s">
        <v>523</v>
      </c>
      <c r="F59" s="30" t="str">
        <f t="shared" si="0"/>
        <v/>
      </c>
      <c r="G59" s="41"/>
      <c r="H59" s="42"/>
      <c r="I59" s="142">
        <v>1.0010000000000002E-2</v>
      </c>
    </row>
    <row r="60" spans="1:9" ht="15.75" thickBot="1" x14ac:dyDescent="0.3">
      <c r="A60" s="253"/>
      <c r="B60" s="32" t="s">
        <v>523</v>
      </c>
      <c r="C60" s="32"/>
      <c r="D60" s="84"/>
      <c r="E60" s="27" t="s">
        <v>523</v>
      </c>
      <c r="F60" s="27" t="str">
        <f t="shared" si="0"/>
        <v/>
      </c>
      <c r="G60" s="31"/>
      <c r="H60" s="27"/>
      <c r="I60" s="142">
        <v>1.0010000000000002E-2</v>
      </c>
    </row>
    <row r="61" spans="1:9" ht="26.25" hidden="1" customHeight="1" x14ac:dyDescent="0.25">
      <c r="A61" s="252" t="s">
        <v>6622</v>
      </c>
      <c r="B61" s="37" t="s">
        <v>523</v>
      </c>
      <c r="C61" s="22" t="s">
        <v>995</v>
      </c>
      <c r="D61" s="85"/>
      <c r="E61" s="38" t="s">
        <v>523</v>
      </c>
      <c r="F61" s="38" t="str">
        <f t="shared" si="0"/>
        <v/>
      </c>
      <c r="G61" s="25"/>
      <c r="H61" s="26"/>
      <c r="I61" s="142">
        <v>0</v>
      </c>
    </row>
    <row r="62" spans="1:9" ht="15.75" hidden="1" thickBot="1" x14ac:dyDescent="0.3">
      <c r="A62" s="247"/>
      <c r="B62" s="28" t="s">
        <v>523</v>
      </c>
      <c r="C62" s="28"/>
      <c r="D62" s="83"/>
      <c r="E62" s="89" t="s">
        <v>523</v>
      </c>
      <c r="F62" s="90" t="str">
        <f t="shared" si="0"/>
        <v/>
      </c>
      <c r="G62" s="31"/>
      <c r="H62" s="27"/>
      <c r="I62" s="142">
        <v>0</v>
      </c>
    </row>
    <row r="63" spans="1:9" ht="15.75" hidden="1" thickBot="1" x14ac:dyDescent="0.3">
      <c r="A63" s="247"/>
      <c r="B63" s="32" t="s">
        <v>750</v>
      </c>
      <c r="C63" s="32" t="s">
        <v>901</v>
      </c>
      <c r="D63" s="33">
        <v>0.5</v>
      </c>
      <c r="E63" s="30">
        <v>0.64600000000000002</v>
      </c>
      <c r="F63" s="30">
        <f t="shared" si="0"/>
        <v>0.32300000000000001</v>
      </c>
      <c r="G63" s="41">
        <f>SUM(F63:F67)</f>
        <v>41.585416485275999</v>
      </c>
      <c r="H63" s="42"/>
      <c r="I63" s="142">
        <v>0</v>
      </c>
    </row>
    <row r="64" spans="1:9" ht="15.75" hidden="1" thickBot="1" x14ac:dyDescent="0.3">
      <c r="A64" s="247"/>
      <c r="B64" s="32" t="s">
        <v>211</v>
      </c>
      <c r="C64" s="32" t="s">
        <v>102</v>
      </c>
      <c r="D64" s="33">
        <v>0.21</v>
      </c>
      <c r="E64" s="30">
        <v>15.019499999999999</v>
      </c>
      <c r="F64" s="30">
        <f t="shared" si="0"/>
        <v>3.1540949999999999</v>
      </c>
      <c r="G64" s="41"/>
      <c r="H64" s="42"/>
      <c r="I64" s="142">
        <v>0</v>
      </c>
    </row>
    <row r="65" spans="1:9" ht="39" hidden="1" thickBot="1" x14ac:dyDescent="0.3">
      <c r="A65" s="247"/>
      <c r="B65" s="32" t="s">
        <v>1348</v>
      </c>
      <c r="C65" s="32" t="s">
        <v>120</v>
      </c>
      <c r="D65" s="33">
        <v>4.3099999999999999E-2</v>
      </c>
      <c r="E65" s="27">
        <v>690.12876996</v>
      </c>
      <c r="F65" s="30">
        <f t="shared" si="0"/>
        <v>29.744549985275999</v>
      </c>
      <c r="G65" s="41"/>
      <c r="H65" s="42"/>
      <c r="I65" s="142">
        <v>0</v>
      </c>
    </row>
    <row r="66" spans="1:9" ht="15.75" hidden="1" thickBot="1" x14ac:dyDescent="0.3">
      <c r="A66" s="247"/>
      <c r="B66" s="32" t="s">
        <v>1137</v>
      </c>
      <c r="C66" s="32" t="s">
        <v>705</v>
      </c>
      <c r="D66" s="33">
        <v>0.245</v>
      </c>
      <c r="E66" s="27">
        <v>24.889999999999997</v>
      </c>
      <c r="F66" s="30">
        <f t="shared" si="0"/>
        <v>6.0980499999999989</v>
      </c>
      <c r="G66" s="41"/>
      <c r="H66" s="42"/>
      <c r="I66" s="142">
        <v>0</v>
      </c>
    </row>
    <row r="67" spans="1:9" ht="15.75" hidden="1" thickBot="1" x14ac:dyDescent="0.3">
      <c r="A67" s="247"/>
      <c r="B67" s="32" t="s">
        <v>1421</v>
      </c>
      <c r="C67" s="32" t="s">
        <v>705</v>
      </c>
      <c r="D67" s="33">
        <v>0.123</v>
      </c>
      <c r="E67" s="27">
        <v>18.420500000000001</v>
      </c>
      <c r="F67" s="30">
        <f t="shared" si="0"/>
        <v>2.2657215000000002</v>
      </c>
      <c r="G67" s="41"/>
      <c r="H67" s="42"/>
      <c r="I67" s="142">
        <v>0</v>
      </c>
    </row>
    <row r="68" spans="1:9" ht="15.75" hidden="1" thickBot="1" x14ac:dyDescent="0.3">
      <c r="A68" s="253"/>
      <c r="B68" s="32" t="s">
        <v>523</v>
      </c>
      <c r="C68" s="32"/>
      <c r="D68" s="84"/>
      <c r="E68" s="27" t="s">
        <v>523</v>
      </c>
      <c r="F68" s="27" t="str">
        <f t="shared" si="0"/>
        <v/>
      </c>
      <c r="G68" s="31"/>
      <c r="H68" s="27"/>
      <c r="I68" s="142">
        <v>0</v>
      </c>
    </row>
    <row r="69" spans="1:9" ht="27" hidden="1" customHeight="1" thickBot="1" x14ac:dyDescent="0.3">
      <c r="A69" s="252" t="s">
        <v>178</v>
      </c>
      <c r="B69" s="37" t="s">
        <v>523</v>
      </c>
      <c r="C69" s="22" t="s">
        <v>120</v>
      </c>
      <c r="D69" s="85"/>
      <c r="E69" s="38" t="s">
        <v>523</v>
      </c>
      <c r="F69" s="38" t="str">
        <f t="shared" si="0"/>
        <v/>
      </c>
      <c r="G69" s="25"/>
      <c r="H69" s="26"/>
      <c r="I69" s="142">
        <v>0</v>
      </c>
    </row>
    <row r="70" spans="1:9" ht="15.75" hidden="1" thickBot="1" x14ac:dyDescent="0.3">
      <c r="A70" s="247"/>
      <c r="B70" s="28" t="s">
        <v>523</v>
      </c>
      <c r="C70" s="28"/>
      <c r="D70" s="83"/>
      <c r="E70" s="39" t="s">
        <v>523</v>
      </c>
      <c r="F70" s="27" t="str">
        <f t="shared" ref="F70:F133" si="1">IF(ISNUMBER(E70),E70*$D70,"")</f>
        <v/>
      </c>
      <c r="G70" s="31"/>
      <c r="H70" s="27"/>
      <c r="I70" s="142">
        <v>0</v>
      </c>
    </row>
    <row r="71" spans="1:9" ht="15.75" hidden="1" customHeight="1" thickBot="1" x14ac:dyDescent="0.3">
      <c r="A71" s="247"/>
      <c r="B71" s="32" t="s">
        <v>1429</v>
      </c>
      <c r="C71" s="32" t="s">
        <v>120</v>
      </c>
      <c r="D71" s="33">
        <v>0.94</v>
      </c>
      <c r="E71" s="30">
        <v>162.62100000000001</v>
      </c>
      <c r="F71" s="30">
        <f t="shared" si="1"/>
        <v>152.86374000000001</v>
      </c>
      <c r="G71" s="41">
        <f>SUM(F71:F75)</f>
        <v>685.48044408999999</v>
      </c>
      <c r="H71" s="42"/>
      <c r="I71" s="142">
        <v>0</v>
      </c>
    </row>
    <row r="72" spans="1:9" ht="15.75" hidden="1" thickBot="1" x14ac:dyDescent="0.3">
      <c r="A72" s="247"/>
      <c r="B72" s="32" t="s">
        <v>750</v>
      </c>
      <c r="C72" s="32" t="s">
        <v>901</v>
      </c>
      <c r="D72" s="33">
        <v>422.63</v>
      </c>
      <c r="E72" s="30">
        <v>0.64600000000000002</v>
      </c>
      <c r="F72" s="30">
        <f t="shared" si="1"/>
        <v>273.01898</v>
      </c>
      <c r="G72" s="41"/>
      <c r="H72" s="42"/>
      <c r="I72" s="142">
        <v>0</v>
      </c>
    </row>
    <row r="73" spans="1:9" ht="15.75" hidden="1" thickBot="1" x14ac:dyDescent="0.3">
      <c r="A73" s="247"/>
      <c r="B73" s="32" t="s">
        <v>1421</v>
      </c>
      <c r="C73" s="32" t="s">
        <v>705</v>
      </c>
      <c r="D73" s="33">
        <v>11.02</v>
      </c>
      <c r="E73" s="27">
        <v>18.420500000000001</v>
      </c>
      <c r="F73" s="30">
        <f t="shared" si="1"/>
        <v>202.99391</v>
      </c>
      <c r="G73" s="41"/>
      <c r="H73" s="42"/>
      <c r="I73" s="142">
        <v>0</v>
      </c>
    </row>
    <row r="74" spans="1:9" ht="51.75" hidden="1" thickBot="1" x14ac:dyDescent="0.3">
      <c r="A74" s="247"/>
      <c r="B74" s="32" t="s">
        <v>3532</v>
      </c>
      <c r="C74" s="32" t="s">
        <v>120</v>
      </c>
      <c r="D74" s="33">
        <f>ROUND(1*D71,4)</f>
        <v>0.94</v>
      </c>
      <c r="E74" s="27">
        <v>7.8726404999999993</v>
      </c>
      <c r="F74" s="30">
        <f t="shared" si="1"/>
        <v>7.4002820699999985</v>
      </c>
      <c r="G74" s="41"/>
      <c r="H74" s="42"/>
      <c r="I74" s="142">
        <v>0</v>
      </c>
    </row>
    <row r="75" spans="1:9" ht="39" hidden="1" thickBot="1" x14ac:dyDescent="0.3">
      <c r="A75" s="247"/>
      <c r="B75" s="32" t="s">
        <v>3529</v>
      </c>
      <c r="C75" s="43" t="s">
        <v>122</v>
      </c>
      <c r="D75" s="33">
        <f>ROUND(D71*20,4)</f>
        <v>18.8</v>
      </c>
      <c r="E75" s="27">
        <v>2.6172091499999994</v>
      </c>
      <c r="F75" s="30">
        <f t="shared" si="1"/>
        <v>49.20353201999999</v>
      </c>
      <c r="G75" s="41"/>
      <c r="H75" s="42"/>
      <c r="I75" s="142">
        <v>0</v>
      </c>
    </row>
    <row r="76" spans="1:9" ht="15.75" hidden="1" thickBot="1" x14ac:dyDescent="0.3">
      <c r="A76" s="247"/>
      <c r="B76" s="47"/>
      <c r="C76" s="43"/>
      <c r="D76" s="33"/>
      <c r="E76" s="27" t="s">
        <v>523</v>
      </c>
      <c r="F76" s="30" t="str">
        <f t="shared" si="1"/>
        <v/>
      </c>
      <c r="G76" s="41"/>
      <c r="H76" s="42"/>
      <c r="I76" s="142">
        <v>0</v>
      </c>
    </row>
    <row r="77" spans="1:9" ht="15.75" hidden="1" thickBot="1" x14ac:dyDescent="0.3">
      <c r="A77" s="247"/>
      <c r="B77" s="44" t="s">
        <v>757</v>
      </c>
      <c r="C77" s="43"/>
      <c r="D77" s="33"/>
      <c r="E77" s="27" t="s">
        <v>523</v>
      </c>
      <c r="F77" s="30" t="str">
        <f t="shared" si="1"/>
        <v/>
      </c>
      <c r="G77" s="41"/>
      <c r="H77" s="42"/>
      <c r="I77" s="142">
        <v>0</v>
      </c>
    </row>
    <row r="78" spans="1:9" ht="26.25" hidden="1" customHeight="1" thickBot="1" x14ac:dyDescent="0.3">
      <c r="A78" s="253"/>
      <c r="B78" s="32" t="s">
        <v>523</v>
      </c>
      <c r="C78" s="32"/>
      <c r="D78" s="84"/>
      <c r="E78" s="27" t="s">
        <v>523</v>
      </c>
      <c r="F78" s="27" t="str">
        <f t="shared" si="1"/>
        <v/>
      </c>
      <c r="G78" s="31"/>
      <c r="H78" s="27"/>
      <c r="I78" s="142">
        <v>0</v>
      </c>
    </row>
    <row r="79" spans="1:9" ht="27" hidden="1" customHeight="1" thickBot="1" x14ac:dyDescent="0.3">
      <c r="A79" s="252" t="s">
        <v>176</v>
      </c>
      <c r="B79" s="37" t="s">
        <v>523</v>
      </c>
      <c r="C79" s="22" t="s">
        <v>120</v>
      </c>
      <c r="D79" s="85"/>
      <c r="E79" s="38" t="s">
        <v>523</v>
      </c>
      <c r="F79" s="38" t="str">
        <f t="shared" si="1"/>
        <v/>
      </c>
      <c r="G79" s="25"/>
      <c r="H79" s="26"/>
      <c r="I79" s="142">
        <v>0</v>
      </c>
    </row>
    <row r="80" spans="1:9" ht="15.75" hidden="1" thickBot="1" x14ac:dyDescent="0.3">
      <c r="A80" s="247"/>
      <c r="B80" s="28" t="s">
        <v>523</v>
      </c>
      <c r="C80" s="28"/>
      <c r="D80" s="83"/>
      <c r="E80" s="39" t="s">
        <v>523</v>
      </c>
      <c r="F80" s="27" t="str">
        <f t="shared" si="1"/>
        <v/>
      </c>
      <c r="G80" s="31"/>
      <c r="H80" s="27"/>
      <c r="I80" s="142">
        <v>0</v>
      </c>
    </row>
    <row r="81" spans="1:9" ht="15.75" hidden="1" thickBot="1" x14ac:dyDescent="0.3">
      <c r="A81" s="247"/>
      <c r="B81" s="32" t="s">
        <v>1430</v>
      </c>
      <c r="C81" s="32" t="s">
        <v>901</v>
      </c>
      <c r="D81" s="33">
        <v>1981.23</v>
      </c>
      <c r="E81" s="30">
        <v>1.0640000000000001</v>
      </c>
      <c r="F81" s="30">
        <f t="shared" si="1"/>
        <v>2108.0287200000002</v>
      </c>
      <c r="G81" s="41">
        <f>SUM(F81:F84)</f>
        <v>2203.0695700000006</v>
      </c>
      <c r="H81" s="42"/>
      <c r="I81" s="142">
        <v>0</v>
      </c>
    </row>
    <row r="82" spans="1:9" ht="26.25" hidden="1" thickBot="1" x14ac:dyDescent="0.3">
      <c r="A82" s="247"/>
      <c r="B82" s="32" t="s">
        <v>116</v>
      </c>
      <c r="C82" s="32" t="s">
        <v>705</v>
      </c>
      <c r="D82" s="33">
        <v>4.72</v>
      </c>
      <c r="E82" s="27">
        <v>18.534500000000001</v>
      </c>
      <c r="F82" s="30">
        <f t="shared" si="1"/>
        <v>87.482839999999996</v>
      </c>
      <c r="G82" s="41"/>
      <c r="H82" s="42"/>
      <c r="I82" s="142">
        <v>0</v>
      </c>
    </row>
    <row r="83" spans="1:9" ht="26.25" hidden="1" thickBot="1" x14ac:dyDescent="0.3">
      <c r="A83" s="247"/>
      <c r="B83" s="32" t="s">
        <v>1431</v>
      </c>
      <c r="C83" s="32" t="s">
        <v>945</v>
      </c>
      <c r="D83" s="33">
        <v>1.1000000000000001</v>
      </c>
      <c r="E83" s="27">
        <v>3.6194999999999999</v>
      </c>
      <c r="F83" s="86">
        <f t="shared" si="1"/>
        <v>3.9814500000000002</v>
      </c>
      <c r="G83" s="41"/>
      <c r="H83" s="42"/>
      <c r="I83" s="142">
        <v>0</v>
      </c>
    </row>
    <row r="84" spans="1:9" ht="26.25" hidden="1" thickBot="1" x14ac:dyDescent="0.3">
      <c r="A84" s="247"/>
      <c r="B84" s="32" t="s">
        <v>1432</v>
      </c>
      <c r="C84" s="32" t="s">
        <v>947</v>
      </c>
      <c r="D84" s="33">
        <v>3.62</v>
      </c>
      <c r="E84" s="27">
        <v>0.98799999999999999</v>
      </c>
      <c r="F84" s="86">
        <f t="shared" si="1"/>
        <v>3.5765600000000002</v>
      </c>
      <c r="G84" s="41"/>
      <c r="H84" s="42"/>
      <c r="I84" s="142">
        <v>0</v>
      </c>
    </row>
    <row r="85" spans="1:9" ht="15.75" hidden="1" thickBot="1" x14ac:dyDescent="0.3">
      <c r="A85" s="253"/>
      <c r="B85" s="32" t="s">
        <v>523</v>
      </c>
      <c r="C85" s="32"/>
      <c r="D85" s="84"/>
      <c r="E85" s="27" t="s">
        <v>523</v>
      </c>
      <c r="F85" s="27" t="str">
        <f t="shared" si="1"/>
        <v/>
      </c>
      <c r="G85" s="31"/>
      <c r="H85" s="27"/>
      <c r="I85" s="142">
        <v>0</v>
      </c>
    </row>
    <row r="86" spans="1:9" ht="27" hidden="1" customHeight="1" thickBot="1" x14ac:dyDescent="0.3">
      <c r="A86" s="252" t="s">
        <v>210</v>
      </c>
      <c r="B86" s="37" t="s">
        <v>523</v>
      </c>
      <c r="C86" s="22" t="s">
        <v>120</v>
      </c>
      <c r="D86" s="85"/>
      <c r="E86" s="38" t="s">
        <v>523</v>
      </c>
      <c r="F86" s="38" t="str">
        <f t="shared" si="1"/>
        <v/>
      </c>
      <c r="G86" s="25"/>
      <c r="H86" s="26"/>
      <c r="I86" s="142">
        <v>0</v>
      </c>
    </row>
    <row r="87" spans="1:9" ht="15.75" hidden="1" thickBot="1" x14ac:dyDescent="0.3">
      <c r="A87" s="247"/>
      <c r="B87" s="28" t="s">
        <v>523</v>
      </c>
      <c r="C87" s="28"/>
      <c r="D87" s="83"/>
      <c r="E87" s="39" t="s">
        <v>523</v>
      </c>
      <c r="F87" s="27" t="str">
        <f t="shared" si="1"/>
        <v/>
      </c>
      <c r="G87" s="31"/>
      <c r="H87" s="27"/>
      <c r="I87" s="142">
        <v>0</v>
      </c>
    </row>
    <row r="88" spans="1:9" ht="26.25" hidden="1" customHeight="1" thickBot="1" x14ac:dyDescent="0.3">
      <c r="A88" s="247"/>
      <c r="B88" s="32" t="s">
        <v>754</v>
      </c>
      <c r="C88" s="32" t="s">
        <v>120</v>
      </c>
      <c r="D88" s="33">
        <v>1.35</v>
      </c>
      <c r="E88" s="30">
        <v>160.53099999999998</v>
      </c>
      <c r="F88" s="30">
        <f t="shared" si="1"/>
        <v>216.71684999999999</v>
      </c>
      <c r="G88" s="41">
        <f>SUM(F88:F92)</f>
        <v>794.66215172500006</v>
      </c>
      <c r="H88" s="42"/>
      <c r="I88" s="142">
        <v>0</v>
      </c>
    </row>
    <row r="89" spans="1:9" ht="15.75" hidden="1" thickBot="1" x14ac:dyDescent="0.3">
      <c r="A89" s="247"/>
      <c r="B89" s="32" t="s">
        <v>750</v>
      </c>
      <c r="C89" s="32" t="s">
        <v>901</v>
      </c>
      <c r="D89" s="33">
        <v>454.58</v>
      </c>
      <c r="E89" s="30">
        <v>0.64600000000000002</v>
      </c>
      <c r="F89" s="30">
        <f t="shared" si="1"/>
        <v>293.65868</v>
      </c>
      <c r="G89" s="41"/>
      <c r="H89" s="42"/>
      <c r="I89" s="142">
        <v>0</v>
      </c>
    </row>
    <row r="90" spans="1:9" ht="15.75" hidden="1" thickBot="1" x14ac:dyDescent="0.3">
      <c r="A90" s="247"/>
      <c r="B90" s="32" t="s">
        <v>1421</v>
      </c>
      <c r="C90" s="32" t="s">
        <v>705</v>
      </c>
      <c r="D90" s="33">
        <v>11.02</v>
      </c>
      <c r="E90" s="27">
        <v>18.420500000000001</v>
      </c>
      <c r="F90" s="30">
        <f t="shared" si="1"/>
        <v>202.99391</v>
      </c>
      <c r="G90" s="41"/>
      <c r="H90" s="42"/>
      <c r="I90" s="142">
        <v>0</v>
      </c>
    </row>
    <row r="91" spans="1:9" ht="51.75" hidden="1" thickBot="1" x14ac:dyDescent="0.3">
      <c r="A91" s="247"/>
      <c r="B91" s="32" t="s">
        <v>3532</v>
      </c>
      <c r="C91" s="32" t="s">
        <v>120</v>
      </c>
      <c r="D91" s="33">
        <f>ROUND(1*D88,4)</f>
        <v>1.35</v>
      </c>
      <c r="E91" s="27">
        <v>7.8726404999999993</v>
      </c>
      <c r="F91" s="30">
        <f t="shared" si="1"/>
        <v>10.628064674999999</v>
      </c>
      <c r="G91" s="41"/>
      <c r="H91" s="42"/>
      <c r="I91" s="142">
        <v>0</v>
      </c>
    </row>
    <row r="92" spans="1:9" ht="39" hidden="1" thickBot="1" x14ac:dyDescent="0.3">
      <c r="A92" s="247"/>
      <c r="B92" s="32" t="s">
        <v>3529</v>
      </c>
      <c r="C92" s="43" t="s">
        <v>122</v>
      </c>
      <c r="D92" s="33">
        <f>ROUND(D88*20,4)</f>
        <v>27</v>
      </c>
      <c r="E92" s="27">
        <v>2.6172091499999994</v>
      </c>
      <c r="F92" s="30">
        <f t="shared" si="1"/>
        <v>70.664647049999985</v>
      </c>
      <c r="G92" s="41"/>
      <c r="H92" s="42"/>
      <c r="I92" s="142">
        <v>0</v>
      </c>
    </row>
    <row r="93" spans="1:9" ht="15.75" hidden="1" thickBot="1" x14ac:dyDescent="0.3">
      <c r="A93" s="247"/>
      <c r="B93" s="47"/>
      <c r="C93" s="43"/>
      <c r="D93" s="33"/>
      <c r="E93" s="27" t="s">
        <v>523</v>
      </c>
      <c r="F93" s="30" t="str">
        <f t="shared" si="1"/>
        <v/>
      </c>
      <c r="G93" s="41"/>
      <c r="H93" s="42"/>
      <c r="I93" s="142">
        <v>0</v>
      </c>
    </row>
    <row r="94" spans="1:9" ht="15.75" hidden="1" thickBot="1" x14ac:dyDescent="0.3">
      <c r="A94" s="247"/>
      <c r="B94" s="44" t="s">
        <v>757</v>
      </c>
      <c r="C94" s="43"/>
      <c r="D94" s="33"/>
      <c r="E94" s="27" t="s">
        <v>523</v>
      </c>
      <c r="F94" s="30" t="str">
        <f t="shared" si="1"/>
        <v/>
      </c>
      <c r="G94" s="41"/>
      <c r="H94" s="42"/>
      <c r="I94" s="142">
        <v>0</v>
      </c>
    </row>
    <row r="95" spans="1:9" ht="15.75" hidden="1" thickBot="1" x14ac:dyDescent="0.3">
      <c r="A95" s="253"/>
      <c r="B95" s="32" t="s">
        <v>523</v>
      </c>
      <c r="C95" s="32"/>
      <c r="D95" s="84"/>
      <c r="E95" s="27" t="s">
        <v>523</v>
      </c>
      <c r="F95" s="27" t="str">
        <f t="shared" si="1"/>
        <v/>
      </c>
      <c r="G95" s="31"/>
      <c r="H95" s="27"/>
      <c r="I95" s="142">
        <v>0</v>
      </c>
    </row>
    <row r="96" spans="1:9" ht="27" hidden="1" customHeight="1" thickBot="1" x14ac:dyDescent="0.3">
      <c r="A96" s="252" t="s">
        <v>246</v>
      </c>
      <c r="B96" s="37" t="s">
        <v>523</v>
      </c>
      <c r="C96" s="22" t="s">
        <v>120</v>
      </c>
      <c r="D96" s="85"/>
      <c r="E96" s="38" t="s">
        <v>523</v>
      </c>
      <c r="F96" s="38" t="str">
        <f t="shared" si="1"/>
        <v/>
      </c>
      <c r="G96" s="25"/>
      <c r="H96" s="26"/>
      <c r="I96" s="142">
        <v>0</v>
      </c>
    </row>
    <row r="97" spans="1:9" ht="15.75" hidden="1" thickBot="1" x14ac:dyDescent="0.3">
      <c r="A97" s="247"/>
      <c r="B97" s="28" t="s">
        <v>523</v>
      </c>
      <c r="C97" s="28"/>
      <c r="D97" s="83"/>
      <c r="E97" s="39" t="s">
        <v>523</v>
      </c>
      <c r="F97" s="27" t="str">
        <f t="shared" si="1"/>
        <v/>
      </c>
      <c r="G97" s="31"/>
      <c r="H97" s="27"/>
      <c r="I97" s="142">
        <v>0</v>
      </c>
    </row>
    <row r="98" spans="1:9" ht="15.75" hidden="1" customHeight="1" thickBot="1" x14ac:dyDescent="0.3">
      <c r="A98" s="247"/>
      <c r="B98" s="32" t="s">
        <v>754</v>
      </c>
      <c r="C98" s="32" t="s">
        <v>120</v>
      </c>
      <c r="D98" s="33">
        <v>1.1499999999999999</v>
      </c>
      <c r="E98" s="30">
        <v>160.53099999999998</v>
      </c>
      <c r="F98" s="30">
        <f t="shared" si="1"/>
        <v>184.61064999999996</v>
      </c>
      <c r="G98" s="41">
        <f>SUM(F98:F102)</f>
        <v>658.20878202499989</v>
      </c>
      <c r="H98" s="42"/>
      <c r="I98" s="142">
        <v>0</v>
      </c>
    </row>
    <row r="99" spans="1:9" ht="15.75" hidden="1" thickBot="1" x14ac:dyDescent="0.3">
      <c r="A99" s="247"/>
      <c r="B99" s="32" t="s">
        <v>750</v>
      </c>
      <c r="C99" s="32" t="s">
        <v>901</v>
      </c>
      <c r="D99" s="33">
        <v>389.54</v>
      </c>
      <c r="E99" s="30">
        <v>0.64600000000000002</v>
      </c>
      <c r="F99" s="30">
        <f t="shared" si="1"/>
        <v>251.64284000000001</v>
      </c>
      <c r="G99" s="41"/>
      <c r="H99" s="42"/>
      <c r="I99" s="142">
        <v>0</v>
      </c>
    </row>
    <row r="100" spans="1:9" ht="15.75" hidden="1" thickBot="1" x14ac:dyDescent="0.3">
      <c r="A100" s="247"/>
      <c r="B100" s="32" t="s">
        <v>1421</v>
      </c>
      <c r="C100" s="32" t="s">
        <v>705</v>
      </c>
      <c r="D100" s="33">
        <v>8.2899999999999991</v>
      </c>
      <c r="E100" s="27">
        <v>18.420500000000001</v>
      </c>
      <c r="F100" s="30">
        <f t="shared" si="1"/>
        <v>152.70594499999999</v>
      </c>
      <c r="G100" s="41"/>
      <c r="H100" s="42"/>
      <c r="I100" s="142">
        <v>0</v>
      </c>
    </row>
    <row r="101" spans="1:9" ht="51.75" hidden="1" thickBot="1" x14ac:dyDescent="0.3">
      <c r="A101" s="247"/>
      <c r="B101" s="32" t="s">
        <v>3532</v>
      </c>
      <c r="C101" s="32" t="s">
        <v>120</v>
      </c>
      <c r="D101" s="33">
        <f>ROUND(1*D98,4)</f>
        <v>1.1499999999999999</v>
      </c>
      <c r="E101" s="27">
        <v>7.8726404999999993</v>
      </c>
      <c r="F101" s="30">
        <f t="shared" si="1"/>
        <v>9.053536574999999</v>
      </c>
      <c r="G101" s="41"/>
      <c r="H101" s="42"/>
      <c r="I101" s="142">
        <v>0</v>
      </c>
    </row>
    <row r="102" spans="1:9" ht="39" hidden="1" thickBot="1" x14ac:dyDescent="0.3">
      <c r="A102" s="247"/>
      <c r="B102" s="32" t="s">
        <v>3529</v>
      </c>
      <c r="C102" s="43" t="s">
        <v>122</v>
      </c>
      <c r="D102" s="33">
        <f>ROUND(D98*20,4)</f>
        <v>23</v>
      </c>
      <c r="E102" s="27">
        <v>2.6172091499999994</v>
      </c>
      <c r="F102" s="30">
        <f t="shared" si="1"/>
        <v>60.195810449999989</v>
      </c>
      <c r="G102" s="41"/>
      <c r="H102" s="42"/>
      <c r="I102" s="142">
        <v>0</v>
      </c>
    </row>
    <row r="103" spans="1:9" ht="15.75" hidden="1" thickBot="1" x14ac:dyDescent="0.3">
      <c r="A103" s="247"/>
      <c r="B103" s="47"/>
      <c r="C103" s="43"/>
      <c r="D103" s="33"/>
      <c r="E103" s="27" t="s">
        <v>523</v>
      </c>
      <c r="F103" s="30" t="str">
        <f t="shared" si="1"/>
        <v/>
      </c>
      <c r="G103" s="41"/>
      <c r="H103" s="42"/>
      <c r="I103" s="142">
        <v>0</v>
      </c>
    </row>
    <row r="104" spans="1:9" ht="15.75" hidden="1" customHeight="1" thickBot="1" x14ac:dyDescent="0.3">
      <c r="A104" s="247"/>
      <c r="B104" s="44" t="s">
        <v>757</v>
      </c>
      <c r="C104" s="43"/>
      <c r="D104" s="33"/>
      <c r="E104" s="27" t="s">
        <v>523</v>
      </c>
      <c r="F104" s="30" t="str">
        <f t="shared" si="1"/>
        <v/>
      </c>
      <c r="G104" s="41"/>
      <c r="H104" s="42"/>
      <c r="I104" s="142">
        <v>0</v>
      </c>
    </row>
    <row r="105" spans="1:9" ht="15.75" hidden="1" thickBot="1" x14ac:dyDescent="0.3">
      <c r="A105" s="253"/>
      <c r="B105" s="32" t="s">
        <v>523</v>
      </c>
      <c r="C105" s="32"/>
      <c r="D105" s="84"/>
      <c r="E105" s="27" t="s">
        <v>523</v>
      </c>
      <c r="F105" s="27" t="str">
        <f t="shared" si="1"/>
        <v/>
      </c>
      <c r="G105" s="31"/>
      <c r="H105" s="27"/>
      <c r="I105" s="142">
        <v>0</v>
      </c>
    </row>
    <row r="106" spans="1:9" ht="40.15" customHeight="1" thickBot="1" x14ac:dyDescent="0.3">
      <c r="A106" s="252" t="s">
        <v>3227</v>
      </c>
      <c r="B106" s="37" t="s">
        <v>523</v>
      </c>
      <c r="C106" s="22" t="s">
        <v>480</v>
      </c>
      <c r="D106" s="85"/>
      <c r="E106" s="38" t="s">
        <v>523</v>
      </c>
      <c r="F106" s="38" t="str">
        <f t="shared" si="1"/>
        <v/>
      </c>
      <c r="G106" s="25"/>
      <c r="H106" s="26"/>
      <c r="I106" s="142">
        <v>6028</v>
      </c>
    </row>
    <row r="107" spans="1:9" x14ac:dyDescent="0.25">
      <c r="A107" s="247"/>
      <c r="B107" s="28" t="s">
        <v>523</v>
      </c>
      <c r="C107" s="28"/>
      <c r="D107" s="83"/>
      <c r="E107" s="39" t="s">
        <v>523</v>
      </c>
      <c r="F107" s="27" t="str">
        <f t="shared" si="1"/>
        <v/>
      </c>
      <c r="G107" s="31"/>
      <c r="H107" s="27"/>
      <c r="I107" s="142">
        <v>6028</v>
      </c>
    </row>
    <row r="108" spans="1:9" ht="25.5" x14ac:dyDescent="0.25">
      <c r="A108" s="247"/>
      <c r="B108" s="32" t="s">
        <v>6657</v>
      </c>
      <c r="C108" s="32" t="s">
        <v>280</v>
      </c>
      <c r="D108" s="33">
        <v>0.33300000000000002</v>
      </c>
      <c r="E108" s="30">
        <v>1.5105</v>
      </c>
      <c r="F108" s="30">
        <f t="shared" si="1"/>
        <v>0.50299649999999996</v>
      </c>
      <c r="G108" s="41">
        <f>SUM(F108:F110)</f>
        <v>1.4490064999999999</v>
      </c>
      <c r="H108" s="42"/>
      <c r="I108" s="142">
        <v>6028</v>
      </c>
    </row>
    <row r="109" spans="1:9" ht="25.5" x14ac:dyDescent="0.25">
      <c r="A109" s="247"/>
      <c r="B109" s="32" t="s">
        <v>107</v>
      </c>
      <c r="C109" s="32" t="s">
        <v>705</v>
      </c>
      <c r="D109" s="33">
        <v>5.0000000000000001E-3</v>
      </c>
      <c r="E109" s="27">
        <v>19.094999999999999</v>
      </c>
      <c r="F109" s="30">
        <f t="shared" si="1"/>
        <v>9.547499999999999E-2</v>
      </c>
      <c r="G109" s="41"/>
      <c r="H109" s="42"/>
      <c r="I109" s="142">
        <v>6028</v>
      </c>
    </row>
    <row r="110" spans="1:9" ht="15.75" customHeight="1" x14ac:dyDescent="0.25">
      <c r="A110" s="247"/>
      <c r="B110" s="32" t="s">
        <v>1422</v>
      </c>
      <c r="C110" s="32" t="s">
        <v>705</v>
      </c>
      <c r="D110" s="33">
        <v>3.5000000000000003E-2</v>
      </c>
      <c r="E110" s="27">
        <v>24.300999999999998</v>
      </c>
      <c r="F110" s="30">
        <f t="shared" si="1"/>
        <v>0.85053500000000004</v>
      </c>
      <c r="G110" s="41"/>
      <c r="H110" s="42"/>
      <c r="I110" s="142">
        <v>6028</v>
      </c>
    </row>
    <row r="111" spans="1:9" ht="15.75" thickBot="1" x14ac:dyDescent="0.3">
      <c r="A111" s="253"/>
      <c r="B111" s="32" t="s">
        <v>523</v>
      </c>
      <c r="C111" s="32"/>
      <c r="D111" s="84"/>
      <c r="E111" s="27" t="s">
        <v>523</v>
      </c>
      <c r="F111" s="27" t="str">
        <f t="shared" si="1"/>
        <v/>
      </c>
      <c r="G111" s="31"/>
      <c r="H111" s="27"/>
      <c r="I111" s="142">
        <v>6028</v>
      </c>
    </row>
    <row r="112" spans="1:9" ht="27" hidden="1" customHeight="1" x14ac:dyDescent="0.25">
      <c r="A112" s="252" t="s">
        <v>3222</v>
      </c>
      <c r="B112" s="37" t="s">
        <v>523</v>
      </c>
      <c r="C112" s="22" t="s">
        <v>280</v>
      </c>
      <c r="D112" s="85"/>
      <c r="E112" s="38" t="s">
        <v>523</v>
      </c>
      <c r="F112" s="38" t="str">
        <f t="shared" si="1"/>
        <v/>
      </c>
      <c r="G112" s="25"/>
      <c r="H112" s="26"/>
      <c r="I112" s="142">
        <v>0</v>
      </c>
    </row>
    <row r="113" spans="1:9" ht="15.75" hidden="1" thickBot="1" x14ac:dyDescent="0.3">
      <c r="A113" s="247"/>
      <c r="B113" s="28" t="s">
        <v>523</v>
      </c>
      <c r="C113" s="28"/>
      <c r="D113" s="83"/>
      <c r="E113" s="39" t="s">
        <v>523</v>
      </c>
      <c r="F113" s="27" t="str">
        <f t="shared" si="1"/>
        <v/>
      </c>
      <c r="G113" s="31"/>
      <c r="H113" s="27"/>
      <c r="I113" s="142">
        <v>0</v>
      </c>
    </row>
    <row r="114" spans="1:9" ht="26.25" hidden="1" thickBot="1" x14ac:dyDescent="0.3">
      <c r="A114" s="247"/>
      <c r="B114" s="32" t="s">
        <v>1433</v>
      </c>
      <c r="C114" s="32" t="s">
        <v>280</v>
      </c>
      <c r="D114" s="33">
        <v>1</v>
      </c>
      <c r="E114" s="30">
        <v>2.4319999999999999</v>
      </c>
      <c r="F114" s="30">
        <f t="shared" si="1"/>
        <v>2.4319999999999999</v>
      </c>
      <c r="G114" s="41">
        <f>SUM(F114:F116)</f>
        <v>10.572198499999999</v>
      </c>
      <c r="H114" s="42"/>
      <c r="I114" s="142">
        <v>0</v>
      </c>
    </row>
    <row r="115" spans="1:9" ht="15.75" hidden="1" thickBot="1" x14ac:dyDescent="0.3">
      <c r="A115" s="247"/>
      <c r="B115" s="32" t="s">
        <v>74</v>
      </c>
      <c r="C115" s="32" t="s">
        <v>705</v>
      </c>
      <c r="D115" s="33">
        <v>0.1827</v>
      </c>
      <c r="E115" s="27">
        <v>19.4085</v>
      </c>
      <c r="F115" s="30">
        <f t="shared" si="1"/>
        <v>3.5459329500000001</v>
      </c>
      <c r="G115" s="41"/>
      <c r="H115" s="42"/>
      <c r="I115" s="142">
        <v>0</v>
      </c>
    </row>
    <row r="116" spans="1:9" ht="15.75" hidden="1" customHeight="1" thickBot="1" x14ac:dyDescent="0.3">
      <c r="A116" s="247"/>
      <c r="B116" s="32" t="s">
        <v>30</v>
      </c>
      <c r="C116" s="32" t="s">
        <v>705</v>
      </c>
      <c r="D116" s="33">
        <v>0.1827</v>
      </c>
      <c r="E116" s="27">
        <v>25.146499999999996</v>
      </c>
      <c r="F116" s="30">
        <f t="shared" si="1"/>
        <v>4.5942655499999994</v>
      </c>
      <c r="G116" s="41"/>
      <c r="H116" s="42"/>
      <c r="I116" s="142">
        <v>0</v>
      </c>
    </row>
    <row r="117" spans="1:9" ht="15.75" hidden="1" thickBot="1" x14ac:dyDescent="0.3">
      <c r="A117" s="253"/>
      <c r="B117" s="32" t="s">
        <v>523</v>
      </c>
      <c r="C117" s="32"/>
      <c r="D117" s="84"/>
      <c r="E117" s="27" t="s">
        <v>523</v>
      </c>
      <c r="F117" s="27" t="str">
        <f t="shared" si="1"/>
        <v/>
      </c>
      <c r="G117" s="31"/>
      <c r="H117" s="27"/>
      <c r="I117" s="142">
        <v>0</v>
      </c>
    </row>
    <row r="118" spans="1:9" ht="27" customHeight="1" thickBot="1" x14ac:dyDescent="0.3">
      <c r="A118" s="252" t="s">
        <v>3223</v>
      </c>
      <c r="B118" s="37" t="s">
        <v>523</v>
      </c>
      <c r="C118" s="22" t="s">
        <v>280</v>
      </c>
      <c r="D118" s="85"/>
      <c r="E118" s="38" t="s">
        <v>523</v>
      </c>
      <c r="F118" s="38" t="str">
        <f t="shared" si="1"/>
        <v/>
      </c>
      <c r="G118" s="25"/>
      <c r="H118" s="26"/>
      <c r="I118" s="142">
        <v>414.85851000000002</v>
      </c>
    </row>
    <row r="119" spans="1:9" x14ac:dyDescent="0.25">
      <c r="A119" s="247"/>
      <c r="B119" s="28" t="s">
        <v>523</v>
      </c>
      <c r="C119" s="28"/>
      <c r="D119" s="83"/>
      <c r="E119" s="39" t="s">
        <v>523</v>
      </c>
      <c r="F119" s="27" t="str">
        <f t="shared" si="1"/>
        <v/>
      </c>
      <c r="G119" s="31"/>
      <c r="H119" s="27"/>
      <c r="I119" s="142">
        <v>414.85851000000002</v>
      </c>
    </row>
    <row r="120" spans="1:9" ht="25.5" x14ac:dyDescent="0.25">
      <c r="A120" s="247"/>
      <c r="B120" s="32" t="s">
        <v>1434</v>
      </c>
      <c r="C120" s="32" t="s">
        <v>280</v>
      </c>
      <c r="D120" s="33">
        <v>1</v>
      </c>
      <c r="E120" s="30">
        <v>2.831</v>
      </c>
      <c r="F120" s="30">
        <f t="shared" si="1"/>
        <v>2.831</v>
      </c>
      <c r="G120" s="41">
        <f>SUM(F120:F122)</f>
        <v>11.8890315</v>
      </c>
      <c r="H120" s="42"/>
      <c r="I120" s="142">
        <v>414.85851000000002</v>
      </c>
    </row>
    <row r="121" spans="1:9" x14ac:dyDescent="0.25">
      <c r="A121" s="247"/>
      <c r="B121" s="32" t="s">
        <v>74</v>
      </c>
      <c r="C121" s="32" t="s">
        <v>705</v>
      </c>
      <c r="D121" s="33">
        <v>0.20330000000000001</v>
      </c>
      <c r="E121" s="27">
        <v>19.4085</v>
      </c>
      <c r="F121" s="30">
        <f t="shared" si="1"/>
        <v>3.9457480500000002</v>
      </c>
      <c r="G121" s="41"/>
      <c r="H121" s="42"/>
      <c r="I121" s="142">
        <v>414.85851000000002</v>
      </c>
    </row>
    <row r="122" spans="1:9" ht="15.75" customHeight="1" x14ac:dyDescent="0.25">
      <c r="A122" s="247"/>
      <c r="B122" s="32" t="s">
        <v>30</v>
      </c>
      <c r="C122" s="32" t="s">
        <v>705</v>
      </c>
      <c r="D122" s="33">
        <v>0.20330000000000001</v>
      </c>
      <c r="E122" s="27">
        <v>25.146499999999996</v>
      </c>
      <c r="F122" s="30">
        <f t="shared" si="1"/>
        <v>5.1122834499999996</v>
      </c>
      <c r="G122" s="41"/>
      <c r="H122" s="42"/>
      <c r="I122" s="142">
        <v>414.85851000000002</v>
      </c>
    </row>
    <row r="123" spans="1:9" ht="15.75" thickBot="1" x14ac:dyDescent="0.3">
      <c r="A123" s="253"/>
      <c r="B123" s="32" t="s">
        <v>523</v>
      </c>
      <c r="C123" s="32"/>
      <c r="D123" s="84"/>
      <c r="E123" s="27" t="s">
        <v>523</v>
      </c>
      <c r="F123" s="27" t="str">
        <f t="shared" si="1"/>
        <v/>
      </c>
      <c r="G123" s="31"/>
      <c r="H123" s="27"/>
      <c r="I123" s="142">
        <v>414.85851000000002</v>
      </c>
    </row>
    <row r="124" spans="1:9" ht="27" hidden="1" customHeight="1" x14ac:dyDescent="0.25">
      <c r="A124" s="252" t="s">
        <v>3224</v>
      </c>
      <c r="B124" s="37" t="s">
        <v>523</v>
      </c>
      <c r="C124" s="22" t="s">
        <v>280</v>
      </c>
      <c r="D124" s="85"/>
      <c r="E124" s="38" t="s">
        <v>523</v>
      </c>
      <c r="F124" s="38" t="str">
        <f t="shared" si="1"/>
        <v/>
      </c>
      <c r="G124" s="25"/>
      <c r="H124" s="26"/>
      <c r="I124" s="142">
        <v>0</v>
      </c>
    </row>
    <row r="125" spans="1:9" ht="15.75" hidden="1" thickBot="1" x14ac:dyDescent="0.3">
      <c r="A125" s="247"/>
      <c r="B125" s="28" t="s">
        <v>523</v>
      </c>
      <c r="C125" s="28"/>
      <c r="D125" s="83"/>
      <c r="E125" s="39" t="s">
        <v>523</v>
      </c>
      <c r="F125" s="27" t="str">
        <f t="shared" si="1"/>
        <v/>
      </c>
      <c r="G125" s="31"/>
      <c r="H125" s="27"/>
      <c r="I125" s="142">
        <v>0</v>
      </c>
    </row>
    <row r="126" spans="1:9" ht="26.25" hidden="1" thickBot="1" x14ac:dyDescent="0.3">
      <c r="A126" s="247"/>
      <c r="B126" s="32" t="s">
        <v>1435</v>
      </c>
      <c r="C126" s="32" t="s">
        <v>280</v>
      </c>
      <c r="D126" s="33">
        <v>1</v>
      </c>
      <c r="E126" s="30">
        <v>5.016</v>
      </c>
      <c r="F126" s="30">
        <f t="shared" si="1"/>
        <v>5.016</v>
      </c>
      <c r="G126" s="41">
        <f>SUM(F126:F128)</f>
        <v>15.361670999999998</v>
      </c>
      <c r="H126" s="42"/>
      <c r="I126" s="142">
        <v>0</v>
      </c>
    </row>
    <row r="127" spans="1:9" ht="15.75" hidden="1" thickBot="1" x14ac:dyDescent="0.3">
      <c r="A127" s="247"/>
      <c r="B127" s="32" t="s">
        <v>74</v>
      </c>
      <c r="C127" s="32" t="s">
        <v>705</v>
      </c>
      <c r="D127" s="33">
        <v>0.23219999999999999</v>
      </c>
      <c r="E127" s="27">
        <v>19.4085</v>
      </c>
      <c r="F127" s="30">
        <f t="shared" si="1"/>
        <v>4.5066537000000002</v>
      </c>
      <c r="G127" s="41"/>
      <c r="H127" s="42"/>
      <c r="I127" s="142">
        <v>0</v>
      </c>
    </row>
    <row r="128" spans="1:9" ht="15.75" hidden="1" customHeight="1" thickBot="1" x14ac:dyDescent="0.3">
      <c r="A128" s="247"/>
      <c r="B128" s="32" t="s">
        <v>30</v>
      </c>
      <c r="C128" s="32" t="s">
        <v>705</v>
      </c>
      <c r="D128" s="33">
        <v>0.23219999999999999</v>
      </c>
      <c r="E128" s="27">
        <v>25.146499999999996</v>
      </c>
      <c r="F128" s="30">
        <f t="shared" si="1"/>
        <v>5.8390172999999992</v>
      </c>
      <c r="G128" s="41"/>
      <c r="H128" s="42"/>
      <c r="I128" s="142">
        <v>0</v>
      </c>
    </row>
    <row r="129" spans="1:9" ht="15.75" hidden="1" thickBot="1" x14ac:dyDescent="0.3">
      <c r="A129" s="253"/>
      <c r="B129" s="32" t="s">
        <v>523</v>
      </c>
      <c r="C129" s="32"/>
      <c r="D129" s="84"/>
      <c r="E129" s="27" t="s">
        <v>523</v>
      </c>
      <c r="F129" s="27" t="str">
        <f t="shared" si="1"/>
        <v/>
      </c>
      <c r="G129" s="31"/>
      <c r="H129" s="27"/>
      <c r="I129" s="142">
        <v>0</v>
      </c>
    </row>
    <row r="130" spans="1:9" ht="27" customHeight="1" thickBot="1" x14ac:dyDescent="0.3">
      <c r="A130" s="252" t="s">
        <v>3225</v>
      </c>
      <c r="B130" s="37" t="s">
        <v>523</v>
      </c>
      <c r="C130" s="22" t="s">
        <v>280</v>
      </c>
      <c r="D130" s="85"/>
      <c r="E130" s="38" t="s">
        <v>523</v>
      </c>
      <c r="F130" s="38" t="str">
        <f t="shared" si="1"/>
        <v/>
      </c>
      <c r="G130" s="25"/>
      <c r="H130" s="26"/>
      <c r="I130" s="142">
        <v>589.70768999999996</v>
      </c>
    </row>
    <row r="131" spans="1:9" x14ac:dyDescent="0.25">
      <c r="A131" s="247"/>
      <c r="B131" s="28" t="s">
        <v>523</v>
      </c>
      <c r="C131" s="28"/>
      <c r="D131" s="83"/>
      <c r="E131" s="39" t="s">
        <v>523</v>
      </c>
      <c r="F131" s="27" t="str">
        <f t="shared" si="1"/>
        <v/>
      </c>
      <c r="G131" s="31"/>
      <c r="H131" s="27"/>
      <c r="I131" s="142">
        <v>589.70768999999996</v>
      </c>
    </row>
    <row r="132" spans="1:9" ht="25.5" x14ac:dyDescent="0.25">
      <c r="A132" s="247"/>
      <c r="B132" s="32" t="s">
        <v>1436</v>
      </c>
      <c r="C132" s="32" t="s">
        <v>280</v>
      </c>
      <c r="D132" s="33">
        <v>1</v>
      </c>
      <c r="E132" s="30">
        <v>7.2579999999999991</v>
      </c>
      <c r="F132" s="30">
        <f t="shared" si="1"/>
        <v>7.2579999999999991</v>
      </c>
      <c r="G132" s="41">
        <f>SUM(F132:F134)</f>
        <v>19.069530499999999</v>
      </c>
      <c r="H132" s="42"/>
      <c r="I132" s="142">
        <v>589.70768999999996</v>
      </c>
    </row>
    <row r="133" spans="1:9" x14ac:dyDescent="0.25">
      <c r="A133" s="247"/>
      <c r="B133" s="32" t="s">
        <v>74</v>
      </c>
      <c r="C133" s="32" t="s">
        <v>705</v>
      </c>
      <c r="D133" s="33">
        <v>0.2651</v>
      </c>
      <c r="E133" s="27">
        <v>19.4085</v>
      </c>
      <c r="F133" s="30">
        <f t="shared" si="1"/>
        <v>5.1451933500000004</v>
      </c>
      <c r="G133" s="41"/>
      <c r="H133" s="42"/>
      <c r="I133" s="142">
        <v>589.70768999999996</v>
      </c>
    </row>
    <row r="134" spans="1:9" ht="15.75" customHeight="1" x14ac:dyDescent="0.25">
      <c r="A134" s="247"/>
      <c r="B134" s="32" t="s">
        <v>30</v>
      </c>
      <c r="C134" s="32" t="s">
        <v>705</v>
      </c>
      <c r="D134" s="33">
        <v>0.2651</v>
      </c>
      <c r="E134" s="27">
        <v>25.146499999999996</v>
      </c>
      <c r="F134" s="30">
        <f t="shared" ref="F134:F197" si="2">IF(ISNUMBER(E134),E134*$D134,"")</f>
        <v>6.6663371499999986</v>
      </c>
      <c r="G134" s="41"/>
      <c r="H134" s="42"/>
      <c r="I134" s="142">
        <v>589.70768999999996</v>
      </c>
    </row>
    <row r="135" spans="1:9" ht="15.75" thickBot="1" x14ac:dyDescent="0.3">
      <c r="A135" s="253"/>
      <c r="B135" s="32" t="s">
        <v>523</v>
      </c>
      <c r="C135" s="32"/>
      <c r="D135" s="84"/>
      <c r="E135" s="27" t="s">
        <v>523</v>
      </c>
      <c r="F135" s="27" t="str">
        <f t="shared" si="2"/>
        <v/>
      </c>
      <c r="G135" s="31"/>
      <c r="H135" s="27"/>
      <c r="I135" s="142">
        <v>589.70768999999996</v>
      </c>
    </row>
    <row r="136" spans="1:9" ht="27" hidden="1" customHeight="1" x14ac:dyDescent="0.25">
      <c r="A136" s="252" t="s">
        <v>3225</v>
      </c>
      <c r="B136" s="37" t="s">
        <v>523</v>
      </c>
      <c r="C136" s="22" t="s">
        <v>280</v>
      </c>
      <c r="D136" s="85"/>
      <c r="E136" s="38" t="s">
        <v>523</v>
      </c>
      <c r="F136" s="38" t="str">
        <f t="shared" si="2"/>
        <v/>
      </c>
      <c r="G136" s="25"/>
      <c r="H136" s="26"/>
      <c r="I136" s="142">
        <v>0</v>
      </c>
    </row>
    <row r="137" spans="1:9" hidden="1" x14ac:dyDescent="0.25">
      <c r="A137" s="247"/>
      <c r="B137" s="28" t="s">
        <v>523</v>
      </c>
      <c r="C137" s="28"/>
      <c r="D137" s="83"/>
      <c r="E137" s="39" t="s">
        <v>523</v>
      </c>
      <c r="F137" s="27" t="str">
        <f t="shared" si="2"/>
        <v/>
      </c>
      <c r="G137" s="31"/>
      <c r="H137" s="27"/>
      <c r="I137" s="142">
        <v>0</v>
      </c>
    </row>
    <row r="138" spans="1:9" ht="25.5" hidden="1" x14ac:dyDescent="0.25">
      <c r="A138" s="247"/>
      <c r="B138" s="32" t="s">
        <v>1437</v>
      </c>
      <c r="C138" s="32" t="s">
        <v>280</v>
      </c>
      <c r="D138" s="33">
        <v>1</v>
      </c>
      <c r="E138" s="30">
        <v>10.1175</v>
      </c>
      <c r="F138" s="30">
        <f t="shared" si="2"/>
        <v>10.1175</v>
      </c>
      <c r="G138" s="41">
        <f>SUM(F138:F140)</f>
        <v>21.929030499999996</v>
      </c>
      <c r="H138" s="42"/>
      <c r="I138" s="142">
        <v>0</v>
      </c>
    </row>
    <row r="139" spans="1:9" hidden="1" x14ac:dyDescent="0.25">
      <c r="A139" s="247"/>
      <c r="B139" s="32" t="s">
        <v>74</v>
      </c>
      <c r="C139" s="32" t="s">
        <v>705</v>
      </c>
      <c r="D139" s="33">
        <v>0.2651</v>
      </c>
      <c r="E139" s="27">
        <v>19.4085</v>
      </c>
      <c r="F139" s="30">
        <f t="shared" si="2"/>
        <v>5.1451933500000004</v>
      </c>
      <c r="G139" s="41"/>
      <c r="H139" s="42"/>
      <c r="I139" s="142">
        <v>0</v>
      </c>
    </row>
    <row r="140" spans="1:9" ht="26.25" hidden="1" customHeight="1" x14ac:dyDescent="0.25">
      <c r="A140" s="247"/>
      <c r="B140" s="32" t="s">
        <v>30</v>
      </c>
      <c r="C140" s="32" t="s">
        <v>705</v>
      </c>
      <c r="D140" s="33">
        <v>0.2651</v>
      </c>
      <c r="E140" s="27">
        <v>25.146499999999996</v>
      </c>
      <c r="F140" s="30">
        <f t="shared" si="2"/>
        <v>6.6663371499999986</v>
      </c>
      <c r="G140" s="41"/>
      <c r="H140" s="42"/>
      <c r="I140" s="142">
        <v>0</v>
      </c>
    </row>
    <row r="141" spans="1:9" ht="15.75" hidden="1" thickBot="1" x14ac:dyDescent="0.3">
      <c r="A141" s="253"/>
      <c r="B141" s="32" t="s">
        <v>523</v>
      </c>
      <c r="C141" s="32"/>
      <c r="D141" s="84"/>
      <c r="E141" s="27" t="s">
        <v>523</v>
      </c>
      <c r="F141" s="27" t="str">
        <f t="shared" si="2"/>
        <v/>
      </c>
      <c r="G141" s="31"/>
      <c r="H141" s="27"/>
      <c r="I141" s="142">
        <v>0</v>
      </c>
    </row>
    <row r="142" spans="1:9" ht="40.15" hidden="1" customHeight="1" x14ac:dyDescent="0.25">
      <c r="A142" s="252" t="s">
        <v>3228</v>
      </c>
      <c r="B142" s="37" t="s">
        <v>523</v>
      </c>
      <c r="C142" s="22" t="s">
        <v>480</v>
      </c>
      <c r="D142" s="85"/>
      <c r="E142" s="38" t="s">
        <v>523</v>
      </c>
      <c r="F142" s="38" t="str">
        <f t="shared" si="2"/>
        <v/>
      </c>
      <c r="G142" s="25"/>
      <c r="H142" s="26"/>
      <c r="I142" s="142">
        <v>0</v>
      </c>
    </row>
    <row r="143" spans="1:9" hidden="1" x14ac:dyDescent="0.25">
      <c r="A143" s="247"/>
      <c r="B143" s="28" t="s">
        <v>523</v>
      </c>
      <c r="C143" s="28"/>
      <c r="D143" s="83"/>
      <c r="E143" s="89" t="s">
        <v>523</v>
      </c>
      <c r="F143" s="90" t="str">
        <f t="shared" si="2"/>
        <v/>
      </c>
      <c r="G143" s="31"/>
      <c r="H143" s="27"/>
      <c r="I143" s="142">
        <v>0</v>
      </c>
    </row>
    <row r="144" spans="1:9" ht="25.5" hidden="1" x14ac:dyDescent="0.25">
      <c r="A144" s="247"/>
      <c r="B144" s="32" t="s">
        <v>1452</v>
      </c>
      <c r="C144" s="32" t="s">
        <v>280</v>
      </c>
      <c r="D144" s="33">
        <v>0.33300000000000002</v>
      </c>
      <c r="E144" s="30">
        <v>3.1065</v>
      </c>
      <c r="F144" s="30">
        <f t="shared" si="2"/>
        <v>1.0344645000000001</v>
      </c>
      <c r="G144" s="41">
        <f>SUM(F144:F146)</f>
        <v>2.8344865000000001</v>
      </c>
      <c r="H144" s="42"/>
      <c r="I144" s="142">
        <v>0</v>
      </c>
    </row>
    <row r="145" spans="1:9" ht="25.5" hidden="1" x14ac:dyDescent="0.25">
      <c r="A145" s="247"/>
      <c r="B145" s="32" t="s">
        <v>107</v>
      </c>
      <c r="C145" s="32" t="s">
        <v>705</v>
      </c>
      <c r="D145" s="33">
        <v>8.9999999999999993E-3</v>
      </c>
      <c r="E145" s="27">
        <v>19.094999999999999</v>
      </c>
      <c r="F145" s="30">
        <f t="shared" si="2"/>
        <v>0.17185499999999998</v>
      </c>
      <c r="G145" s="41"/>
      <c r="H145" s="42"/>
      <c r="I145" s="142">
        <v>0</v>
      </c>
    </row>
    <row r="146" spans="1:9" hidden="1" x14ac:dyDescent="0.25">
      <c r="A146" s="247"/>
      <c r="B146" s="32" t="s">
        <v>1422</v>
      </c>
      <c r="C146" s="32" t="s">
        <v>705</v>
      </c>
      <c r="D146" s="33">
        <v>6.7000000000000004E-2</v>
      </c>
      <c r="E146" s="27">
        <v>24.300999999999998</v>
      </c>
      <c r="F146" s="30">
        <f t="shared" si="2"/>
        <v>1.6281669999999999</v>
      </c>
      <c r="G146" s="41"/>
      <c r="H146" s="42"/>
      <c r="I146" s="142">
        <v>0</v>
      </c>
    </row>
    <row r="147" spans="1:9" ht="15.75" hidden="1" thickBot="1" x14ac:dyDescent="0.3">
      <c r="A147" s="253"/>
      <c r="B147" s="32" t="s">
        <v>523</v>
      </c>
      <c r="C147" s="32"/>
      <c r="D147" s="84"/>
      <c r="E147" s="27" t="s">
        <v>523</v>
      </c>
      <c r="F147" s="27" t="str">
        <f t="shared" si="2"/>
        <v/>
      </c>
      <c r="G147" s="31"/>
      <c r="H147" s="27"/>
      <c r="I147" s="142">
        <v>0</v>
      </c>
    </row>
    <row r="148" spans="1:9" ht="40.15" hidden="1" customHeight="1" x14ac:dyDescent="0.25">
      <c r="A148" s="252" t="s">
        <v>3228</v>
      </c>
      <c r="B148" s="37" t="s">
        <v>523</v>
      </c>
      <c r="C148" s="22" t="s">
        <v>480</v>
      </c>
      <c r="D148" s="85"/>
      <c r="E148" s="38" t="s">
        <v>523</v>
      </c>
      <c r="F148" s="38" t="str">
        <f t="shared" si="2"/>
        <v/>
      </c>
      <c r="G148" s="25"/>
      <c r="H148" s="26"/>
      <c r="I148" s="142">
        <v>0</v>
      </c>
    </row>
    <row r="149" spans="1:9" hidden="1" x14ac:dyDescent="0.25">
      <c r="A149" s="247"/>
      <c r="B149" s="28" t="s">
        <v>523</v>
      </c>
      <c r="C149" s="28"/>
      <c r="D149" s="83"/>
      <c r="E149" s="39" t="s">
        <v>523</v>
      </c>
      <c r="F149" s="27" t="str">
        <f t="shared" si="2"/>
        <v/>
      </c>
      <c r="G149" s="31"/>
      <c r="H149" s="27"/>
      <c r="I149" s="142">
        <v>0</v>
      </c>
    </row>
    <row r="150" spans="1:9" ht="25.5" hidden="1" x14ac:dyDescent="0.25">
      <c r="A150" s="247"/>
      <c r="B150" s="32" t="s">
        <v>1438</v>
      </c>
      <c r="C150" s="32" t="s">
        <v>280</v>
      </c>
      <c r="D150" s="33">
        <v>0.33300000000000002</v>
      </c>
      <c r="E150" s="30">
        <v>3.4484999999999997</v>
      </c>
      <c r="F150" s="30">
        <f t="shared" si="2"/>
        <v>1.1483505000000001</v>
      </c>
      <c r="G150" s="41">
        <f>SUM(F150:F152)</f>
        <v>2.9483725000000001</v>
      </c>
      <c r="H150" s="42"/>
      <c r="I150" s="142">
        <v>0</v>
      </c>
    </row>
    <row r="151" spans="1:9" ht="25.5" hidden="1" x14ac:dyDescent="0.25">
      <c r="A151" s="247"/>
      <c r="B151" s="32" t="s">
        <v>107</v>
      </c>
      <c r="C151" s="32" t="s">
        <v>705</v>
      </c>
      <c r="D151" s="33">
        <v>8.9999999999999993E-3</v>
      </c>
      <c r="E151" s="27">
        <v>19.094999999999999</v>
      </c>
      <c r="F151" s="30">
        <f t="shared" si="2"/>
        <v>0.17185499999999998</v>
      </c>
      <c r="G151" s="41"/>
      <c r="H151" s="42"/>
      <c r="I151" s="142">
        <v>0</v>
      </c>
    </row>
    <row r="152" spans="1:9" hidden="1" x14ac:dyDescent="0.25">
      <c r="A152" s="247"/>
      <c r="B152" s="32" t="s">
        <v>1422</v>
      </c>
      <c r="C152" s="32" t="s">
        <v>705</v>
      </c>
      <c r="D152" s="33">
        <v>6.7000000000000004E-2</v>
      </c>
      <c r="E152" s="27">
        <v>24.300999999999998</v>
      </c>
      <c r="F152" s="30">
        <f t="shared" si="2"/>
        <v>1.6281669999999999</v>
      </c>
      <c r="G152" s="41"/>
      <c r="H152" s="42"/>
      <c r="I152" s="142">
        <v>0</v>
      </c>
    </row>
    <row r="153" spans="1:9" ht="15.75" hidden="1" thickBot="1" x14ac:dyDescent="0.3">
      <c r="A153" s="253"/>
      <c r="B153" s="32" t="s">
        <v>523</v>
      </c>
      <c r="C153" s="32"/>
      <c r="D153" s="84"/>
      <c r="E153" s="27" t="s">
        <v>523</v>
      </c>
      <c r="F153" s="27" t="str">
        <f t="shared" si="2"/>
        <v/>
      </c>
      <c r="G153" s="31"/>
      <c r="H153" s="27"/>
      <c r="I153" s="142">
        <v>0</v>
      </c>
    </row>
    <row r="154" spans="1:9" ht="26.25" hidden="1" customHeight="1" x14ac:dyDescent="0.25">
      <c r="A154" s="252" t="s">
        <v>164</v>
      </c>
      <c r="B154" s="37" t="s">
        <v>523</v>
      </c>
      <c r="C154" s="22" t="s">
        <v>120</v>
      </c>
      <c r="D154" s="85"/>
      <c r="E154" s="38" t="s">
        <v>523</v>
      </c>
      <c r="F154" s="38" t="str">
        <f t="shared" si="2"/>
        <v/>
      </c>
      <c r="G154" s="25"/>
      <c r="H154" s="26"/>
      <c r="I154" s="142">
        <v>0</v>
      </c>
    </row>
    <row r="155" spans="1:9" hidden="1" x14ac:dyDescent="0.25">
      <c r="A155" s="247"/>
      <c r="B155" s="28" t="s">
        <v>523</v>
      </c>
      <c r="C155" s="28"/>
      <c r="D155" s="83"/>
      <c r="E155" s="39" t="s">
        <v>523</v>
      </c>
      <c r="F155" s="27" t="str">
        <f t="shared" si="2"/>
        <v/>
      </c>
      <c r="G155" s="31"/>
      <c r="H155" s="27"/>
      <c r="I155" s="142">
        <v>0</v>
      </c>
    </row>
    <row r="156" spans="1:9" ht="25.5" hidden="1" x14ac:dyDescent="0.25">
      <c r="A156" s="247"/>
      <c r="B156" s="32" t="s">
        <v>754</v>
      </c>
      <c r="C156" s="32" t="s">
        <v>120</v>
      </c>
      <c r="D156" s="33">
        <v>1.18</v>
      </c>
      <c r="E156" s="30">
        <v>160.53099999999998</v>
      </c>
      <c r="F156" s="30">
        <f t="shared" si="2"/>
        <v>189.42657999999997</v>
      </c>
      <c r="G156" s="41">
        <f>SUM(F156:F164)</f>
        <v>629.56807172999993</v>
      </c>
      <c r="H156" s="42"/>
      <c r="I156" s="142">
        <v>0</v>
      </c>
    </row>
    <row r="157" spans="1:9" hidden="1" x14ac:dyDescent="0.25">
      <c r="A157" s="247"/>
      <c r="B157" s="32" t="s">
        <v>1426</v>
      </c>
      <c r="C157" s="32" t="s">
        <v>901</v>
      </c>
      <c r="D157" s="33">
        <v>157.44</v>
      </c>
      <c r="E157" s="30">
        <v>1.0449999999999999</v>
      </c>
      <c r="F157" s="30">
        <f t="shared" si="2"/>
        <v>164.5248</v>
      </c>
      <c r="G157" s="41"/>
      <c r="H157" s="42"/>
      <c r="I157" s="142">
        <v>0</v>
      </c>
    </row>
    <row r="158" spans="1:9" hidden="1" x14ac:dyDescent="0.25">
      <c r="A158" s="247"/>
      <c r="B158" s="32" t="s">
        <v>750</v>
      </c>
      <c r="C158" s="32" t="s">
        <v>901</v>
      </c>
      <c r="D158" s="33">
        <v>177.12</v>
      </c>
      <c r="E158" s="30">
        <v>0.64600000000000002</v>
      </c>
      <c r="F158" s="30">
        <f t="shared" si="2"/>
        <v>114.41952000000001</v>
      </c>
      <c r="G158" s="41"/>
      <c r="H158" s="42"/>
      <c r="I158" s="142">
        <v>0</v>
      </c>
    </row>
    <row r="159" spans="1:9" hidden="1" x14ac:dyDescent="0.25">
      <c r="A159" s="247"/>
      <c r="B159" s="32" t="s">
        <v>1421</v>
      </c>
      <c r="C159" s="32" t="s">
        <v>705</v>
      </c>
      <c r="D159" s="33">
        <v>0.79</v>
      </c>
      <c r="E159" s="27">
        <v>18.420500000000001</v>
      </c>
      <c r="F159" s="30">
        <f t="shared" si="2"/>
        <v>14.552195000000001</v>
      </c>
      <c r="G159" s="41"/>
      <c r="H159" s="42"/>
      <c r="I159" s="142">
        <v>0</v>
      </c>
    </row>
    <row r="160" spans="1:9" ht="25.5" hidden="1" x14ac:dyDescent="0.25">
      <c r="A160" s="247"/>
      <c r="B160" s="32" t="s">
        <v>116</v>
      </c>
      <c r="C160" s="32" t="s">
        <v>705</v>
      </c>
      <c r="D160" s="33">
        <v>3.65</v>
      </c>
      <c r="E160" s="27">
        <v>18.534500000000001</v>
      </c>
      <c r="F160" s="30">
        <f t="shared" si="2"/>
        <v>67.650925000000001</v>
      </c>
      <c r="G160" s="41"/>
      <c r="H160" s="42"/>
      <c r="I160" s="142">
        <v>0</v>
      </c>
    </row>
    <row r="161" spans="1:9" ht="38.25" hidden="1" x14ac:dyDescent="0.25">
      <c r="A161" s="247"/>
      <c r="B161" s="32" t="s">
        <v>1439</v>
      </c>
      <c r="C161" s="32" t="s">
        <v>945</v>
      </c>
      <c r="D161" s="33">
        <v>0.85</v>
      </c>
      <c r="E161" s="27">
        <v>4.3319999999999999</v>
      </c>
      <c r="F161" s="30">
        <f t="shared" si="2"/>
        <v>3.6821999999999999</v>
      </c>
      <c r="G161" s="41"/>
      <c r="H161" s="42"/>
      <c r="I161" s="142">
        <v>0</v>
      </c>
    </row>
    <row r="162" spans="1:9" ht="38.25" hidden="1" x14ac:dyDescent="0.25">
      <c r="A162" s="247"/>
      <c r="B162" s="32" t="s">
        <v>1440</v>
      </c>
      <c r="C162" s="32" t="s">
        <v>947</v>
      </c>
      <c r="D162" s="33">
        <v>2.8</v>
      </c>
      <c r="E162" s="27">
        <v>1.52</v>
      </c>
      <c r="F162" s="30">
        <f t="shared" si="2"/>
        <v>4.2559999999999993</v>
      </c>
      <c r="G162" s="41"/>
      <c r="H162" s="42"/>
      <c r="I162" s="142">
        <v>0</v>
      </c>
    </row>
    <row r="163" spans="1:9" ht="51" hidden="1" x14ac:dyDescent="0.25">
      <c r="A163" s="247"/>
      <c r="B163" s="32" t="s">
        <v>3532</v>
      </c>
      <c r="C163" s="32" t="s">
        <v>120</v>
      </c>
      <c r="D163" s="33">
        <f>ROUND(1*D156,4)</f>
        <v>1.18</v>
      </c>
      <c r="E163" s="27">
        <v>7.8726404999999993</v>
      </c>
      <c r="F163" s="30">
        <f t="shared" si="2"/>
        <v>9.2897157899999989</v>
      </c>
      <c r="G163" s="41"/>
      <c r="H163" s="42"/>
      <c r="I163" s="142">
        <v>0</v>
      </c>
    </row>
    <row r="164" spans="1:9" ht="38.25" hidden="1" x14ac:dyDescent="0.25">
      <c r="A164" s="247"/>
      <c r="B164" s="32" t="s">
        <v>3529</v>
      </c>
      <c r="C164" s="43" t="s">
        <v>122</v>
      </c>
      <c r="D164" s="33">
        <f>ROUND(D156*20,4)</f>
        <v>23.6</v>
      </c>
      <c r="E164" s="27">
        <v>2.6172091499999994</v>
      </c>
      <c r="F164" s="30">
        <f t="shared" si="2"/>
        <v>61.766135939999991</v>
      </c>
      <c r="G164" s="41"/>
      <c r="H164" s="42"/>
      <c r="I164" s="142">
        <v>0</v>
      </c>
    </row>
    <row r="165" spans="1:9" hidden="1" x14ac:dyDescent="0.25">
      <c r="A165" s="247"/>
      <c r="B165" s="47"/>
      <c r="C165" s="43"/>
      <c r="D165" s="33"/>
      <c r="E165" s="27" t="s">
        <v>523</v>
      </c>
      <c r="F165" s="30" t="str">
        <f t="shared" si="2"/>
        <v/>
      </c>
      <c r="G165" s="41"/>
      <c r="H165" s="42"/>
      <c r="I165" s="142">
        <v>0</v>
      </c>
    </row>
    <row r="166" spans="1:9" ht="15.75" hidden="1" customHeight="1" x14ac:dyDescent="0.25">
      <c r="A166" s="247"/>
      <c r="B166" s="44" t="s">
        <v>757</v>
      </c>
      <c r="C166" s="43"/>
      <c r="D166" s="33"/>
      <c r="E166" s="27" t="s">
        <v>523</v>
      </c>
      <c r="F166" s="30" t="str">
        <f t="shared" si="2"/>
        <v/>
      </c>
      <c r="G166" s="41"/>
      <c r="H166" s="42"/>
      <c r="I166" s="142">
        <v>0</v>
      </c>
    </row>
    <row r="167" spans="1:9" ht="15.75" hidden="1" thickBot="1" x14ac:dyDescent="0.3">
      <c r="A167" s="253"/>
      <c r="B167" s="32"/>
      <c r="C167" s="32"/>
      <c r="D167" s="84"/>
      <c r="E167" s="27" t="s">
        <v>523</v>
      </c>
      <c r="F167" s="27" t="str">
        <f t="shared" si="2"/>
        <v/>
      </c>
      <c r="G167" s="31"/>
      <c r="H167" s="27"/>
      <c r="I167" s="142">
        <v>0</v>
      </c>
    </row>
    <row r="168" spans="1:9" ht="27" hidden="1" customHeight="1" x14ac:dyDescent="0.25">
      <c r="A168" s="252" t="s">
        <v>1348</v>
      </c>
      <c r="B168" s="37" t="s">
        <v>523</v>
      </c>
      <c r="C168" s="22" t="s">
        <v>120</v>
      </c>
      <c r="D168" s="85"/>
      <c r="E168" s="38" t="s">
        <v>523</v>
      </c>
      <c r="F168" s="38" t="str">
        <f t="shared" si="2"/>
        <v/>
      </c>
      <c r="G168" s="25"/>
      <c r="H168" s="26"/>
      <c r="I168" s="142">
        <v>0</v>
      </c>
    </row>
    <row r="169" spans="1:9" hidden="1" x14ac:dyDescent="0.25">
      <c r="A169" s="247"/>
      <c r="B169" s="28" t="s">
        <v>523</v>
      </c>
      <c r="C169" s="28"/>
      <c r="D169" s="83"/>
      <c r="E169" s="39" t="s">
        <v>523</v>
      </c>
      <c r="F169" s="27" t="str">
        <f t="shared" si="2"/>
        <v/>
      </c>
      <c r="G169" s="31"/>
      <c r="H169" s="27"/>
      <c r="I169" s="142">
        <v>0</v>
      </c>
    </row>
    <row r="170" spans="1:9" ht="25.5" hidden="1" x14ac:dyDescent="0.25">
      <c r="A170" s="247"/>
      <c r="B170" s="32" t="s">
        <v>754</v>
      </c>
      <c r="C170" s="32" t="s">
        <v>120</v>
      </c>
      <c r="D170" s="33">
        <v>1.36</v>
      </c>
      <c r="E170" s="30">
        <v>160.53099999999998</v>
      </c>
      <c r="F170" s="30">
        <f t="shared" si="2"/>
        <v>218.32216</v>
      </c>
      <c r="G170" s="41">
        <f>SUM(F170:F176)</f>
        <v>690.12876996</v>
      </c>
      <c r="H170" s="42"/>
      <c r="I170" s="142">
        <v>0</v>
      </c>
    </row>
    <row r="171" spans="1:9" hidden="1" x14ac:dyDescent="0.25">
      <c r="A171" s="247"/>
      <c r="B171" s="32" t="s">
        <v>750</v>
      </c>
      <c r="C171" s="32" t="s">
        <v>901</v>
      </c>
      <c r="D171" s="33">
        <v>459.85</v>
      </c>
      <c r="E171" s="30">
        <v>0.64600000000000002</v>
      </c>
      <c r="F171" s="30">
        <f t="shared" si="2"/>
        <v>297.06310000000002</v>
      </c>
      <c r="G171" s="41"/>
      <c r="H171" s="42"/>
      <c r="I171" s="142">
        <v>0</v>
      </c>
    </row>
    <row r="172" spans="1:9" ht="15.75" hidden="1" customHeight="1" x14ac:dyDescent="0.25">
      <c r="A172" s="247"/>
      <c r="B172" s="32" t="s">
        <v>116</v>
      </c>
      <c r="C172" s="32" t="s">
        <v>705</v>
      </c>
      <c r="D172" s="33">
        <v>4.8499999999999996</v>
      </c>
      <c r="E172" s="27">
        <v>18.534500000000001</v>
      </c>
      <c r="F172" s="30">
        <f t="shared" si="2"/>
        <v>89.892325</v>
      </c>
      <c r="G172" s="41"/>
      <c r="H172" s="42"/>
      <c r="I172" s="142">
        <v>0</v>
      </c>
    </row>
    <row r="173" spans="1:9" ht="38.25" hidden="1" x14ac:dyDescent="0.25">
      <c r="A173" s="247"/>
      <c r="B173" s="32" t="s">
        <v>1427</v>
      </c>
      <c r="C173" s="32" t="s">
        <v>945</v>
      </c>
      <c r="D173" s="33">
        <v>1.1299999999999999</v>
      </c>
      <c r="E173" s="27">
        <v>1.3964999999999999</v>
      </c>
      <c r="F173" s="30">
        <f t="shared" si="2"/>
        <v>1.5780449999999997</v>
      </c>
      <c r="G173" s="41"/>
      <c r="H173" s="42"/>
      <c r="I173" s="142">
        <v>0</v>
      </c>
    </row>
    <row r="174" spans="1:9" ht="38.25" hidden="1" x14ac:dyDescent="0.25">
      <c r="A174" s="247"/>
      <c r="B174" s="32" t="s">
        <v>1428</v>
      </c>
      <c r="C174" s="32" t="s">
        <v>947</v>
      </c>
      <c r="D174" s="33">
        <v>3.72</v>
      </c>
      <c r="E174" s="27">
        <v>0.3705</v>
      </c>
      <c r="F174" s="30">
        <f t="shared" si="2"/>
        <v>1.37826</v>
      </c>
      <c r="G174" s="41"/>
      <c r="H174" s="42"/>
      <c r="I174" s="142">
        <v>0</v>
      </c>
    </row>
    <row r="175" spans="1:9" ht="51" hidden="1" x14ac:dyDescent="0.25">
      <c r="A175" s="247"/>
      <c r="B175" s="32" t="s">
        <v>3532</v>
      </c>
      <c r="C175" s="32" t="s">
        <v>120</v>
      </c>
      <c r="D175" s="33">
        <f>ROUND(1*D170,4)</f>
        <v>1.36</v>
      </c>
      <c r="E175" s="27">
        <v>7.8726404999999993</v>
      </c>
      <c r="F175" s="30">
        <f t="shared" si="2"/>
        <v>10.70679108</v>
      </c>
      <c r="G175" s="41"/>
      <c r="H175" s="42"/>
      <c r="I175" s="142">
        <v>0</v>
      </c>
    </row>
    <row r="176" spans="1:9" ht="38.25" hidden="1" x14ac:dyDescent="0.25">
      <c r="A176" s="247"/>
      <c r="B176" s="32" t="s">
        <v>3529</v>
      </c>
      <c r="C176" s="43" t="s">
        <v>122</v>
      </c>
      <c r="D176" s="33">
        <f>ROUND(D170*20,4)</f>
        <v>27.2</v>
      </c>
      <c r="E176" s="27">
        <v>2.6172091499999994</v>
      </c>
      <c r="F176" s="30">
        <f t="shared" si="2"/>
        <v>71.188088879999981</v>
      </c>
      <c r="G176" s="41"/>
      <c r="H176" s="42"/>
      <c r="I176" s="142">
        <v>0</v>
      </c>
    </row>
    <row r="177" spans="1:9" hidden="1" x14ac:dyDescent="0.25">
      <c r="A177" s="247"/>
      <c r="B177" s="47"/>
      <c r="C177" s="43"/>
      <c r="D177" s="33"/>
      <c r="E177" s="27" t="s">
        <v>523</v>
      </c>
      <c r="F177" s="30" t="str">
        <f t="shared" si="2"/>
        <v/>
      </c>
      <c r="G177" s="41"/>
      <c r="H177" s="42"/>
      <c r="I177" s="142">
        <v>0</v>
      </c>
    </row>
    <row r="178" spans="1:9" ht="15.75" hidden="1" customHeight="1" x14ac:dyDescent="0.25">
      <c r="A178" s="247"/>
      <c r="B178" s="44" t="s">
        <v>757</v>
      </c>
      <c r="C178" s="43"/>
      <c r="D178" s="33"/>
      <c r="E178" s="27" t="s">
        <v>523</v>
      </c>
      <c r="F178" s="30" t="str">
        <f t="shared" si="2"/>
        <v/>
      </c>
      <c r="G178" s="41"/>
      <c r="H178" s="42"/>
      <c r="I178" s="142">
        <v>0</v>
      </c>
    </row>
    <row r="179" spans="1:9" ht="15.75" hidden="1" thickBot="1" x14ac:dyDescent="0.3">
      <c r="A179" s="253"/>
      <c r="B179" s="32"/>
      <c r="C179" s="32"/>
      <c r="D179" s="84"/>
      <c r="E179" s="27" t="s">
        <v>523</v>
      </c>
      <c r="F179" s="27" t="str">
        <f t="shared" si="2"/>
        <v/>
      </c>
      <c r="G179" s="31"/>
      <c r="H179" s="27"/>
      <c r="I179" s="142">
        <v>0</v>
      </c>
    </row>
    <row r="180" spans="1:9" ht="15" hidden="1" customHeight="1" x14ac:dyDescent="0.25">
      <c r="A180" s="252" t="s">
        <v>948</v>
      </c>
      <c r="B180" s="37" t="s">
        <v>523</v>
      </c>
      <c r="C180" s="22" t="s">
        <v>120</v>
      </c>
      <c r="D180" s="85"/>
      <c r="E180" s="38" t="s">
        <v>523</v>
      </c>
      <c r="F180" s="38" t="str">
        <f t="shared" si="2"/>
        <v/>
      </c>
      <c r="G180" s="25"/>
      <c r="H180" s="26"/>
      <c r="I180" s="142">
        <v>0</v>
      </c>
    </row>
    <row r="181" spans="1:9" hidden="1" x14ac:dyDescent="0.25">
      <c r="A181" s="247"/>
      <c r="B181" s="28" t="s">
        <v>523</v>
      </c>
      <c r="C181" s="28"/>
      <c r="D181" s="83"/>
      <c r="E181" s="39" t="s">
        <v>523</v>
      </c>
      <c r="F181" s="27" t="str">
        <f t="shared" si="2"/>
        <v/>
      </c>
      <c r="G181" s="31"/>
      <c r="H181" s="27"/>
      <c r="I181" s="142">
        <v>0</v>
      </c>
    </row>
    <row r="182" spans="1:9" ht="51" hidden="1" x14ac:dyDescent="0.25">
      <c r="A182" s="247"/>
      <c r="B182" s="32" t="s">
        <v>950</v>
      </c>
      <c r="C182" s="32" t="s">
        <v>945</v>
      </c>
      <c r="D182" s="33">
        <v>6.0000000000000001E-3</v>
      </c>
      <c r="E182" s="30">
        <v>312.83499999999998</v>
      </c>
      <c r="F182" s="30">
        <f t="shared" si="2"/>
        <v>1.8770099999999998</v>
      </c>
      <c r="G182" s="41">
        <f>SUM(F182:F184)</f>
        <v>2.1993734999999996</v>
      </c>
      <c r="H182" s="42"/>
      <c r="I182" s="142">
        <v>0</v>
      </c>
    </row>
    <row r="183" spans="1:9" ht="51" hidden="1" x14ac:dyDescent="0.25">
      <c r="A183" s="247"/>
      <c r="B183" s="32" t="s">
        <v>951</v>
      </c>
      <c r="C183" s="32" t="s">
        <v>947</v>
      </c>
      <c r="D183" s="33">
        <v>3.0000000000000001E-3</v>
      </c>
      <c r="E183" s="30">
        <v>52.192999999999998</v>
      </c>
      <c r="F183" s="30">
        <f t="shared" si="2"/>
        <v>0.156579</v>
      </c>
      <c r="G183" s="41"/>
      <c r="H183" s="42"/>
      <c r="I183" s="142">
        <v>0</v>
      </c>
    </row>
    <row r="184" spans="1:9" ht="15.75" hidden="1" customHeight="1" x14ac:dyDescent="0.25">
      <c r="A184" s="247"/>
      <c r="B184" s="32" t="s">
        <v>706</v>
      </c>
      <c r="C184" s="32" t="s">
        <v>705</v>
      </c>
      <c r="D184" s="33">
        <v>8.9999999999999993E-3</v>
      </c>
      <c r="E184" s="30">
        <v>18.420500000000001</v>
      </c>
      <c r="F184" s="30">
        <f t="shared" si="2"/>
        <v>0.1657845</v>
      </c>
      <c r="G184" s="41"/>
      <c r="H184" s="42"/>
      <c r="I184" s="142">
        <v>0</v>
      </c>
    </row>
    <row r="185" spans="1:9" ht="15.75" hidden="1" thickBot="1" x14ac:dyDescent="0.3">
      <c r="A185" s="253"/>
      <c r="B185" s="32"/>
      <c r="C185" s="32"/>
      <c r="D185" s="84"/>
      <c r="E185" s="27" t="s">
        <v>523</v>
      </c>
      <c r="F185" s="27" t="str">
        <f t="shared" si="2"/>
        <v/>
      </c>
      <c r="G185" s="31"/>
      <c r="H185" s="27"/>
      <c r="I185" s="142">
        <v>0</v>
      </c>
    </row>
    <row r="186" spans="1:9" ht="15" hidden="1" customHeight="1" x14ac:dyDescent="0.25">
      <c r="A186" s="252" t="s">
        <v>7777</v>
      </c>
      <c r="B186" s="37" t="s">
        <v>523</v>
      </c>
      <c r="C186" s="22" t="s">
        <v>901</v>
      </c>
      <c r="D186" s="85"/>
      <c r="E186" s="38" t="s">
        <v>523</v>
      </c>
      <c r="F186" s="38" t="str">
        <f t="shared" si="2"/>
        <v/>
      </c>
      <c r="G186" s="25"/>
      <c r="H186" s="26"/>
      <c r="I186" s="142">
        <v>0</v>
      </c>
    </row>
    <row r="187" spans="1:9" hidden="1" x14ac:dyDescent="0.25">
      <c r="A187" s="247"/>
      <c r="B187" s="28" t="s">
        <v>523</v>
      </c>
      <c r="C187" s="28"/>
      <c r="D187" s="83"/>
      <c r="E187" s="39" t="s">
        <v>523</v>
      </c>
      <c r="F187" s="27" t="str">
        <f t="shared" si="2"/>
        <v/>
      </c>
      <c r="G187" s="31"/>
      <c r="H187" s="27"/>
      <c r="I187" s="142">
        <v>0</v>
      </c>
    </row>
    <row r="188" spans="1:9" hidden="1" x14ac:dyDescent="0.25">
      <c r="A188" s="247"/>
      <c r="B188" s="32" t="s">
        <v>771</v>
      </c>
      <c r="C188" s="32" t="s">
        <v>901</v>
      </c>
      <c r="D188" s="33">
        <v>1.1100000000000001</v>
      </c>
      <c r="E188" s="30">
        <v>10.782499999999999</v>
      </c>
      <c r="F188" s="30">
        <f t="shared" si="2"/>
        <v>11.968575</v>
      </c>
      <c r="G188" s="41">
        <f>SUM(F188:F190)</f>
        <v>12.581742999999999</v>
      </c>
      <c r="H188" s="42"/>
      <c r="I188" s="142">
        <v>0</v>
      </c>
    </row>
    <row r="189" spans="1:9" ht="15.75" hidden="1" customHeight="1" x14ac:dyDescent="0.25">
      <c r="A189" s="247"/>
      <c r="B189" s="32" t="s">
        <v>903</v>
      </c>
      <c r="C189" s="32" t="s">
        <v>705</v>
      </c>
      <c r="D189" s="33">
        <v>3.2000000000000002E-3</v>
      </c>
      <c r="E189" s="30">
        <v>18.3825</v>
      </c>
      <c r="F189" s="30">
        <f t="shared" si="2"/>
        <v>5.8824000000000001E-2</v>
      </c>
      <c r="G189" s="41"/>
      <c r="H189" s="42"/>
      <c r="I189" s="142">
        <v>0</v>
      </c>
    </row>
    <row r="190" spans="1:9" hidden="1" x14ac:dyDescent="0.25">
      <c r="A190" s="247"/>
      <c r="B190" s="32" t="s">
        <v>904</v>
      </c>
      <c r="C190" s="32" t="s">
        <v>705</v>
      </c>
      <c r="D190" s="33">
        <v>2.24E-2</v>
      </c>
      <c r="E190" s="30">
        <v>24.747499999999999</v>
      </c>
      <c r="F190" s="30">
        <f t="shared" si="2"/>
        <v>0.55434399999999995</v>
      </c>
      <c r="G190" s="41"/>
      <c r="H190" s="42"/>
      <c r="I190" s="142">
        <v>0</v>
      </c>
    </row>
    <row r="191" spans="1:9" ht="15.75" hidden="1" thickBot="1" x14ac:dyDescent="0.3">
      <c r="A191" s="253"/>
      <c r="B191" s="32" t="s">
        <v>523</v>
      </c>
      <c r="C191" s="32"/>
      <c r="D191" s="84"/>
      <c r="E191" s="27" t="s">
        <v>523</v>
      </c>
      <c r="F191" s="27" t="str">
        <f t="shared" si="2"/>
        <v/>
      </c>
      <c r="G191" s="31"/>
      <c r="H191" s="27"/>
      <c r="I191" s="142">
        <v>0</v>
      </c>
    </row>
    <row r="192" spans="1:9" ht="15" hidden="1" customHeight="1" x14ac:dyDescent="0.25">
      <c r="A192" s="252" t="s">
        <v>7778</v>
      </c>
      <c r="B192" s="37" t="s">
        <v>523</v>
      </c>
      <c r="C192" s="22" t="s">
        <v>901</v>
      </c>
      <c r="D192" s="85"/>
      <c r="E192" s="38" t="s">
        <v>523</v>
      </c>
      <c r="F192" s="38" t="str">
        <f t="shared" si="2"/>
        <v/>
      </c>
      <c r="G192" s="25"/>
      <c r="H192" s="26"/>
      <c r="I192" s="142">
        <v>0</v>
      </c>
    </row>
    <row r="193" spans="1:9" ht="15.75" hidden="1" customHeight="1" x14ac:dyDescent="0.25">
      <c r="A193" s="247"/>
      <c r="B193" s="28" t="s">
        <v>523</v>
      </c>
      <c r="C193" s="28"/>
      <c r="D193" s="83"/>
      <c r="E193" s="39" t="s">
        <v>523</v>
      </c>
      <c r="F193" s="27" t="str">
        <f t="shared" si="2"/>
        <v/>
      </c>
      <c r="G193" s="31"/>
      <c r="H193" s="27"/>
      <c r="I193" s="142">
        <v>0</v>
      </c>
    </row>
    <row r="194" spans="1:9" hidden="1" x14ac:dyDescent="0.25">
      <c r="A194" s="247"/>
      <c r="B194" s="32" t="s">
        <v>775</v>
      </c>
      <c r="C194" s="32" t="s">
        <v>901</v>
      </c>
      <c r="D194" s="33">
        <v>1.1100000000000001</v>
      </c>
      <c r="E194" s="30">
        <v>8.8064999999999998</v>
      </c>
      <c r="F194" s="30">
        <f t="shared" si="2"/>
        <v>9.7752150000000011</v>
      </c>
      <c r="G194" s="41">
        <f>SUM(F194:F196)</f>
        <v>9.9668299999999999</v>
      </c>
      <c r="H194" s="42"/>
      <c r="I194" s="142">
        <v>0</v>
      </c>
    </row>
    <row r="195" spans="1:9" hidden="1" x14ac:dyDescent="0.25">
      <c r="A195" s="247"/>
      <c r="B195" s="32" t="s">
        <v>903</v>
      </c>
      <c r="C195" s="32" t="s">
        <v>705</v>
      </c>
      <c r="D195" s="33">
        <v>1E-3</v>
      </c>
      <c r="E195" s="30">
        <v>18.3825</v>
      </c>
      <c r="F195" s="30">
        <f t="shared" si="2"/>
        <v>1.83825E-2</v>
      </c>
      <c r="G195" s="41"/>
      <c r="H195" s="42"/>
      <c r="I195" s="142">
        <v>0</v>
      </c>
    </row>
    <row r="196" spans="1:9" hidden="1" x14ac:dyDescent="0.25">
      <c r="A196" s="247"/>
      <c r="B196" s="32" t="s">
        <v>904</v>
      </c>
      <c r="C196" s="32" t="s">
        <v>705</v>
      </c>
      <c r="D196" s="33">
        <v>7.0000000000000001E-3</v>
      </c>
      <c r="E196" s="30">
        <v>24.747499999999999</v>
      </c>
      <c r="F196" s="30">
        <f t="shared" si="2"/>
        <v>0.17323249999999998</v>
      </c>
      <c r="G196" s="41"/>
      <c r="H196" s="42"/>
      <c r="I196" s="142">
        <v>0</v>
      </c>
    </row>
    <row r="197" spans="1:9" ht="15.75" hidden="1" thickBot="1" x14ac:dyDescent="0.3">
      <c r="A197" s="253"/>
      <c r="B197" s="32" t="s">
        <v>523</v>
      </c>
      <c r="C197" s="32"/>
      <c r="D197" s="84"/>
      <c r="E197" s="27" t="s">
        <v>523</v>
      </c>
      <c r="F197" s="27" t="str">
        <f t="shared" si="2"/>
        <v/>
      </c>
      <c r="G197" s="31"/>
      <c r="H197" s="27"/>
      <c r="I197" s="142">
        <v>0</v>
      </c>
    </row>
    <row r="198" spans="1:9" ht="15" hidden="1" customHeight="1" x14ac:dyDescent="0.25">
      <c r="A198" s="252" t="s">
        <v>7779</v>
      </c>
      <c r="B198" s="37" t="s">
        <v>523</v>
      </c>
      <c r="C198" s="22" t="s">
        <v>901</v>
      </c>
      <c r="D198" s="85"/>
      <c r="E198" s="38" t="s">
        <v>523</v>
      </c>
      <c r="F198" s="38" t="str">
        <f t="shared" ref="F198:F261" si="3">IF(ISNUMBER(E198),E198*$D198,"")</f>
        <v/>
      </c>
      <c r="G198" s="25"/>
      <c r="H198" s="26"/>
      <c r="I198" s="142">
        <v>0</v>
      </c>
    </row>
    <row r="199" spans="1:9" hidden="1" x14ac:dyDescent="0.25">
      <c r="A199" s="247"/>
      <c r="B199" s="28" t="s">
        <v>523</v>
      </c>
      <c r="C199" s="28"/>
      <c r="D199" s="83"/>
      <c r="E199" s="39" t="s">
        <v>523</v>
      </c>
      <c r="F199" s="27" t="str">
        <f t="shared" si="3"/>
        <v/>
      </c>
      <c r="G199" s="31"/>
      <c r="H199" s="27"/>
      <c r="I199" s="142">
        <v>0</v>
      </c>
    </row>
    <row r="200" spans="1:9" hidden="1" x14ac:dyDescent="0.25">
      <c r="A200" s="247"/>
      <c r="B200" s="32" t="s">
        <v>1441</v>
      </c>
      <c r="C200" s="32" t="s">
        <v>901</v>
      </c>
      <c r="D200" s="33">
        <v>1.1399999999999999</v>
      </c>
      <c r="E200" s="30">
        <v>8.8064999999999998</v>
      </c>
      <c r="F200" s="30">
        <f t="shared" si="3"/>
        <v>10.039409999999998</v>
      </c>
      <c r="G200" s="41">
        <f>SUM(F200:F201)</f>
        <v>10.088904999999999</v>
      </c>
      <c r="H200" s="42"/>
      <c r="I200" s="142">
        <v>0</v>
      </c>
    </row>
    <row r="201" spans="1:9" ht="15.75" hidden="1" customHeight="1" x14ac:dyDescent="0.25">
      <c r="A201" s="247"/>
      <c r="B201" s="32" t="s">
        <v>904</v>
      </c>
      <c r="C201" s="32" t="s">
        <v>705</v>
      </c>
      <c r="D201" s="33">
        <v>2E-3</v>
      </c>
      <c r="E201" s="30">
        <v>24.747499999999999</v>
      </c>
      <c r="F201" s="30">
        <f t="shared" si="3"/>
        <v>4.9494999999999997E-2</v>
      </c>
      <c r="G201" s="41"/>
      <c r="H201" s="42"/>
      <c r="I201" s="142">
        <v>0</v>
      </c>
    </row>
    <row r="202" spans="1:9" ht="15.75" hidden="1" thickBot="1" x14ac:dyDescent="0.3">
      <c r="A202" s="253"/>
      <c r="B202" s="32" t="s">
        <v>523</v>
      </c>
      <c r="C202" s="32"/>
      <c r="D202" s="84"/>
      <c r="E202" s="27" t="s">
        <v>523</v>
      </c>
      <c r="F202" s="27" t="str">
        <f t="shared" si="3"/>
        <v/>
      </c>
      <c r="G202" s="31"/>
      <c r="H202" s="27"/>
      <c r="I202" s="142">
        <v>0</v>
      </c>
    </row>
    <row r="203" spans="1:9" ht="40.15" hidden="1" customHeight="1" x14ac:dyDescent="0.25">
      <c r="A203" s="252" t="s">
        <v>989</v>
      </c>
      <c r="B203" s="37" t="s">
        <v>523</v>
      </c>
      <c r="C203" s="22" t="s">
        <v>990</v>
      </c>
      <c r="D203" s="85"/>
      <c r="E203" s="38" t="s">
        <v>523</v>
      </c>
      <c r="F203" s="38" t="str">
        <f t="shared" si="3"/>
        <v/>
      </c>
      <c r="G203" s="25"/>
      <c r="H203" s="26"/>
      <c r="I203" s="142">
        <v>0</v>
      </c>
    </row>
    <row r="204" spans="1:9" hidden="1" x14ac:dyDescent="0.25">
      <c r="A204" s="247"/>
      <c r="B204" s="28" t="s">
        <v>523</v>
      </c>
      <c r="C204" s="28"/>
      <c r="D204" s="83"/>
      <c r="E204" s="39" t="s">
        <v>523</v>
      </c>
      <c r="F204" s="27" t="str">
        <f t="shared" si="3"/>
        <v/>
      </c>
      <c r="G204" s="31"/>
      <c r="H204" s="27"/>
      <c r="I204" s="142">
        <v>0</v>
      </c>
    </row>
    <row r="205" spans="1:9" hidden="1" x14ac:dyDescent="0.25">
      <c r="A205" s="247"/>
      <c r="B205" s="32" t="s">
        <v>706</v>
      </c>
      <c r="C205" s="32" t="s">
        <v>705</v>
      </c>
      <c r="D205" s="33">
        <v>0.61180000000000001</v>
      </c>
      <c r="E205" s="30">
        <v>18.420500000000001</v>
      </c>
      <c r="F205" s="30">
        <f t="shared" si="3"/>
        <v>11.269661900000001</v>
      </c>
      <c r="G205" s="41">
        <f>SUM(F205:F205)</f>
        <v>11.269661900000001</v>
      </c>
      <c r="H205" s="42"/>
      <c r="I205" s="142">
        <v>0</v>
      </c>
    </row>
    <row r="206" spans="1:9" ht="15.75" hidden="1" customHeight="1" x14ac:dyDescent="0.25">
      <c r="A206" s="253"/>
      <c r="B206" s="51" t="s">
        <v>523</v>
      </c>
      <c r="C206" s="51"/>
      <c r="D206" s="87"/>
      <c r="E206" s="63" t="s">
        <v>523</v>
      </c>
      <c r="F206" s="63" t="str">
        <f t="shared" si="3"/>
        <v/>
      </c>
      <c r="G206" s="65"/>
      <c r="H206" s="27"/>
      <c r="I206" s="142">
        <v>0</v>
      </c>
    </row>
    <row r="207" spans="1:9" ht="27" hidden="1" customHeight="1" x14ac:dyDescent="0.25">
      <c r="A207" s="252" t="s">
        <v>7723</v>
      </c>
      <c r="B207" s="37" t="s">
        <v>523</v>
      </c>
      <c r="C207" s="22" t="s">
        <v>120</v>
      </c>
      <c r="D207" s="85"/>
      <c r="E207" s="38" t="s">
        <v>523</v>
      </c>
      <c r="F207" s="38" t="str">
        <f t="shared" si="3"/>
        <v/>
      </c>
      <c r="G207" s="25"/>
      <c r="H207" s="26"/>
      <c r="I207" s="142">
        <v>0</v>
      </c>
    </row>
    <row r="208" spans="1:9" hidden="1" x14ac:dyDescent="0.25">
      <c r="A208" s="247"/>
      <c r="B208" s="28" t="s">
        <v>523</v>
      </c>
      <c r="C208" s="28"/>
      <c r="D208" s="83"/>
      <c r="E208" s="39" t="s">
        <v>523</v>
      </c>
      <c r="F208" s="27" t="str">
        <f t="shared" si="3"/>
        <v/>
      </c>
      <c r="G208" s="31"/>
      <c r="H208" s="27"/>
      <c r="I208" s="142">
        <v>0</v>
      </c>
    </row>
    <row r="209" spans="1:9" hidden="1" x14ac:dyDescent="0.25">
      <c r="A209" s="247"/>
      <c r="B209" s="32" t="s">
        <v>78</v>
      </c>
      <c r="C209" s="32" t="s">
        <v>12</v>
      </c>
      <c r="D209" s="33">
        <v>2.4590000000000001</v>
      </c>
      <c r="E209" s="30">
        <v>24.633499999999998</v>
      </c>
      <c r="F209" s="30">
        <f t="shared" si="3"/>
        <v>60.573776499999994</v>
      </c>
      <c r="G209" s="41">
        <f>SUM(F209:F213)</f>
        <v>259.64763499999998</v>
      </c>
      <c r="H209" s="42"/>
      <c r="I209" s="142">
        <v>0</v>
      </c>
    </row>
    <row r="210" spans="1:9" hidden="1" x14ac:dyDescent="0.25">
      <c r="A210" s="247"/>
      <c r="B210" s="32" t="s">
        <v>22</v>
      </c>
      <c r="C210" s="32" t="s">
        <v>12</v>
      </c>
      <c r="D210" s="33">
        <v>2.4590000000000001</v>
      </c>
      <c r="E210" s="30">
        <v>24.889999999999997</v>
      </c>
      <c r="F210" s="30">
        <f t="shared" si="3"/>
        <v>61.204509999999992</v>
      </c>
      <c r="G210" s="41"/>
      <c r="H210" s="42"/>
      <c r="I210" s="142">
        <v>0</v>
      </c>
    </row>
    <row r="211" spans="1:9" ht="15.75" hidden="1" customHeight="1" x14ac:dyDescent="0.25">
      <c r="A211" s="247"/>
      <c r="B211" s="32" t="s">
        <v>23</v>
      </c>
      <c r="C211" s="32" t="s">
        <v>12</v>
      </c>
      <c r="D211" s="33">
        <v>7.3769999999999998</v>
      </c>
      <c r="E211" s="27">
        <v>18.420500000000001</v>
      </c>
      <c r="F211" s="30">
        <f t="shared" si="3"/>
        <v>135.88802849999999</v>
      </c>
      <c r="G211" s="41"/>
      <c r="H211" s="42"/>
      <c r="I211" s="142">
        <v>0</v>
      </c>
    </row>
    <row r="212" spans="1:9" ht="25.5" hidden="1" x14ac:dyDescent="0.25">
      <c r="A212" s="247"/>
      <c r="B212" s="32" t="s">
        <v>1442</v>
      </c>
      <c r="C212" s="43" t="s">
        <v>33</v>
      </c>
      <c r="D212" s="33">
        <v>1.042</v>
      </c>
      <c r="E212" s="27">
        <v>1.1779999999999999</v>
      </c>
      <c r="F212" s="86">
        <f t="shared" si="3"/>
        <v>1.227476</v>
      </c>
      <c r="G212" s="41"/>
      <c r="H212" s="42"/>
      <c r="I212" s="142">
        <v>0</v>
      </c>
    </row>
    <row r="213" spans="1:9" ht="25.5" hidden="1" x14ac:dyDescent="0.25">
      <c r="A213" s="247"/>
      <c r="B213" s="32" t="s">
        <v>1443</v>
      </c>
      <c r="C213" s="43" t="s">
        <v>35</v>
      </c>
      <c r="D213" s="33">
        <v>1.417</v>
      </c>
      <c r="E213" s="27">
        <v>0.53200000000000003</v>
      </c>
      <c r="F213" s="86">
        <f t="shared" si="3"/>
        <v>0.75384400000000007</v>
      </c>
      <c r="G213" s="41"/>
      <c r="H213" s="42"/>
      <c r="I213" s="142">
        <v>0</v>
      </c>
    </row>
    <row r="214" spans="1:9" ht="15.75" hidden="1" thickBot="1" x14ac:dyDescent="0.3">
      <c r="A214" s="253"/>
      <c r="B214" s="32"/>
      <c r="C214" s="32"/>
      <c r="D214" s="84"/>
      <c r="E214" s="27" t="s">
        <v>523</v>
      </c>
      <c r="F214" s="27" t="str">
        <f t="shared" si="3"/>
        <v/>
      </c>
      <c r="G214" s="31"/>
      <c r="H214" s="27"/>
      <c r="I214" s="142">
        <v>0</v>
      </c>
    </row>
    <row r="215" spans="1:9" ht="27" hidden="1" customHeight="1" x14ac:dyDescent="0.25">
      <c r="A215" s="252" t="s">
        <v>3529</v>
      </c>
      <c r="B215" s="37" t="s">
        <v>523</v>
      </c>
      <c r="C215" s="22" t="s">
        <v>122</v>
      </c>
      <c r="D215" s="85"/>
      <c r="E215" s="38" t="s">
        <v>523</v>
      </c>
      <c r="F215" s="38" t="str">
        <f t="shared" si="3"/>
        <v/>
      </c>
      <c r="G215" s="25"/>
      <c r="H215" s="26"/>
      <c r="I215" s="142">
        <v>0</v>
      </c>
    </row>
    <row r="216" spans="1:9" hidden="1" x14ac:dyDescent="0.25">
      <c r="A216" s="247"/>
      <c r="B216" s="28" t="s">
        <v>523</v>
      </c>
      <c r="C216" s="28"/>
      <c r="D216" s="83"/>
      <c r="E216" s="39" t="s">
        <v>523</v>
      </c>
      <c r="F216" s="27" t="str">
        <f t="shared" si="3"/>
        <v/>
      </c>
      <c r="G216" s="31"/>
      <c r="H216" s="27"/>
      <c r="I216" s="142">
        <v>0</v>
      </c>
    </row>
    <row r="217" spans="1:9" ht="51" hidden="1" x14ac:dyDescent="0.25">
      <c r="A217" s="247"/>
      <c r="B217" s="32" t="s">
        <v>1080</v>
      </c>
      <c r="C217" s="32" t="s">
        <v>945</v>
      </c>
      <c r="D217" s="33">
        <v>1.3899999999999999E-2</v>
      </c>
      <c r="E217" s="30">
        <v>169.31849999999997</v>
      </c>
      <c r="F217" s="30">
        <f t="shared" si="3"/>
        <v>2.3535271499999997</v>
      </c>
      <c r="G217" s="41">
        <f>SUM(F217:F218)</f>
        <v>2.6172091499999999</v>
      </c>
      <c r="H217" s="42"/>
      <c r="I217" s="142">
        <v>0</v>
      </c>
    </row>
    <row r="218" spans="1:9" ht="51" hidden="1" x14ac:dyDescent="0.25">
      <c r="A218" s="247"/>
      <c r="B218" s="32" t="s">
        <v>1081</v>
      </c>
      <c r="C218" s="32" t="s">
        <v>947</v>
      </c>
      <c r="D218" s="33">
        <v>6.0000000000000001E-3</v>
      </c>
      <c r="E218" s="30">
        <v>43.946999999999996</v>
      </c>
      <c r="F218" s="30">
        <f t="shared" si="3"/>
        <v>0.26368199999999997</v>
      </c>
      <c r="G218" s="41"/>
      <c r="H218" s="42"/>
      <c r="I218" s="142">
        <v>0</v>
      </c>
    </row>
    <row r="219" spans="1:9" ht="15.75" hidden="1" thickBot="1" x14ac:dyDescent="0.3">
      <c r="A219" s="253"/>
      <c r="B219" s="51" t="s">
        <v>523</v>
      </c>
      <c r="C219" s="51"/>
      <c r="D219" s="87"/>
      <c r="E219" s="63" t="s">
        <v>523</v>
      </c>
      <c r="F219" s="63" t="str">
        <f t="shared" si="3"/>
        <v/>
      </c>
      <c r="G219" s="65"/>
      <c r="H219" s="27"/>
      <c r="I219" s="142">
        <v>0</v>
      </c>
    </row>
    <row r="220" spans="1:9" ht="27" hidden="1" customHeight="1" x14ac:dyDescent="0.25">
      <c r="A220" s="252" t="s">
        <v>3527</v>
      </c>
      <c r="B220" s="37" t="s">
        <v>523</v>
      </c>
      <c r="C220" s="22" t="s">
        <v>756</v>
      </c>
      <c r="D220" s="85"/>
      <c r="E220" s="38" t="s">
        <v>523</v>
      </c>
      <c r="F220" s="38" t="str">
        <f t="shared" si="3"/>
        <v/>
      </c>
      <c r="G220" s="25"/>
      <c r="H220" s="26"/>
      <c r="I220" s="142">
        <v>0</v>
      </c>
    </row>
    <row r="221" spans="1:9" hidden="1" x14ac:dyDescent="0.25">
      <c r="A221" s="247"/>
      <c r="B221" s="28" t="s">
        <v>523</v>
      </c>
      <c r="C221" s="28"/>
      <c r="D221" s="83"/>
      <c r="E221" s="39" t="s">
        <v>523</v>
      </c>
      <c r="F221" s="27" t="str">
        <f t="shared" si="3"/>
        <v/>
      </c>
      <c r="G221" s="31"/>
      <c r="H221" s="27"/>
      <c r="I221" s="142">
        <v>0</v>
      </c>
    </row>
    <row r="222" spans="1:9" ht="51" hidden="1" x14ac:dyDescent="0.25">
      <c r="A222" s="247"/>
      <c r="B222" s="32" t="s">
        <v>1080</v>
      </c>
      <c r="C222" s="32" t="s">
        <v>945</v>
      </c>
      <c r="D222" s="33">
        <v>9.2999999999999992E-3</v>
      </c>
      <c r="E222" s="30">
        <v>169.31849999999997</v>
      </c>
      <c r="F222" s="30">
        <f t="shared" si="3"/>
        <v>1.5746620499999997</v>
      </c>
      <c r="G222" s="41">
        <f>SUM(F222:F223)</f>
        <v>1.7504500499999998</v>
      </c>
      <c r="H222" s="42"/>
      <c r="I222" s="142">
        <v>0</v>
      </c>
    </row>
    <row r="223" spans="1:9" ht="51" hidden="1" x14ac:dyDescent="0.25">
      <c r="A223" s="247"/>
      <c r="B223" s="32" t="s">
        <v>1081</v>
      </c>
      <c r="C223" s="32" t="s">
        <v>947</v>
      </c>
      <c r="D223" s="33">
        <v>4.0000000000000001E-3</v>
      </c>
      <c r="E223" s="30">
        <v>43.946999999999996</v>
      </c>
      <c r="F223" s="30">
        <f t="shared" si="3"/>
        <v>0.175788</v>
      </c>
      <c r="G223" s="41"/>
      <c r="H223" s="42"/>
      <c r="I223" s="142">
        <v>0</v>
      </c>
    </row>
    <row r="224" spans="1:9" ht="15.75" hidden="1" thickBot="1" x14ac:dyDescent="0.3">
      <c r="A224" s="253"/>
      <c r="B224" s="51" t="s">
        <v>523</v>
      </c>
      <c r="C224" s="51"/>
      <c r="D224" s="87"/>
      <c r="E224" s="63" t="s">
        <v>523</v>
      </c>
      <c r="F224" s="63" t="str">
        <f t="shared" si="3"/>
        <v/>
      </c>
      <c r="G224" s="65"/>
      <c r="H224" s="27"/>
      <c r="I224" s="142">
        <v>0</v>
      </c>
    </row>
    <row r="225" spans="1:9" ht="15.75" hidden="1" customHeight="1" x14ac:dyDescent="0.25">
      <c r="A225" s="252" t="s">
        <v>6618</v>
      </c>
      <c r="B225" s="37" t="s">
        <v>523</v>
      </c>
      <c r="C225" s="22" t="s">
        <v>120</v>
      </c>
      <c r="D225" s="85"/>
      <c r="E225" s="38" t="s">
        <v>523</v>
      </c>
      <c r="F225" s="38" t="str">
        <f t="shared" si="3"/>
        <v/>
      </c>
      <c r="G225" s="25"/>
      <c r="H225" s="26"/>
      <c r="I225" s="142">
        <v>0</v>
      </c>
    </row>
    <row r="226" spans="1:9" hidden="1" x14ac:dyDescent="0.25">
      <c r="A226" s="247"/>
      <c r="B226" s="28" t="s">
        <v>523</v>
      </c>
      <c r="C226" s="28"/>
      <c r="D226" s="83"/>
      <c r="E226" s="39" t="s">
        <v>523</v>
      </c>
      <c r="F226" s="27" t="str">
        <f t="shared" si="3"/>
        <v/>
      </c>
      <c r="G226" s="31"/>
      <c r="H226" s="27"/>
      <c r="I226" s="142">
        <v>0</v>
      </c>
    </row>
    <row r="227" spans="1:9" ht="25.5" hidden="1" x14ac:dyDescent="0.25">
      <c r="A227" s="247"/>
      <c r="B227" s="32" t="s">
        <v>754</v>
      </c>
      <c r="C227" s="32" t="s">
        <v>120</v>
      </c>
      <c r="D227" s="33">
        <v>0.76090000000000002</v>
      </c>
      <c r="E227" s="30">
        <v>160.53099999999998</v>
      </c>
      <c r="F227" s="30">
        <f t="shared" si="3"/>
        <v>122.14803789999999</v>
      </c>
      <c r="G227" s="41">
        <f>SUM(F227:F235)</f>
        <v>565.33710490434999</v>
      </c>
      <c r="H227" s="42"/>
      <c r="I227" s="142">
        <v>0</v>
      </c>
    </row>
    <row r="228" spans="1:9" hidden="1" x14ac:dyDescent="0.25">
      <c r="A228" s="247"/>
      <c r="B228" s="32" t="s">
        <v>750</v>
      </c>
      <c r="C228" s="32" t="s">
        <v>901</v>
      </c>
      <c r="D228" s="33">
        <v>325.15890000000002</v>
      </c>
      <c r="E228" s="30">
        <v>0.64600000000000002</v>
      </c>
      <c r="F228" s="30">
        <f t="shared" si="3"/>
        <v>210.05264940000001</v>
      </c>
      <c r="G228" s="41"/>
      <c r="H228" s="42"/>
      <c r="I228" s="142">
        <v>0</v>
      </c>
    </row>
    <row r="229" spans="1:9" ht="25.5" hidden="1" x14ac:dyDescent="0.25">
      <c r="A229" s="247"/>
      <c r="B229" s="32" t="s">
        <v>762</v>
      </c>
      <c r="C229" s="32" t="s">
        <v>120</v>
      </c>
      <c r="D229" s="33">
        <v>0.59119999999999995</v>
      </c>
      <c r="E229" s="30">
        <v>147.041</v>
      </c>
      <c r="F229" s="30">
        <f t="shared" si="3"/>
        <v>86.930639199999987</v>
      </c>
      <c r="G229" s="41"/>
      <c r="H229" s="42"/>
      <c r="I229" s="142">
        <v>0</v>
      </c>
    </row>
    <row r="230" spans="1:9" hidden="1" x14ac:dyDescent="0.25">
      <c r="A230" s="247"/>
      <c r="B230" s="32" t="s">
        <v>706</v>
      </c>
      <c r="C230" s="32" t="s">
        <v>705</v>
      </c>
      <c r="D230" s="33">
        <v>2.0266999999999999</v>
      </c>
      <c r="E230" s="27">
        <v>18.420500000000001</v>
      </c>
      <c r="F230" s="30">
        <f t="shared" si="3"/>
        <v>37.332827350000002</v>
      </c>
      <c r="G230" s="41"/>
      <c r="H230" s="42"/>
      <c r="I230" s="142">
        <v>0</v>
      </c>
    </row>
    <row r="231" spans="1:9" ht="25.5" hidden="1" x14ac:dyDescent="0.25">
      <c r="A231" s="247"/>
      <c r="B231" s="32" t="s">
        <v>1446</v>
      </c>
      <c r="C231" s="32" t="s">
        <v>705</v>
      </c>
      <c r="D231" s="33">
        <v>1.2767999999999999</v>
      </c>
      <c r="E231" s="27">
        <v>18.534500000000001</v>
      </c>
      <c r="F231" s="86">
        <f t="shared" si="3"/>
        <v>23.6648496</v>
      </c>
      <c r="G231" s="41"/>
      <c r="H231" s="42"/>
      <c r="I231" s="142">
        <v>0</v>
      </c>
    </row>
    <row r="232" spans="1:9" ht="38.25" hidden="1" x14ac:dyDescent="0.25">
      <c r="A232" s="247"/>
      <c r="B232" s="32" t="s">
        <v>1370</v>
      </c>
      <c r="C232" s="32" t="s">
        <v>945</v>
      </c>
      <c r="D232" s="33">
        <v>0.65720000000000001</v>
      </c>
      <c r="E232" s="27">
        <v>4.3319999999999999</v>
      </c>
      <c r="F232" s="86">
        <f t="shared" si="3"/>
        <v>2.8469904000000001</v>
      </c>
      <c r="G232" s="41"/>
      <c r="H232" s="42"/>
      <c r="I232" s="142">
        <v>0</v>
      </c>
    </row>
    <row r="233" spans="1:9" ht="38.25" hidden="1" x14ac:dyDescent="0.25">
      <c r="A233" s="247"/>
      <c r="B233" s="32" t="s">
        <v>1447</v>
      </c>
      <c r="C233" s="43" t="s">
        <v>947</v>
      </c>
      <c r="D233" s="33">
        <v>0.61970000000000003</v>
      </c>
      <c r="E233" s="27">
        <v>1.52</v>
      </c>
      <c r="F233" s="30">
        <f t="shared" si="3"/>
        <v>0.941944</v>
      </c>
      <c r="G233" s="41"/>
      <c r="H233" s="42"/>
      <c r="I233" s="142">
        <v>0</v>
      </c>
    </row>
    <row r="234" spans="1:9" ht="51" hidden="1" x14ac:dyDescent="0.25">
      <c r="A234" s="247"/>
      <c r="B234" s="32" t="s">
        <v>3532</v>
      </c>
      <c r="C234" s="32" t="s">
        <v>120</v>
      </c>
      <c r="D234" s="33">
        <f>ROUND(1*(D227+D229),4)</f>
        <v>1.3521000000000001</v>
      </c>
      <c r="E234" s="27">
        <v>7.8726404999999993</v>
      </c>
      <c r="F234" s="30">
        <f t="shared" si="3"/>
        <v>10.644597220049999</v>
      </c>
      <c r="G234" s="41"/>
      <c r="H234" s="42"/>
      <c r="I234" s="142">
        <v>0</v>
      </c>
    </row>
    <row r="235" spans="1:9" ht="38.25" hidden="1" x14ac:dyDescent="0.25">
      <c r="A235" s="247"/>
      <c r="B235" s="32" t="s">
        <v>3529</v>
      </c>
      <c r="C235" s="43" t="s">
        <v>122</v>
      </c>
      <c r="D235" s="33">
        <f>ROUND((D227+D229)*20,4)</f>
        <v>27.042000000000002</v>
      </c>
      <c r="E235" s="27">
        <v>2.6172091499999994</v>
      </c>
      <c r="F235" s="30">
        <f t="shared" si="3"/>
        <v>70.774569834299996</v>
      </c>
      <c r="G235" s="41"/>
      <c r="H235" s="42"/>
      <c r="I235" s="142">
        <v>0</v>
      </c>
    </row>
    <row r="236" spans="1:9" hidden="1" x14ac:dyDescent="0.25">
      <c r="A236" s="247"/>
      <c r="B236" s="47"/>
      <c r="C236" s="43"/>
      <c r="D236" s="33"/>
      <c r="E236" s="27" t="s">
        <v>523</v>
      </c>
      <c r="F236" s="30" t="str">
        <f t="shared" si="3"/>
        <v/>
      </c>
      <c r="G236" s="41"/>
      <c r="H236" s="42"/>
      <c r="I236" s="142">
        <v>0</v>
      </c>
    </row>
    <row r="237" spans="1:9" ht="25.5" hidden="1" x14ac:dyDescent="0.25">
      <c r="A237" s="247"/>
      <c r="B237" s="44" t="s">
        <v>123</v>
      </c>
      <c r="C237" s="43"/>
      <c r="D237" s="33"/>
      <c r="E237" s="27" t="s">
        <v>523</v>
      </c>
      <c r="F237" s="30" t="str">
        <f t="shared" si="3"/>
        <v/>
      </c>
      <c r="G237" s="41"/>
      <c r="H237" s="42"/>
      <c r="I237" s="142">
        <v>0</v>
      </c>
    </row>
    <row r="238" spans="1:9" ht="15.75" hidden="1" thickBot="1" x14ac:dyDescent="0.3">
      <c r="A238" s="253"/>
      <c r="B238" s="32" t="s">
        <v>523</v>
      </c>
      <c r="C238" s="32"/>
      <c r="D238" s="84"/>
      <c r="E238" s="27" t="s">
        <v>523</v>
      </c>
      <c r="F238" s="27" t="str">
        <f t="shared" si="3"/>
        <v/>
      </c>
      <c r="G238" s="31"/>
      <c r="H238" s="27"/>
      <c r="I238" s="142">
        <v>0</v>
      </c>
    </row>
    <row r="239" spans="1:9" ht="26.25" hidden="1" customHeight="1" x14ac:dyDescent="0.25">
      <c r="A239" s="252" t="s">
        <v>6615</v>
      </c>
      <c r="B239" s="37" t="s">
        <v>523</v>
      </c>
      <c r="C239" s="22" t="s">
        <v>120</v>
      </c>
      <c r="D239" s="85"/>
      <c r="E239" s="38" t="s">
        <v>523</v>
      </c>
      <c r="F239" s="38" t="str">
        <f t="shared" si="3"/>
        <v/>
      </c>
      <c r="G239" s="25"/>
      <c r="H239" s="26"/>
      <c r="I239" s="142">
        <v>0</v>
      </c>
    </row>
    <row r="240" spans="1:9" hidden="1" x14ac:dyDescent="0.25">
      <c r="A240" s="247"/>
      <c r="B240" s="28" t="s">
        <v>523</v>
      </c>
      <c r="C240" s="28"/>
      <c r="D240" s="83"/>
      <c r="E240" s="89" t="s">
        <v>523</v>
      </c>
      <c r="F240" s="90" t="str">
        <f t="shared" si="3"/>
        <v/>
      </c>
      <c r="G240" s="31"/>
      <c r="H240" s="27"/>
      <c r="I240" s="142">
        <v>0</v>
      </c>
    </row>
    <row r="241" spans="1:9" ht="25.5" hidden="1" x14ac:dyDescent="0.25">
      <c r="A241" s="247"/>
      <c r="B241" s="32" t="s">
        <v>754</v>
      </c>
      <c r="C241" s="32" t="s">
        <v>120</v>
      </c>
      <c r="D241" s="33">
        <v>0.82689999999999997</v>
      </c>
      <c r="E241" s="30">
        <v>160.53099999999998</v>
      </c>
      <c r="F241" s="30">
        <f t="shared" si="3"/>
        <v>132.74308389999999</v>
      </c>
      <c r="G241" s="41">
        <f>SUM(F241:F249)</f>
        <v>511.28445414985003</v>
      </c>
      <c r="H241" s="42"/>
      <c r="I241" s="142">
        <v>0</v>
      </c>
    </row>
    <row r="242" spans="1:9" hidden="1" x14ac:dyDescent="0.25">
      <c r="A242" s="247"/>
      <c r="B242" s="32" t="s">
        <v>750</v>
      </c>
      <c r="C242" s="32" t="s">
        <v>901</v>
      </c>
      <c r="D242" s="33">
        <v>212.01939999999999</v>
      </c>
      <c r="E242" s="30">
        <v>0.64600000000000002</v>
      </c>
      <c r="F242" s="30">
        <f t="shared" si="3"/>
        <v>136.9645324</v>
      </c>
      <c r="G242" s="41"/>
      <c r="H242" s="42"/>
      <c r="I242" s="142">
        <v>0</v>
      </c>
    </row>
    <row r="243" spans="1:9" ht="25.5" hidden="1" x14ac:dyDescent="0.25">
      <c r="A243" s="247"/>
      <c r="B243" s="32" t="s">
        <v>762</v>
      </c>
      <c r="C243" s="32" t="s">
        <v>120</v>
      </c>
      <c r="D243" s="33">
        <v>0.57820000000000005</v>
      </c>
      <c r="E243" s="30">
        <v>147.041</v>
      </c>
      <c r="F243" s="30">
        <f t="shared" si="3"/>
        <v>85.01910620000001</v>
      </c>
      <c r="G243" s="41"/>
      <c r="H243" s="42"/>
      <c r="I243" s="142">
        <v>0</v>
      </c>
    </row>
    <row r="244" spans="1:9" hidden="1" x14ac:dyDescent="0.25">
      <c r="A244" s="247"/>
      <c r="B244" s="32" t="s">
        <v>706</v>
      </c>
      <c r="C244" s="32" t="s">
        <v>705</v>
      </c>
      <c r="D244" s="33">
        <v>2.3433000000000002</v>
      </c>
      <c r="E244" s="27">
        <v>18.420500000000001</v>
      </c>
      <c r="F244" s="30">
        <f t="shared" si="3"/>
        <v>43.164757650000006</v>
      </c>
      <c r="G244" s="41"/>
      <c r="H244" s="42"/>
      <c r="I244" s="142">
        <v>0</v>
      </c>
    </row>
    <row r="245" spans="1:9" ht="25.5" hidden="1" x14ac:dyDescent="0.25">
      <c r="A245" s="247"/>
      <c r="B245" s="32" t="s">
        <v>1446</v>
      </c>
      <c r="C245" s="32" t="s">
        <v>705</v>
      </c>
      <c r="D245" s="33">
        <v>1.4811000000000001</v>
      </c>
      <c r="E245" s="27">
        <v>18.534500000000001</v>
      </c>
      <c r="F245" s="91">
        <f t="shared" si="3"/>
        <v>27.451447950000002</v>
      </c>
      <c r="G245" s="41"/>
      <c r="H245" s="42"/>
      <c r="I245" s="142">
        <v>0</v>
      </c>
    </row>
    <row r="246" spans="1:9" ht="38.25" hidden="1" x14ac:dyDescent="0.25">
      <c r="A246" s="247"/>
      <c r="B246" s="32" t="s">
        <v>117</v>
      </c>
      <c r="C246" s="32" t="s">
        <v>945</v>
      </c>
      <c r="D246" s="33">
        <v>0.76229999999999998</v>
      </c>
      <c r="E246" s="27">
        <v>1.3964999999999999</v>
      </c>
      <c r="F246" s="91">
        <f t="shared" si="3"/>
        <v>1.0645519499999998</v>
      </c>
      <c r="G246" s="41"/>
      <c r="H246" s="42"/>
      <c r="I246" s="142">
        <v>0</v>
      </c>
    </row>
    <row r="247" spans="1:9" ht="38.25" hidden="1" x14ac:dyDescent="0.25">
      <c r="A247" s="247"/>
      <c r="B247" s="32" t="s">
        <v>118</v>
      </c>
      <c r="C247" s="43" t="s">
        <v>947</v>
      </c>
      <c r="D247" s="33">
        <v>0.71879999999999999</v>
      </c>
      <c r="E247" s="27">
        <v>0.3705</v>
      </c>
      <c r="F247" s="30">
        <f t="shared" si="3"/>
        <v>0.26631539999999998</v>
      </c>
      <c r="G247" s="41"/>
      <c r="H247" s="42"/>
      <c r="I247" s="142">
        <v>0</v>
      </c>
    </row>
    <row r="248" spans="1:9" ht="51" hidden="1" x14ac:dyDescent="0.25">
      <c r="A248" s="247"/>
      <c r="B248" s="32" t="s">
        <v>3532</v>
      </c>
      <c r="C248" s="32" t="s">
        <v>120</v>
      </c>
      <c r="D248" s="33">
        <f>ROUND(1*(D241+D243),4)</f>
        <v>1.4051</v>
      </c>
      <c r="E248" s="27">
        <v>7.8726404999999993</v>
      </c>
      <c r="F248" s="30">
        <f t="shared" si="3"/>
        <v>11.061847166549999</v>
      </c>
      <c r="G248" s="41"/>
      <c r="H248" s="42"/>
      <c r="I248" s="142">
        <v>0</v>
      </c>
    </row>
    <row r="249" spans="1:9" ht="15.75" hidden="1" customHeight="1" x14ac:dyDescent="0.25">
      <c r="A249" s="247"/>
      <c r="B249" s="32" t="s">
        <v>3529</v>
      </c>
      <c r="C249" s="43" t="s">
        <v>122</v>
      </c>
      <c r="D249" s="33">
        <f>ROUND((D241+D243)*20,4)</f>
        <v>28.102</v>
      </c>
      <c r="E249" s="27">
        <v>2.6172091499999994</v>
      </c>
      <c r="F249" s="30">
        <f t="shared" si="3"/>
        <v>73.548811533299983</v>
      </c>
      <c r="G249" s="41"/>
      <c r="H249" s="42"/>
      <c r="I249" s="142">
        <v>0</v>
      </c>
    </row>
    <row r="250" spans="1:9" hidden="1" x14ac:dyDescent="0.25">
      <c r="A250" s="247"/>
      <c r="B250" s="47"/>
      <c r="C250" s="43"/>
      <c r="D250" s="33"/>
      <c r="E250" s="27" t="s">
        <v>523</v>
      </c>
      <c r="F250" s="30" t="str">
        <f t="shared" si="3"/>
        <v/>
      </c>
      <c r="G250" s="41"/>
      <c r="H250" s="42"/>
      <c r="I250" s="142">
        <v>0</v>
      </c>
    </row>
    <row r="251" spans="1:9" ht="25.5" hidden="1" x14ac:dyDescent="0.25">
      <c r="A251" s="247"/>
      <c r="B251" s="44" t="s">
        <v>123</v>
      </c>
      <c r="C251" s="43"/>
      <c r="D251" s="33"/>
      <c r="E251" s="27" t="s">
        <v>523</v>
      </c>
      <c r="F251" s="30" t="str">
        <f t="shared" si="3"/>
        <v/>
      </c>
      <c r="G251" s="41"/>
      <c r="H251" s="42"/>
      <c r="I251" s="142">
        <v>0</v>
      </c>
    </row>
    <row r="252" spans="1:9" ht="15.75" hidden="1" thickBot="1" x14ac:dyDescent="0.3">
      <c r="A252" s="253"/>
      <c r="B252" s="32" t="s">
        <v>523</v>
      </c>
      <c r="C252" s="32"/>
      <c r="D252" s="84"/>
      <c r="E252" s="27" t="s">
        <v>523</v>
      </c>
      <c r="F252" s="27" t="str">
        <f t="shared" si="3"/>
        <v/>
      </c>
      <c r="G252" s="31"/>
      <c r="H252" s="27"/>
      <c r="I252" s="142">
        <v>0</v>
      </c>
    </row>
    <row r="253" spans="1:9" ht="27" hidden="1" customHeight="1" x14ac:dyDescent="0.25">
      <c r="A253" s="252" t="s">
        <v>6714</v>
      </c>
      <c r="B253" s="37" t="s">
        <v>523</v>
      </c>
      <c r="C253" s="22" t="s">
        <v>120</v>
      </c>
      <c r="D253" s="85"/>
      <c r="E253" s="38" t="s">
        <v>523</v>
      </c>
      <c r="F253" s="45" t="str">
        <f t="shared" si="3"/>
        <v/>
      </c>
      <c r="G253" s="25"/>
      <c r="H253" s="26"/>
      <c r="I253" s="142">
        <v>0</v>
      </c>
    </row>
    <row r="254" spans="1:9" hidden="1" x14ac:dyDescent="0.25">
      <c r="A254" s="247"/>
      <c r="B254" s="28" t="s">
        <v>523</v>
      </c>
      <c r="C254" s="28"/>
      <c r="D254" s="83"/>
      <c r="E254" s="39" t="s">
        <v>523</v>
      </c>
      <c r="F254" s="27" t="str">
        <f t="shared" si="3"/>
        <v/>
      </c>
      <c r="G254" s="31"/>
      <c r="H254" s="27"/>
      <c r="I254" s="142">
        <v>0</v>
      </c>
    </row>
    <row r="255" spans="1:9" ht="25.5" hidden="1" x14ac:dyDescent="0.25">
      <c r="A255" s="247"/>
      <c r="B255" s="32" t="s">
        <v>1291</v>
      </c>
      <c r="C255" s="32" t="s">
        <v>120</v>
      </c>
      <c r="D255" s="33">
        <v>0.57979999999999998</v>
      </c>
      <c r="E255" s="30">
        <v>162.62100000000001</v>
      </c>
      <c r="F255" s="30">
        <f t="shared" si="3"/>
        <v>94.287655799999996</v>
      </c>
      <c r="G255" s="41">
        <f>SUM(F255:F264)</f>
        <v>683.97453038980007</v>
      </c>
      <c r="H255" s="42"/>
      <c r="I255" s="142">
        <v>0</v>
      </c>
    </row>
    <row r="256" spans="1:9" hidden="1" x14ac:dyDescent="0.25">
      <c r="A256" s="247"/>
      <c r="B256" s="32" t="s">
        <v>1448</v>
      </c>
      <c r="C256" s="32" t="s">
        <v>901</v>
      </c>
      <c r="D256" s="33">
        <v>12.3698</v>
      </c>
      <c r="E256" s="30">
        <v>1.0449999999999999</v>
      </c>
      <c r="F256" s="30">
        <f t="shared" si="3"/>
        <v>12.926440999999999</v>
      </c>
      <c r="G256" s="41"/>
      <c r="H256" s="42"/>
      <c r="I256" s="142">
        <v>0</v>
      </c>
    </row>
    <row r="257" spans="1:9" ht="15.75" hidden="1" customHeight="1" x14ac:dyDescent="0.25">
      <c r="A257" s="247"/>
      <c r="B257" s="32" t="s">
        <v>750</v>
      </c>
      <c r="C257" s="32" t="s">
        <v>901</v>
      </c>
      <c r="D257" s="33">
        <v>515.40949999999998</v>
      </c>
      <c r="E257" s="30">
        <v>0.64600000000000002</v>
      </c>
      <c r="F257" s="30">
        <f t="shared" si="3"/>
        <v>332.95453700000002</v>
      </c>
      <c r="G257" s="41"/>
      <c r="H257" s="42"/>
      <c r="I257" s="142">
        <v>0</v>
      </c>
    </row>
    <row r="258" spans="1:9" ht="25.5" hidden="1" x14ac:dyDescent="0.25">
      <c r="A258" s="247"/>
      <c r="B258" s="32" t="s">
        <v>759</v>
      </c>
      <c r="C258" s="32" t="s">
        <v>120</v>
      </c>
      <c r="D258" s="33">
        <v>0.56699999999999995</v>
      </c>
      <c r="E258" s="27">
        <v>169.76499999999999</v>
      </c>
      <c r="F258" s="30">
        <f t="shared" si="3"/>
        <v>96.256754999999984</v>
      </c>
      <c r="G258" s="41"/>
      <c r="H258" s="42"/>
      <c r="I258" s="142">
        <v>0</v>
      </c>
    </row>
    <row r="259" spans="1:9" hidden="1" x14ac:dyDescent="0.25">
      <c r="A259" s="247"/>
      <c r="B259" s="32" t="s">
        <v>706</v>
      </c>
      <c r="C259" s="32" t="s">
        <v>705</v>
      </c>
      <c r="D259" s="33">
        <v>2.5491999999999999</v>
      </c>
      <c r="E259" s="27">
        <v>18.420500000000001</v>
      </c>
      <c r="F259" s="30">
        <f t="shared" si="3"/>
        <v>46.957538599999999</v>
      </c>
      <c r="G259" s="41"/>
      <c r="H259" s="42"/>
      <c r="I259" s="142">
        <v>0</v>
      </c>
    </row>
    <row r="260" spans="1:9" ht="25.5" hidden="1" x14ac:dyDescent="0.25">
      <c r="A260" s="247"/>
      <c r="B260" s="32" t="s">
        <v>1446</v>
      </c>
      <c r="C260" s="32" t="s">
        <v>705</v>
      </c>
      <c r="D260" s="33">
        <v>1.6075999999999999</v>
      </c>
      <c r="E260" s="27">
        <v>18.534500000000001</v>
      </c>
      <c r="F260" s="30">
        <f t="shared" si="3"/>
        <v>29.796062200000001</v>
      </c>
      <c r="G260" s="41"/>
      <c r="H260" s="42"/>
      <c r="I260" s="142">
        <v>0</v>
      </c>
    </row>
    <row r="261" spans="1:9" ht="38.25" hidden="1" x14ac:dyDescent="0.25">
      <c r="A261" s="247"/>
      <c r="B261" s="32" t="s">
        <v>117</v>
      </c>
      <c r="C261" s="32" t="s">
        <v>945</v>
      </c>
      <c r="D261" s="33">
        <v>1.1143000000000001</v>
      </c>
      <c r="E261" s="27">
        <v>1.3964999999999999</v>
      </c>
      <c r="F261" s="88">
        <f t="shared" si="3"/>
        <v>1.55611995</v>
      </c>
      <c r="G261" s="41"/>
      <c r="H261" s="42"/>
      <c r="I261" s="142">
        <v>0</v>
      </c>
    </row>
    <row r="262" spans="1:9" ht="38.25" hidden="1" x14ac:dyDescent="0.25">
      <c r="A262" s="247"/>
      <c r="B262" s="32" t="s">
        <v>118</v>
      </c>
      <c r="C262" s="32" t="s">
        <v>947</v>
      </c>
      <c r="D262" s="33">
        <v>0.49330000000000002</v>
      </c>
      <c r="E262" s="27">
        <v>0.3705</v>
      </c>
      <c r="F262" s="88">
        <f t="shared" ref="F262:F325" si="4">IF(ISNUMBER(E262),E262*$D262,"")</f>
        <v>0.18276765</v>
      </c>
      <c r="G262" s="41"/>
      <c r="H262" s="42"/>
      <c r="I262" s="142">
        <v>0</v>
      </c>
    </row>
    <row r="263" spans="1:9" ht="51" hidden="1" x14ac:dyDescent="0.25">
      <c r="A263" s="247"/>
      <c r="B263" s="32" t="s">
        <v>3532</v>
      </c>
      <c r="C263" s="32" t="s">
        <v>120</v>
      </c>
      <c r="D263" s="33">
        <f>ROUND(1*(D255+D258),4)</f>
        <v>1.1468</v>
      </c>
      <c r="E263" s="27">
        <v>7.8726404999999993</v>
      </c>
      <c r="F263" s="30">
        <f t="shared" si="4"/>
        <v>9.0283441254000003</v>
      </c>
      <c r="G263" s="41"/>
      <c r="H263" s="42"/>
      <c r="I263" s="142">
        <v>0</v>
      </c>
    </row>
    <row r="264" spans="1:9" ht="38.25" hidden="1" x14ac:dyDescent="0.25">
      <c r="A264" s="247"/>
      <c r="B264" s="32" t="s">
        <v>3529</v>
      </c>
      <c r="C264" s="43" t="s">
        <v>122</v>
      </c>
      <c r="D264" s="33">
        <f>ROUND((D255+D258)*20,4)</f>
        <v>22.936</v>
      </c>
      <c r="E264" s="27">
        <v>2.6172091499999994</v>
      </c>
      <c r="F264" s="30">
        <f t="shared" si="4"/>
        <v>60.028309064399984</v>
      </c>
      <c r="G264" s="41"/>
      <c r="H264" s="42"/>
      <c r="I264" s="142">
        <v>0</v>
      </c>
    </row>
    <row r="265" spans="1:9" hidden="1" x14ac:dyDescent="0.25">
      <c r="A265" s="247"/>
      <c r="B265" s="47"/>
      <c r="C265" s="43"/>
      <c r="D265" s="33"/>
      <c r="E265" s="27" t="s">
        <v>523</v>
      </c>
      <c r="F265" s="30" t="str">
        <f t="shared" si="4"/>
        <v/>
      </c>
      <c r="G265" s="41"/>
      <c r="H265" s="42"/>
      <c r="I265" s="142">
        <v>0</v>
      </c>
    </row>
    <row r="266" spans="1:9" ht="15.75" hidden="1" customHeight="1" x14ac:dyDescent="0.25">
      <c r="A266" s="247"/>
      <c r="B266" s="44" t="s">
        <v>123</v>
      </c>
      <c r="C266" s="43"/>
      <c r="D266" s="33"/>
      <c r="E266" s="27" t="s">
        <v>523</v>
      </c>
      <c r="F266" s="30" t="str">
        <f t="shared" si="4"/>
        <v/>
      </c>
      <c r="G266" s="41"/>
      <c r="H266" s="42"/>
      <c r="I266" s="142">
        <v>0</v>
      </c>
    </row>
    <row r="267" spans="1:9" hidden="1" x14ac:dyDescent="0.25">
      <c r="A267" s="247"/>
      <c r="B267" s="32"/>
      <c r="C267" s="32"/>
      <c r="D267" s="84"/>
      <c r="E267" s="27" t="s">
        <v>523</v>
      </c>
      <c r="F267" s="27" t="str">
        <f t="shared" si="4"/>
        <v/>
      </c>
      <c r="G267" s="31"/>
      <c r="H267" s="27"/>
      <c r="I267" s="142">
        <v>0</v>
      </c>
    </row>
    <row r="268" spans="1:9" ht="27" hidden="1" customHeight="1" x14ac:dyDescent="0.25">
      <c r="A268" s="247" t="s">
        <v>1020</v>
      </c>
      <c r="B268" s="37" t="s">
        <v>523</v>
      </c>
      <c r="C268" s="22" t="s">
        <v>120</v>
      </c>
      <c r="D268" s="85"/>
      <c r="E268" s="24" t="s">
        <v>523</v>
      </c>
      <c r="F268" s="22" t="str">
        <f t="shared" si="4"/>
        <v/>
      </c>
      <c r="G268" s="25"/>
      <c r="H268" s="26"/>
      <c r="I268" s="142">
        <v>0</v>
      </c>
    </row>
    <row r="269" spans="1:9" hidden="1" x14ac:dyDescent="0.25">
      <c r="A269" s="247"/>
      <c r="B269" s="28" t="s">
        <v>523</v>
      </c>
      <c r="C269" s="28"/>
      <c r="D269" s="83"/>
      <c r="E269" s="27" t="s">
        <v>523</v>
      </c>
      <c r="F269" s="27" t="str">
        <f t="shared" si="4"/>
        <v/>
      </c>
      <c r="G269" s="31"/>
      <c r="H269" s="27"/>
      <c r="I269" s="142">
        <v>0</v>
      </c>
    </row>
    <row r="270" spans="1:9" ht="25.5" hidden="1" x14ac:dyDescent="0.25">
      <c r="A270" s="247"/>
      <c r="B270" s="32" t="s">
        <v>754</v>
      </c>
      <c r="C270" s="32" t="s">
        <v>120</v>
      </c>
      <c r="D270" s="33">
        <v>1.25</v>
      </c>
      <c r="E270" s="27">
        <v>160.53099999999998</v>
      </c>
      <c r="F270" s="30">
        <f t="shared" si="4"/>
        <v>200.66374999999996</v>
      </c>
      <c r="G270" s="41">
        <f>SUM(F270:F274)</f>
        <v>854.61274437500003</v>
      </c>
      <c r="H270" s="42"/>
      <c r="I270" s="142">
        <v>0</v>
      </c>
    </row>
    <row r="271" spans="1:9" hidden="1" x14ac:dyDescent="0.25">
      <c r="A271" s="247"/>
      <c r="B271" s="32" t="s">
        <v>750</v>
      </c>
      <c r="C271" s="32" t="s">
        <v>901</v>
      </c>
      <c r="D271" s="33">
        <v>563.59</v>
      </c>
      <c r="E271" s="30">
        <v>0.64600000000000002</v>
      </c>
      <c r="F271" s="30">
        <f t="shared" si="4"/>
        <v>364.07914000000005</v>
      </c>
      <c r="G271" s="41"/>
      <c r="H271" s="42"/>
      <c r="I271" s="142">
        <v>0</v>
      </c>
    </row>
    <row r="272" spans="1:9" hidden="1" x14ac:dyDescent="0.25">
      <c r="A272" s="247"/>
      <c r="B272" s="32" t="s">
        <v>1421</v>
      </c>
      <c r="C272" s="32" t="s">
        <v>705</v>
      </c>
      <c r="D272" s="33">
        <v>11.65</v>
      </c>
      <c r="E272" s="27">
        <v>18.420500000000001</v>
      </c>
      <c r="F272" s="30">
        <f t="shared" si="4"/>
        <v>214.59882500000001</v>
      </c>
      <c r="G272" s="41"/>
      <c r="H272" s="42"/>
      <c r="I272" s="142">
        <v>0</v>
      </c>
    </row>
    <row r="273" spans="1:9" ht="51" hidden="1" x14ac:dyDescent="0.25">
      <c r="A273" s="247"/>
      <c r="B273" s="32" t="s">
        <v>3532</v>
      </c>
      <c r="C273" s="32" t="s">
        <v>120</v>
      </c>
      <c r="D273" s="33">
        <f>ROUND(1*(D270),4)</f>
        <v>1.25</v>
      </c>
      <c r="E273" s="27">
        <v>7.8726404999999993</v>
      </c>
      <c r="F273" s="30">
        <f t="shared" si="4"/>
        <v>9.840800625</v>
      </c>
      <c r="G273" s="41"/>
      <c r="H273" s="42"/>
      <c r="I273" s="142">
        <v>0</v>
      </c>
    </row>
    <row r="274" spans="1:9" ht="38.25" hidden="1" x14ac:dyDescent="0.25">
      <c r="A274" s="247"/>
      <c r="B274" s="32" t="s">
        <v>3529</v>
      </c>
      <c r="C274" s="43" t="s">
        <v>122</v>
      </c>
      <c r="D274" s="33">
        <f>ROUND(D270*20,4)</f>
        <v>25</v>
      </c>
      <c r="E274" s="27">
        <v>2.6172091499999994</v>
      </c>
      <c r="F274" s="30">
        <f t="shared" si="4"/>
        <v>65.430228749999984</v>
      </c>
      <c r="G274" s="41"/>
      <c r="H274" s="42"/>
      <c r="I274" s="142">
        <v>0</v>
      </c>
    </row>
    <row r="275" spans="1:9" hidden="1" x14ac:dyDescent="0.25">
      <c r="A275" s="247"/>
      <c r="B275" s="47"/>
      <c r="C275" s="43"/>
      <c r="D275" s="33"/>
      <c r="E275" s="27" t="s">
        <v>523</v>
      </c>
      <c r="F275" s="30" t="str">
        <f t="shared" si="4"/>
        <v/>
      </c>
      <c r="G275" s="41"/>
      <c r="H275" s="42"/>
      <c r="I275" s="142">
        <v>0</v>
      </c>
    </row>
    <row r="276" spans="1:9" hidden="1" x14ac:dyDescent="0.25">
      <c r="A276" s="247"/>
      <c r="B276" s="44" t="s">
        <v>757</v>
      </c>
      <c r="C276" s="43"/>
      <c r="D276" s="33"/>
      <c r="E276" s="27" t="s">
        <v>523</v>
      </c>
      <c r="F276" s="30" t="str">
        <f t="shared" si="4"/>
        <v/>
      </c>
      <c r="G276" s="41"/>
      <c r="H276" s="42"/>
      <c r="I276" s="142">
        <v>0</v>
      </c>
    </row>
    <row r="277" spans="1:9" ht="15.75" hidden="1" thickBot="1" x14ac:dyDescent="0.3">
      <c r="A277" s="253"/>
      <c r="B277" s="32" t="s">
        <v>523</v>
      </c>
      <c r="C277" s="32"/>
      <c r="D277" s="84"/>
      <c r="E277" s="27" t="s">
        <v>523</v>
      </c>
      <c r="F277" s="30" t="str">
        <f t="shared" si="4"/>
        <v/>
      </c>
      <c r="G277" s="31"/>
      <c r="H277" s="27"/>
      <c r="I277" s="142">
        <v>0</v>
      </c>
    </row>
    <row r="278" spans="1:9" ht="27" hidden="1" customHeight="1" x14ac:dyDescent="0.25">
      <c r="A278" s="252" t="s">
        <v>698</v>
      </c>
      <c r="B278" s="37" t="s">
        <v>523</v>
      </c>
      <c r="C278" s="22" t="s">
        <v>20</v>
      </c>
      <c r="D278" s="85"/>
      <c r="E278" s="24" t="s">
        <v>523</v>
      </c>
      <c r="F278" s="22" t="str">
        <f t="shared" si="4"/>
        <v/>
      </c>
      <c r="G278" s="25"/>
      <c r="H278" s="26"/>
      <c r="I278" s="142">
        <v>0</v>
      </c>
    </row>
    <row r="279" spans="1:9" hidden="1" x14ac:dyDescent="0.25">
      <c r="A279" s="247"/>
      <c r="B279" s="28" t="s">
        <v>523</v>
      </c>
      <c r="C279" s="28"/>
      <c r="D279" s="83"/>
      <c r="E279" s="27" t="s">
        <v>523</v>
      </c>
      <c r="F279" s="27" t="str">
        <f t="shared" si="4"/>
        <v/>
      </c>
      <c r="G279" s="31"/>
      <c r="H279" s="27"/>
      <c r="I279" s="142">
        <v>0</v>
      </c>
    </row>
    <row r="280" spans="1:9" ht="15.75" hidden="1" customHeight="1" x14ac:dyDescent="0.25">
      <c r="A280" s="247"/>
      <c r="B280" s="32" t="s">
        <v>6658</v>
      </c>
      <c r="C280" s="32" t="s">
        <v>1449</v>
      </c>
      <c r="D280" s="33">
        <v>1</v>
      </c>
      <c r="E280" s="27">
        <v>266</v>
      </c>
      <c r="F280" s="30">
        <f t="shared" si="4"/>
        <v>266</v>
      </c>
      <c r="G280" s="41">
        <f>SUM(F280:F284)</f>
        <v>356.58077100000003</v>
      </c>
      <c r="H280" s="42"/>
      <c r="I280" s="142">
        <v>0</v>
      </c>
    </row>
    <row r="281" spans="1:9" hidden="1" x14ac:dyDescent="0.25">
      <c r="A281" s="247"/>
      <c r="B281" s="32" t="s">
        <v>1450</v>
      </c>
      <c r="C281" s="32" t="s">
        <v>901</v>
      </c>
      <c r="D281" s="33">
        <v>1.0999999999999999E-2</v>
      </c>
      <c r="E281" s="30">
        <v>29.098499999999998</v>
      </c>
      <c r="F281" s="30">
        <f t="shared" si="4"/>
        <v>0.32008349999999997</v>
      </c>
      <c r="G281" s="41"/>
      <c r="H281" s="42"/>
      <c r="I281" s="142">
        <v>0</v>
      </c>
    </row>
    <row r="282" spans="1:9" hidden="1" x14ac:dyDescent="0.25">
      <c r="A282" s="247"/>
      <c r="B282" s="32" t="s">
        <v>98</v>
      </c>
      <c r="C282" s="32" t="s">
        <v>901</v>
      </c>
      <c r="D282" s="33">
        <v>2.4E-2</v>
      </c>
      <c r="E282" s="27">
        <v>22.077999999999996</v>
      </c>
      <c r="F282" s="30">
        <f t="shared" si="4"/>
        <v>0.5298719999999999</v>
      </c>
      <c r="G282" s="41"/>
      <c r="H282" s="42"/>
      <c r="I282" s="142">
        <v>0</v>
      </c>
    </row>
    <row r="283" spans="1:9" hidden="1" x14ac:dyDescent="0.25">
      <c r="A283" s="247"/>
      <c r="B283" s="32" t="s">
        <v>704</v>
      </c>
      <c r="C283" s="32" t="s">
        <v>705</v>
      </c>
      <c r="D283" s="33">
        <v>2.7410000000000001</v>
      </c>
      <c r="E283" s="27">
        <v>23.616999999999997</v>
      </c>
      <c r="F283" s="30">
        <f t="shared" si="4"/>
        <v>64.734196999999995</v>
      </c>
      <c r="G283" s="41"/>
      <c r="H283" s="42"/>
      <c r="I283" s="142">
        <v>0</v>
      </c>
    </row>
    <row r="284" spans="1:9" hidden="1" x14ac:dyDescent="0.25">
      <c r="A284" s="247"/>
      <c r="B284" s="32" t="s">
        <v>706</v>
      </c>
      <c r="C284" s="43" t="s">
        <v>705</v>
      </c>
      <c r="D284" s="33">
        <v>1.357</v>
      </c>
      <c r="E284" s="27">
        <v>18.420500000000001</v>
      </c>
      <c r="F284" s="30">
        <f t="shared" si="4"/>
        <v>24.9966185</v>
      </c>
      <c r="G284" s="41"/>
      <c r="H284" s="42"/>
      <c r="I284" s="142">
        <v>0</v>
      </c>
    </row>
    <row r="285" spans="1:9" ht="15.75" hidden="1" thickBot="1" x14ac:dyDescent="0.3">
      <c r="A285" s="253"/>
      <c r="B285" s="47"/>
      <c r="C285" s="43"/>
      <c r="D285" s="33"/>
      <c r="E285" s="27" t="s">
        <v>523</v>
      </c>
      <c r="F285" s="30" t="str">
        <f t="shared" si="4"/>
        <v/>
      </c>
      <c r="G285" s="41"/>
      <c r="H285" s="42"/>
      <c r="I285" s="142">
        <v>0</v>
      </c>
    </row>
    <row r="286" spans="1:9" ht="27" hidden="1" customHeight="1" x14ac:dyDescent="0.25">
      <c r="A286" s="252" t="s">
        <v>1453</v>
      </c>
      <c r="B286" s="37" t="s">
        <v>523</v>
      </c>
      <c r="C286" s="22" t="s">
        <v>120</v>
      </c>
      <c r="D286" s="85"/>
      <c r="E286" s="24" t="s">
        <v>523</v>
      </c>
      <c r="F286" s="24" t="str">
        <f t="shared" si="4"/>
        <v/>
      </c>
      <c r="G286" s="25"/>
      <c r="H286" s="26"/>
      <c r="I286" s="142">
        <v>0</v>
      </c>
    </row>
    <row r="287" spans="1:9" hidden="1" x14ac:dyDescent="0.25">
      <c r="A287" s="247"/>
      <c r="B287" s="28" t="s">
        <v>523</v>
      </c>
      <c r="C287" s="28"/>
      <c r="D287" s="83"/>
      <c r="E287" s="27" t="s">
        <v>523</v>
      </c>
      <c r="F287" s="90" t="str">
        <f t="shared" si="4"/>
        <v/>
      </c>
      <c r="G287" s="92"/>
      <c r="H287" s="90"/>
      <c r="I287" s="142">
        <v>0</v>
      </c>
    </row>
    <row r="288" spans="1:9" ht="25.5" hidden="1" x14ac:dyDescent="0.25">
      <c r="A288" s="247"/>
      <c r="B288" s="32" t="s">
        <v>754</v>
      </c>
      <c r="C288" s="32" t="s">
        <v>120</v>
      </c>
      <c r="D288" s="33">
        <v>1.07</v>
      </c>
      <c r="E288" s="27">
        <v>160.53099999999998</v>
      </c>
      <c r="F288" s="30">
        <f t="shared" si="4"/>
        <v>171.76817</v>
      </c>
      <c r="G288" s="41">
        <f>SUM(F288:F293)</f>
        <v>696.1928311449999</v>
      </c>
      <c r="H288" s="42"/>
      <c r="I288" s="142">
        <v>0</v>
      </c>
    </row>
    <row r="289" spans="1:9" hidden="1" x14ac:dyDescent="0.25">
      <c r="A289" s="247"/>
      <c r="B289" s="32" t="s">
        <v>1448</v>
      </c>
      <c r="C289" s="32" t="s">
        <v>901</v>
      </c>
      <c r="D289" s="33">
        <v>75.47</v>
      </c>
      <c r="E289" s="27">
        <v>1.0449999999999999</v>
      </c>
      <c r="F289" s="30">
        <f t="shared" si="4"/>
        <v>78.86614999999999</v>
      </c>
      <c r="G289" s="41"/>
      <c r="H289" s="42"/>
      <c r="I289" s="142">
        <v>0</v>
      </c>
    </row>
    <row r="290" spans="1:9" ht="15.75" hidden="1" customHeight="1" x14ac:dyDescent="0.25">
      <c r="A290" s="247"/>
      <c r="B290" s="32" t="s">
        <v>750</v>
      </c>
      <c r="C290" s="32" t="s">
        <v>901</v>
      </c>
      <c r="D290" s="33">
        <v>339.62</v>
      </c>
      <c r="E290" s="30">
        <v>0.64600000000000002</v>
      </c>
      <c r="F290" s="30">
        <f t="shared" si="4"/>
        <v>219.39452</v>
      </c>
      <c r="G290" s="41"/>
      <c r="H290" s="42"/>
      <c r="I290" s="142">
        <v>0</v>
      </c>
    </row>
    <row r="291" spans="1:9" hidden="1" x14ac:dyDescent="0.25">
      <c r="A291" s="247"/>
      <c r="B291" s="32" t="s">
        <v>1421</v>
      </c>
      <c r="C291" s="32" t="s">
        <v>705</v>
      </c>
      <c r="D291" s="33">
        <v>8.7799999999999994</v>
      </c>
      <c r="E291" s="27">
        <v>18.420500000000001</v>
      </c>
      <c r="F291" s="30">
        <f t="shared" si="4"/>
        <v>161.73199</v>
      </c>
      <c r="G291" s="41"/>
      <c r="H291" s="42"/>
      <c r="I291" s="142">
        <v>0</v>
      </c>
    </row>
    <row r="292" spans="1:9" ht="51" hidden="1" x14ac:dyDescent="0.25">
      <c r="A292" s="247"/>
      <c r="B292" s="32" t="s">
        <v>3532</v>
      </c>
      <c r="C292" s="32" t="s">
        <v>120</v>
      </c>
      <c r="D292" s="33">
        <f>ROUND(1*D288,4)</f>
        <v>1.07</v>
      </c>
      <c r="E292" s="27">
        <v>7.8726404999999993</v>
      </c>
      <c r="F292" s="30">
        <f t="shared" si="4"/>
        <v>8.4237253350000003</v>
      </c>
      <c r="G292" s="41"/>
      <c r="H292" s="42"/>
      <c r="I292" s="142">
        <v>0</v>
      </c>
    </row>
    <row r="293" spans="1:9" ht="38.25" hidden="1" x14ac:dyDescent="0.25">
      <c r="A293" s="247"/>
      <c r="B293" s="32" t="s">
        <v>3529</v>
      </c>
      <c r="C293" s="43" t="s">
        <v>122</v>
      </c>
      <c r="D293" s="33">
        <f>ROUND(D288*20,4)</f>
        <v>21.4</v>
      </c>
      <c r="E293" s="27">
        <v>2.6172091499999994</v>
      </c>
      <c r="F293" s="30">
        <f t="shared" si="4"/>
        <v>56.008275809999986</v>
      </c>
      <c r="G293" s="41"/>
      <c r="H293" s="42"/>
      <c r="I293" s="142">
        <v>0</v>
      </c>
    </row>
    <row r="294" spans="1:9" hidden="1" x14ac:dyDescent="0.25">
      <c r="A294" s="247"/>
      <c r="B294" s="47"/>
      <c r="C294" s="43"/>
      <c r="D294" s="33"/>
      <c r="E294" s="27" t="s">
        <v>523</v>
      </c>
      <c r="F294" s="30" t="str">
        <f t="shared" si="4"/>
        <v/>
      </c>
      <c r="G294" s="41"/>
      <c r="H294" s="42"/>
      <c r="I294" s="142">
        <v>0</v>
      </c>
    </row>
    <row r="295" spans="1:9" hidden="1" x14ac:dyDescent="0.25">
      <c r="A295" s="247"/>
      <c r="B295" s="44" t="s">
        <v>757</v>
      </c>
      <c r="C295" s="43"/>
      <c r="D295" s="33"/>
      <c r="E295" s="27" t="s">
        <v>523</v>
      </c>
      <c r="F295" s="30" t="str">
        <f t="shared" si="4"/>
        <v/>
      </c>
      <c r="G295" s="41"/>
      <c r="H295" s="42"/>
      <c r="I295" s="142">
        <v>0</v>
      </c>
    </row>
    <row r="296" spans="1:9" ht="15.75" hidden="1" thickBot="1" x14ac:dyDescent="0.3">
      <c r="A296" s="253"/>
      <c r="B296" s="51" t="s">
        <v>523</v>
      </c>
      <c r="C296" s="51"/>
      <c r="D296" s="87"/>
      <c r="E296" s="63" t="s">
        <v>523</v>
      </c>
      <c r="F296" s="63" t="str">
        <f t="shared" si="4"/>
        <v/>
      </c>
      <c r="G296" s="65"/>
      <c r="H296" s="27"/>
      <c r="I296" s="142">
        <v>0</v>
      </c>
    </row>
    <row r="297" spans="1:9" ht="27" hidden="1" customHeight="1" x14ac:dyDescent="0.25">
      <c r="A297" s="252" t="s">
        <v>7773</v>
      </c>
      <c r="B297" s="152" t="s">
        <v>523</v>
      </c>
      <c r="C297" s="81" t="s">
        <v>901</v>
      </c>
      <c r="D297" s="82"/>
      <c r="E297" s="67" t="s">
        <v>523</v>
      </c>
      <c r="F297" s="67" t="str">
        <f t="shared" si="4"/>
        <v/>
      </c>
      <c r="G297" s="68"/>
      <c r="H297" s="26"/>
      <c r="I297" s="142">
        <v>0</v>
      </c>
    </row>
    <row r="298" spans="1:9" hidden="1" x14ac:dyDescent="0.25">
      <c r="A298" s="247"/>
      <c r="B298" s="28" t="s">
        <v>523</v>
      </c>
      <c r="C298" s="28"/>
      <c r="D298" s="83"/>
      <c r="E298" s="27" t="s">
        <v>523</v>
      </c>
      <c r="F298" s="27" t="str">
        <f t="shared" si="4"/>
        <v/>
      </c>
      <c r="G298" s="31"/>
      <c r="H298" s="27"/>
      <c r="I298" s="142">
        <v>0</v>
      </c>
    </row>
    <row r="299" spans="1:9" ht="38.25" hidden="1" x14ac:dyDescent="0.25">
      <c r="A299" s="247"/>
      <c r="B299" s="32" t="s">
        <v>902</v>
      </c>
      <c r="C299" s="32" t="s">
        <v>280</v>
      </c>
      <c r="D299" s="33">
        <v>2.8159999999999998</v>
      </c>
      <c r="E299" s="27">
        <v>0.20899999999999999</v>
      </c>
      <c r="F299" s="30">
        <f t="shared" si="4"/>
        <v>0.58854399999999996</v>
      </c>
      <c r="G299" s="41">
        <f>SUM(F299:F303)</f>
        <v>19.262675000000002</v>
      </c>
      <c r="H299" s="42"/>
      <c r="I299" s="142">
        <v>0</v>
      </c>
    </row>
    <row r="300" spans="1:9" ht="25.5" hidden="1" x14ac:dyDescent="0.25">
      <c r="A300" s="247"/>
      <c r="B300" s="32" t="s">
        <v>3513</v>
      </c>
      <c r="C300" s="32" t="s">
        <v>901</v>
      </c>
      <c r="D300" s="33">
        <v>2.5000000000000001E-2</v>
      </c>
      <c r="E300" s="27">
        <v>22.61</v>
      </c>
      <c r="F300" s="30">
        <f t="shared" si="4"/>
        <v>0.56525000000000003</v>
      </c>
      <c r="G300" s="41"/>
      <c r="H300" s="42"/>
      <c r="I300" s="142">
        <v>0</v>
      </c>
    </row>
    <row r="301" spans="1:9" hidden="1" x14ac:dyDescent="0.25">
      <c r="A301" s="247"/>
      <c r="B301" s="32" t="s">
        <v>903</v>
      </c>
      <c r="C301" s="32" t="s">
        <v>705</v>
      </c>
      <c r="D301" s="33">
        <v>3.1E-2</v>
      </c>
      <c r="E301" s="30">
        <v>18.3825</v>
      </c>
      <c r="F301" s="30">
        <f t="shared" si="4"/>
        <v>0.56985750000000002</v>
      </c>
      <c r="G301" s="41"/>
      <c r="H301" s="42"/>
      <c r="I301" s="142">
        <v>0</v>
      </c>
    </row>
    <row r="302" spans="1:9" ht="15.75" hidden="1" customHeight="1" x14ac:dyDescent="0.25">
      <c r="A302" s="247"/>
      <c r="B302" s="32" t="s">
        <v>904</v>
      </c>
      <c r="C302" s="32" t="s">
        <v>705</v>
      </c>
      <c r="D302" s="33">
        <v>0.18959999999999999</v>
      </c>
      <c r="E302" s="27">
        <v>24.747499999999999</v>
      </c>
      <c r="F302" s="30">
        <f t="shared" si="4"/>
        <v>4.6921259999999991</v>
      </c>
      <c r="G302" s="41"/>
      <c r="H302" s="42"/>
      <c r="I302" s="142">
        <v>0</v>
      </c>
    </row>
    <row r="303" spans="1:9" ht="25.5" hidden="1" x14ac:dyDescent="0.25">
      <c r="A303" s="247"/>
      <c r="B303" s="32" t="s">
        <v>1451</v>
      </c>
      <c r="C303" s="43" t="s">
        <v>901</v>
      </c>
      <c r="D303" s="33">
        <v>1</v>
      </c>
      <c r="E303" s="27">
        <v>12.846897500000001</v>
      </c>
      <c r="F303" s="30">
        <f t="shared" si="4"/>
        <v>12.846897500000001</v>
      </c>
      <c r="G303" s="41"/>
      <c r="H303" s="42"/>
      <c r="I303" s="142">
        <v>0</v>
      </c>
    </row>
    <row r="304" spans="1:9" ht="15.75" hidden="1" thickBot="1" x14ac:dyDescent="0.3">
      <c r="A304" s="253"/>
      <c r="B304" s="47"/>
      <c r="C304" s="43"/>
      <c r="D304" s="33"/>
      <c r="E304" s="27" t="s">
        <v>523</v>
      </c>
      <c r="F304" s="30" t="str">
        <f t="shared" si="4"/>
        <v/>
      </c>
      <c r="G304" s="41"/>
      <c r="H304" s="42"/>
      <c r="I304" s="142">
        <v>0</v>
      </c>
    </row>
    <row r="305" spans="1:9" ht="15" hidden="1" customHeight="1" x14ac:dyDescent="0.25">
      <c r="A305" s="252" t="s">
        <v>7775</v>
      </c>
      <c r="B305" s="37" t="s">
        <v>523</v>
      </c>
      <c r="C305" s="22" t="s">
        <v>901</v>
      </c>
      <c r="D305" s="85"/>
      <c r="E305" s="24" t="s">
        <v>523</v>
      </c>
      <c r="F305" s="22" t="str">
        <f t="shared" si="4"/>
        <v/>
      </c>
      <c r="G305" s="25"/>
      <c r="H305" s="26"/>
      <c r="I305" s="142">
        <v>0</v>
      </c>
    </row>
    <row r="306" spans="1:9" ht="15.75" hidden="1" customHeight="1" x14ac:dyDescent="0.25">
      <c r="A306" s="247"/>
      <c r="B306" s="28" t="s">
        <v>523</v>
      </c>
      <c r="C306" s="28"/>
      <c r="D306" s="83"/>
      <c r="E306" s="27" t="s">
        <v>523</v>
      </c>
      <c r="F306" s="90" t="str">
        <f t="shared" si="4"/>
        <v/>
      </c>
      <c r="G306" s="92"/>
      <c r="H306" s="90"/>
      <c r="I306" s="142">
        <v>0</v>
      </c>
    </row>
    <row r="307" spans="1:9" hidden="1" x14ac:dyDescent="0.25">
      <c r="A307" s="247"/>
      <c r="B307" s="32" t="s">
        <v>1454</v>
      </c>
      <c r="C307" s="32" t="s">
        <v>901</v>
      </c>
      <c r="D307" s="33">
        <v>1.07</v>
      </c>
      <c r="E307" s="30">
        <v>9.6234999999999999</v>
      </c>
      <c r="F307" s="30">
        <f t="shared" si="4"/>
        <v>10.297145</v>
      </c>
      <c r="G307" s="41">
        <f>SUM(F307:F309)</f>
        <v>12.846897500000001</v>
      </c>
      <c r="H307" s="42"/>
      <c r="I307" s="142">
        <v>0</v>
      </c>
    </row>
    <row r="308" spans="1:9" hidden="1" x14ac:dyDescent="0.25">
      <c r="A308" s="247"/>
      <c r="B308" s="32" t="s">
        <v>903</v>
      </c>
      <c r="C308" s="32" t="s">
        <v>705</v>
      </c>
      <c r="D308" s="33">
        <v>1.3100000000000001E-2</v>
      </c>
      <c r="E308" s="30">
        <v>18.3825</v>
      </c>
      <c r="F308" s="30">
        <f t="shared" si="4"/>
        <v>0.24081075000000002</v>
      </c>
      <c r="G308" s="41"/>
      <c r="H308" s="42"/>
      <c r="I308" s="142">
        <v>0</v>
      </c>
    </row>
    <row r="309" spans="1:9" hidden="1" x14ac:dyDescent="0.25">
      <c r="A309" s="247"/>
      <c r="B309" s="32" t="s">
        <v>904</v>
      </c>
      <c r="C309" s="32" t="s">
        <v>705</v>
      </c>
      <c r="D309" s="33">
        <v>9.3299999999999994E-2</v>
      </c>
      <c r="E309" s="27">
        <v>24.747499999999999</v>
      </c>
      <c r="F309" s="30">
        <f t="shared" si="4"/>
        <v>2.3089417499999998</v>
      </c>
      <c r="G309" s="41"/>
      <c r="H309" s="42"/>
      <c r="I309" s="142">
        <v>0</v>
      </c>
    </row>
    <row r="310" spans="1:9" ht="15.75" hidden="1" thickBot="1" x14ac:dyDescent="0.3">
      <c r="A310" s="253"/>
      <c r="B310" s="51" t="s">
        <v>523</v>
      </c>
      <c r="C310" s="51"/>
      <c r="D310" s="87"/>
      <c r="E310" s="63" t="s">
        <v>523</v>
      </c>
      <c r="F310" s="64" t="str">
        <f t="shared" si="4"/>
        <v/>
      </c>
      <c r="G310" s="65"/>
      <c r="H310" s="27"/>
      <c r="I310" s="142">
        <v>0</v>
      </c>
    </row>
    <row r="311" spans="1:9" ht="27" hidden="1" customHeight="1" x14ac:dyDescent="0.25">
      <c r="A311" s="252" t="s">
        <v>6617</v>
      </c>
      <c r="B311" s="37" t="s">
        <v>523</v>
      </c>
      <c r="C311" s="22" t="s">
        <v>120</v>
      </c>
      <c r="D311" s="85"/>
      <c r="E311" s="38" t="s">
        <v>523</v>
      </c>
      <c r="F311" s="38" t="str">
        <f t="shared" si="4"/>
        <v/>
      </c>
      <c r="G311" s="25"/>
      <c r="H311" s="26"/>
      <c r="I311" s="142">
        <v>0</v>
      </c>
    </row>
    <row r="312" spans="1:9" hidden="1" x14ac:dyDescent="0.25">
      <c r="A312" s="247"/>
      <c r="B312" s="28" t="s">
        <v>523</v>
      </c>
      <c r="C312" s="28"/>
      <c r="D312" s="83"/>
      <c r="E312" s="39" t="s">
        <v>523</v>
      </c>
      <c r="F312" s="27" t="str">
        <f t="shared" si="4"/>
        <v/>
      </c>
      <c r="G312" s="31"/>
      <c r="H312" s="27"/>
      <c r="I312" s="142">
        <v>0</v>
      </c>
    </row>
    <row r="313" spans="1:9" ht="25.5" hidden="1" x14ac:dyDescent="0.25">
      <c r="A313" s="247"/>
      <c r="B313" s="32" t="s">
        <v>754</v>
      </c>
      <c r="C313" s="32" t="s">
        <v>120</v>
      </c>
      <c r="D313" s="33">
        <v>0.80759999999999998</v>
      </c>
      <c r="E313" s="30">
        <v>160.53099999999998</v>
      </c>
      <c r="F313" s="30">
        <f t="shared" si="4"/>
        <v>129.64483559999999</v>
      </c>
      <c r="G313" s="41">
        <f>SUM(F313:F321)</f>
        <v>540.70228210914991</v>
      </c>
      <c r="H313" s="42"/>
      <c r="I313" s="142">
        <v>0</v>
      </c>
    </row>
    <row r="314" spans="1:9" hidden="1" x14ac:dyDescent="0.25">
      <c r="A314" s="247"/>
      <c r="B314" s="32" t="s">
        <v>750</v>
      </c>
      <c r="C314" s="32" t="s">
        <v>901</v>
      </c>
      <c r="D314" s="33">
        <v>274.06349999999998</v>
      </c>
      <c r="E314" s="30">
        <v>0.64600000000000002</v>
      </c>
      <c r="F314" s="30">
        <f t="shared" si="4"/>
        <v>177.04502099999999</v>
      </c>
      <c r="G314" s="41"/>
      <c r="H314" s="42"/>
      <c r="I314" s="142">
        <v>0</v>
      </c>
    </row>
    <row r="315" spans="1:9" ht="25.5" hidden="1" x14ac:dyDescent="0.25">
      <c r="A315" s="247"/>
      <c r="B315" s="32" t="s">
        <v>762</v>
      </c>
      <c r="C315" s="32" t="s">
        <v>120</v>
      </c>
      <c r="D315" s="33">
        <v>0.58130000000000004</v>
      </c>
      <c r="E315" s="30">
        <v>147.041</v>
      </c>
      <c r="F315" s="30">
        <f t="shared" si="4"/>
        <v>85.474933300000004</v>
      </c>
      <c r="G315" s="41"/>
      <c r="H315" s="42"/>
      <c r="I315" s="142">
        <v>0</v>
      </c>
    </row>
    <row r="316" spans="1:9" hidden="1" x14ac:dyDescent="0.25">
      <c r="A316" s="247"/>
      <c r="B316" s="32" t="s">
        <v>706</v>
      </c>
      <c r="C316" s="32" t="s">
        <v>705</v>
      </c>
      <c r="D316" s="33">
        <v>2.0266999999999999</v>
      </c>
      <c r="E316" s="27">
        <v>18.420500000000001</v>
      </c>
      <c r="F316" s="30">
        <f t="shared" si="4"/>
        <v>37.332827350000002</v>
      </c>
      <c r="G316" s="41"/>
      <c r="H316" s="42"/>
      <c r="I316" s="142">
        <v>0</v>
      </c>
    </row>
    <row r="317" spans="1:9" ht="25.5" hidden="1" x14ac:dyDescent="0.25">
      <c r="A317" s="247"/>
      <c r="B317" s="32" t="s">
        <v>1446</v>
      </c>
      <c r="C317" s="32" t="s">
        <v>705</v>
      </c>
      <c r="D317" s="33">
        <v>1.2822</v>
      </c>
      <c r="E317" s="27">
        <v>18.534500000000001</v>
      </c>
      <c r="F317" s="86">
        <f t="shared" si="4"/>
        <v>23.764935900000001</v>
      </c>
      <c r="G317" s="41"/>
      <c r="H317" s="42"/>
      <c r="I317" s="142">
        <v>0</v>
      </c>
    </row>
    <row r="318" spans="1:9" ht="38.25" hidden="1" x14ac:dyDescent="0.25">
      <c r="A318" s="247"/>
      <c r="B318" s="32" t="s">
        <v>1370</v>
      </c>
      <c r="C318" s="32" t="s">
        <v>945</v>
      </c>
      <c r="D318" s="33">
        <v>0.65990000000000004</v>
      </c>
      <c r="E318" s="27">
        <v>4.3319999999999999</v>
      </c>
      <c r="F318" s="86">
        <f t="shared" si="4"/>
        <v>2.8586868000000001</v>
      </c>
      <c r="G318" s="41"/>
      <c r="H318" s="42"/>
      <c r="I318" s="142">
        <v>0</v>
      </c>
    </row>
    <row r="319" spans="1:9" ht="38.25" hidden="1" x14ac:dyDescent="0.25">
      <c r="A319" s="247"/>
      <c r="B319" s="32" t="s">
        <v>1447</v>
      </c>
      <c r="C319" s="43" t="s">
        <v>947</v>
      </c>
      <c r="D319" s="33">
        <v>0.62229999999999996</v>
      </c>
      <c r="E319" s="27">
        <v>1.52</v>
      </c>
      <c r="F319" s="30">
        <f t="shared" si="4"/>
        <v>0.94589599999999996</v>
      </c>
      <c r="G319" s="41"/>
      <c r="H319" s="42"/>
      <c r="I319" s="142">
        <v>0</v>
      </c>
    </row>
    <row r="320" spans="1:9" ht="51" hidden="1" x14ac:dyDescent="0.25">
      <c r="A320" s="247"/>
      <c r="B320" s="32" t="s">
        <v>3532</v>
      </c>
      <c r="C320" s="32" t="s">
        <v>120</v>
      </c>
      <c r="D320" s="33">
        <f>ROUND(1*(D313+D315),4)</f>
        <v>1.3889</v>
      </c>
      <c r="E320" s="27">
        <v>7.8726404999999993</v>
      </c>
      <c r="F320" s="30">
        <f t="shared" si="4"/>
        <v>10.934310390449999</v>
      </c>
      <c r="G320" s="41"/>
      <c r="H320" s="42"/>
      <c r="I320" s="142">
        <v>0</v>
      </c>
    </row>
    <row r="321" spans="1:9" ht="38.25" hidden="1" x14ac:dyDescent="0.25">
      <c r="A321" s="247"/>
      <c r="B321" s="32" t="s">
        <v>3529</v>
      </c>
      <c r="C321" s="43" t="s">
        <v>122</v>
      </c>
      <c r="D321" s="33">
        <f>ROUND((D313+D315)*20,4)</f>
        <v>27.777999999999999</v>
      </c>
      <c r="E321" s="27">
        <v>2.6172091499999994</v>
      </c>
      <c r="F321" s="30">
        <f t="shared" si="4"/>
        <v>72.700835768699974</v>
      </c>
      <c r="G321" s="41"/>
      <c r="H321" s="42"/>
      <c r="I321" s="142">
        <v>0</v>
      </c>
    </row>
    <row r="322" spans="1:9" hidden="1" x14ac:dyDescent="0.25">
      <c r="A322" s="247"/>
      <c r="B322" s="47"/>
      <c r="C322" s="43"/>
      <c r="D322" s="33"/>
      <c r="E322" s="27" t="s">
        <v>523</v>
      </c>
      <c r="F322" s="30" t="str">
        <f t="shared" si="4"/>
        <v/>
      </c>
      <c r="G322" s="41"/>
      <c r="H322" s="42"/>
      <c r="I322" s="142">
        <v>0</v>
      </c>
    </row>
    <row r="323" spans="1:9" ht="25.5" hidden="1" x14ac:dyDescent="0.25">
      <c r="A323" s="247"/>
      <c r="B323" s="44" t="s">
        <v>123</v>
      </c>
      <c r="C323" s="43"/>
      <c r="D323" s="33"/>
      <c r="E323" s="27" t="s">
        <v>523</v>
      </c>
      <c r="F323" s="30" t="str">
        <f t="shared" si="4"/>
        <v/>
      </c>
      <c r="G323" s="41"/>
      <c r="H323" s="42"/>
      <c r="I323" s="142">
        <v>0</v>
      </c>
    </row>
    <row r="324" spans="1:9" ht="15.75" hidden="1" thickBot="1" x14ac:dyDescent="0.3">
      <c r="A324" s="253"/>
      <c r="B324" s="32" t="s">
        <v>523</v>
      </c>
      <c r="C324" s="32"/>
      <c r="D324" s="84"/>
      <c r="E324" s="27" t="s">
        <v>523</v>
      </c>
      <c r="F324" s="27" t="str">
        <f t="shared" si="4"/>
        <v/>
      </c>
      <c r="G324" s="31"/>
      <c r="H324" s="27"/>
      <c r="I324" s="142">
        <v>0</v>
      </c>
    </row>
    <row r="325" spans="1:9" ht="27" hidden="1" customHeight="1" x14ac:dyDescent="0.25">
      <c r="A325" s="252" t="s">
        <v>6616</v>
      </c>
      <c r="B325" s="37" t="s">
        <v>523</v>
      </c>
      <c r="C325" s="22" t="s">
        <v>120</v>
      </c>
      <c r="D325" s="85"/>
      <c r="E325" s="38" t="s">
        <v>523</v>
      </c>
      <c r="F325" s="38" t="str">
        <f t="shared" si="4"/>
        <v/>
      </c>
      <c r="G325" s="25"/>
      <c r="H325" s="26"/>
      <c r="I325" s="142">
        <v>0</v>
      </c>
    </row>
    <row r="326" spans="1:9" hidden="1" x14ac:dyDescent="0.25">
      <c r="A326" s="247"/>
      <c r="B326" s="28" t="s">
        <v>523</v>
      </c>
      <c r="C326" s="28"/>
      <c r="D326" s="83"/>
      <c r="E326" s="39" t="s">
        <v>523</v>
      </c>
      <c r="F326" s="27" t="str">
        <f t="shared" ref="F326:F377" si="5">IF(ISNUMBER(E326),E326*$D326,"")</f>
        <v/>
      </c>
      <c r="G326" s="31"/>
      <c r="H326" s="27"/>
      <c r="I326" s="142">
        <v>0</v>
      </c>
    </row>
    <row r="327" spans="1:9" ht="25.5" hidden="1" x14ac:dyDescent="0.25">
      <c r="A327" s="247"/>
      <c r="B327" s="32" t="s">
        <v>754</v>
      </c>
      <c r="C327" s="32" t="s">
        <v>120</v>
      </c>
      <c r="D327" s="33">
        <v>0.83250000000000002</v>
      </c>
      <c r="E327" s="30">
        <v>160.53099999999998</v>
      </c>
      <c r="F327" s="30">
        <f t="shared" si="5"/>
        <v>133.64205749999999</v>
      </c>
      <c r="G327" s="41">
        <f>SUM(F327:F335)</f>
        <v>509.72756397309996</v>
      </c>
      <c r="H327" s="42"/>
      <c r="I327" s="142">
        <v>0</v>
      </c>
    </row>
    <row r="328" spans="1:9" hidden="1" x14ac:dyDescent="0.25">
      <c r="A328" s="247"/>
      <c r="B328" s="32" t="s">
        <v>750</v>
      </c>
      <c r="C328" s="32" t="s">
        <v>901</v>
      </c>
      <c r="D328" s="33">
        <v>213.45310000000001</v>
      </c>
      <c r="E328" s="30">
        <v>0.64600000000000002</v>
      </c>
      <c r="F328" s="30">
        <f t="shared" si="5"/>
        <v>137.8907026</v>
      </c>
      <c r="G328" s="41"/>
      <c r="H328" s="42"/>
      <c r="I328" s="142">
        <v>0</v>
      </c>
    </row>
    <row r="329" spans="1:9" ht="25.5" hidden="1" x14ac:dyDescent="0.25">
      <c r="A329" s="247"/>
      <c r="B329" s="32" t="s">
        <v>762</v>
      </c>
      <c r="C329" s="32" t="s">
        <v>120</v>
      </c>
      <c r="D329" s="33">
        <v>0.58209999999999995</v>
      </c>
      <c r="E329" s="30">
        <v>147.041</v>
      </c>
      <c r="F329" s="30">
        <f t="shared" si="5"/>
        <v>85.592566099999985</v>
      </c>
      <c r="G329" s="41"/>
      <c r="H329" s="42"/>
      <c r="I329" s="142">
        <v>0</v>
      </c>
    </row>
    <row r="330" spans="1:9" hidden="1" x14ac:dyDescent="0.25">
      <c r="A330" s="247"/>
      <c r="B330" s="32" t="s">
        <v>706</v>
      </c>
      <c r="C330" s="32" t="s">
        <v>705</v>
      </c>
      <c r="D330" s="33">
        <v>2.1057999999999999</v>
      </c>
      <c r="E330" s="27">
        <v>18.420500000000001</v>
      </c>
      <c r="F330" s="30">
        <f t="shared" si="5"/>
        <v>38.789888900000001</v>
      </c>
      <c r="G330" s="41"/>
      <c r="H330" s="42"/>
      <c r="I330" s="142">
        <v>0</v>
      </c>
    </row>
    <row r="331" spans="1:9" ht="25.5" hidden="1" x14ac:dyDescent="0.25">
      <c r="A331" s="247"/>
      <c r="B331" s="32" t="s">
        <v>1446</v>
      </c>
      <c r="C331" s="32" t="s">
        <v>705</v>
      </c>
      <c r="D331" s="33">
        <v>1.3314999999999999</v>
      </c>
      <c r="E331" s="27">
        <v>18.534500000000001</v>
      </c>
      <c r="F331" s="86">
        <f t="shared" si="5"/>
        <v>24.678686750000001</v>
      </c>
      <c r="G331" s="41"/>
      <c r="H331" s="42"/>
      <c r="I331" s="142">
        <v>0</v>
      </c>
    </row>
    <row r="332" spans="1:9" ht="38.25" hidden="1" x14ac:dyDescent="0.25">
      <c r="A332" s="247"/>
      <c r="B332" s="32" t="s">
        <v>1370</v>
      </c>
      <c r="C332" s="32" t="s">
        <v>945</v>
      </c>
      <c r="D332" s="33">
        <v>0.68530000000000002</v>
      </c>
      <c r="E332" s="27">
        <v>4.3319999999999999</v>
      </c>
      <c r="F332" s="86">
        <f t="shared" si="5"/>
        <v>2.9687196</v>
      </c>
      <c r="G332" s="41"/>
      <c r="H332" s="42"/>
      <c r="I332" s="142">
        <v>0</v>
      </c>
    </row>
    <row r="333" spans="1:9" ht="38.25" hidden="1" x14ac:dyDescent="0.25">
      <c r="A333" s="247"/>
      <c r="B333" s="32" t="s">
        <v>1447</v>
      </c>
      <c r="C333" s="43" t="s">
        <v>947</v>
      </c>
      <c r="D333" s="33">
        <v>0.6462</v>
      </c>
      <c r="E333" s="27">
        <v>1.52</v>
      </c>
      <c r="F333" s="30">
        <f t="shared" si="5"/>
        <v>0.98222399999999999</v>
      </c>
      <c r="G333" s="41"/>
      <c r="H333" s="42"/>
      <c r="I333" s="142">
        <v>0</v>
      </c>
    </row>
    <row r="334" spans="1:9" ht="51" hidden="1" x14ac:dyDescent="0.25">
      <c r="A334" s="247"/>
      <c r="B334" s="32" t="s">
        <v>3532</v>
      </c>
      <c r="C334" s="32" t="s">
        <v>120</v>
      </c>
      <c r="D334" s="33">
        <f>ROUND(1*(D327+D329),4)</f>
        <v>1.4146000000000001</v>
      </c>
      <c r="E334" s="27">
        <v>7.8726404999999993</v>
      </c>
      <c r="F334" s="30">
        <f t="shared" si="5"/>
        <v>11.1366372513</v>
      </c>
      <c r="G334" s="41"/>
      <c r="H334" s="42"/>
      <c r="I334" s="142">
        <v>0</v>
      </c>
    </row>
    <row r="335" spans="1:9" ht="38.25" hidden="1" x14ac:dyDescent="0.25">
      <c r="A335" s="247"/>
      <c r="B335" s="32" t="s">
        <v>3529</v>
      </c>
      <c r="C335" s="43" t="s">
        <v>122</v>
      </c>
      <c r="D335" s="33">
        <f>ROUND((D327+D329)*20,4)</f>
        <v>28.292000000000002</v>
      </c>
      <c r="E335" s="27">
        <v>2.6172091499999994</v>
      </c>
      <c r="F335" s="30">
        <f t="shared" si="5"/>
        <v>74.046081271799991</v>
      </c>
      <c r="G335" s="41"/>
      <c r="H335" s="42"/>
      <c r="I335" s="142">
        <v>0</v>
      </c>
    </row>
    <row r="336" spans="1:9" hidden="1" x14ac:dyDescent="0.25">
      <c r="A336" s="247"/>
      <c r="B336" s="47"/>
      <c r="C336" s="43"/>
      <c r="D336" s="33"/>
      <c r="E336" s="27" t="s">
        <v>523</v>
      </c>
      <c r="F336" s="30" t="str">
        <f t="shared" si="5"/>
        <v/>
      </c>
      <c r="G336" s="41"/>
      <c r="H336" s="42"/>
      <c r="I336" s="142">
        <v>0</v>
      </c>
    </row>
    <row r="337" spans="1:9" ht="25.5" hidden="1" x14ac:dyDescent="0.25">
      <c r="A337" s="247"/>
      <c r="B337" s="44" t="s">
        <v>123</v>
      </c>
      <c r="C337" s="43"/>
      <c r="D337" s="33"/>
      <c r="E337" s="27" t="s">
        <v>523</v>
      </c>
      <c r="F337" s="30" t="str">
        <f t="shared" si="5"/>
        <v/>
      </c>
      <c r="G337" s="41"/>
      <c r="H337" s="42"/>
      <c r="I337" s="142">
        <v>0</v>
      </c>
    </row>
    <row r="338" spans="1:9" ht="15.75" hidden="1" thickBot="1" x14ac:dyDescent="0.3">
      <c r="A338" s="253"/>
      <c r="B338" s="32" t="s">
        <v>523</v>
      </c>
      <c r="C338" s="32"/>
      <c r="D338" s="84"/>
      <c r="E338" s="27" t="s">
        <v>523</v>
      </c>
      <c r="F338" s="27" t="str">
        <f t="shared" si="5"/>
        <v/>
      </c>
      <c r="G338" s="31"/>
      <c r="H338" s="27"/>
      <c r="I338" s="142">
        <v>0</v>
      </c>
    </row>
    <row r="339" spans="1:9" ht="27" hidden="1" customHeight="1" x14ac:dyDescent="0.25">
      <c r="A339" s="252" t="s">
        <v>1005</v>
      </c>
      <c r="B339" s="37" t="s">
        <v>523</v>
      </c>
      <c r="C339" s="22" t="s">
        <v>120</v>
      </c>
      <c r="D339" s="85"/>
      <c r="E339" s="24" t="s">
        <v>523</v>
      </c>
      <c r="F339" s="24" t="str">
        <f t="shared" si="5"/>
        <v/>
      </c>
      <c r="G339" s="25"/>
      <c r="H339" s="26"/>
      <c r="I339" s="142">
        <v>0</v>
      </c>
    </row>
    <row r="340" spans="1:9" hidden="1" x14ac:dyDescent="0.25">
      <c r="A340" s="247"/>
      <c r="B340" s="28" t="s">
        <v>523</v>
      </c>
      <c r="C340" s="28"/>
      <c r="D340" s="83"/>
      <c r="E340" s="27" t="s">
        <v>523</v>
      </c>
      <c r="F340" s="27" t="str">
        <f t="shared" si="5"/>
        <v/>
      </c>
      <c r="G340" s="31"/>
      <c r="H340" s="27"/>
      <c r="I340" s="142">
        <v>0</v>
      </c>
    </row>
    <row r="341" spans="1:9" ht="25.5" hidden="1" x14ac:dyDescent="0.25">
      <c r="A341" s="247"/>
      <c r="B341" s="32" t="s">
        <v>1291</v>
      </c>
      <c r="C341" s="32" t="s">
        <v>120</v>
      </c>
      <c r="D341" s="33">
        <v>1.02</v>
      </c>
      <c r="E341" s="27">
        <v>162.62100000000001</v>
      </c>
      <c r="F341" s="30">
        <f t="shared" si="5"/>
        <v>165.87342000000001</v>
      </c>
      <c r="G341" s="41">
        <f>SUM(F341:F347)</f>
        <v>538.03577997000002</v>
      </c>
      <c r="H341" s="42"/>
      <c r="I341" s="142">
        <v>0</v>
      </c>
    </row>
    <row r="342" spans="1:9" hidden="1" x14ac:dyDescent="0.25">
      <c r="A342" s="247"/>
      <c r="B342" s="32" t="s">
        <v>750</v>
      </c>
      <c r="C342" s="32" t="s">
        <v>901</v>
      </c>
      <c r="D342" s="33">
        <v>343.52</v>
      </c>
      <c r="E342" s="30">
        <v>0.64600000000000002</v>
      </c>
      <c r="F342" s="30">
        <f t="shared" si="5"/>
        <v>221.91391999999999</v>
      </c>
      <c r="G342" s="41"/>
      <c r="H342" s="42"/>
      <c r="I342" s="142">
        <v>0</v>
      </c>
    </row>
    <row r="343" spans="1:9" ht="25.5" hidden="1" x14ac:dyDescent="0.25">
      <c r="A343" s="247"/>
      <c r="B343" s="32" t="s">
        <v>1446</v>
      </c>
      <c r="C343" s="32" t="s">
        <v>705</v>
      </c>
      <c r="D343" s="33">
        <v>4.6399999999999997</v>
      </c>
      <c r="E343" s="27">
        <v>18.534500000000001</v>
      </c>
      <c r="F343" s="30">
        <f t="shared" si="5"/>
        <v>86.000079999999997</v>
      </c>
      <c r="G343" s="41"/>
      <c r="H343" s="42"/>
      <c r="I343" s="142">
        <v>0</v>
      </c>
    </row>
    <row r="344" spans="1:9" ht="38.25" hidden="1" x14ac:dyDescent="0.25">
      <c r="A344" s="247"/>
      <c r="B344" s="32" t="s">
        <v>117</v>
      </c>
      <c r="C344" s="32" t="s">
        <v>945</v>
      </c>
      <c r="D344" s="33">
        <v>1.08</v>
      </c>
      <c r="E344" s="27">
        <v>1.3964999999999999</v>
      </c>
      <c r="F344" s="30">
        <f t="shared" si="5"/>
        <v>1.5082199999999999</v>
      </c>
      <c r="G344" s="41"/>
      <c r="H344" s="42"/>
      <c r="I344" s="142">
        <v>0</v>
      </c>
    </row>
    <row r="345" spans="1:9" ht="38.25" hidden="1" x14ac:dyDescent="0.25">
      <c r="A345" s="247"/>
      <c r="B345" s="32" t="s">
        <v>118</v>
      </c>
      <c r="C345" s="32" t="s">
        <v>947</v>
      </c>
      <c r="D345" s="33">
        <v>3.56</v>
      </c>
      <c r="E345" s="27">
        <v>0.3705</v>
      </c>
      <c r="F345" s="30">
        <f t="shared" si="5"/>
        <v>1.31898</v>
      </c>
      <c r="G345" s="41"/>
      <c r="H345" s="42"/>
      <c r="I345" s="142">
        <v>0</v>
      </c>
    </row>
    <row r="346" spans="1:9" ht="51" hidden="1" x14ac:dyDescent="0.25">
      <c r="A346" s="247"/>
      <c r="B346" s="32" t="s">
        <v>3532</v>
      </c>
      <c r="C346" s="32" t="s">
        <v>120</v>
      </c>
      <c r="D346" s="33">
        <f>ROUND(1*(D341),4)</f>
        <v>1.02</v>
      </c>
      <c r="E346" s="27">
        <v>7.8726404999999993</v>
      </c>
      <c r="F346" s="30">
        <f t="shared" si="5"/>
        <v>8.0300933099999998</v>
      </c>
      <c r="G346" s="41"/>
      <c r="H346" s="42"/>
      <c r="I346" s="142">
        <v>0</v>
      </c>
    </row>
    <row r="347" spans="1:9" ht="38.25" hidden="1" x14ac:dyDescent="0.25">
      <c r="A347" s="247"/>
      <c r="B347" s="32" t="s">
        <v>3529</v>
      </c>
      <c r="C347" s="43" t="s">
        <v>122</v>
      </c>
      <c r="D347" s="33">
        <f>ROUND(D341*20,4)</f>
        <v>20.399999999999999</v>
      </c>
      <c r="E347" s="27">
        <v>2.6172091499999994</v>
      </c>
      <c r="F347" s="30">
        <f t="shared" si="5"/>
        <v>53.391066659999986</v>
      </c>
      <c r="G347" s="41"/>
      <c r="H347" s="42"/>
      <c r="I347" s="142">
        <v>0</v>
      </c>
    </row>
    <row r="348" spans="1:9" hidden="1" x14ac:dyDescent="0.25">
      <c r="A348" s="247"/>
      <c r="B348" s="32"/>
      <c r="C348" s="32"/>
      <c r="D348" s="33"/>
      <c r="E348" s="27" t="s">
        <v>523</v>
      </c>
      <c r="F348" s="30" t="str">
        <f t="shared" si="5"/>
        <v/>
      </c>
      <c r="G348" s="41"/>
      <c r="H348" s="42"/>
      <c r="I348" s="142">
        <v>0</v>
      </c>
    </row>
    <row r="349" spans="1:9" ht="24.95" hidden="1" customHeight="1" x14ac:dyDescent="0.25">
      <c r="A349" s="247"/>
      <c r="B349" s="44" t="s">
        <v>757</v>
      </c>
      <c r="C349" s="43"/>
      <c r="D349" s="33"/>
      <c r="E349" s="27" t="s">
        <v>523</v>
      </c>
      <c r="F349" s="30" t="str">
        <f t="shared" si="5"/>
        <v/>
      </c>
      <c r="G349" s="41"/>
      <c r="H349" s="42"/>
      <c r="I349" s="142">
        <v>0</v>
      </c>
    </row>
    <row r="350" spans="1:9" ht="15.75" hidden="1" thickBot="1" x14ac:dyDescent="0.3">
      <c r="A350" s="253"/>
      <c r="B350" s="51" t="s">
        <v>523</v>
      </c>
      <c r="C350" s="51"/>
      <c r="D350" s="87"/>
      <c r="E350" s="63" t="s">
        <v>523</v>
      </c>
      <c r="F350" s="64" t="str">
        <f t="shared" si="5"/>
        <v/>
      </c>
      <c r="G350" s="65"/>
      <c r="H350" s="27"/>
      <c r="I350" s="142">
        <v>0</v>
      </c>
    </row>
    <row r="351" spans="1:9" ht="40.15" hidden="1" customHeight="1" x14ac:dyDescent="0.25">
      <c r="A351" s="252" t="s">
        <v>3532</v>
      </c>
      <c r="B351" s="37" t="s">
        <v>523</v>
      </c>
      <c r="C351" s="22" t="s">
        <v>120</v>
      </c>
      <c r="D351" s="85"/>
      <c r="E351" s="24" t="s">
        <v>523</v>
      </c>
      <c r="F351" s="22" t="str">
        <f t="shared" si="5"/>
        <v/>
      </c>
      <c r="G351" s="25"/>
      <c r="H351" s="26"/>
      <c r="I351" s="142">
        <v>0</v>
      </c>
    </row>
    <row r="352" spans="1:9" hidden="1" x14ac:dyDescent="0.25">
      <c r="A352" s="247"/>
      <c r="B352" s="28" t="s">
        <v>523</v>
      </c>
      <c r="C352" s="28"/>
      <c r="D352" s="83"/>
      <c r="E352" s="27" t="s">
        <v>523</v>
      </c>
      <c r="F352" s="27" t="str">
        <f t="shared" si="5"/>
        <v/>
      </c>
      <c r="G352" s="31"/>
      <c r="H352" s="27"/>
      <c r="I352" s="142">
        <v>0</v>
      </c>
    </row>
    <row r="353" spans="1:9" ht="38.25" hidden="1" x14ac:dyDescent="0.25">
      <c r="A353" s="247"/>
      <c r="B353" s="32" t="s">
        <v>3200</v>
      </c>
      <c r="C353" s="32" t="s">
        <v>945</v>
      </c>
      <c r="D353" s="33">
        <v>8.3000000000000001E-3</v>
      </c>
      <c r="E353" s="27">
        <v>168.99549999999999</v>
      </c>
      <c r="F353" s="30">
        <f t="shared" si="5"/>
        <v>1.4026626499999999</v>
      </c>
      <c r="G353" s="41">
        <f>SUM(F353:F356)</f>
        <v>7.6983819999999996</v>
      </c>
      <c r="H353" s="42"/>
      <c r="I353" s="142">
        <v>0</v>
      </c>
    </row>
    <row r="354" spans="1:9" ht="38.25" hidden="1" x14ac:dyDescent="0.25">
      <c r="A354" s="247"/>
      <c r="B354" s="32" t="s">
        <v>3206</v>
      </c>
      <c r="C354" s="43" t="s">
        <v>947</v>
      </c>
      <c r="D354" s="33">
        <v>1.5100000000000001E-2</v>
      </c>
      <c r="E354" s="27">
        <v>58.462999999999994</v>
      </c>
      <c r="F354" s="30">
        <f t="shared" si="5"/>
        <v>0.88279129999999995</v>
      </c>
      <c r="G354" s="41"/>
      <c r="H354" s="42"/>
      <c r="I354" s="142">
        <v>0</v>
      </c>
    </row>
    <row r="355" spans="1:9" ht="51" hidden="1" x14ac:dyDescent="0.25">
      <c r="A355" s="247"/>
      <c r="B355" s="32" t="s">
        <v>1080</v>
      </c>
      <c r="C355" s="43" t="s">
        <v>945</v>
      </c>
      <c r="D355" s="33">
        <v>2.6700000000000002E-2</v>
      </c>
      <c r="E355" s="27">
        <v>169.31849999999997</v>
      </c>
      <c r="F355" s="30">
        <f t="shared" si="5"/>
        <v>4.5208039499999995</v>
      </c>
      <c r="G355" s="41"/>
      <c r="H355" s="42"/>
      <c r="I355" s="142">
        <v>0</v>
      </c>
    </row>
    <row r="356" spans="1:9" ht="51" hidden="1" x14ac:dyDescent="0.25">
      <c r="A356" s="247"/>
      <c r="B356" s="32" t="s">
        <v>1081</v>
      </c>
      <c r="C356" s="43" t="s">
        <v>947</v>
      </c>
      <c r="D356" s="33">
        <v>2.0299999999999999E-2</v>
      </c>
      <c r="E356" s="27">
        <v>43.946999999999996</v>
      </c>
      <c r="F356" s="30">
        <f t="shared" si="5"/>
        <v>0.89212409999999986</v>
      </c>
      <c r="G356" s="41"/>
      <c r="H356" s="42"/>
      <c r="I356" s="142">
        <v>0</v>
      </c>
    </row>
    <row r="357" spans="1:9" ht="15.75" hidden="1" thickBot="1" x14ac:dyDescent="0.3">
      <c r="A357" s="253"/>
      <c r="B357" s="51" t="s">
        <v>523</v>
      </c>
      <c r="C357" s="51"/>
      <c r="D357" s="87"/>
      <c r="E357" s="63" t="s">
        <v>523</v>
      </c>
      <c r="F357" s="64" t="str">
        <f t="shared" si="5"/>
        <v/>
      </c>
      <c r="G357" s="65"/>
      <c r="H357" s="27"/>
      <c r="I357" s="142">
        <v>0</v>
      </c>
    </row>
    <row r="358" spans="1:9" ht="40.15" hidden="1" customHeight="1" x14ac:dyDescent="0.25">
      <c r="A358" s="252" t="s">
        <v>3533</v>
      </c>
      <c r="B358" s="37" t="s">
        <v>523</v>
      </c>
      <c r="C358" s="22" t="s">
        <v>1293</v>
      </c>
      <c r="D358" s="85"/>
      <c r="E358" s="24" t="s">
        <v>523</v>
      </c>
      <c r="F358" s="22" t="str">
        <f t="shared" si="5"/>
        <v/>
      </c>
      <c r="G358" s="25"/>
      <c r="H358" s="26"/>
      <c r="I358" s="142">
        <v>0</v>
      </c>
    </row>
    <row r="359" spans="1:9" hidden="1" x14ac:dyDescent="0.25">
      <c r="A359" s="247"/>
      <c r="B359" s="28" t="s">
        <v>523</v>
      </c>
      <c r="C359" s="28"/>
      <c r="D359" s="83"/>
      <c r="E359" s="27" t="s">
        <v>523</v>
      </c>
      <c r="F359" s="27" t="str">
        <f t="shared" si="5"/>
        <v/>
      </c>
      <c r="G359" s="31"/>
      <c r="H359" s="27"/>
      <c r="I359" s="142">
        <v>0</v>
      </c>
    </row>
    <row r="360" spans="1:9" ht="38.25" hidden="1" x14ac:dyDescent="0.25">
      <c r="A360" s="247"/>
      <c r="B360" s="32" t="s">
        <v>3200</v>
      </c>
      <c r="C360" s="32" t="s">
        <v>945</v>
      </c>
      <c r="D360" s="33">
        <v>5.5599999999999998E-3</v>
      </c>
      <c r="E360" s="27">
        <v>168.99549999999999</v>
      </c>
      <c r="F360" s="30">
        <f t="shared" si="5"/>
        <v>0.93961497999999988</v>
      </c>
      <c r="G360" s="41">
        <f>SUM(F360:F363)</f>
        <v>5.1372450799999996</v>
      </c>
      <c r="H360" s="42"/>
      <c r="I360" s="142">
        <v>0</v>
      </c>
    </row>
    <row r="361" spans="1:9" ht="38.25" hidden="1" x14ac:dyDescent="0.25">
      <c r="A361" s="247"/>
      <c r="B361" s="32" t="s">
        <v>3206</v>
      </c>
      <c r="C361" s="43" t="s">
        <v>947</v>
      </c>
      <c r="D361" s="33">
        <v>1.01E-2</v>
      </c>
      <c r="E361" s="27">
        <v>58.462999999999994</v>
      </c>
      <c r="F361" s="30">
        <f t="shared" si="5"/>
        <v>0.59047629999999995</v>
      </c>
      <c r="G361" s="41"/>
      <c r="H361" s="42"/>
      <c r="I361" s="142">
        <v>0</v>
      </c>
    </row>
    <row r="362" spans="1:9" ht="51" hidden="1" x14ac:dyDescent="0.25">
      <c r="A362" s="247"/>
      <c r="B362" s="32" t="s">
        <v>1080</v>
      </c>
      <c r="C362" s="43" t="s">
        <v>945</v>
      </c>
      <c r="D362" s="33">
        <v>1.78E-2</v>
      </c>
      <c r="E362" s="27">
        <v>169.31849999999997</v>
      </c>
      <c r="F362" s="30">
        <f t="shared" si="5"/>
        <v>3.0138692999999996</v>
      </c>
      <c r="G362" s="41"/>
      <c r="H362" s="42"/>
      <c r="I362" s="142">
        <v>0</v>
      </c>
    </row>
    <row r="363" spans="1:9" ht="51" hidden="1" x14ac:dyDescent="0.25">
      <c r="A363" s="247"/>
      <c r="B363" s="32" t="s">
        <v>1081</v>
      </c>
      <c r="C363" s="43" t="s">
        <v>947</v>
      </c>
      <c r="D363" s="33">
        <v>1.35E-2</v>
      </c>
      <c r="E363" s="27">
        <v>43.946999999999996</v>
      </c>
      <c r="F363" s="30">
        <f t="shared" si="5"/>
        <v>0.59328449999999988</v>
      </c>
      <c r="G363" s="41"/>
      <c r="H363" s="42"/>
      <c r="I363" s="142">
        <v>0</v>
      </c>
    </row>
    <row r="364" spans="1:9" ht="15.75" hidden="1" thickBot="1" x14ac:dyDescent="0.3">
      <c r="A364" s="253"/>
      <c r="B364" s="51" t="s">
        <v>523</v>
      </c>
      <c r="C364" s="51"/>
      <c r="D364" s="87"/>
      <c r="E364" s="63" t="s">
        <v>523</v>
      </c>
      <c r="F364" s="64" t="str">
        <f t="shared" si="5"/>
        <v/>
      </c>
      <c r="G364" s="65"/>
      <c r="H364" s="27"/>
      <c r="I364" s="142">
        <v>0</v>
      </c>
    </row>
    <row r="365" spans="1:9" ht="27" hidden="1" customHeight="1" x14ac:dyDescent="0.25">
      <c r="A365" s="252" t="s">
        <v>3695</v>
      </c>
      <c r="B365" s="37" t="s">
        <v>523</v>
      </c>
      <c r="C365" s="22" t="s">
        <v>995</v>
      </c>
      <c r="D365" s="85"/>
      <c r="E365" s="24" t="s">
        <v>523</v>
      </c>
      <c r="F365" s="24" t="str">
        <f t="shared" si="5"/>
        <v/>
      </c>
      <c r="G365" s="25"/>
      <c r="H365" s="26"/>
      <c r="I365" s="142">
        <v>0</v>
      </c>
    </row>
    <row r="366" spans="1:9" hidden="1" x14ac:dyDescent="0.25">
      <c r="A366" s="247"/>
      <c r="B366" s="28" t="s">
        <v>523</v>
      </c>
      <c r="C366" s="28"/>
      <c r="D366" s="83"/>
      <c r="E366" s="27" t="s">
        <v>523</v>
      </c>
      <c r="F366" s="27" t="str">
        <f t="shared" si="5"/>
        <v/>
      </c>
      <c r="G366" s="31"/>
      <c r="H366" s="27"/>
      <c r="I366" s="142">
        <v>0</v>
      </c>
    </row>
    <row r="367" spans="1:9" ht="25.5" hidden="1" x14ac:dyDescent="0.25">
      <c r="A367" s="247"/>
      <c r="B367" s="32" t="s">
        <v>1155</v>
      </c>
      <c r="C367" s="32" t="s">
        <v>102</v>
      </c>
      <c r="D367" s="33">
        <v>1.7000000000000001E-2</v>
      </c>
      <c r="E367" s="27">
        <v>7.1819999999999995</v>
      </c>
      <c r="F367" s="30">
        <f t="shared" si="5"/>
        <v>0.12209399999999999</v>
      </c>
      <c r="G367" s="41">
        <f>SUM(F367:F371)</f>
        <v>203.59575438000002</v>
      </c>
      <c r="H367" s="42"/>
      <c r="I367" s="142">
        <v>0</v>
      </c>
    </row>
    <row r="368" spans="1:9" hidden="1" x14ac:dyDescent="0.25">
      <c r="A368" s="247"/>
      <c r="B368" s="32" t="s">
        <v>3354</v>
      </c>
      <c r="C368" s="32" t="s">
        <v>901</v>
      </c>
      <c r="D368" s="33">
        <v>2.7E-2</v>
      </c>
      <c r="E368" s="30">
        <v>27.255500000000001</v>
      </c>
      <c r="F368" s="30">
        <f t="shared" si="5"/>
        <v>0.73589850000000001</v>
      </c>
      <c r="G368" s="41"/>
      <c r="H368" s="42"/>
      <c r="I368" s="142">
        <v>0</v>
      </c>
    </row>
    <row r="369" spans="1:9" hidden="1" x14ac:dyDescent="0.25">
      <c r="A369" s="247"/>
      <c r="B369" s="32" t="s">
        <v>788</v>
      </c>
      <c r="C369" s="32" t="s">
        <v>705</v>
      </c>
      <c r="D369" s="33">
        <v>0.48899999999999999</v>
      </c>
      <c r="E369" s="27">
        <v>19.494</v>
      </c>
      <c r="F369" s="30">
        <f t="shared" si="5"/>
        <v>9.5325659999999992</v>
      </c>
      <c r="G369" s="41"/>
      <c r="H369" s="42"/>
      <c r="I369" s="142">
        <v>0</v>
      </c>
    </row>
    <row r="370" spans="1:9" hidden="1" x14ac:dyDescent="0.25">
      <c r="A370" s="247"/>
      <c r="B370" s="32" t="s">
        <v>996</v>
      </c>
      <c r="C370" s="32" t="s">
        <v>705</v>
      </c>
      <c r="D370" s="33">
        <v>2.6680000000000001</v>
      </c>
      <c r="E370" s="27">
        <v>24.633499999999998</v>
      </c>
      <c r="F370" s="30">
        <f t="shared" si="5"/>
        <v>65.722178</v>
      </c>
      <c r="G370" s="41"/>
      <c r="H370" s="42"/>
      <c r="I370" s="142">
        <v>0</v>
      </c>
    </row>
    <row r="371" spans="1:9" ht="25.5" hidden="1" x14ac:dyDescent="0.25">
      <c r="A371" s="247"/>
      <c r="B371" s="32" t="s">
        <v>3209</v>
      </c>
      <c r="C371" s="32" t="s">
        <v>995</v>
      </c>
      <c r="D371" s="33">
        <v>0.53</v>
      </c>
      <c r="E371" s="27">
        <v>240.533996</v>
      </c>
      <c r="F371" s="30">
        <f t="shared" si="5"/>
        <v>127.48301788000001</v>
      </c>
      <c r="G371" s="41"/>
      <c r="H371" s="42"/>
      <c r="I371" s="142">
        <v>0</v>
      </c>
    </row>
    <row r="372" spans="1:9" ht="15.75" hidden="1" thickBot="1" x14ac:dyDescent="0.3">
      <c r="A372" s="253"/>
      <c r="B372" s="51" t="s">
        <v>523</v>
      </c>
      <c r="C372" s="51"/>
      <c r="D372" s="87"/>
      <c r="E372" s="63" t="s">
        <v>523</v>
      </c>
      <c r="F372" s="64" t="str">
        <f t="shared" si="5"/>
        <v/>
      </c>
      <c r="G372" s="65"/>
      <c r="H372" s="27"/>
      <c r="I372" s="142">
        <v>0</v>
      </c>
    </row>
    <row r="373" spans="1:9" ht="40.15" hidden="1" customHeight="1" x14ac:dyDescent="0.25">
      <c r="A373" s="252" t="s">
        <v>3230</v>
      </c>
      <c r="B373" s="37" t="s">
        <v>523</v>
      </c>
      <c r="C373" s="22" t="s">
        <v>995</v>
      </c>
      <c r="D373" s="85"/>
      <c r="E373" s="24" t="s">
        <v>523</v>
      </c>
      <c r="F373" s="24" t="str">
        <f t="shared" si="5"/>
        <v/>
      </c>
      <c r="G373" s="25"/>
      <c r="H373" s="26"/>
      <c r="I373" s="142">
        <v>0</v>
      </c>
    </row>
    <row r="374" spans="1:9" hidden="1" x14ac:dyDescent="0.25">
      <c r="A374" s="247"/>
      <c r="B374" s="28" t="s">
        <v>523</v>
      </c>
      <c r="C374" s="28"/>
      <c r="D374" s="83"/>
      <c r="E374" s="27" t="s">
        <v>523</v>
      </c>
      <c r="F374" s="27" t="str">
        <f t="shared" si="5"/>
        <v/>
      </c>
      <c r="G374" s="31"/>
      <c r="H374" s="27"/>
      <c r="I374" s="142">
        <v>0</v>
      </c>
    </row>
    <row r="375" spans="1:9" ht="38.25" hidden="1" x14ac:dyDescent="0.25">
      <c r="A375" s="247"/>
      <c r="B375" s="32" t="s">
        <v>3234</v>
      </c>
      <c r="C375" s="32" t="s">
        <v>120</v>
      </c>
      <c r="D375" s="33">
        <v>4.1999999999999997E-3</v>
      </c>
      <c r="E375" s="27">
        <v>569.91433232500003</v>
      </c>
      <c r="F375" s="30">
        <f t="shared" si="5"/>
        <v>2.3936401957650002</v>
      </c>
      <c r="G375" s="41">
        <f>SUM(F375:F377)</f>
        <v>4.2648836957650005</v>
      </c>
      <c r="H375" s="42"/>
      <c r="I375" s="142">
        <v>0</v>
      </c>
    </row>
    <row r="376" spans="1:9" hidden="1" x14ac:dyDescent="0.25">
      <c r="A376" s="247"/>
      <c r="B376" s="32" t="s">
        <v>713</v>
      </c>
      <c r="C376" s="32" t="s">
        <v>705</v>
      </c>
      <c r="D376" s="33">
        <v>7.0000000000000007E-2</v>
      </c>
      <c r="E376" s="30">
        <v>24.889999999999997</v>
      </c>
      <c r="F376" s="30">
        <f t="shared" si="5"/>
        <v>1.7423</v>
      </c>
      <c r="G376" s="41"/>
      <c r="H376" s="42"/>
      <c r="I376" s="142">
        <v>0</v>
      </c>
    </row>
    <row r="377" spans="1:9" hidden="1" x14ac:dyDescent="0.25">
      <c r="A377" s="247"/>
      <c r="B377" s="32" t="s">
        <v>706</v>
      </c>
      <c r="C377" s="32" t="s">
        <v>705</v>
      </c>
      <c r="D377" s="33">
        <v>7.0000000000000001E-3</v>
      </c>
      <c r="E377" s="27">
        <v>18.420500000000001</v>
      </c>
      <c r="F377" s="30">
        <f t="shared" si="5"/>
        <v>0.12894350000000002</v>
      </c>
      <c r="G377" s="41"/>
      <c r="H377" s="42"/>
      <c r="I377" s="142">
        <v>0</v>
      </c>
    </row>
    <row r="378" spans="1:9" ht="15.75" hidden="1" thickBot="1" x14ac:dyDescent="0.3">
      <c r="A378" s="253"/>
      <c r="B378" s="32"/>
      <c r="C378" s="32"/>
      <c r="D378" s="33"/>
      <c r="E378" s="27" t="s">
        <v>523</v>
      </c>
      <c r="F378" s="30"/>
      <c r="G378" s="41"/>
      <c r="H378" s="42"/>
      <c r="I378" s="142">
        <v>0</v>
      </c>
    </row>
    <row r="379" spans="1:9" ht="53.45" hidden="1" customHeight="1" x14ac:dyDescent="0.25">
      <c r="A379" s="252" t="s">
        <v>3231</v>
      </c>
      <c r="B379" s="37" t="s">
        <v>523</v>
      </c>
      <c r="C379" s="22" t="s">
        <v>995</v>
      </c>
      <c r="D379" s="85"/>
      <c r="E379" s="24" t="s">
        <v>523</v>
      </c>
      <c r="F379" s="24" t="str">
        <f>IF(ISNUMBER(E379),E379*$D379,"")</f>
        <v/>
      </c>
      <c r="G379" s="25"/>
      <c r="H379" s="26"/>
      <c r="I379" s="142">
        <v>0</v>
      </c>
    </row>
    <row r="380" spans="1:9" hidden="1" x14ac:dyDescent="0.25">
      <c r="A380" s="247"/>
      <c r="B380" s="28" t="s">
        <v>523</v>
      </c>
      <c r="C380" s="28"/>
      <c r="D380" s="83"/>
      <c r="E380" s="27" t="s">
        <v>523</v>
      </c>
      <c r="F380" s="27" t="str">
        <f>IF(ISNUMBER(E380),E380*$D380,"")</f>
        <v/>
      </c>
      <c r="G380" s="31"/>
      <c r="H380" s="27"/>
      <c r="I380" s="142">
        <v>0</v>
      </c>
    </row>
    <row r="381" spans="1:9" ht="51" hidden="1" x14ac:dyDescent="0.25">
      <c r="A381" s="247"/>
      <c r="B381" s="32" t="s">
        <v>154</v>
      </c>
      <c r="C381" s="32" t="s">
        <v>120</v>
      </c>
      <c r="D381" s="33">
        <v>2.1299999999999999E-2</v>
      </c>
      <c r="E381" s="27">
        <v>650.67733525999995</v>
      </c>
      <c r="F381" s="30">
        <f>IF(ISNUMBER(E381),E381*$D381,"")</f>
        <v>13.859427241037999</v>
      </c>
      <c r="G381" s="41">
        <f>SUM(F381:F383)</f>
        <v>28.385050741037997</v>
      </c>
      <c r="H381" s="42"/>
      <c r="I381" s="142">
        <v>0</v>
      </c>
    </row>
    <row r="382" spans="1:9" hidden="1" x14ac:dyDescent="0.25">
      <c r="A382" s="247"/>
      <c r="B382" s="32" t="s">
        <v>713</v>
      </c>
      <c r="C382" s="32" t="s">
        <v>705</v>
      </c>
      <c r="D382" s="33">
        <v>0.46</v>
      </c>
      <c r="E382" s="30">
        <v>24.889999999999997</v>
      </c>
      <c r="F382" s="30">
        <f>IF(ISNUMBER(E382),E382*$D382,"")</f>
        <v>11.449399999999999</v>
      </c>
      <c r="G382" s="41"/>
      <c r="H382" s="42"/>
      <c r="I382" s="142">
        <v>0</v>
      </c>
    </row>
    <row r="383" spans="1:9" hidden="1" x14ac:dyDescent="0.25">
      <c r="A383" s="247"/>
      <c r="B383" s="32" t="s">
        <v>706</v>
      </c>
      <c r="C383" s="32" t="s">
        <v>705</v>
      </c>
      <c r="D383" s="33">
        <v>0.16700000000000001</v>
      </c>
      <c r="E383" s="27">
        <v>18.420500000000001</v>
      </c>
      <c r="F383" s="30">
        <f>IF(ISNUMBER(E383),E383*$D383,"")</f>
        <v>3.0762235000000002</v>
      </c>
      <c r="G383" s="41"/>
      <c r="H383" s="42"/>
      <c r="I383" s="142">
        <v>0</v>
      </c>
    </row>
    <row r="384" spans="1:9" ht="15.75" hidden="1" thickBot="1" x14ac:dyDescent="0.3">
      <c r="A384" s="253"/>
      <c r="B384" s="32"/>
      <c r="C384" s="32"/>
      <c r="D384" s="33"/>
      <c r="E384" s="27" t="s">
        <v>523</v>
      </c>
      <c r="F384" s="30"/>
      <c r="G384" s="41"/>
      <c r="H384" s="42"/>
      <c r="I384" s="142">
        <v>0</v>
      </c>
    </row>
    <row r="385" spans="1:9" ht="40.15" hidden="1" customHeight="1" x14ac:dyDescent="0.25">
      <c r="A385" s="252" t="s">
        <v>6815</v>
      </c>
      <c r="B385" s="37" t="s">
        <v>523</v>
      </c>
      <c r="C385" s="22" t="s">
        <v>995</v>
      </c>
      <c r="D385" s="85"/>
      <c r="E385" s="24" t="s">
        <v>523</v>
      </c>
      <c r="F385" s="24" t="str">
        <f t="shared" ref="F385:F393" si="6">IF(ISNUMBER(E385),E385*$D385,"")</f>
        <v/>
      </c>
      <c r="G385" s="25"/>
      <c r="H385" s="26"/>
      <c r="I385" s="142">
        <v>0</v>
      </c>
    </row>
    <row r="386" spans="1:9" hidden="1" x14ac:dyDescent="0.25">
      <c r="A386" s="247"/>
      <c r="B386" s="28" t="s">
        <v>523</v>
      </c>
      <c r="C386" s="28"/>
      <c r="D386" s="83"/>
      <c r="E386" s="27" t="s">
        <v>523</v>
      </c>
      <c r="F386" s="27" t="str">
        <f t="shared" si="6"/>
        <v/>
      </c>
      <c r="G386" s="31"/>
      <c r="H386" s="27"/>
      <c r="I386" s="142">
        <v>0</v>
      </c>
    </row>
    <row r="387" spans="1:9" ht="25.5" hidden="1" x14ac:dyDescent="0.25">
      <c r="A387" s="247"/>
      <c r="B387" s="32" t="s">
        <v>3372</v>
      </c>
      <c r="C387" s="32" t="s">
        <v>480</v>
      </c>
      <c r="D387" s="33">
        <v>0.42</v>
      </c>
      <c r="E387" s="27">
        <v>3.3249999999999997</v>
      </c>
      <c r="F387" s="30">
        <f t="shared" si="6"/>
        <v>1.3964999999999999</v>
      </c>
      <c r="G387" s="41">
        <f>SUM(F387:F392)</f>
        <v>57.802659286703999</v>
      </c>
      <c r="H387" s="42"/>
      <c r="I387" s="142">
        <v>0</v>
      </c>
    </row>
    <row r="388" spans="1:9" hidden="1" x14ac:dyDescent="0.25">
      <c r="A388" s="247"/>
      <c r="B388" s="32" t="s">
        <v>3351</v>
      </c>
      <c r="C388" s="32" t="s">
        <v>1253</v>
      </c>
      <c r="D388" s="33">
        <v>5.0000000000000001E-3</v>
      </c>
      <c r="E388" s="30">
        <v>38.313499999999998</v>
      </c>
      <c r="F388" s="30">
        <f t="shared" si="6"/>
        <v>0.1915675</v>
      </c>
      <c r="G388" s="41"/>
      <c r="H388" s="42"/>
      <c r="I388" s="142">
        <v>0</v>
      </c>
    </row>
    <row r="389" spans="1:9" ht="25.5" hidden="1" x14ac:dyDescent="0.25">
      <c r="A389" s="247"/>
      <c r="B389" s="32" t="s">
        <v>6795</v>
      </c>
      <c r="C389" s="32" t="s">
        <v>280</v>
      </c>
      <c r="D389" s="33">
        <v>13.6</v>
      </c>
      <c r="E389" s="27">
        <v>2.1564999999999999</v>
      </c>
      <c r="F389" s="30">
        <f t="shared" si="6"/>
        <v>29.328399999999998</v>
      </c>
      <c r="G389" s="41"/>
      <c r="H389" s="42"/>
      <c r="I389" s="142">
        <v>0</v>
      </c>
    </row>
    <row r="390" spans="1:9" ht="51" hidden="1" x14ac:dyDescent="0.25">
      <c r="A390" s="247"/>
      <c r="B390" s="32" t="s">
        <v>154</v>
      </c>
      <c r="C390" s="32" t="s">
        <v>120</v>
      </c>
      <c r="D390" s="33">
        <v>1.04E-2</v>
      </c>
      <c r="E390" s="27">
        <v>650.67733525999995</v>
      </c>
      <c r="F390" s="30">
        <f t="shared" si="6"/>
        <v>6.7670442867039995</v>
      </c>
      <c r="G390" s="41"/>
      <c r="H390" s="42"/>
      <c r="I390" s="142">
        <v>0</v>
      </c>
    </row>
    <row r="391" spans="1:9" hidden="1" x14ac:dyDescent="0.25">
      <c r="A391" s="247"/>
      <c r="B391" s="32" t="s">
        <v>713</v>
      </c>
      <c r="C391" s="32" t="s">
        <v>705</v>
      </c>
      <c r="D391" s="33">
        <v>0.59</v>
      </c>
      <c r="E391" s="27">
        <v>24.889999999999997</v>
      </c>
      <c r="F391" s="30">
        <f t="shared" si="6"/>
        <v>14.685099999999997</v>
      </c>
      <c r="G391" s="41"/>
      <c r="H391" s="42"/>
      <c r="I391" s="142">
        <v>0</v>
      </c>
    </row>
    <row r="392" spans="1:9" hidden="1" x14ac:dyDescent="0.25">
      <c r="A392" s="247"/>
      <c r="B392" s="32" t="s">
        <v>706</v>
      </c>
      <c r="C392" s="32" t="s">
        <v>705</v>
      </c>
      <c r="D392" s="33">
        <v>0.29499999999999998</v>
      </c>
      <c r="E392" s="27">
        <v>18.420500000000001</v>
      </c>
      <c r="F392" s="30">
        <f t="shared" si="6"/>
        <v>5.4340475000000001</v>
      </c>
      <c r="G392" s="41"/>
      <c r="H392" s="42"/>
      <c r="I392" s="142">
        <v>0</v>
      </c>
    </row>
    <row r="393" spans="1:9" ht="15.75" hidden="1" thickBot="1" x14ac:dyDescent="0.3">
      <c r="A393" s="253"/>
      <c r="B393" s="51" t="s">
        <v>523</v>
      </c>
      <c r="C393" s="51"/>
      <c r="D393" s="87"/>
      <c r="E393" s="63" t="s">
        <v>523</v>
      </c>
      <c r="F393" s="64" t="str">
        <f t="shared" si="6"/>
        <v/>
      </c>
      <c r="G393" s="65"/>
      <c r="H393" s="27"/>
      <c r="I393" s="142">
        <v>0</v>
      </c>
    </row>
    <row r="394" spans="1:9" ht="26.25" hidden="1" customHeight="1" x14ac:dyDescent="0.25">
      <c r="A394" s="252" t="s">
        <v>3693</v>
      </c>
      <c r="B394" s="37" t="s">
        <v>523</v>
      </c>
      <c r="C394" s="74" t="s">
        <v>995</v>
      </c>
      <c r="D394" s="85"/>
      <c r="E394" s="38" t="s">
        <v>523</v>
      </c>
      <c r="F394" s="38" t="str">
        <f t="shared" ref="F394:F410" si="7">IF(ISNUMBER(E394),ROUND(E394*$D394,2),"")</f>
        <v/>
      </c>
      <c r="G394" s="25"/>
      <c r="H394" s="26"/>
      <c r="I394" s="142">
        <v>0</v>
      </c>
    </row>
    <row r="395" spans="1:9" hidden="1" x14ac:dyDescent="0.25">
      <c r="A395" s="247"/>
      <c r="B395" s="28" t="s">
        <v>523</v>
      </c>
      <c r="C395" s="75"/>
      <c r="D395" s="83"/>
      <c r="E395" s="89" t="s">
        <v>523</v>
      </c>
      <c r="F395" s="90" t="str">
        <f t="shared" si="7"/>
        <v/>
      </c>
      <c r="G395" s="31"/>
      <c r="H395" s="27"/>
      <c r="I395" s="142">
        <v>0</v>
      </c>
    </row>
    <row r="396" spans="1:9" ht="25.5" hidden="1" x14ac:dyDescent="0.25">
      <c r="A396" s="247"/>
      <c r="B396" s="32" t="s">
        <v>3711</v>
      </c>
      <c r="C396" s="46" t="s">
        <v>480</v>
      </c>
      <c r="D396" s="33">
        <v>4.4320000000000004</v>
      </c>
      <c r="E396" s="30">
        <v>3.0019999999999998</v>
      </c>
      <c r="F396" s="30">
        <f t="shared" si="7"/>
        <v>13.3</v>
      </c>
      <c r="G396" s="41">
        <f>SUM(F396:F402)</f>
        <v>240.52999999999997</v>
      </c>
      <c r="H396" s="42"/>
      <c r="I396" s="142">
        <v>0</v>
      </c>
    </row>
    <row r="397" spans="1:9" hidden="1" x14ac:dyDescent="0.25">
      <c r="A397" s="247"/>
      <c r="B397" s="32" t="s">
        <v>1371</v>
      </c>
      <c r="C397" s="46" t="s">
        <v>901</v>
      </c>
      <c r="D397" s="33">
        <v>8.5999999999999993E-2</v>
      </c>
      <c r="E397" s="30">
        <v>22.077999999999996</v>
      </c>
      <c r="F397" s="30">
        <f t="shared" si="7"/>
        <v>1.9</v>
      </c>
      <c r="G397" s="41"/>
      <c r="H397" s="42"/>
      <c r="I397" s="142">
        <v>0</v>
      </c>
    </row>
    <row r="398" spans="1:9" ht="25.5" hidden="1" x14ac:dyDescent="0.25">
      <c r="A398" s="247"/>
      <c r="B398" s="32" t="s">
        <v>3759</v>
      </c>
      <c r="C398" s="46" t="s">
        <v>480</v>
      </c>
      <c r="D398" s="33">
        <v>6.53</v>
      </c>
      <c r="E398" s="27">
        <v>30.950999999999997</v>
      </c>
      <c r="F398" s="30">
        <f t="shared" si="7"/>
        <v>202.11</v>
      </c>
      <c r="G398" s="41"/>
      <c r="H398" s="42"/>
      <c r="I398" s="142">
        <v>0</v>
      </c>
    </row>
    <row r="399" spans="1:9" hidden="1" x14ac:dyDescent="0.25">
      <c r="A399" s="247"/>
      <c r="B399" s="32" t="s">
        <v>788</v>
      </c>
      <c r="C399" s="46" t="s">
        <v>705</v>
      </c>
      <c r="D399" s="33">
        <v>0.14299999999999999</v>
      </c>
      <c r="E399" s="27">
        <v>19.494</v>
      </c>
      <c r="F399" s="30">
        <f t="shared" si="7"/>
        <v>2.79</v>
      </c>
      <c r="G399" s="41"/>
      <c r="H399" s="42"/>
      <c r="I399" s="142">
        <v>0</v>
      </c>
    </row>
    <row r="400" spans="1:9" hidden="1" x14ac:dyDescent="0.25">
      <c r="A400" s="247"/>
      <c r="B400" s="32" t="s">
        <v>996</v>
      </c>
      <c r="C400" s="46" t="s">
        <v>705</v>
      </c>
      <c r="D400" s="33">
        <v>0.71499999999999997</v>
      </c>
      <c r="E400" s="27">
        <v>24.633499999999998</v>
      </c>
      <c r="F400" s="30">
        <f t="shared" si="7"/>
        <v>17.61</v>
      </c>
      <c r="G400" s="41"/>
      <c r="H400" s="42"/>
      <c r="I400" s="142">
        <v>0</v>
      </c>
    </row>
    <row r="401" spans="1:9" ht="25.5" hidden="1" x14ac:dyDescent="0.25">
      <c r="A401" s="247"/>
      <c r="B401" s="32" t="s">
        <v>1159</v>
      </c>
      <c r="C401" s="46" t="s">
        <v>945</v>
      </c>
      <c r="D401" s="33">
        <v>0.05</v>
      </c>
      <c r="E401" s="27">
        <v>20.225499999999997</v>
      </c>
      <c r="F401" s="30">
        <f t="shared" si="7"/>
        <v>1.01</v>
      </c>
      <c r="G401" s="41"/>
      <c r="H401" s="42"/>
      <c r="I401" s="142">
        <v>0</v>
      </c>
    </row>
    <row r="402" spans="1:9" ht="25.5" hidden="1" x14ac:dyDescent="0.25">
      <c r="A402" s="247"/>
      <c r="B402" s="32" t="s">
        <v>1160</v>
      </c>
      <c r="C402" s="46" t="s">
        <v>947</v>
      </c>
      <c r="D402" s="33">
        <v>9.2999999999999999E-2</v>
      </c>
      <c r="E402" s="30">
        <v>19.446499999999997</v>
      </c>
      <c r="F402" s="30">
        <f t="shared" si="7"/>
        <v>1.81</v>
      </c>
      <c r="G402" s="41"/>
      <c r="H402" s="42"/>
      <c r="I402" s="142">
        <v>0</v>
      </c>
    </row>
    <row r="403" spans="1:9" ht="15.75" hidden="1" thickBot="1" x14ac:dyDescent="0.3">
      <c r="A403" s="253"/>
      <c r="B403" s="95"/>
      <c r="C403" s="76"/>
      <c r="D403" s="87"/>
      <c r="E403" s="63" t="s">
        <v>523</v>
      </c>
      <c r="F403" s="63" t="str">
        <f t="shared" si="7"/>
        <v/>
      </c>
      <c r="G403" s="65"/>
      <c r="H403" s="27"/>
      <c r="I403" s="142">
        <v>0</v>
      </c>
    </row>
    <row r="404" spans="1:9" ht="26.25" hidden="1" customHeight="1" x14ac:dyDescent="0.25">
      <c r="A404" s="252" t="s">
        <v>3234</v>
      </c>
      <c r="B404" s="37" t="s">
        <v>523</v>
      </c>
      <c r="C404" s="74" t="s">
        <v>120</v>
      </c>
      <c r="D404" s="85"/>
      <c r="E404" s="38" t="s">
        <v>523</v>
      </c>
      <c r="F404" s="38" t="str">
        <f t="shared" si="7"/>
        <v/>
      </c>
      <c r="G404" s="25"/>
      <c r="H404" s="26"/>
      <c r="I404" s="142">
        <v>0</v>
      </c>
    </row>
    <row r="405" spans="1:9" hidden="1" x14ac:dyDescent="0.25">
      <c r="A405" s="247"/>
      <c r="B405" s="28" t="s">
        <v>523</v>
      </c>
      <c r="C405" s="75"/>
      <c r="D405" s="83"/>
      <c r="E405" s="89" t="s">
        <v>523</v>
      </c>
      <c r="F405" s="90" t="str">
        <f t="shared" si="7"/>
        <v/>
      </c>
      <c r="G405" s="31"/>
      <c r="H405" s="27"/>
      <c r="I405" s="142">
        <v>0</v>
      </c>
    </row>
    <row r="406" spans="1:9" ht="25.5" hidden="1" x14ac:dyDescent="0.25">
      <c r="A406" s="247"/>
      <c r="B406" s="32" t="s">
        <v>1291</v>
      </c>
      <c r="C406" s="46" t="s">
        <v>120</v>
      </c>
      <c r="D406" s="33">
        <v>0.95</v>
      </c>
      <c r="E406" s="30">
        <v>162.62100000000001</v>
      </c>
      <c r="F406" s="30">
        <f t="shared" si="7"/>
        <v>154.49</v>
      </c>
      <c r="G406" s="41">
        <f>SUM(F406:F414)</f>
        <v>569.91598232500007</v>
      </c>
      <c r="H406" s="42"/>
      <c r="I406" s="142">
        <v>0</v>
      </c>
    </row>
    <row r="407" spans="1:9" hidden="1" x14ac:dyDescent="0.25">
      <c r="A407" s="247"/>
      <c r="B407" s="32" t="s">
        <v>750</v>
      </c>
      <c r="C407" s="46" t="s">
        <v>901</v>
      </c>
      <c r="D407" s="33">
        <v>426.49</v>
      </c>
      <c r="E407" s="30">
        <v>0.64600000000000002</v>
      </c>
      <c r="F407" s="30">
        <f t="shared" si="7"/>
        <v>275.51</v>
      </c>
      <c r="G407" s="41"/>
      <c r="H407" s="42"/>
      <c r="I407" s="142">
        <v>0</v>
      </c>
    </row>
    <row r="408" spans="1:9" ht="25.5" hidden="1" x14ac:dyDescent="0.25">
      <c r="A408" s="247"/>
      <c r="B408" s="32" t="s">
        <v>1446</v>
      </c>
      <c r="C408" s="46" t="s">
        <v>705</v>
      </c>
      <c r="D408" s="33">
        <v>4.32</v>
      </c>
      <c r="E408" s="27">
        <v>18.534500000000001</v>
      </c>
      <c r="F408" s="30">
        <f t="shared" si="7"/>
        <v>80.069999999999993</v>
      </c>
      <c r="G408" s="41"/>
      <c r="H408" s="42"/>
      <c r="I408" s="142">
        <v>0</v>
      </c>
    </row>
    <row r="409" spans="1:9" ht="38.25" hidden="1" x14ac:dyDescent="0.25">
      <c r="A409" s="247"/>
      <c r="B409" s="32" t="s">
        <v>117</v>
      </c>
      <c r="C409" s="46" t="s">
        <v>945</v>
      </c>
      <c r="D409" s="33">
        <v>1.01</v>
      </c>
      <c r="E409" s="27">
        <v>1.3964999999999999</v>
      </c>
      <c r="F409" s="30">
        <f t="shared" si="7"/>
        <v>1.41</v>
      </c>
      <c r="G409" s="41"/>
      <c r="H409" s="42"/>
      <c r="I409" s="142">
        <v>0</v>
      </c>
    </row>
    <row r="410" spans="1:9" ht="38.25" hidden="1" x14ac:dyDescent="0.25">
      <c r="A410" s="247"/>
      <c r="B410" s="32" t="s">
        <v>118</v>
      </c>
      <c r="C410" s="46" t="s">
        <v>947</v>
      </c>
      <c r="D410" s="33">
        <v>3.31</v>
      </c>
      <c r="E410" s="27">
        <v>0.3705</v>
      </c>
      <c r="F410" s="30">
        <f t="shared" si="7"/>
        <v>1.23</v>
      </c>
      <c r="G410" s="41"/>
      <c r="H410" s="42"/>
      <c r="I410" s="142">
        <v>0</v>
      </c>
    </row>
    <row r="411" spans="1:9" ht="51" hidden="1" x14ac:dyDescent="0.25">
      <c r="A411" s="247"/>
      <c r="B411" s="32" t="s">
        <v>3532</v>
      </c>
      <c r="C411" s="32" t="s">
        <v>120</v>
      </c>
      <c r="D411" s="33">
        <f>ROUND(1*(D406),4)</f>
        <v>0.95</v>
      </c>
      <c r="E411" s="27">
        <v>7.8726404999999993</v>
      </c>
      <c r="F411" s="30">
        <f>IF(ISNUMBER(E411),E411*$D411,"")</f>
        <v>7.4790084749999988</v>
      </c>
      <c r="G411" s="41"/>
      <c r="H411" s="42"/>
      <c r="I411" s="142">
        <v>0</v>
      </c>
    </row>
    <row r="412" spans="1:9" ht="38.25" hidden="1" x14ac:dyDescent="0.25">
      <c r="A412" s="247"/>
      <c r="B412" s="32" t="s">
        <v>3529</v>
      </c>
      <c r="C412" s="43" t="s">
        <v>122</v>
      </c>
      <c r="D412" s="33">
        <f>ROUND(D406*20,4)</f>
        <v>19</v>
      </c>
      <c r="E412" s="27">
        <v>2.6172091499999994</v>
      </c>
      <c r="F412" s="30">
        <f>IF(ISNUMBER(E412),E412*$D412,"")</f>
        <v>49.726973849999986</v>
      </c>
      <c r="G412" s="41"/>
      <c r="H412" s="42"/>
      <c r="I412" s="142">
        <v>0</v>
      </c>
    </row>
    <row r="413" spans="1:9" hidden="1" x14ac:dyDescent="0.25">
      <c r="A413" s="247"/>
      <c r="B413" s="47"/>
      <c r="C413" s="119"/>
      <c r="D413" s="33"/>
      <c r="E413" s="27" t="s">
        <v>523</v>
      </c>
      <c r="F413" s="30" t="str">
        <f t="shared" ref="F413:F422" si="8">IF(ISNUMBER(E413),ROUND(E413*$D413,2),"")</f>
        <v/>
      </c>
      <c r="G413" s="41"/>
      <c r="H413" s="42"/>
      <c r="I413" s="142">
        <v>0</v>
      </c>
    </row>
    <row r="414" spans="1:9" hidden="1" x14ac:dyDescent="0.25">
      <c r="A414" s="247"/>
      <c r="B414" s="44" t="s">
        <v>757</v>
      </c>
      <c r="C414" s="119"/>
      <c r="D414" s="33"/>
      <c r="E414" s="27" t="s">
        <v>523</v>
      </c>
      <c r="F414" s="30" t="str">
        <f t="shared" si="8"/>
        <v/>
      </c>
      <c r="G414" s="41"/>
      <c r="H414" s="42"/>
      <c r="I414" s="142">
        <v>0</v>
      </c>
    </row>
    <row r="415" spans="1:9" ht="15.75" hidden="1" thickBot="1" x14ac:dyDescent="0.3">
      <c r="A415" s="253"/>
      <c r="B415" s="95"/>
      <c r="C415" s="76"/>
      <c r="D415" s="87"/>
      <c r="E415" s="63" t="s">
        <v>523</v>
      </c>
      <c r="F415" s="63" t="str">
        <f t="shared" si="8"/>
        <v/>
      </c>
      <c r="G415" s="65"/>
      <c r="H415" s="27"/>
      <c r="I415" s="142">
        <v>0</v>
      </c>
    </row>
    <row r="416" spans="1:9" ht="26.25" hidden="1" customHeight="1" x14ac:dyDescent="0.25">
      <c r="A416" s="252" t="s">
        <v>3233</v>
      </c>
      <c r="B416" s="37" t="s">
        <v>523</v>
      </c>
      <c r="C416" s="74" t="s">
        <v>120</v>
      </c>
      <c r="D416" s="85"/>
      <c r="E416" s="38" t="s">
        <v>523</v>
      </c>
      <c r="F416" s="38" t="str">
        <f t="shared" si="8"/>
        <v/>
      </c>
      <c r="G416" s="25"/>
      <c r="H416" s="26"/>
      <c r="I416" s="142">
        <v>0</v>
      </c>
    </row>
    <row r="417" spans="1:9" hidden="1" x14ac:dyDescent="0.25">
      <c r="A417" s="247"/>
      <c r="B417" s="28" t="s">
        <v>523</v>
      </c>
      <c r="C417" s="75"/>
      <c r="D417" s="83"/>
      <c r="E417" s="89" t="s">
        <v>523</v>
      </c>
      <c r="F417" s="90" t="str">
        <f t="shared" si="8"/>
        <v/>
      </c>
      <c r="G417" s="31"/>
      <c r="H417" s="27"/>
      <c r="I417" s="142">
        <v>0</v>
      </c>
    </row>
    <row r="418" spans="1:9" ht="25.5" hidden="1" x14ac:dyDescent="0.25">
      <c r="A418" s="247"/>
      <c r="B418" s="32" t="s">
        <v>1291</v>
      </c>
      <c r="C418" s="46" t="s">
        <v>120</v>
      </c>
      <c r="D418" s="33">
        <v>1.27</v>
      </c>
      <c r="E418" s="30">
        <v>162.62100000000001</v>
      </c>
      <c r="F418" s="30">
        <f t="shared" si="8"/>
        <v>206.53</v>
      </c>
      <c r="G418" s="41">
        <f>SUM(F418:F426)</f>
        <v>738.1753658450001</v>
      </c>
      <c r="H418" s="42"/>
      <c r="I418" s="142">
        <v>0</v>
      </c>
    </row>
    <row r="419" spans="1:9" hidden="1" x14ac:dyDescent="0.25">
      <c r="A419" s="247"/>
      <c r="B419" s="32" t="s">
        <v>750</v>
      </c>
      <c r="C419" s="46" t="s">
        <v>901</v>
      </c>
      <c r="D419" s="33">
        <v>573.61</v>
      </c>
      <c r="E419" s="30">
        <v>0.64600000000000002</v>
      </c>
      <c r="F419" s="30">
        <f t="shared" si="8"/>
        <v>370.55</v>
      </c>
      <c r="G419" s="41"/>
      <c r="H419" s="42"/>
      <c r="I419" s="142">
        <v>0</v>
      </c>
    </row>
    <row r="420" spans="1:9" ht="25.5" hidden="1" x14ac:dyDescent="0.25">
      <c r="A420" s="247"/>
      <c r="B420" s="32" t="s">
        <v>1446</v>
      </c>
      <c r="C420" s="46" t="s">
        <v>705</v>
      </c>
      <c r="D420" s="33">
        <v>4.42</v>
      </c>
      <c r="E420" s="27">
        <v>18.534500000000001</v>
      </c>
      <c r="F420" s="30">
        <f t="shared" si="8"/>
        <v>81.92</v>
      </c>
      <c r="G420" s="41"/>
      <c r="H420" s="42"/>
      <c r="I420" s="142">
        <v>0</v>
      </c>
    </row>
    <row r="421" spans="1:9" ht="38.25" hidden="1" x14ac:dyDescent="0.25">
      <c r="A421" s="247"/>
      <c r="B421" s="32" t="s">
        <v>117</v>
      </c>
      <c r="C421" s="46" t="s">
        <v>945</v>
      </c>
      <c r="D421" s="33">
        <v>1.03</v>
      </c>
      <c r="E421" s="27">
        <v>1.3964999999999999</v>
      </c>
      <c r="F421" s="30">
        <f t="shared" si="8"/>
        <v>1.44</v>
      </c>
      <c r="G421" s="41"/>
      <c r="H421" s="42"/>
      <c r="I421" s="142">
        <v>0</v>
      </c>
    </row>
    <row r="422" spans="1:9" ht="38.25" hidden="1" x14ac:dyDescent="0.25">
      <c r="A422" s="247"/>
      <c r="B422" s="32" t="s">
        <v>118</v>
      </c>
      <c r="C422" s="46" t="s">
        <v>947</v>
      </c>
      <c r="D422" s="33">
        <v>3.39</v>
      </c>
      <c r="E422" s="27">
        <v>0.3705</v>
      </c>
      <c r="F422" s="30">
        <f t="shared" si="8"/>
        <v>1.26</v>
      </c>
      <c r="G422" s="41"/>
      <c r="H422" s="42"/>
      <c r="I422" s="142">
        <v>0</v>
      </c>
    </row>
    <row r="423" spans="1:9" ht="51" hidden="1" x14ac:dyDescent="0.25">
      <c r="A423" s="247"/>
      <c r="B423" s="32" t="s">
        <v>3532</v>
      </c>
      <c r="C423" s="32" t="s">
        <v>120</v>
      </c>
      <c r="D423" s="33">
        <f>ROUND(1*(D418),4)</f>
        <v>1.27</v>
      </c>
      <c r="E423" s="27">
        <v>7.8726404999999993</v>
      </c>
      <c r="F423" s="30">
        <f>IF(ISNUMBER(E423),E423*$D423,"")</f>
        <v>9.9982534349999987</v>
      </c>
      <c r="G423" s="41"/>
      <c r="H423" s="42"/>
      <c r="I423" s="142">
        <v>0</v>
      </c>
    </row>
    <row r="424" spans="1:9" ht="38.25" hidden="1" x14ac:dyDescent="0.25">
      <c r="A424" s="247"/>
      <c r="B424" s="32" t="s">
        <v>3529</v>
      </c>
      <c r="C424" s="43" t="s">
        <v>122</v>
      </c>
      <c r="D424" s="33">
        <f>ROUND(D418*20,4)</f>
        <v>25.4</v>
      </c>
      <c r="E424" s="27">
        <v>2.6172091499999994</v>
      </c>
      <c r="F424" s="30">
        <f>IF(ISNUMBER(E424),E424*$D424,"")</f>
        <v>66.477112409999975</v>
      </c>
      <c r="G424" s="41"/>
      <c r="H424" s="42"/>
      <c r="I424" s="142">
        <v>0</v>
      </c>
    </row>
    <row r="425" spans="1:9" hidden="1" x14ac:dyDescent="0.25">
      <c r="A425" s="247"/>
      <c r="B425" s="47"/>
      <c r="C425" s="119"/>
      <c r="D425" s="33"/>
      <c r="E425" s="27" t="s">
        <v>523</v>
      </c>
      <c r="F425" s="30" t="str">
        <f t="shared" ref="F425:F433" si="9">IF(ISNUMBER(E425),ROUND(E425*$D425,2),"")</f>
        <v/>
      </c>
      <c r="G425" s="41"/>
      <c r="H425" s="42"/>
      <c r="I425" s="142">
        <v>0</v>
      </c>
    </row>
    <row r="426" spans="1:9" ht="24.95" hidden="1" customHeight="1" x14ac:dyDescent="0.25">
      <c r="A426" s="247"/>
      <c r="B426" s="44" t="s">
        <v>757</v>
      </c>
      <c r="C426" s="119"/>
      <c r="D426" s="33"/>
      <c r="E426" s="27" t="s">
        <v>523</v>
      </c>
      <c r="F426" s="30" t="str">
        <f t="shared" si="9"/>
        <v/>
      </c>
      <c r="G426" s="41"/>
      <c r="H426" s="42"/>
      <c r="I426" s="142">
        <v>0</v>
      </c>
    </row>
    <row r="427" spans="1:9" ht="15.75" hidden="1" thickBot="1" x14ac:dyDescent="0.3">
      <c r="A427" s="253"/>
      <c r="B427" s="95"/>
      <c r="C427" s="76"/>
      <c r="D427" s="87"/>
      <c r="E427" s="63" t="s">
        <v>523</v>
      </c>
      <c r="F427" s="63" t="str">
        <f t="shared" si="9"/>
        <v/>
      </c>
      <c r="G427" s="65"/>
      <c r="H427" s="27"/>
      <c r="I427" s="142">
        <v>0</v>
      </c>
    </row>
    <row r="428" spans="1:9" ht="26.25" hidden="1" customHeight="1" x14ac:dyDescent="0.25">
      <c r="A428" s="252" t="s">
        <v>3235</v>
      </c>
      <c r="B428" s="37" t="s">
        <v>523</v>
      </c>
      <c r="C428" s="74" t="s">
        <v>120</v>
      </c>
      <c r="D428" s="85"/>
      <c r="E428" s="38" t="s">
        <v>523</v>
      </c>
      <c r="F428" s="38" t="str">
        <f t="shared" si="9"/>
        <v/>
      </c>
      <c r="G428" s="25"/>
      <c r="H428" s="26"/>
      <c r="I428" s="142">
        <v>0</v>
      </c>
    </row>
    <row r="429" spans="1:9" hidden="1" x14ac:dyDescent="0.25">
      <c r="A429" s="247"/>
      <c r="B429" s="28" t="s">
        <v>523</v>
      </c>
      <c r="C429" s="75"/>
      <c r="D429" s="83"/>
      <c r="E429" s="89" t="s">
        <v>523</v>
      </c>
      <c r="F429" s="90" t="str">
        <f t="shared" si="9"/>
        <v/>
      </c>
      <c r="G429" s="31"/>
      <c r="H429" s="27"/>
      <c r="I429" s="142">
        <v>0</v>
      </c>
    </row>
    <row r="430" spans="1:9" ht="25.5" hidden="1" x14ac:dyDescent="0.25">
      <c r="A430" s="247"/>
      <c r="B430" s="32" t="s">
        <v>754</v>
      </c>
      <c r="C430" s="46" t="s">
        <v>120</v>
      </c>
      <c r="D430" s="33">
        <v>1.1599999999999999</v>
      </c>
      <c r="E430" s="30">
        <v>160.53099999999998</v>
      </c>
      <c r="F430" s="30">
        <f t="shared" si="9"/>
        <v>186.22</v>
      </c>
      <c r="G430" s="41">
        <f>SUM(F430:F437)</f>
        <v>753.75151526000002</v>
      </c>
      <c r="H430" s="42"/>
      <c r="I430" s="142">
        <v>0</v>
      </c>
    </row>
    <row r="431" spans="1:9" hidden="1" x14ac:dyDescent="0.25">
      <c r="A431" s="247"/>
      <c r="B431" s="32" t="s">
        <v>1448</v>
      </c>
      <c r="C431" s="46" t="s">
        <v>901</v>
      </c>
      <c r="D431" s="33">
        <v>116.4</v>
      </c>
      <c r="E431" s="30">
        <v>1.0449999999999999</v>
      </c>
      <c r="F431" s="30">
        <f t="shared" si="9"/>
        <v>121.64</v>
      </c>
      <c r="G431" s="41"/>
      <c r="H431" s="42"/>
      <c r="I431" s="142">
        <v>0</v>
      </c>
    </row>
    <row r="432" spans="1:9" hidden="1" x14ac:dyDescent="0.25">
      <c r="A432" s="247"/>
      <c r="B432" s="32" t="s">
        <v>750</v>
      </c>
      <c r="C432" s="46" t="s">
        <v>901</v>
      </c>
      <c r="D432" s="33">
        <v>261.89</v>
      </c>
      <c r="E432" s="27">
        <v>0.64600000000000002</v>
      </c>
      <c r="F432" s="30">
        <f t="shared" si="9"/>
        <v>169.18</v>
      </c>
      <c r="G432" s="41"/>
      <c r="H432" s="42"/>
      <c r="I432" s="142">
        <v>0</v>
      </c>
    </row>
    <row r="433" spans="1:9" hidden="1" x14ac:dyDescent="0.25">
      <c r="A433" s="247"/>
      <c r="B433" s="32" t="s">
        <v>706</v>
      </c>
      <c r="C433" s="46" t="s">
        <v>705</v>
      </c>
      <c r="D433" s="33">
        <v>11.23</v>
      </c>
      <c r="E433" s="27">
        <v>18.420500000000001</v>
      </c>
      <c r="F433" s="30">
        <f t="shared" si="9"/>
        <v>206.86</v>
      </c>
      <c r="G433" s="41"/>
      <c r="H433" s="42"/>
      <c r="I433" s="142">
        <v>0</v>
      </c>
    </row>
    <row r="434" spans="1:9" ht="51" hidden="1" x14ac:dyDescent="0.25">
      <c r="A434" s="247"/>
      <c r="B434" s="32" t="s">
        <v>3532</v>
      </c>
      <c r="C434" s="32" t="s">
        <v>120</v>
      </c>
      <c r="D434" s="33">
        <f>ROUND(1*(D430),4)</f>
        <v>1.1599999999999999</v>
      </c>
      <c r="E434" s="27">
        <v>7.8726404999999993</v>
      </c>
      <c r="F434" s="30">
        <f>IF(ISNUMBER(E434),E434*$D434,"")</f>
        <v>9.1322629799999984</v>
      </c>
      <c r="G434" s="41"/>
      <c r="H434" s="42"/>
      <c r="I434" s="142">
        <v>0</v>
      </c>
    </row>
    <row r="435" spans="1:9" ht="38.25" hidden="1" x14ac:dyDescent="0.25">
      <c r="A435" s="247"/>
      <c r="B435" s="32" t="s">
        <v>3529</v>
      </c>
      <c r="C435" s="43" t="s">
        <v>122</v>
      </c>
      <c r="D435" s="33">
        <f>ROUND(D430*20,4)</f>
        <v>23.2</v>
      </c>
      <c r="E435" s="27">
        <v>2.6172091499999994</v>
      </c>
      <c r="F435" s="30">
        <f>IF(ISNUMBER(E435),E435*$D435,"")</f>
        <v>60.719252279999985</v>
      </c>
      <c r="G435" s="41"/>
      <c r="H435" s="42"/>
      <c r="I435" s="142">
        <v>0</v>
      </c>
    </row>
    <row r="436" spans="1:9" hidden="1" x14ac:dyDescent="0.25">
      <c r="A436" s="247"/>
      <c r="B436" s="47"/>
      <c r="C436" s="119"/>
      <c r="D436" s="33"/>
      <c r="E436" s="27" t="s">
        <v>523</v>
      </c>
      <c r="F436" s="30" t="str">
        <f t="shared" ref="F436:F445" si="10">IF(ISNUMBER(E436),ROUND(E436*$D436,2),"")</f>
        <v/>
      </c>
      <c r="G436" s="41"/>
      <c r="H436" s="42"/>
      <c r="I436" s="142">
        <v>0</v>
      </c>
    </row>
    <row r="437" spans="1:9" ht="24.95" hidden="1" customHeight="1" x14ac:dyDescent="0.25">
      <c r="A437" s="247"/>
      <c r="B437" s="44" t="s">
        <v>757</v>
      </c>
      <c r="C437" s="119"/>
      <c r="D437" s="33"/>
      <c r="E437" s="27" t="s">
        <v>523</v>
      </c>
      <c r="F437" s="30" t="str">
        <f t="shared" si="10"/>
        <v/>
      </c>
      <c r="G437" s="41"/>
      <c r="H437" s="42"/>
      <c r="I437" s="142">
        <v>0</v>
      </c>
    </row>
    <row r="438" spans="1:9" ht="15.75" hidden="1" thickBot="1" x14ac:dyDescent="0.3">
      <c r="A438" s="253"/>
      <c r="B438" s="95"/>
      <c r="C438" s="76"/>
      <c r="D438" s="87"/>
      <c r="E438" s="63" t="s">
        <v>523</v>
      </c>
      <c r="F438" s="63" t="str">
        <f t="shared" si="10"/>
        <v/>
      </c>
      <c r="G438" s="65"/>
      <c r="H438" s="27"/>
      <c r="I438" s="142">
        <v>0</v>
      </c>
    </row>
    <row r="439" spans="1:9" ht="26.25" hidden="1" customHeight="1" x14ac:dyDescent="0.25">
      <c r="A439" s="252" t="s">
        <v>3236</v>
      </c>
      <c r="B439" s="37" t="s">
        <v>523</v>
      </c>
      <c r="C439" s="74" t="s">
        <v>120</v>
      </c>
      <c r="D439" s="85"/>
      <c r="E439" s="38" t="s">
        <v>523</v>
      </c>
      <c r="F439" s="38" t="str">
        <f t="shared" si="10"/>
        <v/>
      </c>
      <c r="G439" s="25"/>
      <c r="H439" s="26"/>
      <c r="I439" s="142">
        <v>0</v>
      </c>
    </row>
    <row r="440" spans="1:9" hidden="1" x14ac:dyDescent="0.25">
      <c r="A440" s="247"/>
      <c r="B440" s="28" t="s">
        <v>523</v>
      </c>
      <c r="C440" s="75"/>
      <c r="D440" s="83"/>
      <c r="E440" s="89" t="s">
        <v>523</v>
      </c>
      <c r="F440" s="90" t="str">
        <f t="shared" si="10"/>
        <v/>
      </c>
      <c r="G440" s="31"/>
      <c r="H440" s="27"/>
      <c r="I440" s="142">
        <v>0</v>
      </c>
    </row>
    <row r="441" spans="1:9" ht="25.5" hidden="1" x14ac:dyDescent="0.25">
      <c r="A441" s="247"/>
      <c r="B441" s="32" t="s">
        <v>754</v>
      </c>
      <c r="C441" s="46" t="s">
        <v>120</v>
      </c>
      <c r="D441" s="33">
        <v>1.07</v>
      </c>
      <c r="E441" s="30">
        <v>160.53099999999998</v>
      </c>
      <c r="F441" s="30">
        <f t="shared" si="10"/>
        <v>171.77</v>
      </c>
      <c r="G441" s="41">
        <f>SUM(F441:F449)</f>
        <v>614.15200114499999</v>
      </c>
      <c r="H441" s="42"/>
      <c r="I441" s="142">
        <v>0</v>
      </c>
    </row>
    <row r="442" spans="1:9" hidden="1" x14ac:dyDescent="0.25">
      <c r="A442" s="247"/>
      <c r="B442" s="32" t="s">
        <v>750</v>
      </c>
      <c r="C442" s="46" t="s">
        <v>901</v>
      </c>
      <c r="D442" s="33">
        <v>483.7</v>
      </c>
      <c r="E442" s="30">
        <v>0.64600000000000002</v>
      </c>
      <c r="F442" s="30">
        <f t="shared" si="10"/>
        <v>312.47000000000003</v>
      </c>
      <c r="G442" s="41"/>
      <c r="H442" s="42"/>
      <c r="I442" s="142">
        <v>0</v>
      </c>
    </row>
    <row r="443" spans="1:9" ht="25.5" hidden="1" x14ac:dyDescent="0.25">
      <c r="A443" s="247"/>
      <c r="B443" s="32" t="s">
        <v>1446</v>
      </c>
      <c r="C443" s="46" t="s">
        <v>705</v>
      </c>
      <c r="D443" s="33">
        <v>3.42</v>
      </c>
      <c r="E443" s="27">
        <v>18.534500000000001</v>
      </c>
      <c r="F443" s="30">
        <f t="shared" si="10"/>
        <v>63.39</v>
      </c>
      <c r="G443" s="41"/>
      <c r="H443" s="42"/>
      <c r="I443" s="142">
        <v>0</v>
      </c>
    </row>
    <row r="444" spans="1:9" ht="38.25" hidden="1" x14ac:dyDescent="0.25">
      <c r="A444" s="247"/>
      <c r="B444" s="32" t="s">
        <v>117</v>
      </c>
      <c r="C444" s="46" t="s">
        <v>945</v>
      </c>
      <c r="D444" s="33">
        <v>0.8</v>
      </c>
      <c r="E444" s="27">
        <v>1.3964999999999999</v>
      </c>
      <c r="F444" s="30">
        <f t="shared" si="10"/>
        <v>1.1200000000000001</v>
      </c>
      <c r="G444" s="41"/>
      <c r="H444" s="42"/>
      <c r="I444" s="142">
        <v>0</v>
      </c>
    </row>
    <row r="445" spans="1:9" ht="38.25" hidden="1" x14ac:dyDescent="0.25">
      <c r="A445" s="247"/>
      <c r="B445" s="32" t="s">
        <v>118</v>
      </c>
      <c r="C445" s="46" t="s">
        <v>947</v>
      </c>
      <c r="D445" s="33">
        <v>2.62</v>
      </c>
      <c r="E445" s="27">
        <v>0.3705</v>
      </c>
      <c r="F445" s="30">
        <f t="shared" si="10"/>
        <v>0.97</v>
      </c>
      <c r="G445" s="41"/>
      <c r="H445" s="42"/>
      <c r="I445" s="142">
        <v>0</v>
      </c>
    </row>
    <row r="446" spans="1:9" ht="51" hidden="1" x14ac:dyDescent="0.25">
      <c r="A446" s="247"/>
      <c r="B446" s="32" t="s">
        <v>3532</v>
      </c>
      <c r="C446" s="32" t="s">
        <v>120</v>
      </c>
      <c r="D446" s="33">
        <f>ROUND(1*(D441),4)</f>
        <v>1.07</v>
      </c>
      <c r="E446" s="27">
        <v>7.8726404999999993</v>
      </c>
      <c r="F446" s="30">
        <f>IF(ISNUMBER(E446),E446*$D446,"")</f>
        <v>8.4237253350000003</v>
      </c>
      <c r="G446" s="41"/>
      <c r="H446" s="42"/>
      <c r="I446" s="142">
        <v>0</v>
      </c>
    </row>
    <row r="447" spans="1:9" ht="38.25" hidden="1" x14ac:dyDescent="0.25">
      <c r="A447" s="247"/>
      <c r="B447" s="32" t="s">
        <v>3529</v>
      </c>
      <c r="C447" s="43" t="s">
        <v>122</v>
      </c>
      <c r="D447" s="33">
        <f>ROUND(D441*20,4)</f>
        <v>21.4</v>
      </c>
      <c r="E447" s="27">
        <v>2.6172091499999994</v>
      </c>
      <c r="F447" s="30">
        <f>IF(ISNUMBER(E447),E447*$D447,"")</f>
        <v>56.008275809999986</v>
      </c>
      <c r="G447" s="41"/>
      <c r="H447" s="42"/>
      <c r="I447" s="142">
        <v>0</v>
      </c>
    </row>
    <row r="448" spans="1:9" hidden="1" x14ac:dyDescent="0.25">
      <c r="A448" s="247"/>
      <c r="B448" s="47"/>
      <c r="C448" s="119"/>
      <c r="D448" s="33"/>
      <c r="E448" s="27" t="s">
        <v>523</v>
      </c>
      <c r="F448" s="30" t="str">
        <f t="shared" ref="F448:F457" si="11">IF(ISNUMBER(E448),ROUND(E448*$D448,2),"")</f>
        <v/>
      </c>
      <c r="G448" s="41"/>
      <c r="H448" s="42"/>
      <c r="I448" s="142">
        <v>0</v>
      </c>
    </row>
    <row r="449" spans="1:9" ht="24.95" hidden="1" customHeight="1" x14ac:dyDescent="0.25">
      <c r="A449" s="247"/>
      <c r="B449" s="44" t="s">
        <v>757</v>
      </c>
      <c r="C449" s="119"/>
      <c r="D449" s="33"/>
      <c r="E449" s="27" t="s">
        <v>523</v>
      </c>
      <c r="F449" s="30" t="str">
        <f t="shared" si="11"/>
        <v/>
      </c>
      <c r="G449" s="41"/>
      <c r="H449" s="42"/>
      <c r="I449" s="142">
        <v>0</v>
      </c>
    </row>
    <row r="450" spans="1:9" ht="15.75" hidden="1" thickBot="1" x14ac:dyDescent="0.3">
      <c r="A450" s="253"/>
      <c r="B450" s="95"/>
      <c r="C450" s="76"/>
      <c r="D450" s="87"/>
      <c r="E450" s="63" t="s">
        <v>523</v>
      </c>
      <c r="F450" s="63" t="str">
        <f t="shared" si="11"/>
        <v/>
      </c>
      <c r="G450" s="65"/>
      <c r="H450" s="27"/>
      <c r="I450" s="142">
        <v>0</v>
      </c>
    </row>
    <row r="451" spans="1:9" ht="26.25" hidden="1" customHeight="1" x14ac:dyDescent="0.25">
      <c r="A451" s="252" t="s">
        <v>3221</v>
      </c>
      <c r="B451" s="37" t="s">
        <v>523</v>
      </c>
      <c r="C451" s="74" t="s">
        <v>120</v>
      </c>
      <c r="D451" s="85"/>
      <c r="E451" s="38" t="s">
        <v>523</v>
      </c>
      <c r="F451" s="38" t="str">
        <f t="shared" si="11"/>
        <v/>
      </c>
      <c r="G451" s="25"/>
      <c r="H451" s="26"/>
      <c r="I451" s="142">
        <v>0</v>
      </c>
    </row>
    <row r="452" spans="1:9" hidden="1" x14ac:dyDescent="0.25">
      <c r="A452" s="247"/>
      <c r="B452" s="28" t="s">
        <v>523</v>
      </c>
      <c r="C452" s="75"/>
      <c r="D452" s="83"/>
      <c r="E452" s="89" t="s">
        <v>523</v>
      </c>
      <c r="F452" s="90" t="str">
        <f t="shared" si="11"/>
        <v/>
      </c>
      <c r="G452" s="31"/>
      <c r="H452" s="27"/>
      <c r="I452" s="142">
        <v>0</v>
      </c>
    </row>
    <row r="453" spans="1:9" ht="38.25" hidden="1" x14ac:dyDescent="0.25">
      <c r="A453" s="247"/>
      <c r="B453" s="32" t="s">
        <v>6799</v>
      </c>
      <c r="C453" s="46" t="s">
        <v>995</v>
      </c>
      <c r="D453" s="33">
        <v>1.3111999999999999</v>
      </c>
      <c r="E453" s="30">
        <v>52.953000000000003</v>
      </c>
      <c r="F453" s="30">
        <f t="shared" si="11"/>
        <v>69.430000000000007</v>
      </c>
      <c r="G453" s="41">
        <f>SUM(F453:F468)</f>
        <v>2481.3107922732206</v>
      </c>
      <c r="H453" s="42"/>
      <c r="I453" s="142">
        <v>0</v>
      </c>
    </row>
    <row r="454" spans="1:9" ht="25.5" hidden="1" x14ac:dyDescent="0.25">
      <c r="A454" s="247"/>
      <c r="B454" s="32" t="s">
        <v>1155</v>
      </c>
      <c r="C454" s="46" t="s">
        <v>102</v>
      </c>
      <c r="D454" s="33">
        <v>5.67E-2</v>
      </c>
      <c r="E454" s="30">
        <v>7.1819999999999995</v>
      </c>
      <c r="F454" s="30">
        <f t="shared" si="11"/>
        <v>0.41</v>
      </c>
      <c r="G454" s="41"/>
      <c r="H454" s="42"/>
      <c r="I454" s="142">
        <v>0</v>
      </c>
    </row>
    <row r="455" spans="1:9" ht="25.5" hidden="1" x14ac:dyDescent="0.25">
      <c r="A455" s="247"/>
      <c r="B455" s="32" t="s">
        <v>3711</v>
      </c>
      <c r="C455" s="46" t="s">
        <v>480</v>
      </c>
      <c r="D455" s="33">
        <v>4.4770000000000003</v>
      </c>
      <c r="E455" s="27">
        <v>3.0019999999999998</v>
      </c>
      <c r="F455" s="30">
        <f t="shared" si="11"/>
        <v>13.44</v>
      </c>
      <c r="G455" s="41"/>
      <c r="H455" s="42"/>
      <c r="I455" s="142">
        <v>0</v>
      </c>
    </row>
    <row r="456" spans="1:9" hidden="1" x14ac:dyDescent="0.25">
      <c r="A456" s="247"/>
      <c r="B456" s="32" t="s">
        <v>1156</v>
      </c>
      <c r="C456" s="46" t="s">
        <v>901</v>
      </c>
      <c r="D456" s="33">
        <v>0.26190000000000002</v>
      </c>
      <c r="E456" s="27">
        <v>24.452999999999996</v>
      </c>
      <c r="F456" s="30">
        <f t="shared" si="11"/>
        <v>6.4</v>
      </c>
      <c r="G456" s="41"/>
      <c r="H456" s="42"/>
      <c r="I456" s="142">
        <v>0</v>
      </c>
    </row>
    <row r="457" spans="1:9" hidden="1" x14ac:dyDescent="0.25">
      <c r="A457" s="247"/>
      <c r="B457" s="32" t="s">
        <v>788</v>
      </c>
      <c r="C457" s="46" t="s">
        <v>705</v>
      </c>
      <c r="D457" s="33">
        <v>0.73560000000000003</v>
      </c>
      <c r="E457" s="27">
        <v>19.494</v>
      </c>
      <c r="F457" s="30">
        <f t="shared" si="11"/>
        <v>14.34</v>
      </c>
      <c r="G457" s="41"/>
      <c r="H457" s="42"/>
      <c r="I457" s="142">
        <v>0</v>
      </c>
    </row>
    <row r="458" spans="1:9" hidden="1" x14ac:dyDescent="0.25">
      <c r="A458" s="247"/>
      <c r="B458" s="32" t="s">
        <v>704</v>
      </c>
      <c r="C458" s="32" t="s">
        <v>705</v>
      </c>
      <c r="D458" s="33">
        <v>3.6779999999999999</v>
      </c>
      <c r="E458" s="27">
        <v>23.616999999999997</v>
      </c>
      <c r="F458" s="30">
        <f t="shared" ref="F458:F466" si="12">IF(ISNUMBER(E458),E458*$D458,"")</f>
        <v>86.863325999999986</v>
      </c>
      <c r="G458" s="41"/>
      <c r="H458" s="42"/>
      <c r="I458" s="142">
        <v>0</v>
      </c>
    </row>
    <row r="459" spans="1:9" hidden="1" x14ac:dyDescent="0.25">
      <c r="A459" s="247"/>
      <c r="B459" s="32" t="s">
        <v>713</v>
      </c>
      <c r="C459" s="32" t="s">
        <v>705</v>
      </c>
      <c r="D459" s="33">
        <v>22.888400000000001</v>
      </c>
      <c r="E459" s="27">
        <v>24.889999999999997</v>
      </c>
      <c r="F459" s="30">
        <f t="shared" si="12"/>
        <v>569.69227599999999</v>
      </c>
      <c r="G459" s="41"/>
      <c r="H459" s="42"/>
      <c r="I459" s="142">
        <v>0</v>
      </c>
    </row>
    <row r="460" spans="1:9" hidden="1" x14ac:dyDescent="0.25">
      <c r="A460" s="247"/>
      <c r="B460" s="32" t="s">
        <v>706</v>
      </c>
      <c r="C460" s="32" t="s">
        <v>705</v>
      </c>
      <c r="D460" s="33">
        <v>22.888400000000001</v>
      </c>
      <c r="E460" s="27">
        <v>18.420500000000001</v>
      </c>
      <c r="F460" s="30">
        <f t="shared" si="12"/>
        <v>421.61577220000004</v>
      </c>
      <c r="G460" s="41"/>
      <c r="H460" s="42"/>
      <c r="I460" s="142">
        <v>0</v>
      </c>
    </row>
    <row r="461" spans="1:9" ht="25.5" hidden="1" x14ac:dyDescent="0.25">
      <c r="A461" s="247"/>
      <c r="B461" s="32" t="s">
        <v>1157</v>
      </c>
      <c r="C461" s="32" t="s">
        <v>945</v>
      </c>
      <c r="D461" s="33">
        <v>4.7533000000000003</v>
      </c>
      <c r="E461" s="27">
        <v>1.1779999999999999</v>
      </c>
      <c r="F461" s="30">
        <f t="shared" si="12"/>
        <v>5.5993874000000003</v>
      </c>
      <c r="G461" s="41"/>
      <c r="H461" s="42"/>
      <c r="I461" s="142">
        <v>0</v>
      </c>
    </row>
    <row r="462" spans="1:9" ht="25.5" hidden="1" x14ac:dyDescent="0.25">
      <c r="A462" s="247"/>
      <c r="B462" s="32" t="s">
        <v>1158</v>
      </c>
      <c r="C462" s="32" t="s">
        <v>947</v>
      </c>
      <c r="D462" s="33">
        <v>13.0715</v>
      </c>
      <c r="E462" s="27">
        <v>0.53200000000000003</v>
      </c>
      <c r="F462" s="30">
        <f t="shared" si="12"/>
        <v>6.9540380000000006</v>
      </c>
      <c r="G462" s="41"/>
      <c r="H462" s="42"/>
      <c r="I462" s="142">
        <v>0</v>
      </c>
    </row>
    <row r="463" spans="1:9" ht="25.5" hidden="1" x14ac:dyDescent="0.25">
      <c r="A463" s="247"/>
      <c r="B463" s="32" t="s">
        <v>1159</v>
      </c>
      <c r="C463" s="32" t="s">
        <v>945</v>
      </c>
      <c r="D463" s="33">
        <v>0.313</v>
      </c>
      <c r="E463" s="27">
        <v>20.225499999999997</v>
      </c>
      <c r="F463" s="30">
        <f t="shared" si="12"/>
        <v>6.3305814999999992</v>
      </c>
      <c r="G463" s="41"/>
      <c r="H463" s="42"/>
      <c r="I463" s="142">
        <v>0</v>
      </c>
    </row>
    <row r="464" spans="1:9" ht="25.5" hidden="1" x14ac:dyDescent="0.25">
      <c r="A464" s="247"/>
      <c r="B464" s="32" t="s">
        <v>1160</v>
      </c>
      <c r="C464" s="32" t="s">
        <v>947</v>
      </c>
      <c r="D464" s="33">
        <v>0.42259999999999998</v>
      </c>
      <c r="E464" s="27">
        <v>19.446499999999997</v>
      </c>
      <c r="F464" s="30">
        <f t="shared" si="12"/>
        <v>8.2180908999999982</v>
      </c>
      <c r="G464" s="41"/>
      <c r="H464" s="42"/>
      <c r="I464" s="142">
        <v>0</v>
      </c>
    </row>
    <row r="465" spans="1:9" ht="38.25" hidden="1" x14ac:dyDescent="0.25">
      <c r="A465" s="247"/>
      <c r="B465" s="32" t="s">
        <v>1161</v>
      </c>
      <c r="C465" s="32" t="s">
        <v>901</v>
      </c>
      <c r="D465" s="33">
        <v>28.936900000000001</v>
      </c>
      <c r="E465" s="27">
        <v>19.262675000000002</v>
      </c>
      <c r="F465" s="30">
        <f t="shared" si="12"/>
        <v>557.4021002075001</v>
      </c>
      <c r="G465" s="41"/>
      <c r="H465" s="42"/>
      <c r="I465" s="142">
        <v>0</v>
      </c>
    </row>
    <row r="466" spans="1:9" ht="25.5" hidden="1" x14ac:dyDescent="0.25">
      <c r="A466" s="247"/>
      <c r="B466" s="32" t="s">
        <v>3219</v>
      </c>
      <c r="C466" s="43" t="s">
        <v>120</v>
      </c>
      <c r="D466" s="33">
        <v>1.2</v>
      </c>
      <c r="E466" s="27">
        <v>595.51268338810019</v>
      </c>
      <c r="F466" s="30">
        <f t="shared" si="12"/>
        <v>714.61522006572022</v>
      </c>
      <c r="G466" s="41"/>
      <c r="H466" s="42"/>
      <c r="I466" s="142">
        <v>0</v>
      </c>
    </row>
    <row r="467" spans="1:9" hidden="1" x14ac:dyDescent="0.25">
      <c r="A467" s="247"/>
      <c r="B467" s="47"/>
      <c r="C467" s="119"/>
      <c r="D467" s="33"/>
      <c r="E467" s="27" t="s">
        <v>523</v>
      </c>
      <c r="F467" s="30" t="str">
        <f t="shared" ref="F467:F476" si="13">IF(ISNUMBER(E467),ROUND(E467*$D467,2),"")</f>
        <v/>
      </c>
      <c r="G467" s="41"/>
      <c r="H467" s="42"/>
      <c r="I467" s="142">
        <v>0</v>
      </c>
    </row>
    <row r="468" spans="1:9" ht="24.95" hidden="1" customHeight="1" x14ac:dyDescent="0.25">
      <c r="A468" s="247"/>
      <c r="B468" s="44" t="s">
        <v>757</v>
      </c>
      <c r="C468" s="119"/>
      <c r="D468" s="33"/>
      <c r="E468" s="27" t="s">
        <v>523</v>
      </c>
      <c r="F468" s="30" t="str">
        <f t="shared" si="13"/>
        <v/>
      </c>
      <c r="G468" s="41"/>
      <c r="H468" s="42"/>
      <c r="I468" s="142">
        <v>0</v>
      </c>
    </row>
    <row r="469" spans="1:9" ht="15.75" hidden="1" thickBot="1" x14ac:dyDescent="0.3">
      <c r="A469" s="253"/>
      <c r="B469" s="95"/>
      <c r="C469" s="76"/>
      <c r="D469" s="87"/>
      <c r="E469" s="63" t="s">
        <v>523</v>
      </c>
      <c r="F469" s="63" t="str">
        <f t="shared" si="13"/>
        <v/>
      </c>
      <c r="G469" s="65"/>
      <c r="H469" s="27"/>
      <c r="I469" s="142">
        <v>0</v>
      </c>
    </row>
    <row r="470" spans="1:9" ht="26.25" hidden="1" customHeight="1" x14ac:dyDescent="0.25">
      <c r="A470" s="252" t="s">
        <v>3698</v>
      </c>
      <c r="B470" s="37" t="s">
        <v>523</v>
      </c>
      <c r="C470" s="74" t="s">
        <v>120</v>
      </c>
      <c r="D470" s="85"/>
      <c r="E470" s="38" t="s">
        <v>523</v>
      </c>
      <c r="F470" s="38" t="str">
        <f t="shared" si="13"/>
        <v/>
      </c>
      <c r="G470" s="25"/>
      <c r="H470" s="26"/>
      <c r="I470" s="142">
        <v>0</v>
      </c>
    </row>
    <row r="471" spans="1:9" hidden="1" x14ac:dyDescent="0.25">
      <c r="A471" s="247"/>
      <c r="B471" s="28" t="s">
        <v>523</v>
      </c>
      <c r="C471" s="75"/>
      <c r="D471" s="83"/>
      <c r="E471" s="89" t="s">
        <v>523</v>
      </c>
      <c r="F471" s="90" t="str">
        <f t="shared" si="13"/>
        <v/>
      </c>
      <c r="G471" s="31"/>
      <c r="H471" s="27"/>
      <c r="I471" s="142">
        <v>0</v>
      </c>
    </row>
    <row r="472" spans="1:9" ht="25.5" hidden="1" x14ac:dyDescent="0.25">
      <c r="A472" s="247"/>
      <c r="B472" s="32" t="s">
        <v>759</v>
      </c>
      <c r="C472" s="46" t="s">
        <v>120</v>
      </c>
      <c r="D472" s="33">
        <v>1.1000000000000001</v>
      </c>
      <c r="E472" s="30">
        <v>169.76499999999999</v>
      </c>
      <c r="F472" s="30">
        <f t="shared" si="13"/>
        <v>186.74</v>
      </c>
      <c r="G472" s="41">
        <f>SUM(F472:F482)</f>
        <v>354.17247235000002</v>
      </c>
      <c r="H472" s="42"/>
      <c r="I472" s="142">
        <v>0</v>
      </c>
    </row>
    <row r="473" spans="1:9" ht="63.75" hidden="1" x14ac:dyDescent="0.25">
      <c r="A473" s="247"/>
      <c r="B473" s="32" t="s">
        <v>3198</v>
      </c>
      <c r="C473" s="46" t="s">
        <v>945</v>
      </c>
      <c r="D473" s="33">
        <v>0.128</v>
      </c>
      <c r="E473" s="30">
        <v>136.82849999999999</v>
      </c>
      <c r="F473" s="30">
        <f t="shared" si="13"/>
        <v>17.510000000000002</v>
      </c>
      <c r="G473" s="41"/>
      <c r="H473" s="42"/>
      <c r="I473" s="142">
        <v>0</v>
      </c>
    </row>
    <row r="474" spans="1:9" ht="63.75" hidden="1" x14ac:dyDescent="0.25">
      <c r="A474" s="247"/>
      <c r="B474" s="32" t="s">
        <v>3204</v>
      </c>
      <c r="C474" s="46" t="s">
        <v>947</v>
      </c>
      <c r="D474" s="33">
        <v>0.63980000000000004</v>
      </c>
      <c r="E474" s="27">
        <v>49.875</v>
      </c>
      <c r="F474" s="30">
        <f t="shared" si="13"/>
        <v>31.91</v>
      </c>
      <c r="G474" s="41"/>
      <c r="H474" s="42"/>
      <c r="I474" s="142">
        <v>0</v>
      </c>
    </row>
    <row r="475" spans="1:9" hidden="1" x14ac:dyDescent="0.25">
      <c r="A475" s="247"/>
      <c r="B475" s="32" t="s">
        <v>713</v>
      </c>
      <c r="C475" s="46" t="s">
        <v>705</v>
      </c>
      <c r="D475" s="33">
        <v>0.92130000000000001</v>
      </c>
      <c r="E475" s="27">
        <v>24.889999999999997</v>
      </c>
      <c r="F475" s="30">
        <f t="shared" si="13"/>
        <v>22.93</v>
      </c>
      <c r="G475" s="41"/>
      <c r="H475" s="42"/>
      <c r="I475" s="142">
        <v>0</v>
      </c>
    </row>
    <row r="476" spans="1:9" hidden="1" x14ac:dyDescent="0.25">
      <c r="A476" s="247"/>
      <c r="B476" s="32" t="s">
        <v>706</v>
      </c>
      <c r="C476" s="46" t="s">
        <v>705</v>
      </c>
      <c r="D476" s="33">
        <v>1.3818999999999999</v>
      </c>
      <c r="E476" s="27">
        <v>18.420500000000001</v>
      </c>
      <c r="F476" s="30">
        <f t="shared" si="13"/>
        <v>25.46</v>
      </c>
      <c r="G476" s="41"/>
      <c r="H476" s="42"/>
      <c r="I476" s="142">
        <v>0</v>
      </c>
    </row>
    <row r="477" spans="1:9" ht="38.25" hidden="1" x14ac:dyDescent="0.25">
      <c r="A477" s="247"/>
      <c r="B477" s="32" t="s">
        <v>944</v>
      </c>
      <c r="C477" s="32" t="s">
        <v>945</v>
      </c>
      <c r="D477" s="33">
        <v>7.1800000000000003E-2</v>
      </c>
      <c r="E477" s="27">
        <v>28.404999999999998</v>
      </c>
      <c r="F477" s="30">
        <f>IF(ISNUMBER(E477),E477*$D477,"")</f>
        <v>2.039479</v>
      </c>
      <c r="G477" s="41"/>
      <c r="H477" s="42"/>
      <c r="I477" s="142">
        <v>0</v>
      </c>
    </row>
    <row r="478" spans="1:9" ht="38.25" hidden="1" x14ac:dyDescent="0.25">
      <c r="A478" s="247"/>
      <c r="B478" s="32" t="s">
        <v>946</v>
      </c>
      <c r="C478" s="43" t="s">
        <v>947</v>
      </c>
      <c r="D478" s="33">
        <v>6.6600000000000006E-2</v>
      </c>
      <c r="E478" s="27">
        <v>20.1875</v>
      </c>
      <c r="F478" s="30">
        <f>IF(ISNUMBER(E478),E478*$D478,"")</f>
        <v>1.3444875000000001</v>
      </c>
      <c r="G478" s="41"/>
      <c r="H478" s="42"/>
      <c r="I478" s="142">
        <v>0</v>
      </c>
    </row>
    <row r="479" spans="1:9" ht="51" hidden="1" x14ac:dyDescent="0.25">
      <c r="A479" s="247"/>
      <c r="B479" s="32" t="s">
        <v>3532</v>
      </c>
      <c r="C479" s="32" t="s">
        <v>120</v>
      </c>
      <c r="D479" s="33">
        <f>ROUND(1*(D472),4)</f>
        <v>1.1000000000000001</v>
      </c>
      <c r="E479" s="27">
        <v>7.8726404999999993</v>
      </c>
      <c r="F479" s="30">
        <f>IF(ISNUMBER(E479),E479*$D479,"")</f>
        <v>8.6599045500000003</v>
      </c>
      <c r="G479" s="41"/>
      <c r="H479" s="42"/>
      <c r="I479" s="142">
        <v>0</v>
      </c>
    </row>
    <row r="480" spans="1:9" ht="38.25" hidden="1" x14ac:dyDescent="0.25">
      <c r="A480" s="247"/>
      <c r="B480" s="32" t="s">
        <v>3529</v>
      </c>
      <c r="C480" s="43" t="s">
        <v>122</v>
      </c>
      <c r="D480" s="33">
        <f>ROUND(D472*20,4)</f>
        <v>22</v>
      </c>
      <c r="E480" s="27">
        <v>2.6172091499999994</v>
      </c>
      <c r="F480" s="30">
        <f>IF(ISNUMBER(E480),E480*$D480,"")</f>
        <v>57.578601299999988</v>
      </c>
      <c r="G480" s="41"/>
      <c r="H480" s="42"/>
      <c r="I480" s="142">
        <v>0</v>
      </c>
    </row>
    <row r="481" spans="1:9" hidden="1" x14ac:dyDescent="0.25">
      <c r="A481" s="247"/>
      <c r="B481" s="47"/>
      <c r="C481" s="119"/>
      <c r="D481" s="33"/>
      <c r="E481" s="27" t="s">
        <v>523</v>
      </c>
      <c r="F481" s="30" t="str">
        <f t="shared" ref="F481:F490" si="14">IF(ISNUMBER(E481),ROUND(E481*$D481,2),"")</f>
        <v/>
      </c>
      <c r="G481" s="41"/>
      <c r="H481" s="42"/>
      <c r="I481" s="142">
        <v>0</v>
      </c>
    </row>
    <row r="482" spans="1:9" ht="24.95" hidden="1" customHeight="1" x14ac:dyDescent="0.25">
      <c r="A482" s="247"/>
      <c r="B482" s="44" t="s">
        <v>757</v>
      </c>
      <c r="C482" s="119"/>
      <c r="D482" s="33"/>
      <c r="E482" s="27" t="s">
        <v>523</v>
      </c>
      <c r="F482" s="30" t="str">
        <f t="shared" si="14"/>
        <v/>
      </c>
      <c r="G482" s="41"/>
      <c r="H482" s="42"/>
      <c r="I482" s="142">
        <v>0</v>
      </c>
    </row>
    <row r="483" spans="1:9" ht="15.75" hidden="1" thickBot="1" x14ac:dyDescent="0.3">
      <c r="A483" s="253"/>
      <c r="B483" s="95"/>
      <c r="C483" s="76"/>
      <c r="D483" s="87"/>
      <c r="E483" s="63" t="s">
        <v>523</v>
      </c>
      <c r="F483" s="63" t="str">
        <f t="shared" si="14"/>
        <v/>
      </c>
      <c r="G483" s="65"/>
      <c r="H483" s="27"/>
      <c r="I483" s="142">
        <v>0</v>
      </c>
    </row>
    <row r="484" spans="1:9" ht="26.25" hidden="1" customHeight="1" x14ac:dyDescent="0.25">
      <c r="A484" s="252" t="s">
        <v>3220</v>
      </c>
      <c r="B484" s="37" t="s">
        <v>523</v>
      </c>
      <c r="C484" s="74" t="s">
        <v>120</v>
      </c>
      <c r="D484" s="85"/>
      <c r="E484" s="38" t="s">
        <v>523</v>
      </c>
      <c r="F484" s="38" t="str">
        <f t="shared" si="14"/>
        <v/>
      </c>
      <c r="G484" s="25"/>
      <c r="H484" s="26"/>
      <c r="I484" s="142">
        <v>0</v>
      </c>
    </row>
    <row r="485" spans="1:9" hidden="1" x14ac:dyDescent="0.25">
      <c r="A485" s="247"/>
      <c r="B485" s="28" t="s">
        <v>523</v>
      </c>
      <c r="C485" s="75"/>
      <c r="D485" s="83"/>
      <c r="E485" s="89" t="s">
        <v>523</v>
      </c>
      <c r="F485" s="90" t="str">
        <f t="shared" si="14"/>
        <v/>
      </c>
      <c r="G485" s="31"/>
      <c r="H485" s="27"/>
      <c r="I485" s="142">
        <v>0</v>
      </c>
    </row>
    <row r="486" spans="1:9" ht="38.25" hidden="1" x14ac:dyDescent="0.25">
      <c r="A486" s="247"/>
      <c r="B486" s="32" t="s">
        <v>6799</v>
      </c>
      <c r="C486" s="46" t="s">
        <v>995</v>
      </c>
      <c r="D486" s="33">
        <v>1.9403999999999999</v>
      </c>
      <c r="E486" s="30">
        <v>52.953000000000003</v>
      </c>
      <c r="F486" s="30">
        <f t="shared" si="14"/>
        <v>102.75</v>
      </c>
      <c r="G486" s="41">
        <f>SUM(F486:F501)</f>
        <v>2939.82550646854</v>
      </c>
      <c r="H486" s="42"/>
      <c r="I486" s="142">
        <v>0</v>
      </c>
    </row>
    <row r="487" spans="1:9" ht="25.5" hidden="1" x14ac:dyDescent="0.25">
      <c r="A487" s="247"/>
      <c r="B487" s="32" t="s">
        <v>1155</v>
      </c>
      <c r="C487" s="46" t="s">
        <v>102</v>
      </c>
      <c r="D487" s="33">
        <v>8.3299999999999999E-2</v>
      </c>
      <c r="E487" s="30">
        <v>7.1819999999999995</v>
      </c>
      <c r="F487" s="30">
        <f t="shared" si="14"/>
        <v>0.6</v>
      </c>
      <c r="G487" s="41"/>
      <c r="H487" s="42"/>
      <c r="I487" s="142">
        <v>0</v>
      </c>
    </row>
    <row r="488" spans="1:9" ht="25.5" hidden="1" x14ac:dyDescent="0.25">
      <c r="A488" s="247"/>
      <c r="B488" s="32" t="s">
        <v>3711</v>
      </c>
      <c r="C488" s="46" t="s">
        <v>480</v>
      </c>
      <c r="D488" s="33">
        <v>5.6283000000000003</v>
      </c>
      <c r="E488" s="27">
        <v>3.0019999999999998</v>
      </c>
      <c r="F488" s="30">
        <f t="shared" si="14"/>
        <v>16.899999999999999</v>
      </c>
      <c r="G488" s="41"/>
      <c r="H488" s="42"/>
      <c r="I488" s="142">
        <v>0</v>
      </c>
    </row>
    <row r="489" spans="1:9" hidden="1" x14ac:dyDescent="0.25">
      <c r="A489" s="247"/>
      <c r="B489" s="32" t="s">
        <v>1156</v>
      </c>
      <c r="C489" s="46" t="s">
        <v>901</v>
      </c>
      <c r="D489" s="33">
        <v>0.4365</v>
      </c>
      <c r="E489" s="27">
        <v>24.452999999999996</v>
      </c>
      <c r="F489" s="30">
        <f t="shared" si="14"/>
        <v>10.67</v>
      </c>
      <c r="G489" s="41"/>
      <c r="H489" s="42"/>
      <c r="I489" s="142">
        <v>0</v>
      </c>
    </row>
    <row r="490" spans="1:9" hidden="1" x14ac:dyDescent="0.25">
      <c r="A490" s="247"/>
      <c r="B490" s="32" t="s">
        <v>788</v>
      </c>
      <c r="C490" s="46" t="s">
        <v>705</v>
      </c>
      <c r="D490" s="33">
        <v>1.1919999999999999</v>
      </c>
      <c r="E490" s="27">
        <v>19.494</v>
      </c>
      <c r="F490" s="30">
        <f t="shared" si="14"/>
        <v>23.24</v>
      </c>
      <c r="G490" s="41"/>
      <c r="H490" s="42"/>
      <c r="I490" s="142">
        <v>0</v>
      </c>
    </row>
    <row r="491" spans="1:9" hidden="1" x14ac:dyDescent="0.25">
      <c r="A491" s="247"/>
      <c r="B491" s="32" t="s">
        <v>704</v>
      </c>
      <c r="C491" s="32" t="s">
        <v>705</v>
      </c>
      <c r="D491" s="33">
        <v>5.96</v>
      </c>
      <c r="E491" s="27">
        <v>23.616999999999997</v>
      </c>
      <c r="F491" s="30">
        <f t="shared" ref="F491:F499" si="15">IF(ISNUMBER(E491),E491*$D491,"")</f>
        <v>140.75731999999999</v>
      </c>
      <c r="G491" s="41"/>
      <c r="H491" s="42"/>
      <c r="I491" s="142">
        <v>0</v>
      </c>
    </row>
    <row r="492" spans="1:9" hidden="1" x14ac:dyDescent="0.25">
      <c r="A492" s="247"/>
      <c r="B492" s="32" t="s">
        <v>713</v>
      </c>
      <c r="C492" s="32" t="s">
        <v>705</v>
      </c>
      <c r="D492" s="33">
        <v>31.5459</v>
      </c>
      <c r="E492" s="27">
        <v>24.889999999999997</v>
      </c>
      <c r="F492" s="30">
        <f t="shared" si="15"/>
        <v>785.17745099999991</v>
      </c>
      <c r="G492" s="41"/>
      <c r="H492" s="42"/>
      <c r="I492" s="142">
        <v>0</v>
      </c>
    </row>
    <row r="493" spans="1:9" hidden="1" x14ac:dyDescent="0.25">
      <c r="A493" s="247"/>
      <c r="B493" s="32" t="s">
        <v>706</v>
      </c>
      <c r="C493" s="32" t="s">
        <v>705</v>
      </c>
      <c r="D493" s="33">
        <v>31.5459</v>
      </c>
      <c r="E493" s="27">
        <v>18.420500000000001</v>
      </c>
      <c r="F493" s="30">
        <f t="shared" si="15"/>
        <v>581.09125095000002</v>
      </c>
      <c r="G493" s="41"/>
      <c r="H493" s="42"/>
      <c r="I493" s="142">
        <v>0</v>
      </c>
    </row>
    <row r="494" spans="1:9" ht="25.5" hidden="1" x14ac:dyDescent="0.25">
      <c r="A494" s="247"/>
      <c r="B494" s="32" t="s">
        <v>1157</v>
      </c>
      <c r="C494" s="32" t="s">
        <v>945</v>
      </c>
      <c r="D494" s="33">
        <v>6.6349999999999998</v>
      </c>
      <c r="E494" s="27">
        <v>1.1779999999999999</v>
      </c>
      <c r="F494" s="30">
        <f t="shared" si="15"/>
        <v>7.8160299999999996</v>
      </c>
      <c r="G494" s="41"/>
      <c r="H494" s="42"/>
      <c r="I494" s="142">
        <v>0</v>
      </c>
    </row>
    <row r="495" spans="1:9" ht="25.5" hidden="1" x14ac:dyDescent="0.25">
      <c r="A495" s="247"/>
      <c r="B495" s="32" t="s">
        <v>1158</v>
      </c>
      <c r="C495" s="32" t="s">
        <v>947</v>
      </c>
      <c r="D495" s="33">
        <v>18.246200000000002</v>
      </c>
      <c r="E495" s="27">
        <v>0.53200000000000003</v>
      </c>
      <c r="F495" s="30">
        <f t="shared" si="15"/>
        <v>9.7069784000000006</v>
      </c>
      <c r="G495" s="41"/>
      <c r="H495" s="42"/>
      <c r="I495" s="142">
        <v>0</v>
      </c>
    </row>
    <row r="496" spans="1:9" ht="25.5" hidden="1" x14ac:dyDescent="0.25">
      <c r="A496" s="247"/>
      <c r="B496" s="32" t="s">
        <v>1159</v>
      </c>
      <c r="C496" s="32" t="s">
        <v>945</v>
      </c>
      <c r="D496" s="33">
        <v>0.48770000000000002</v>
      </c>
      <c r="E496" s="27">
        <v>20.225499999999997</v>
      </c>
      <c r="F496" s="30">
        <f t="shared" si="15"/>
        <v>9.8639763499999997</v>
      </c>
      <c r="G496" s="41"/>
      <c r="H496" s="42"/>
      <c r="I496" s="142">
        <v>0</v>
      </c>
    </row>
    <row r="497" spans="1:9" ht="25.5" hidden="1" x14ac:dyDescent="0.25">
      <c r="A497" s="247"/>
      <c r="B497" s="32" t="s">
        <v>1160</v>
      </c>
      <c r="C497" s="32" t="s">
        <v>947</v>
      </c>
      <c r="D497" s="33">
        <v>0.70430000000000004</v>
      </c>
      <c r="E497" s="27">
        <v>19.446499999999997</v>
      </c>
      <c r="F497" s="30">
        <f t="shared" si="15"/>
        <v>13.696169949999998</v>
      </c>
      <c r="G497" s="41"/>
      <c r="H497" s="42"/>
      <c r="I497" s="142">
        <v>0</v>
      </c>
    </row>
    <row r="498" spans="1:9" ht="38.25" hidden="1" x14ac:dyDescent="0.25">
      <c r="A498" s="247"/>
      <c r="B498" s="32" t="s">
        <v>1161</v>
      </c>
      <c r="C498" s="32" t="s">
        <v>901</v>
      </c>
      <c r="D498" s="33">
        <v>27.898800000000001</v>
      </c>
      <c r="E498" s="27">
        <v>19.262675000000002</v>
      </c>
      <c r="F498" s="30">
        <f t="shared" si="15"/>
        <v>537.40551729000003</v>
      </c>
      <c r="G498" s="41"/>
      <c r="H498" s="42"/>
      <c r="I498" s="142">
        <v>0</v>
      </c>
    </row>
    <row r="499" spans="1:9" ht="25.5" hidden="1" x14ac:dyDescent="0.25">
      <c r="A499" s="247"/>
      <c r="B499" s="32" t="s">
        <v>3218</v>
      </c>
      <c r="C499" s="43" t="s">
        <v>120</v>
      </c>
      <c r="D499" s="33">
        <v>1.2</v>
      </c>
      <c r="E499" s="27">
        <v>583.45901044045002</v>
      </c>
      <c r="F499" s="30">
        <f t="shared" si="15"/>
        <v>700.15081252853997</v>
      </c>
      <c r="G499" s="41"/>
      <c r="H499" s="42"/>
      <c r="I499" s="142">
        <v>0</v>
      </c>
    </row>
    <row r="500" spans="1:9" hidden="1" x14ac:dyDescent="0.25">
      <c r="A500" s="247"/>
      <c r="B500" s="47"/>
      <c r="C500" s="119"/>
      <c r="D500" s="33"/>
      <c r="E500" s="27" t="s">
        <v>523</v>
      </c>
      <c r="F500" s="30" t="str">
        <f t="shared" ref="F500:F507" si="16">IF(ISNUMBER(E500),ROUND(E500*$D500,2),"")</f>
        <v/>
      </c>
      <c r="G500" s="41"/>
      <c r="H500" s="42"/>
      <c r="I500" s="142">
        <v>0</v>
      </c>
    </row>
    <row r="501" spans="1:9" ht="24.95" hidden="1" customHeight="1" x14ac:dyDescent="0.25">
      <c r="A501" s="247"/>
      <c r="B501" s="44" t="s">
        <v>757</v>
      </c>
      <c r="C501" s="119"/>
      <c r="D501" s="33"/>
      <c r="E501" s="27" t="s">
        <v>523</v>
      </c>
      <c r="F501" s="30" t="str">
        <f t="shared" si="16"/>
        <v/>
      </c>
      <c r="G501" s="41"/>
      <c r="H501" s="42"/>
      <c r="I501" s="142">
        <v>0</v>
      </c>
    </row>
    <row r="502" spans="1:9" ht="15.75" hidden="1" thickBot="1" x14ac:dyDescent="0.3">
      <c r="A502" s="253"/>
      <c r="B502" s="95"/>
      <c r="C502" s="76"/>
      <c r="D502" s="87"/>
      <c r="E502" s="63" t="s">
        <v>523</v>
      </c>
      <c r="F502" s="63" t="str">
        <f t="shared" si="16"/>
        <v/>
      </c>
      <c r="G502" s="65"/>
      <c r="H502" s="27"/>
      <c r="I502" s="142">
        <v>0</v>
      </c>
    </row>
    <row r="503" spans="1:9" ht="26.25" hidden="1" customHeight="1" x14ac:dyDescent="0.25">
      <c r="A503" s="252" t="s">
        <v>3697</v>
      </c>
      <c r="B503" s="37" t="s">
        <v>523</v>
      </c>
      <c r="C503" s="74" t="s">
        <v>120</v>
      </c>
      <c r="D503" s="85"/>
      <c r="E503" s="38" t="s">
        <v>523</v>
      </c>
      <c r="F503" s="38" t="str">
        <f t="shared" si="16"/>
        <v/>
      </c>
      <c r="G503" s="25"/>
      <c r="H503" s="26"/>
      <c r="I503" s="142">
        <v>0</v>
      </c>
    </row>
    <row r="504" spans="1:9" hidden="1" x14ac:dyDescent="0.25">
      <c r="A504" s="247"/>
      <c r="B504" s="28" t="s">
        <v>523</v>
      </c>
      <c r="C504" s="75"/>
      <c r="D504" s="83"/>
      <c r="E504" s="89" t="s">
        <v>523</v>
      </c>
      <c r="F504" s="90" t="str">
        <f t="shared" si="16"/>
        <v/>
      </c>
      <c r="G504" s="31"/>
      <c r="H504" s="27"/>
      <c r="I504" s="142">
        <v>0</v>
      </c>
    </row>
    <row r="505" spans="1:9" ht="25.5" hidden="1" x14ac:dyDescent="0.25">
      <c r="A505" s="247"/>
      <c r="B505" s="32" t="s">
        <v>759</v>
      </c>
      <c r="C505" s="46" t="s">
        <v>120</v>
      </c>
      <c r="D505" s="33">
        <v>1.1000000000000001</v>
      </c>
      <c r="E505" s="30">
        <v>169.76499999999999</v>
      </c>
      <c r="F505" s="30">
        <f t="shared" si="16"/>
        <v>186.74</v>
      </c>
      <c r="G505" s="41">
        <f>SUM(F505:F513)</f>
        <v>387.34247235000009</v>
      </c>
      <c r="H505" s="42"/>
      <c r="I505" s="142">
        <v>0</v>
      </c>
    </row>
    <row r="506" spans="1:9" hidden="1" x14ac:dyDescent="0.25">
      <c r="A506" s="247"/>
      <c r="B506" s="32" t="s">
        <v>713</v>
      </c>
      <c r="C506" s="46" t="s">
        <v>705</v>
      </c>
      <c r="D506" s="33">
        <v>2.4937999999999998</v>
      </c>
      <c r="E506" s="27">
        <v>24.889999999999997</v>
      </c>
      <c r="F506" s="30">
        <f t="shared" si="16"/>
        <v>62.07</v>
      </c>
      <c r="G506" s="41"/>
      <c r="H506" s="42"/>
      <c r="I506" s="142">
        <v>0</v>
      </c>
    </row>
    <row r="507" spans="1:9" hidden="1" x14ac:dyDescent="0.25">
      <c r="A507" s="247"/>
      <c r="B507" s="32" t="s">
        <v>706</v>
      </c>
      <c r="C507" s="46" t="s">
        <v>705</v>
      </c>
      <c r="D507" s="33">
        <v>3.7406999999999999</v>
      </c>
      <c r="E507" s="27">
        <v>18.420500000000001</v>
      </c>
      <c r="F507" s="30">
        <f t="shared" si="16"/>
        <v>68.91</v>
      </c>
      <c r="G507" s="41"/>
      <c r="H507" s="42"/>
      <c r="I507" s="142">
        <v>0</v>
      </c>
    </row>
    <row r="508" spans="1:9" ht="38.25" hidden="1" x14ac:dyDescent="0.25">
      <c r="A508" s="247"/>
      <c r="B508" s="32" t="s">
        <v>944</v>
      </c>
      <c r="C508" s="32" t="s">
        <v>945</v>
      </c>
      <c r="D508" s="33">
        <v>7.1800000000000003E-2</v>
      </c>
      <c r="E508" s="27">
        <v>28.404999999999998</v>
      </c>
      <c r="F508" s="30">
        <f>IF(ISNUMBER(E508),E508*$D508,"")</f>
        <v>2.039479</v>
      </c>
      <c r="G508" s="41"/>
      <c r="H508" s="42"/>
      <c r="I508" s="142">
        <v>0</v>
      </c>
    </row>
    <row r="509" spans="1:9" ht="38.25" hidden="1" x14ac:dyDescent="0.25">
      <c r="A509" s="247"/>
      <c r="B509" s="32" t="s">
        <v>946</v>
      </c>
      <c r="C509" s="43" t="s">
        <v>947</v>
      </c>
      <c r="D509" s="33">
        <v>6.6600000000000006E-2</v>
      </c>
      <c r="E509" s="27">
        <v>20.1875</v>
      </c>
      <c r="F509" s="30">
        <f>IF(ISNUMBER(E509),E509*$D509,"")</f>
        <v>1.3444875000000001</v>
      </c>
      <c r="G509" s="41"/>
      <c r="H509" s="42"/>
      <c r="I509" s="142">
        <v>0</v>
      </c>
    </row>
    <row r="510" spans="1:9" ht="51" hidden="1" x14ac:dyDescent="0.25">
      <c r="A510" s="247"/>
      <c r="B510" s="32" t="s">
        <v>3532</v>
      </c>
      <c r="C510" s="32" t="s">
        <v>120</v>
      </c>
      <c r="D510" s="33">
        <f>ROUND(1*(D505),4)</f>
        <v>1.1000000000000001</v>
      </c>
      <c r="E510" s="27">
        <v>7.8726404999999993</v>
      </c>
      <c r="F510" s="30">
        <f>IF(ISNUMBER(E510),E510*$D510,"")</f>
        <v>8.6599045500000003</v>
      </c>
      <c r="G510" s="41"/>
      <c r="H510" s="42"/>
      <c r="I510" s="142">
        <v>0</v>
      </c>
    </row>
    <row r="511" spans="1:9" ht="38.25" hidden="1" x14ac:dyDescent="0.25">
      <c r="A511" s="247"/>
      <c r="B511" s="32" t="s">
        <v>3529</v>
      </c>
      <c r="C511" s="43" t="s">
        <v>122</v>
      </c>
      <c r="D511" s="33">
        <f>ROUND(D505*20,4)</f>
        <v>22</v>
      </c>
      <c r="E511" s="27">
        <v>2.6172091499999994</v>
      </c>
      <c r="F511" s="30">
        <f>IF(ISNUMBER(E511),E511*$D511,"")</f>
        <v>57.578601299999988</v>
      </c>
      <c r="G511" s="41"/>
      <c r="H511" s="42"/>
      <c r="I511" s="142">
        <v>0</v>
      </c>
    </row>
    <row r="512" spans="1:9" hidden="1" x14ac:dyDescent="0.25">
      <c r="A512" s="247"/>
      <c r="B512" s="47"/>
      <c r="C512" s="119"/>
      <c r="D512" s="33"/>
      <c r="E512" s="27" t="s">
        <v>523</v>
      </c>
      <c r="F512" s="30" t="str">
        <f t="shared" ref="F512:F520" si="17">IF(ISNUMBER(E512),ROUND(E512*$D512,2),"")</f>
        <v/>
      </c>
      <c r="G512" s="41"/>
      <c r="H512" s="42"/>
      <c r="I512" s="142">
        <v>0</v>
      </c>
    </row>
    <row r="513" spans="1:9" ht="24.95" hidden="1" customHeight="1" x14ac:dyDescent="0.25">
      <c r="A513" s="247"/>
      <c r="B513" s="44" t="s">
        <v>757</v>
      </c>
      <c r="C513" s="119"/>
      <c r="D513" s="33"/>
      <c r="E513" s="27" t="s">
        <v>523</v>
      </c>
      <c r="F513" s="30" t="str">
        <f t="shared" si="17"/>
        <v/>
      </c>
      <c r="G513" s="41"/>
      <c r="H513" s="42"/>
      <c r="I513" s="142">
        <v>0</v>
      </c>
    </row>
    <row r="514" spans="1:9" ht="15.75" hidden="1" thickBot="1" x14ac:dyDescent="0.3">
      <c r="A514" s="253"/>
      <c r="B514" s="95"/>
      <c r="C514" s="76"/>
      <c r="D514" s="87"/>
      <c r="E514" s="63" t="s">
        <v>523</v>
      </c>
      <c r="F514" s="63" t="str">
        <f t="shared" si="17"/>
        <v/>
      </c>
      <c r="G514" s="65"/>
      <c r="H514" s="27"/>
      <c r="I514" s="142">
        <v>0</v>
      </c>
    </row>
    <row r="515" spans="1:9" ht="26.25" hidden="1" customHeight="1" x14ac:dyDescent="0.25">
      <c r="A515" s="252" t="s">
        <v>6621</v>
      </c>
      <c r="B515" s="37" t="s">
        <v>523</v>
      </c>
      <c r="C515" s="74" t="s">
        <v>120</v>
      </c>
      <c r="D515" s="85"/>
      <c r="E515" s="38" t="s">
        <v>523</v>
      </c>
      <c r="F515" s="38" t="str">
        <f t="shared" si="17"/>
        <v/>
      </c>
      <c r="G515" s="25"/>
      <c r="H515" s="26"/>
      <c r="I515" s="142">
        <v>0</v>
      </c>
    </row>
    <row r="516" spans="1:9" hidden="1" x14ac:dyDescent="0.25">
      <c r="A516" s="247"/>
      <c r="B516" s="28" t="s">
        <v>523</v>
      </c>
      <c r="C516" s="75"/>
      <c r="D516" s="83"/>
      <c r="E516" s="89" t="s">
        <v>523</v>
      </c>
      <c r="F516" s="90" t="str">
        <f t="shared" si="17"/>
        <v/>
      </c>
      <c r="G516" s="31"/>
      <c r="H516" s="27"/>
      <c r="I516" s="142">
        <v>0</v>
      </c>
    </row>
    <row r="517" spans="1:9" ht="25.5" hidden="1" x14ac:dyDescent="0.25">
      <c r="A517" s="247"/>
      <c r="B517" s="32" t="s">
        <v>754</v>
      </c>
      <c r="C517" s="46" t="s">
        <v>120</v>
      </c>
      <c r="D517" s="33">
        <v>0.85299999999999998</v>
      </c>
      <c r="E517" s="30">
        <v>160.53099999999998</v>
      </c>
      <c r="F517" s="30">
        <f t="shared" si="17"/>
        <v>136.93</v>
      </c>
      <c r="G517" s="41">
        <f>SUM(F517:F524)</f>
        <v>569.27041575735007</v>
      </c>
      <c r="H517" s="42"/>
      <c r="I517" s="142">
        <v>0</v>
      </c>
    </row>
    <row r="518" spans="1:9" hidden="1" x14ac:dyDescent="0.25">
      <c r="A518" s="247"/>
      <c r="B518" s="32" t="s">
        <v>750</v>
      </c>
      <c r="C518" s="46" t="s">
        <v>901</v>
      </c>
      <c r="D518" s="33">
        <v>218.93</v>
      </c>
      <c r="E518" s="30">
        <v>0.64600000000000002</v>
      </c>
      <c r="F518" s="30">
        <f t="shared" si="17"/>
        <v>141.43</v>
      </c>
      <c r="G518" s="41"/>
      <c r="H518" s="42"/>
      <c r="I518" s="142">
        <v>0</v>
      </c>
    </row>
    <row r="519" spans="1:9" ht="25.5" hidden="1" x14ac:dyDescent="0.25">
      <c r="A519" s="247"/>
      <c r="B519" s="32" t="s">
        <v>762</v>
      </c>
      <c r="C519" s="46" t="s">
        <v>120</v>
      </c>
      <c r="D519" s="33">
        <v>0.59709999999999996</v>
      </c>
      <c r="E519" s="27">
        <v>147.041</v>
      </c>
      <c r="F519" s="30">
        <f t="shared" si="17"/>
        <v>87.8</v>
      </c>
      <c r="G519" s="41"/>
      <c r="H519" s="42"/>
      <c r="I519" s="142">
        <v>0</v>
      </c>
    </row>
    <row r="520" spans="1:9" hidden="1" x14ac:dyDescent="0.25">
      <c r="A520" s="247"/>
      <c r="B520" s="32" t="s">
        <v>706</v>
      </c>
      <c r="C520" s="46" t="s">
        <v>705</v>
      </c>
      <c r="D520" s="33">
        <v>6.2858000000000001</v>
      </c>
      <c r="E520" s="27">
        <v>18.420500000000001</v>
      </c>
      <c r="F520" s="30">
        <f t="shared" si="17"/>
        <v>115.79</v>
      </c>
      <c r="G520" s="41"/>
      <c r="H520" s="42"/>
      <c r="I520" s="142">
        <v>0</v>
      </c>
    </row>
    <row r="521" spans="1:9" ht="51" hidden="1" x14ac:dyDescent="0.25">
      <c r="A521" s="247"/>
      <c r="B521" s="32" t="s">
        <v>3532</v>
      </c>
      <c r="C521" s="32" t="s">
        <v>120</v>
      </c>
      <c r="D521" s="33">
        <f>ROUND(1*(D517+D519),4)</f>
        <v>1.4500999999999999</v>
      </c>
      <c r="E521" s="27">
        <v>7.8726404999999993</v>
      </c>
      <c r="F521" s="30">
        <f>IF(ISNUMBER(E521),E521*$D521,"")</f>
        <v>11.416115989049999</v>
      </c>
      <c r="G521" s="41"/>
      <c r="H521" s="42"/>
      <c r="I521" s="142">
        <v>0</v>
      </c>
    </row>
    <row r="522" spans="1:9" ht="38.25" hidden="1" x14ac:dyDescent="0.25">
      <c r="A522" s="247"/>
      <c r="B522" s="32" t="s">
        <v>3529</v>
      </c>
      <c r="C522" s="43" t="s">
        <v>122</v>
      </c>
      <c r="D522" s="33">
        <f>ROUND((D517+D519)*20,4)</f>
        <v>29.001999999999999</v>
      </c>
      <c r="E522" s="27">
        <v>2.6172091499999994</v>
      </c>
      <c r="F522" s="30">
        <f>IF(ISNUMBER(E522),E522*$D522,"")</f>
        <v>75.904299768299978</v>
      </c>
      <c r="G522" s="41"/>
      <c r="H522" s="42"/>
      <c r="I522" s="142">
        <v>0</v>
      </c>
    </row>
    <row r="523" spans="1:9" hidden="1" x14ac:dyDescent="0.25">
      <c r="A523" s="247"/>
      <c r="B523" s="47"/>
      <c r="C523" s="119"/>
      <c r="D523" s="33"/>
      <c r="E523" s="27" t="s">
        <v>523</v>
      </c>
      <c r="F523" s="30" t="str">
        <f t="shared" ref="F523:F555" si="18">IF(ISNUMBER(E523),ROUND(E523*$D523,2),"")</f>
        <v/>
      </c>
      <c r="G523" s="41"/>
      <c r="H523" s="42"/>
      <c r="I523" s="142">
        <v>0</v>
      </c>
    </row>
    <row r="524" spans="1:9" ht="24.95" hidden="1" customHeight="1" x14ac:dyDescent="0.25">
      <c r="A524" s="247"/>
      <c r="B524" s="44" t="s">
        <v>123</v>
      </c>
      <c r="C524" s="119"/>
      <c r="D524" s="33"/>
      <c r="E524" s="27" t="s">
        <v>523</v>
      </c>
      <c r="F524" s="30" t="str">
        <f t="shared" si="18"/>
        <v/>
      </c>
      <c r="G524" s="41"/>
      <c r="H524" s="42"/>
      <c r="I524" s="142">
        <v>0</v>
      </c>
    </row>
    <row r="525" spans="1:9" ht="15.75" hidden="1" thickBot="1" x14ac:dyDescent="0.3">
      <c r="A525" s="253"/>
      <c r="B525" s="95"/>
      <c r="C525" s="76"/>
      <c r="D525" s="87"/>
      <c r="E525" s="63" t="s">
        <v>523</v>
      </c>
      <c r="F525" s="63" t="str">
        <f t="shared" si="18"/>
        <v/>
      </c>
      <c r="G525" s="65"/>
      <c r="H525" s="27"/>
      <c r="I525" s="142">
        <v>0</v>
      </c>
    </row>
    <row r="526" spans="1:9" ht="26.25" hidden="1" customHeight="1" x14ac:dyDescent="0.25">
      <c r="A526" s="252" t="s">
        <v>3238</v>
      </c>
      <c r="B526" s="37" t="s">
        <v>523</v>
      </c>
      <c r="C526" s="74" t="s">
        <v>280</v>
      </c>
      <c r="D526" s="85"/>
      <c r="E526" s="38" t="s">
        <v>523</v>
      </c>
      <c r="F526" s="38" t="str">
        <f t="shared" si="18"/>
        <v/>
      </c>
      <c r="G526" s="25"/>
      <c r="H526" s="26"/>
      <c r="I526" s="142">
        <v>0</v>
      </c>
    </row>
    <row r="527" spans="1:9" hidden="1" x14ac:dyDescent="0.25">
      <c r="A527" s="247"/>
      <c r="B527" s="28" t="s">
        <v>523</v>
      </c>
      <c r="C527" s="75"/>
      <c r="D527" s="83"/>
      <c r="E527" s="89" t="s">
        <v>523</v>
      </c>
      <c r="F527" s="90" t="str">
        <f t="shared" si="18"/>
        <v/>
      </c>
      <c r="G527" s="31"/>
      <c r="H527" s="27"/>
      <c r="I527" s="142">
        <v>0</v>
      </c>
    </row>
    <row r="528" spans="1:9" hidden="1" x14ac:dyDescent="0.25">
      <c r="A528" s="247"/>
      <c r="B528" s="32" t="s">
        <v>1371</v>
      </c>
      <c r="C528" s="46" t="s">
        <v>901</v>
      </c>
      <c r="D528" s="33">
        <v>3.3999999999999998E-3</v>
      </c>
      <c r="E528" s="30">
        <v>22.077999999999996</v>
      </c>
      <c r="F528" s="30">
        <f t="shared" si="18"/>
        <v>0.08</v>
      </c>
      <c r="G528" s="41">
        <f>SUM(F528:F530)</f>
        <v>2.2999999999999998</v>
      </c>
      <c r="H528" s="42"/>
      <c r="I528" s="142">
        <v>0</v>
      </c>
    </row>
    <row r="529" spans="1:9" hidden="1" x14ac:dyDescent="0.25">
      <c r="A529" s="247"/>
      <c r="B529" s="32" t="s">
        <v>788</v>
      </c>
      <c r="C529" s="46" t="s">
        <v>705</v>
      </c>
      <c r="D529" s="33">
        <v>3.2300000000000002E-2</v>
      </c>
      <c r="E529" s="30">
        <v>19.494</v>
      </c>
      <c r="F529" s="30">
        <f t="shared" si="18"/>
        <v>0.63</v>
      </c>
      <c r="G529" s="41"/>
      <c r="H529" s="42"/>
      <c r="I529" s="142">
        <v>0</v>
      </c>
    </row>
    <row r="530" spans="1:9" hidden="1" x14ac:dyDescent="0.25">
      <c r="A530" s="247"/>
      <c r="B530" s="32" t="s">
        <v>996</v>
      </c>
      <c r="C530" s="46" t="s">
        <v>705</v>
      </c>
      <c r="D530" s="33">
        <v>6.4500000000000002E-2</v>
      </c>
      <c r="E530" s="27">
        <v>24.633499999999998</v>
      </c>
      <c r="F530" s="30">
        <f t="shared" si="18"/>
        <v>1.59</v>
      </c>
      <c r="G530" s="41"/>
      <c r="H530" s="42"/>
      <c r="I530" s="142">
        <v>0</v>
      </c>
    </row>
    <row r="531" spans="1:9" ht="15.75" hidden="1" thickBot="1" x14ac:dyDescent="0.3">
      <c r="A531" s="253"/>
      <c r="B531" s="95"/>
      <c r="C531" s="76"/>
      <c r="D531" s="87"/>
      <c r="E531" s="63" t="s">
        <v>523</v>
      </c>
      <c r="F531" s="63" t="str">
        <f t="shared" si="18"/>
        <v/>
      </c>
      <c r="G531" s="65"/>
      <c r="H531" s="27"/>
      <c r="I531" s="142">
        <v>0</v>
      </c>
    </row>
    <row r="532" spans="1:9" ht="26.25" hidden="1" customHeight="1" x14ac:dyDescent="0.25">
      <c r="A532" s="252" t="s">
        <v>6711</v>
      </c>
      <c r="B532" s="37" t="s">
        <v>523</v>
      </c>
      <c r="C532" s="74" t="s">
        <v>120</v>
      </c>
      <c r="D532" s="85"/>
      <c r="E532" s="38" t="s">
        <v>523</v>
      </c>
      <c r="F532" s="38" t="str">
        <f t="shared" si="18"/>
        <v/>
      </c>
      <c r="G532" s="25"/>
      <c r="H532" s="26"/>
      <c r="I532" s="142">
        <v>0</v>
      </c>
    </row>
    <row r="533" spans="1:9" hidden="1" x14ac:dyDescent="0.25">
      <c r="A533" s="247"/>
      <c r="B533" s="28" t="s">
        <v>523</v>
      </c>
      <c r="C533" s="75"/>
      <c r="D533" s="83"/>
      <c r="E533" s="89" t="s">
        <v>523</v>
      </c>
      <c r="F533" s="90" t="str">
        <f t="shared" si="18"/>
        <v/>
      </c>
      <c r="G533" s="31"/>
      <c r="H533" s="27"/>
      <c r="I533" s="142">
        <v>0</v>
      </c>
    </row>
    <row r="534" spans="1:9" hidden="1" x14ac:dyDescent="0.25">
      <c r="A534" s="247"/>
      <c r="B534" s="32" t="s">
        <v>713</v>
      </c>
      <c r="C534" s="46" t="s">
        <v>705</v>
      </c>
      <c r="D534" s="33">
        <v>8.2972999999999999</v>
      </c>
      <c r="E534" s="30">
        <v>24.889999999999997</v>
      </c>
      <c r="F534" s="30">
        <f t="shared" si="18"/>
        <v>206.52</v>
      </c>
      <c r="G534" s="41">
        <f>SUM(F534:F536)</f>
        <v>1080.03</v>
      </c>
      <c r="H534" s="42"/>
      <c r="I534" s="142">
        <v>0</v>
      </c>
    </row>
    <row r="535" spans="1:9" hidden="1" x14ac:dyDescent="0.25">
      <c r="A535" s="247"/>
      <c r="B535" s="32" t="s">
        <v>706</v>
      </c>
      <c r="C535" s="46" t="s">
        <v>705</v>
      </c>
      <c r="D535" s="33">
        <v>5.5315000000000003</v>
      </c>
      <c r="E535" s="30">
        <v>18.420500000000001</v>
      </c>
      <c r="F535" s="30">
        <f t="shared" si="18"/>
        <v>101.89</v>
      </c>
      <c r="G535" s="41"/>
      <c r="H535" s="42"/>
      <c r="I535" s="142">
        <v>0</v>
      </c>
    </row>
    <row r="536" spans="1:9" ht="38.25" hidden="1" x14ac:dyDescent="0.25">
      <c r="A536" s="247"/>
      <c r="B536" s="32" t="s">
        <v>6713</v>
      </c>
      <c r="C536" s="46" t="s">
        <v>120</v>
      </c>
      <c r="D536" s="33">
        <v>1.2030000000000001</v>
      </c>
      <c r="E536" s="27">
        <v>641.41123855240005</v>
      </c>
      <c r="F536" s="30">
        <f t="shared" si="18"/>
        <v>771.62</v>
      </c>
      <c r="G536" s="41"/>
      <c r="H536" s="42"/>
      <c r="I536" s="142">
        <v>0</v>
      </c>
    </row>
    <row r="537" spans="1:9" ht="15.75" hidden="1" thickBot="1" x14ac:dyDescent="0.3">
      <c r="A537" s="253"/>
      <c r="B537" s="95"/>
      <c r="C537" s="76"/>
      <c r="D537" s="87"/>
      <c r="E537" s="63" t="s">
        <v>523</v>
      </c>
      <c r="F537" s="63" t="str">
        <f t="shared" si="18"/>
        <v/>
      </c>
      <c r="G537" s="65"/>
      <c r="H537" s="27"/>
      <c r="I537" s="142">
        <v>0</v>
      </c>
    </row>
    <row r="538" spans="1:9" ht="26.25" hidden="1" customHeight="1" x14ac:dyDescent="0.25">
      <c r="A538" s="252" t="s">
        <v>6712</v>
      </c>
      <c r="B538" s="37" t="s">
        <v>523</v>
      </c>
      <c r="C538" s="74" t="s">
        <v>120</v>
      </c>
      <c r="D538" s="85"/>
      <c r="E538" s="38" t="s">
        <v>523</v>
      </c>
      <c r="F538" s="38" t="str">
        <f t="shared" si="18"/>
        <v/>
      </c>
      <c r="G538" s="25"/>
      <c r="H538" s="26"/>
      <c r="I538" s="142">
        <v>0</v>
      </c>
    </row>
    <row r="539" spans="1:9" hidden="1" x14ac:dyDescent="0.25">
      <c r="A539" s="247"/>
      <c r="B539" s="28" t="s">
        <v>523</v>
      </c>
      <c r="C539" s="75"/>
      <c r="D539" s="83"/>
      <c r="E539" s="89" t="s">
        <v>523</v>
      </c>
      <c r="F539" s="90" t="str">
        <f t="shared" si="18"/>
        <v/>
      </c>
      <c r="G539" s="31"/>
      <c r="H539" s="27"/>
      <c r="I539" s="142">
        <v>0</v>
      </c>
    </row>
    <row r="540" spans="1:9" hidden="1" x14ac:dyDescent="0.25">
      <c r="A540" s="247"/>
      <c r="B540" s="32" t="s">
        <v>713</v>
      </c>
      <c r="C540" s="46" t="s">
        <v>705</v>
      </c>
      <c r="D540" s="33">
        <v>7.4147999999999996</v>
      </c>
      <c r="E540" s="30">
        <v>24.889999999999997</v>
      </c>
      <c r="F540" s="30">
        <f t="shared" si="18"/>
        <v>184.55</v>
      </c>
      <c r="G540" s="41">
        <f>SUM(F540:F542)</f>
        <v>1047.23</v>
      </c>
      <c r="H540" s="42"/>
      <c r="I540" s="142">
        <v>0</v>
      </c>
    </row>
    <row r="541" spans="1:9" hidden="1" x14ac:dyDescent="0.25">
      <c r="A541" s="247"/>
      <c r="B541" s="32" t="s">
        <v>706</v>
      </c>
      <c r="C541" s="46" t="s">
        <v>705</v>
      </c>
      <c r="D541" s="33">
        <v>4.9432</v>
      </c>
      <c r="E541" s="30">
        <v>18.420500000000001</v>
      </c>
      <c r="F541" s="30">
        <f t="shared" si="18"/>
        <v>91.06</v>
      </c>
      <c r="G541" s="41"/>
      <c r="H541" s="42"/>
      <c r="I541" s="142">
        <v>0</v>
      </c>
    </row>
    <row r="542" spans="1:9" ht="38.25" hidden="1" x14ac:dyDescent="0.25">
      <c r="A542" s="247"/>
      <c r="B542" s="32" t="s">
        <v>6713</v>
      </c>
      <c r="C542" s="46" t="s">
        <v>120</v>
      </c>
      <c r="D542" s="33">
        <v>1.2030000000000001</v>
      </c>
      <c r="E542" s="27">
        <v>641.41123855240005</v>
      </c>
      <c r="F542" s="30">
        <f t="shared" si="18"/>
        <v>771.62</v>
      </c>
      <c r="G542" s="41"/>
      <c r="H542" s="42"/>
      <c r="I542" s="142">
        <v>0</v>
      </c>
    </row>
    <row r="543" spans="1:9" ht="15.75" hidden="1" thickBot="1" x14ac:dyDescent="0.3">
      <c r="A543" s="253"/>
      <c r="B543" s="95"/>
      <c r="C543" s="76"/>
      <c r="D543" s="87"/>
      <c r="E543" s="63" t="s">
        <v>523</v>
      </c>
      <c r="F543" s="63" t="str">
        <f t="shared" si="18"/>
        <v/>
      </c>
      <c r="G543" s="65"/>
      <c r="H543" s="27"/>
      <c r="I543" s="142">
        <v>0</v>
      </c>
    </row>
    <row r="544" spans="1:9" ht="26.25" hidden="1" customHeight="1" x14ac:dyDescent="0.25">
      <c r="A544" s="252" t="s">
        <v>6708</v>
      </c>
      <c r="B544" s="37" t="s">
        <v>523</v>
      </c>
      <c r="C544" s="74" t="s">
        <v>901</v>
      </c>
      <c r="D544" s="85"/>
      <c r="E544" s="38" t="s">
        <v>523</v>
      </c>
      <c r="F544" s="38" t="str">
        <f t="shared" si="18"/>
        <v/>
      </c>
      <c r="G544" s="25"/>
      <c r="H544" s="26"/>
      <c r="I544" s="142">
        <v>0</v>
      </c>
    </row>
    <row r="545" spans="1:9" hidden="1" x14ac:dyDescent="0.25">
      <c r="A545" s="247"/>
      <c r="B545" s="28" t="s">
        <v>523</v>
      </c>
      <c r="C545" s="75"/>
      <c r="D545" s="83"/>
      <c r="E545" s="89" t="s">
        <v>523</v>
      </c>
      <c r="F545" s="90" t="str">
        <f t="shared" si="18"/>
        <v/>
      </c>
      <c r="G545" s="31"/>
      <c r="H545" s="27"/>
      <c r="I545" s="142">
        <v>0</v>
      </c>
    </row>
    <row r="546" spans="1:9" hidden="1" x14ac:dyDescent="0.25">
      <c r="A546" s="247"/>
      <c r="B546" s="32" t="s">
        <v>773</v>
      </c>
      <c r="C546" s="46" t="s">
        <v>901</v>
      </c>
      <c r="D546" s="33">
        <v>1</v>
      </c>
      <c r="E546" s="30">
        <v>10.164999999999999</v>
      </c>
      <c r="F546" s="30">
        <f t="shared" si="18"/>
        <v>10.17</v>
      </c>
      <c r="G546" s="41">
        <f>SUM(F546:F548)</f>
        <v>12.55</v>
      </c>
      <c r="H546" s="42"/>
      <c r="I546" s="142">
        <v>0</v>
      </c>
    </row>
    <row r="547" spans="1:9" hidden="1" x14ac:dyDescent="0.25">
      <c r="A547" s="247"/>
      <c r="B547" s="32" t="s">
        <v>713</v>
      </c>
      <c r="C547" s="46" t="s">
        <v>705</v>
      </c>
      <c r="D547" s="33">
        <v>6.2700000000000006E-2</v>
      </c>
      <c r="E547" s="30">
        <v>24.889999999999997</v>
      </c>
      <c r="F547" s="30">
        <f t="shared" si="18"/>
        <v>1.56</v>
      </c>
      <c r="G547" s="41"/>
      <c r="H547" s="42"/>
      <c r="I547" s="142">
        <v>0</v>
      </c>
    </row>
    <row r="548" spans="1:9" hidden="1" x14ac:dyDescent="0.25">
      <c r="A548" s="247"/>
      <c r="B548" s="32" t="s">
        <v>706</v>
      </c>
      <c r="C548" s="46" t="s">
        <v>705</v>
      </c>
      <c r="D548" s="33">
        <v>4.4299999999999999E-2</v>
      </c>
      <c r="E548" s="27">
        <v>18.420500000000001</v>
      </c>
      <c r="F548" s="30">
        <f t="shared" si="18"/>
        <v>0.82</v>
      </c>
      <c r="G548" s="41"/>
      <c r="H548" s="42"/>
      <c r="I548" s="142">
        <v>0</v>
      </c>
    </row>
    <row r="549" spans="1:9" ht="15.75" hidden="1" thickBot="1" x14ac:dyDescent="0.3">
      <c r="A549" s="253"/>
      <c r="B549" s="95"/>
      <c r="C549" s="76"/>
      <c r="D549" s="87"/>
      <c r="E549" s="63" t="s">
        <v>523</v>
      </c>
      <c r="F549" s="63" t="str">
        <f t="shared" si="18"/>
        <v/>
      </c>
      <c r="G549" s="65"/>
      <c r="H549" s="27"/>
      <c r="I549" s="142">
        <v>0</v>
      </c>
    </row>
    <row r="550" spans="1:9" ht="26.25" hidden="1" customHeight="1" x14ac:dyDescent="0.25">
      <c r="A550" s="252" t="s">
        <v>6709</v>
      </c>
      <c r="B550" s="37" t="s">
        <v>523</v>
      </c>
      <c r="C550" s="74" t="s">
        <v>901</v>
      </c>
      <c r="D550" s="85"/>
      <c r="E550" s="38" t="s">
        <v>523</v>
      </c>
      <c r="F550" s="38" t="str">
        <f t="shared" si="18"/>
        <v/>
      </c>
      <c r="G550" s="25"/>
      <c r="H550" s="26"/>
      <c r="I550" s="142">
        <v>0</v>
      </c>
    </row>
    <row r="551" spans="1:9" hidden="1" x14ac:dyDescent="0.25">
      <c r="A551" s="247"/>
      <c r="B551" s="28" t="s">
        <v>523</v>
      </c>
      <c r="C551" s="75"/>
      <c r="D551" s="83"/>
      <c r="E551" s="89" t="s">
        <v>523</v>
      </c>
      <c r="F551" s="90" t="str">
        <f t="shared" si="18"/>
        <v/>
      </c>
      <c r="G551" s="31"/>
      <c r="H551" s="27"/>
      <c r="I551" s="142">
        <v>0</v>
      </c>
    </row>
    <row r="552" spans="1:9" hidden="1" x14ac:dyDescent="0.25">
      <c r="A552" s="247"/>
      <c r="B552" s="32" t="s">
        <v>773</v>
      </c>
      <c r="C552" s="46" t="s">
        <v>901</v>
      </c>
      <c r="D552" s="33">
        <v>1</v>
      </c>
      <c r="E552" s="30">
        <v>10.164999999999999</v>
      </c>
      <c r="F552" s="30">
        <f t="shared" si="18"/>
        <v>10.17</v>
      </c>
      <c r="G552" s="41">
        <f>SUM(F552:F554)</f>
        <v>12.030000000000001</v>
      </c>
      <c r="H552" s="42"/>
      <c r="I552" s="142">
        <v>0</v>
      </c>
    </row>
    <row r="553" spans="1:9" hidden="1" x14ac:dyDescent="0.25">
      <c r="A553" s="247"/>
      <c r="B553" s="32" t="s">
        <v>713</v>
      </c>
      <c r="C553" s="46" t="s">
        <v>705</v>
      </c>
      <c r="D553" s="33">
        <v>4.9200000000000001E-2</v>
      </c>
      <c r="E553" s="30">
        <v>24.889999999999997</v>
      </c>
      <c r="F553" s="30">
        <f t="shared" si="18"/>
        <v>1.22</v>
      </c>
      <c r="G553" s="41"/>
      <c r="H553" s="42"/>
      <c r="I553" s="142">
        <v>0</v>
      </c>
    </row>
    <row r="554" spans="1:9" hidden="1" x14ac:dyDescent="0.25">
      <c r="A554" s="247"/>
      <c r="B554" s="32" t="s">
        <v>706</v>
      </c>
      <c r="C554" s="46" t="s">
        <v>705</v>
      </c>
      <c r="D554" s="33">
        <v>3.4799999999999998E-2</v>
      </c>
      <c r="E554" s="27">
        <v>18.420500000000001</v>
      </c>
      <c r="F554" s="30">
        <f t="shared" si="18"/>
        <v>0.64</v>
      </c>
      <c r="G554" s="41"/>
      <c r="H554" s="42"/>
      <c r="I554" s="142">
        <v>0</v>
      </c>
    </row>
    <row r="555" spans="1:9" ht="15.75" hidden="1" thickBot="1" x14ac:dyDescent="0.3">
      <c r="A555" s="253"/>
      <c r="B555" s="95"/>
      <c r="C555" s="76"/>
      <c r="D555" s="87"/>
      <c r="E555" s="63" t="s">
        <v>523</v>
      </c>
      <c r="F555" s="63" t="str">
        <f t="shared" si="18"/>
        <v/>
      </c>
      <c r="G555" s="65"/>
      <c r="H555" s="27"/>
      <c r="I555" s="142">
        <v>0</v>
      </c>
    </row>
    <row r="556" spans="1:9" ht="27" hidden="1" customHeight="1" x14ac:dyDescent="0.25">
      <c r="A556" s="252" t="s">
        <v>3696</v>
      </c>
      <c r="B556" s="37" t="s">
        <v>523</v>
      </c>
      <c r="C556" s="22" t="s">
        <v>995</v>
      </c>
      <c r="D556" s="85"/>
      <c r="E556" s="24" t="s">
        <v>523</v>
      </c>
      <c r="F556" s="24" t="str">
        <f t="shared" ref="F556:F562" si="19">IF(ISNUMBER(E556),E556*$D556,"")</f>
        <v/>
      </c>
      <c r="G556" s="25"/>
      <c r="H556" s="26"/>
      <c r="I556" s="142">
        <v>0</v>
      </c>
    </row>
    <row r="557" spans="1:9" hidden="1" x14ac:dyDescent="0.25">
      <c r="A557" s="247"/>
      <c r="B557" s="28" t="s">
        <v>523</v>
      </c>
      <c r="C557" s="28"/>
      <c r="D557" s="83"/>
      <c r="E557" s="27" t="s">
        <v>523</v>
      </c>
      <c r="F557" s="27" t="str">
        <f t="shared" si="19"/>
        <v/>
      </c>
      <c r="G557" s="31"/>
      <c r="H557" s="27"/>
      <c r="I557" s="142">
        <v>0</v>
      </c>
    </row>
    <row r="558" spans="1:9" hidden="1" x14ac:dyDescent="0.25">
      <c r="A558" s="247"/>
      <c r="B558" s="32" t="s">
        <v>713</v>
      </c>
      <c r="C558" s="32" t="s">
        <v>705</v>
      </c>
      <c r="D558" s="33">
        <v>5.0700000000000002E-2</v>
      </c>
      <c r="E558" s="27">
        <v>24.889999999999997</v>
      </c>
      <c r="F558" s="30">
        <f t="shared" si="19"/>
        <v>1.2619229999999999</v>
      </c>
      <c r="G558" s="41">
        <f>SUM(F558:F561)</f>
        <v>2.7396290000000003</v>
      </c>
      <c r="H558" s="42"/>
      <c r="I558" s="142">
        <v>0</v>
      </c>
    </row>
    <row r="559" spans="1:9" hidden="1" x14ac:dyDescent="0.25">
      <c r="A559" s="247"/>
      <c r="B559" s="32" t="s">
        <v>706</v>
      </c>
      <c r="C559" s="32" t="s">
        <v>705</v>
      </c>
      <c r="D559" s="33">
        <v>7.5999999999999998E-2</v>
      </c>
      <c r="E559" s="30">
        <v>18.420500000000001</v>
      </c>
      <c r="F559" s="30">
        <f t="shared" si="19"/>
        <v>1.399958</v>
      </c>
      <c r="G559" s="41"/>
      <c r="H559" s="42"/>
      <c r="I559" s="142">
        <v>0</v>
      </c>
    </row>
    <row r="560" spans="1:9" ht="38.25" hidden="1" x14ac:dyDescent="0.25">
      <c r="A560" s="247"/>
      <c r="B560" s="32" t="s">
        <v>944</v>
      </c>
      <c r="C560" s="32" t="s">
        <v>945</v>
      </c>
      <c r="D560" s="33">
        <v>1.6000000000000001E-3</v>
      </c>
      <c r="E560" s="27">
        <v>28.404999999999998</v>
      </c>
      <c r="F560" s="30">
        <f t="shared" si="19"/>
        <v>4.5447999999999995E-2</v>
      </c>
      <c r="G560" s="41"/>
      <c r="H560" s="42"/>
      <c r="I560" s="142">
        <v>0</v>
      </c>
    </row>
    <row r="561" spans="1:9" ht="38.25" hidden="1" x14ac:dyDescent="0.25">
      <c r="A561" s="247"/>
      <c r="B561" s="32" t="s">
        <v>946</v>
      </c>
      <c r="C561" s="32" t="s">
        <v>947</v>
      </c>
      <c r="D561" s="33">
        <v>1.6000000000000001E-3</v>
      </c>
      <c r="E561" s="27">
        <v>20.1875</v>
      </c>
      <c r="F561" s="30">
        <f t="shared" si="19"/>
        <v>3.2300000000000002E-2</v>
      </c>
      <c r="G561" s="41"/>
      <c r="H561" s="42"/>
      <c r="I561" s="142">
        <v>0</v>
      </c>
    </row>
    <row r="562" spans="1:9" ht="15.75" hidden="1" thickBot="1" x14ac:dyDescent="0.3">
      <c r="A562" s="253"/>
      <c r="B562" s="51" t="s">
        <v>523</v>
      </c>
      <c r="C562" s="51"/>
      <c r="D562" s="87"/>
      <c r="E562" s="63" t="s">
        <v>523</v>
      </c>
      <c r="F562" s="64" t="str">
        <f t="shared" si="19"/>
        <v/>
      </c>
      <c r="G562" s="65"/>
      <c r="H562" s="27"/>
      <c r="I562" s="142">
        <v>0</v>
      </c>
    </row>
    <row r="563" spans="1:9" ht="26.25" hidden="1" customHeight="1" x14ac:dyDescent="0.25">
      <c r="A563" s="252" t="s">
        <v>3232</v>
      </c>
      <c r="B563" s="37" t="s">
        <v>523</v>
      </c>
      <c r="C563" s="74" t="s">
        <v>120</v>
      </c>
      <c r="D563" s="85"/>
      <c r="E563" s="38" t="s">
        <v>523</v>
      </c>
      <c r="F563" s="38" t="str">
        <f>IF(ISNUMBER(E563),ROUND(E563*$D563,2),"")</f>
        <v/>
      </c>
      <c r="G563" s="25"/>
      <c r="H563" s="26"/>
      <c r="I563" s="142">
        <v>0</v>
      </c>
    </row>
    <row r="564" spans="1:9" hidden="1" x14ac:dyDescent="0.25">
      <c r="A564" s="247"/>
      <c r="B564" s="28" t="s">
        <v>523</v>
      </c>
      <c r="C564" s="75"/>
      <c r="D564" s="83"/>
      <c r="E564" s="89" t="s">
        <v>523</v>
      </c>
      <c r="F564" s="90" t="str">
        <f>IF(ISNUMBER(E564),ROUND(E564*$D564,2),"")</f>
        <v/>
      </c>
      <c r="G564" s="31"/>
      <c r="H564" s="27"/>
      <c r="I564" s="142">
        <v>0</v>
      </c>
    </row>
    <row r="565" spans="1:9" ht="25.5" hidden="1" x14ac:dyDescent="0.25">
      <c r="A565" s="247"/>
      <c r="B565" s="32" t="s">
        <v>754</v>
      </c>
      <c r="C565" s="46" t="s">
        <v>120</v>
      </c>
      <c r="D565" s="33">
        <v>1.17</v>
      </c>
      <c r="E565" s="30">
        <v>160.53099999999998</v>
      </c>
      <c r="F565" s="30">
        <f>IF(ISNUMBER(E565),ROUND(E565*$D565,2),"")</f>
        <v>187.82</v>
      </c>
      <c r="G565" s="41">
        <f>SUM(F565:F574)</f>
        <v>649.92468349499995</v>
      </c>
      <c r="H565" s="42"/>
      <c r="I565" s="142">
        <v>0</v>
      </c>
    </row>
    <row r="566" spans="1:9" hidden="1" x14ac:dyDescent="0.25">
      <c r="A566" s="247"/>
      <c r="B566" s="32" t="s">
        <v>1448</v>
      </c>
      <c r="C566" s="46" t="s">
        <v>901</v>
      </c>
      <c r="D566" s="33">
        <v>117.22</v>
      </c>
      <c r="E566" s="27">
        <v>1.0449999999999999</v>
      </c>
      <c r="F566" s="30">
        <f>IF(ISNUMBER(E566),ROUND(E566*$D566,2),"")</f>
        <v>122.49</v>
      </c>
      <c r="G566" s="41"/>
      <c r="H566" s="42"/>
      <c r="I566" s="142">
        <v>0</v>
      </c>
    </row>
    <row r="567" spans="1:9" hidden="1" x14ac:dyDescent="0.25">
      <c r="A567" s="247"/>
      <c r="B567" s="32" t="s">
        <v>750</v>
      </c>
      <c r="C567" s="46" t="s">
        <v>901</v>
      </c>
      <c r="D567" s="33">
        <v>263.74</v>
      </c>
      <c r="E567" s="27">
        <v>0.64600000000000002</v>
      </c>
      <c r="F567" s="30">
        <f>IF(ISNUMBER(E567),ROUND(E567*$D567,2),"")</f>
        <v>170.38</v>
      </c>
      <c r="G567" s="41"/>
      <c r="H567" s="42"/>
      <c r="I567" s="142">
        <v>0</v>
      </c>
    </row>
    <row r="568" spans="1:9" ht="25.5" hidden="1" x14ac:dyDescent="0.25">
      <c r="A568" s="247"/>
      <c r="B568" s="32" t="s">
        <v>1446</v>
      </c>
      <c r="C568" s="32" t="s">
        <v>705</v>
      </c>
      <c r="D568" s="33">
        <v>5.16</v>
      </c>
      <c r="E568" s="27">
        <v>18.534500000000001</v>
      </c>
      <c r="F568" s="30">
        <f>IF(ISNUMBER(E568),E568*$D568,"")</f>
        <v>95.638020000000012</v>
      </c>
      <c r="G568" s="41"/>
      <c r="H568" s="42"/>
      <c r="I568" s="142">
        <v>0</v>
      </c>
    </row>
    <row r="569" spans="1:9" ht="38.25" hidden="1" x14ac:dyDescent="0.25">
      <c r="A569" s="247"/>
      <c r="B569" s="32" t="s">
        <v>117</v>
      </c>
      <c r="C569" s="43" t="s">
        <v>945</v>
      </c>
      <c r="D569" s="33">
        <v>1.2</v>
      </c>
      <c r="E569" s="27">
        <v>1.3964999999999999</v>
      </c>
      <c r="F569" s="30">
        <f>IF(ISNUMBER(E569),E569*$D569,"")</f>
        <v>1.6757999999999997</v>
      </c>
      <c r="G569" s="41"/>
      <c r="H569" s="42"/>
      <c r="I569" s="142">
        <v>0</v>
      </c>
    </row>
    <row r="570" spans="1:9" ht="38.25" hidden="1" x14ac:dyDescent="0.25">
      <c r="A570" s="247"/>
      <c r="B570" s="32" t="s">
        <v>118</v>
      </c>
      <c r="C570" s="43" t="s">
        <v>947</v>
      </c>
      <c r="D570" s="33">
        <v>3.96</v>
      </c>
      <c r="E570" s="27">
        <v>0.3705</v>
      </c>
      <c r="F570" s="30">
        <f>IF(ISNUMBER(E570),E570*$D570,"")</f>
        <v>1.4671799999999999</v>
      </c>
      <c r="G570" s="41"/>
      <c r="H570" s="42"/>
      <c r="I570" s="142">
        <v>0</v>
      </c>
    </row>
    <row r="571" spans="1:9" ht="51" hidden="1" x14ac:dyDescent="0.25">
      <c r="A571" s="247"/>
      <c r="B571" s="32" t="s">
        <v>3532</v>
      </c>
      <c r="C571" s="32" t="s">
        <v>120</v>
      </c>
      <c r="D571" s="33">
        <f>ROUND(1*(D565),4)</f>
        <v>1.17</v>
      </c>
      <c r="E571" s="27">
        <v>7.8726404999999993</v>
      </c>
      <c r="F571" s="30">
        <f>IF(ISNUMBER(E571),E571*$D571,"")</f>
        <v>9.2109893849999978</v>
      </c>
      <c r="G571" s="41"/>
      <c r="H571" s="42"/>
      <c r="I571" s="142">
        <v>0</v>
      </c>
    </row>
    <row r="572" spans="1:9" ht="38.25" hidden="1" x14ac:dyDescent="0.25">
      <c r="A572" s="247"/>
      <c r="B572" s="32" t="s">
        <v>3529</v>
      </c>
      <c r="C572" s="43" t="s">
        <v>122</v>
      </c>
      <c r="D572" s="33">
        <f>ROUND(D565*20,4)</f>
        <v>23.4</v>
      </c>
      <c r="E572" s="27">
        <v>2.6172091499999994</v>
      </c>
      <c r="F572" s="30">
        <f>IF(ISNUMBER(E572),E572*$D572,"")</f>
        <v>61.242694109999981</v>
      </c>
      <c r="G572" s="41"/>
      <c r="H572" s="42"/>
      <c r="I572" s="142">
        <v>0</v>
      </c>
    </row>
    <row r="573" spans="1:9" hidden="1" x14ac:dyDescent="0.25">
      <c r="A573" s="247"/>
      <c r="B573" s="47"/>
      <c r="C573" s="119"/>
      <c r="D573" s="33"/>
      <c r="E573" s="27" t="s">
        <v>523</v>
      </c>
      <c r="F573" s="30" t="str">
        <f t="shared" ref="F573:F598" si="20">IF(ISNUMBER(E573),ROUND(E573*$D573,2),"")</f>
        <v/>
      </c>
      <c r="G573" s="41"/>
      <c r="H573" s="42"/>
      <c r="I573" s="142">
        <v>0</v>
      </c>
    </row>
    <row r="574" spans="1:9" ht="24.95" hidden="1" customHeight="1" x14ac:dyDescent="0.25">
      <c r="A574" s="247"/>
      <c r="B574" s="44" t="s">
        <v>757</v>
      </c>
      <c r="C574" s="119"/>
      <c r="D574" s="33"/>
      <c r="E574" s="27" t="s">
        <v>523</v>
      </c>
      <c r="F574" s="30" t="str">
        <f t="shared" si="20"/>
        <v/>
      </c>
      <c r="G574" s="41"/>
      <c r="H574" s="42"/>
      <c r="I574" s="142">
        <v>0</v>
      </c>
    </row>
    <row r="575" spans="1:9" ht="15.75" hidden="1" thickBot="1" x14ac:dyDescent="0.3">
      <c r="A575" s="253"/>
      <c r="B575" s="95"/>
      <c r="C575" s="76"/>
      <c r="D575" s="87"/>
      <c r="E575" s="63" t="s">
        <v>523</v>
      </c>
      <c r="F575" s="63" t="str">
        <f t="shared" si="20"/>
        <v/>
      </c>
      <c r="G575" s="65"/>
      <c r="H575" s="27"/>
      <c r="I575" s="142">
        <v>0</v>
      </c>
    </row>
    <row r="576" spans="1:9" ht="26.25" hidden="1" customHeight="1" x14ac:dyDescent="0.25">
      <c r="A576" s="252" t="s">
        <v>7776</v>
      </c>
      <c r="B576" s="37" t="s">
        <v>523</v>
      </c>
      <c r="C576" s="74" t="s">
        <v>901</v>
      </c>
      <c r="D576" s="85"/>
      <c r="E576" s="38" t="s">
        <v>523</v>
      </c>
      <c r="F576" s="38" t="str">
        <f t="shared" si="20"/>
        <v/>
      </c>
      <c r="G576" s="25"/>
      <c r="H576" s="26"/>
      <c r="I576" s="142">
        <v>0</v>
      </c>
    </row>
    <row r="577" spans="1:9" hidden="1" x14ac:dyDescent="0.25">
      <c r="A577" s="247"/>
      <c r="B577" s="28" t="s">
        <v>523</v>
      </c>
      <c r="C577" s="75"/>
      <c r="D577" s="83"/>
      <c r="E577" s="89" t="s">
        <v>523</v>
      </c>
      <c r="F577" s="90" t="str">
        <f t="shared" si="20"/>
        <v/>
      </c>
      <c r="G577" s="31"/>
      <c r="H577" s="27"/>
      <c r="I577" s="142">
        <v>0</v>
      </c>
    </row>
    <row r="578" spans="1:9" hidden="1" x14ac:dyDescent="0.25">
      <c r="A578" s="247"/>
      <c r="B578" s="32" t="s">
        <v>769</v>
      </c>
      <c r="C578" s="46" t="s">
        <v>901</v>
      </c>
      <c r="D578" s="33">
        <v>1.07</v>
      </c>
      <c r="E578" s="30">
        <v>9.6234999999999999</v>
      </c>
      <c r="F578" s="30">
        <f t="shared" si="20"/>
        <v>10.3</v>
      </c>
      <c r="G578" s="41">
        <f>SUM(F578:F580)</f>
        <v>11.15</v>
      </c>
      <c r="H578" s="42"/>
      <c r="I578" s="142">
        <v>0</v>
      </c>
    </row>
    <row r="579" spans="1:9" hidden="1" x14ac:dyDescent="0.25">
      <c r="A579" s="247"/>
      <c r="B579" s="32" t="s">
        <v>903</v>
      </c>
      <c r="C579" s="46" t="s">
        <v>705</v>
      </c>
      <c r="D579" s="33">
        <v>4.4000000000000003E-3</v>
      </c>
      <c r="E579" s="30">
        <v>18.3825</v>
      </c>
      <c r="F579" s="30">
        <f t="shared" si="20"/>
        <v>0.08</v>
      </c>
      <c r="G579" s="41"/>
      <c r="H579" s="42"/>
      <c r="I579" s="142">
        <v>0</v>
      </c>
    </row>
    <row r="580" spans="1:9" hidden="1" x14ac:dyDescent="0.25">
      <c r="A580" s="247"/>
      <c r="B580" s="32" t="s">
        <v>904</v>
      </c>
      <c r="C580" s="46" t="s">
        <v>705</v>
      </c>
      <c r="D580" s="33">
        <v>3.1E-2</v>
      </c>
      <c r="E580" s="27">
        <v>24.747499999999999</v>
      </c>
      <c r="F580" s="30">
        <f t="shared" si="20"/>
        <v>0.77</v>
      </c>
      <c r="G580" s="41"/>
      <c r="H580" s="42"/>
      <c r="I580" s="142">
        <v>0</v>
      </c>
    </row>
    <row r="581" spans="1:9" ht="15.75" hidden="1" thickBot="1" x14ac:dyDescent="0.3">
      <c r="A581" s="253"/>
      <c r="B581" s="95"/>
      <c r="C581" s="76"/>
      <c r="D581" s="87"/>
      <c r="E581" s="63" t="s">
        <v>523</v>
      </c>
      <c r="F581" s="63" t="str">
        <f t="shared" si="20"/>
        <v/>
      </c>
      <c r="G581" s="65"/>
      <c r="H581" s="27"/>
      <c r="I581" s="142">
        <v>0</v>
      </c>
    </row>
    <row r="582" spans="1:9" ht="26.25" hidden="1" customHeight="1" x14ac:dyDescent="0.25">
      <c r="A582" s="252" t="s">
        <v>6710</v>
      </c>
      <c r="B582" s="37" t="s">
        <v>523</v>
      </c>
      <c r="C582" s="74" t="s">
        <v>901</v>
      </c>
      <c r="D582" s="85"/>
      <c r="E582" s="38" t="s">
        <v>523</v>
      </c>
      <c r="F582" s="38" t="str">
        <f t="shared" si="20"/>
        <v/>
      </c>
      <c r="G582" s="25"/>
      <c r="H582" s="26"/>
      <c r="I582" s="142">
        <v>0</v>
      </c>
    </row>
    <row r="583" spans="1:9" hidden="1" x14ac:dyDescent="0.25">
      <c r="A583" s="247"/>
      <c r="B583" s="28" t="s">
        <v>523</v>
      </c>
      <c r="C583" s="75"/>
      <c r="D583" s="83"/>
      <c r="E583" s="89" t="s">
        <v>523</v>
      </c>
      <c r="F583" s="90" t="str">
        <f t="shared" si="20"/>
        <v/>
      </c>
      <c r="G583" s="31"/>
      <c r="H583" s="27"/>
      <c r="I583" s="142">
        <v>0</v>
      </c>
    </row>
    <row r="584" spans="1:9" ht="25.5" hidden="1" x14ac:dyDescent="0.25">
      <c r="A584" s="247"/>
      <c r="B584" s="32" t="s">
        <v>3513</v>
      </c>
      <c r="C584" s="46" t="s">
        <v>901</v>
      </c>
      <c r="D584" s="33">
        <v>0.02</v>
      </c>
      <c r="E584" s="30">
        <v>22.61</v>
      </c>
      <c r="F584" s="30">
        <f t="shared" si="20"/>
        <v>0.45</v>
      </c>
      <c r="G584" s="41">
        <f>SUM(F584:F587)</f>
        <v>0.75</v>
      </c>
      <c r="H584" s="42"/>
      <c r="I584" s="142">
        <v>0</v>
      </c>
    </row>
    <row r="585" spans="1:9" hidden="1" x14ac:dyDescent="0.25">
      <c r="A585" s="247"/>
      <c r="B585" s="32" t="s">
        <v>903</v>
      </c>
      <c r="C585" s="46" t="s">
        <v>705</v>
      </c>
      <c r="D585" s="33">
        <v>2.0999999999999999E-3</v>
      </c>
      <c r="E585" s="30">
        <v>18.3825</v>
      </c>
      <c r="F585" s="30">
        <f t="shared" si="20"/>
        <v>0.04</v>
      </c>
      <c r="G585" s="41"/>
      <c r="H585" s="42"/>
      <c r="I585" s="142">
        <v>0</v>
      </c>
    </row>
    <row r="586" spans="1:9" hidden="1" x14ac:dyDescent="0.25">
      <c r="A586" s="247"/>
      <c r="B586" s="32" t="s">
        <v>904</v>
      </c>
      <c r="C586" s="46" t="s">
        <v>705</v>
      </c>
      <c r="D586" s="33">
        <v>1.06E-2</v>
      </c>
      <c r="E586" s="30">
        <v>24.747499999999999</v>
      </c>
      <c r="F586" s="30">
        <f t="shared" si="20"/>
        <v>0.26</v>
      </c>
      <c r="G586" s="41"/>
      <c r="H586" s="42"/>
      <c r="I586" s="142">
        <v>0</v>
      </c>
    </row>
    <row r="587" spans="1:9" ht="25.5" hidden="1" x14ac:dyDescent="0.25">
      <c r="A587" s="247"/>
      <c r="B587" s="32" t="s">
        <v>3213</v>
      </c>
      <c r="C587" s="46" t="s">
        <v>901</v>
      </c>
      <c r="D587" s="33">
        <v>1</v>
      </c>
      <c r="E587" s="27" t="s">
        <v>523</v>
      </c>
      <c r="F587" s="30" t="str">
        <f t="shared" si="20"/>
        <v/>
      </c>
      <c r="G587" s="41"/>
      <c r="H587" s="42"/>
      <c r="I587" s="142">
        <v>0</v>
      </c>
    </row>
    <row r="588" spans="1:9" ht="15.75" hidden="1" thickBot="1" x14ac:dyDescent="0.3">
      <c r="A588" s="253"/>
      <c r="B588" s="95"/>
      <c r="C588" s="76"/>
      <c r="D588" s="87"/>
      <c r="E588" s="63" t="s">
        <v>523</v>
      </c>
      <c r="F588" s="63" t="str">
        <f t="shared" si="20"/>
        <v/>
      </c>
      <c r="G588" s="65"/>
      <c r="H588" s="27"/>
      <c r="I588" s="142">
        <v>0</v>
      </c>
    </row>
    <row r="589" spans="1:9" ht="26.25" hidden="1" customHeight="1" x14ac:dyDescent="0.25">
      <c r="A589" s="252" t="s">
        <v>3528</v>
      </c>
      <c r="B589" s="37" t="s">
        <v>523</v>
      </c>
      <c r="C589" s="74" t="s">
        <v>1444</v>
      </c>
      <c r="D589" s="85"/>
      <c r="E589" s="38" t="s">
        <v>523</v>
      </c>
      <c r="F589" s="38" t="str">
        <f t="shared" si="20"/>
        <v/>
      </c>
      <c r="G589" s="25"/>
      <c r="H589" s="26"/>
      <c r="I589" s="142">
        <v>0</v>
      </c>
    </row>
    <row r="590" spans="1:9" hidden="1" x14ac:dyDescent="0.25">
      <c r="A590" s="247"/>
      <c r="B590" s="28" t="s">
        <v>523</v>
      </c>
      <c r="C590" s="75"/>
      <c r="D590" s="83"/>
      <c r="E590" s="89" t="s">
        <v>523</v>
      </c>
      <c r="F590" s="90" t="str">
        <f t="shared" si="20"/>
        <v/>
      </c>
      <c r="G590" s="31"/>
      <c r="H590" s="27"/>
      <c r="I590" s="142">
        <v>0</v>
      </c>
    </row>
    <row r="591" spans="1:9" ht="51" hidden="1" x14ac:dyDescent="0.25">
      <c r="A591" s="247"/>
      <c r="B591" s="32" t="s">
        <v>1080</v>
      </c>
      <c r="C591" s="46" t="s">
        <v>945</v>
      </c>
      <c r="D591" s="33">
        <v>1.52E-2</v>
      </c>
      <c r="E591" s="30">
        <v>169.31849999999997</v>
      </c>
      <c r="F591" s="30">
        <f t="shared" si="20"/>
        <v>2.57</v>
      </c>
      <c r="G591" s="41">
        <f>SUM(F591:F592)</f>
        <v>2.86</v>
      </c>
      <c r="H591" s="42"/>
      <c r="I591" s="142">
        <v>0</v>
      </c>
    </row>
    <row r="592" spans="1:9" ht="51" hidden="1" x14ac:dyDescent="0.25">
      <c r="A592" s="247"/>
      <c r="B592" s="32" t="s">
        <v>1081</v>
      </c>
      <c r="C592" s="46" t="s">
        <v>947</v>
      </c>
      <c r="D592" s="33">
        <v>6.4999999999999997E-3</v>
      </c>
      <c r="E592" s="30">
        <v>43.946999999999996</v>
      </c>
      <c r="F592" s="30">
        <f t="shared" si="20"/>
        <v>0.28999999999999998</v>
      </c>
      <c r="G592" s="41"/>
      <c r="H592" s="42"/>
      <c r="I592" s="142">
        <v>0</v>
      </c>
    </row>
    <row r="593" spans="1:9" ht="15.75" hidden="1" thickBot="1" x14ac:dyDescent="0.3">
      <c r="A593" s="253"/>
      <c r="B593" s="95"/>
      <c r="C593" s="76"/>
      <c r="D593" s="87"/>
      <c r="E593" s="63" t="s">
        <v>523</v>
      </c>
      <c r="F593" s="63" t="str">
        <f t="shared" si="20"/>
        <v/>
      </c>
      <c r="G593" s="65"/>
      <c r="H593" s="27"/>
      <c r="I593" s="142">
        <v>0</v>
      </c>
    </row>
    <row r="594" spans="1:9" ht="26.25" hidden="1" customHeight="1" x14ac:dyDescent="0.25">
      <c r="A594" s="252" t="s">
        <v>3237</v>
      </c>
      <c r="B594" s="37" t="s">
        <v>523</v>
      </c>
      <c r="C594" s="74" t="s">
        <v>120</v>
      </c>
      <c r="D594" s="85"/>
      <c r="E594" s="38" t="s">
        <v>523</v>
      </c>
      <c r="F594" s="38" t="str">
        <f t="shared" si="20"/>
        <v/>
      </c>
      <c r="G594" s="25"/>
      <c r="H594" s="26"/>
      <c r="I594" s="142">
        <v>0</v>
      </c>
    </row>
    <row r="595" spans="1:9" hidden="1" x14ac:dyDescent="0.25">
      <c r="A595" s="247"/>
      <c r="B595" s="28" t="s">
        <v>523</v>
      </c>
      <c r="C595" s="75"/>
      <c r="D595" s="83"/>
      <c r="E595" s="89" t="s">
        <v>523</v>
      </c>
      <c r="F595" s="90" t="str">
        <f t="shared" si="20"/>
        <v/>
      </c>
      <c r="G595" s="31"/>
      <c r="H595" s="27"/>
      <c r="I595" s="142">
        <v>0</v>
      </c>
    </row>
    <row r="596" spans="1:9" ht="25.5" hidden="1" x14ac:dyDescent="0.25">
      <c r="A596" s="247"/>
      <c r="B596" s="32" t="s">
        <v>754</v>
      </c>
      <c r="C596" s="46" t="s">
        <v>120</v>
      </c>
      <c r="D596" s="33">
        <v>1.19</v>
      </c>
      <c r="E596" s="30">
        <v>160.53099999999998</v>
      </c>
      <c r="F596" s="30">
        <f t="shared" si="20"/>
        <v>191.03</v>
      </c>
      <c r="G596" s="41">
        <f>SUM(F596:F605)</f>
        <v>625.8590599649998</v>
      </c>
      <c r="H596" s="42"/>
      <c r="I596" s="142">
        <v>0</v>
      </c>
    </row>
    <row r="597" spans="1:9" hidden="1" x14ac:dyDescent="0.25">
      <c r="A597" s="247"/>
      <c r="B597" s="32" t="s">
        <v>1448</v>
      </c>
      <c r="C597" s="46" t="s">
        <v>901</v>
      </c>
      <c r="D597" s="33">
        <v>158.94999999999999</v>
      </c>
      <c r="E597" s="27">
        <v>1.0449999999999999</v>
      </c>
      <c r="F597" s="30">
        <f t="shared" si="20"/>
        <v>166.1</v>
      </c>
      <c r="G597" s="41"/>
      <c r="H597" s="42"/>
      <c r="I597" s="142">
        <v>0</v>
      </c>
    </row>
    <row r="598" spans="1:9" hidden="1" x14ac:dyDescent="0.25">
      <c r="A598" s="247"/>
      <c r="B598" s="32" t="s">
        <v>750</v>
      </c>
      <c r="C598" s="46" t="s">
        <v>901</v>
      </c>
      <c r="D598" s="33">
        <v>178.82</v>
      </c>
      <c r="E598" s="27">
        <v>0.64600000000000002</v>
      </c>
      <c r="F598" s="30">
        <f t="shared" si="20"/>
        <v>115.52</v>
      </c>
      <c r="G598" s="41"/>
      <c r="H598" s="42"/>
      <c r="I598" s="142">
        <v>0</v>
      </c>
    </row>
    <row r="599" spans="1:9" ht="25.5" hidden="1" x14ac:dyDescent="0.25">
      <c r="A599" s="247"/>
      <c r="B599" s="32" t="s">
        <v>1446</v>
      </c>
      <c r="C599" s="32" t="s">
        <v>705</v>
      </c>
      <c r="D599" s="33">
        <v>4.26</v>
      </c>
      <c r="E599" s="27">
        <v>18.534500000000001</v>
      </c>
      <c r="F599" s="30">
        <f>IF(ISNUMBER(E599),E599*$D599,"")</f>
        <v>78.956969999999998</v>
      </c>
      <c r="G599" s="41"/>
      <c r="H599" s="42"/>
      <c r="I599" s="142">
        <v>0</v>
      </c>
    </row>
    <row r="600" spans="1:9" ht="38.25" hidden="1" x14ac:dyDescent="0.25">
      <c r="A600" s="247"/>
      <c r="B600" s="32" t="s">
        <v>117</v>
      </c>
      <c r="C600" s="43" t="s">
        <v>945</v>
      </c>
      <c r="D600" s="33">
        <v>0.99</v>
      </c>
      <c r="E600" s="27">
        <v>1.3964999999999999</v>
      </c>
      <c r="F600" s="30">
        <f>IF(ISNUMBER(E600),E600*$D600,"")</f>
        <v>1.3825349999999998</v>
      </c>
      <c r="G600" s="41"/>
      <c r="H600" s="42"/>
      <c r="I600" s="142">
        <v>0</v>
      </c>
    </row>
    <row r="601" spans="1:9" ht="38.25" hidden="1" x14ac:dyDescent="0.25">
      <c r="A601" s="247"/>
      <c r="B601" s="32" t="s">
        <v>118</v>
      </c>
      <c r="C601" s="43" t="s">
        <v>947</v>
      </c>
      <c r="D601" s="33">
        <v>3.27</v>
      </c>
      <c r="E601" s="27">
        <v>0.3705</v>
      </c>
      <c r="F601" s="30">
        <f>IF(ISNUMBER(E601),E601*$D601,"")</f>
        <v>1.211535</v>
      </c>
      <c r="G601" s="41"/>
      <c r="H601" s="42"/>
      <c r="I601" s="142">
        <v>0</v>
      </c>
    </row>
    <row r="602" spans="1:9" ht="51" hidden="1" x14ac:dyDescent="0.25">
      <c r="A602" s="247"/>
      <c r="B602" s="32" t="s">
        <v>3532</v>
      </c>
      <c r="C602" s="32" t="s">
        <v>120</v>
      </c>
      <c r="D602" s="33">
        <f>ROUND(1*(D596),4)</f>
        <v>1.19</v>
      </c>
      <c r="E602" s="27">
        <v>7.8726404999999993</v>
      </c>
      <c r="F602" s="30">
        <f>IF(ISNUMBER(E602),E602*$D602,"")</f>
        <v>9.3684421949999983</v>
      </c>
      <c r="G602" s="41"/>
      <c r="H602" s="42"/>
      <c r="I602" s="142">
        <v>0</v>
      </c>
    </row>
    <row r="603" spans="1:9" ht="38.25" hidden="1" x14ac:dyDescent="0.25">
      <c r="A603" s="247"/>
      <c r="B603" s="32" t="s">
        <v>3529</v>
      </c>
      <c r="C603" s="43" t="s">
        <v>122</v>
      </c>
      <c r="D603" s="33">
        <f>ROUND(D596*20,4)</f>
        <v>23.8</v>
      </c>
      <c r="E603" s="27">
        <v>2.6172091499999994</v>
      </c>
      <c r="F603" s="30">
        <f>IF(ISNUMBER(E603),E603*$D603,"")</f>
        <v>62.289577769999987</v>
      </c>
      <c r="G603" s="41"/>
      <c r="H603" s="42"/>
      <c r="I603" s="142">
        <v>0</v>
      </c>
    </row>
    <row r="604" spans="1:9" hidden="1" x14ac:dyDescent="0.25">
      <c r="A604" s="247"/>
      <c r="B604" s="47"/>
      <c r="C604" s="119"/>
      <c r="D604" s="33"/>
      <c r="E604" s="27" t="s">
        <v>523</v>
      </c>
      <c r="F604" s="30" t="str">
        <f>IF(ISNUMBER(E604),ROUND(E604*$D604,2),"")</f>
        <v/>
      </c>
      <c r="G604" s="41"/>
      <c r="H604" s="42"/>
      <c r="I604" s="142">
        <v>0</v>
      </c>
    </row>
    <row r="605" spans="1:9" ht="24.95" hidden="1" customHeight="1" x14ac:dyDescent="0.25">
      <c r="A605" s="247"/>
      <c r="B605" s="44" t="s">
        <v>757</v>
      </c>
      <c r="C605" s="119"/>
      <c r="D605" s="33"/>
      <c r="E605" s="27" t="s">
        <v>523</v>
      </c>
      <c r="F605" s="30" t="str">
        <f>IF(ISNUMBER(E605),ROUND(E605*$D605,2),"")</f>
        <v/>
      </c>
      <c r="G605" s="41"/>
      <c r="H605" s="42"/>
      <c r="I605" s="142">
        <v>0</v>
      </c>
    </row>
    <row r="606" spans="1:9" ht="15.75" hidden="1" thickBot="1" x14ac:dyDescent="0.3">
      <c r="A606" s="253"/>
      <c r="B606" s="95"/>
      <c r="C606" s="76"/>
      <c r="D606" s="87"/>
      <c r="E606" s="63" t="s">
        <v>523</v>
      </c>
      <c r="F606" s="63" t="str">
        <f>IF(ISNUMBER(E606),ROUND(E606*$D606,2),"")</f>
        <v/>
      </c>
      <c r="G606" s="65"/>
      <c r="H606" s="27"/>
      <c r="I606" s="142">
        <v>0</v>
      </c>
    </row>
    <row r="607" spans="1:9" ht="15" hidden="1" customHeight="1" x14ac:dyDescent="0.25">
      <c r="A607" s="252" t="s">
        <v>7780</v>
      </c>
      <c r="B607" s="37" t="s">
        <v>523</v>
      </c>
      <c r="C607" s="22" t="s">
        <v>901</v>
      </c>
      <c r="D607" s="85"/>
      <c r="E607" s="38" t="s">
        <v>523</v>
      </c>
      <c r="F607" s="38" t="str">
        <f t="shared" ref="F607:F619" si="21">IF(ISNUMBER(E607),E607*$D607,"")</f>
        <v/>
      </c>
      <c r="G607" s="25"/>
      <c r="H607" s="26"/>
      <c r="I607" s="142">
        <v>0</v>
      </c>
    </row>
    <row r="608" spans="1:9" hidden="1" x14ac:dyDescent="0.25">
      <c r="A608" s="247"/>
      <c r="B608" s="28" t="s">
        <v>523</v>
      </c>
      <c r="C608" s="28"/>
      <c r="D608" s="83"/>
      <c r="E608" s="39" t="s">
        <v>523</v>
      </c>
      <c r="F608" s="27" t="str">
        <f t="shared" si="21"/>
        <v/>
      </c>
      <c r="G608" s="31"/>
      <c r="H608" s="27"/>
      <c r="I608" s="142">
        <v>0</v>
      </c>
    </row>
    <row r="609" spans="1:9" ht="25.5" hidden="1" x14ac:dyDescent="0.25">
      <c r="A609" s="247"/>
      <c r="B609" s="32" t="s">
        <v>3251</v>
      </c>
      <c r="C609" s="32" t="s">
        <v>901</v>
      </c>
      <c r="D609" s="33">
        <v>1.1100000000000001</v>
      </c>
      <c r="E609" s="30">
        <v>10.924999999999999</v>
      </c>
      <c r="F609" s="30">
        <f t="shared" si="21"/>
        <v>12.126749999999999</v>
      </c>
      <c r="G609" s="41">
        <f>SUM(F609:F610)</f>
        <v>12.218315749999999</v>
      </c>
      <c r="H609" s="42"/>
      <c r="I609" s="142">
        <v>0</v>
      </c>
    </row>
    <row r="610" spans="1:9" hidden="1" x14ac:dyDescent="0.25">
      <c r="A610" s="247"/>
      <c r="B610" s="32" t="s">
        <v>904</v>
      </c>
      <c r="C610" s="32" t="s">
        <v>705</v>
      </c>
      <c r="D610" s="33">
        <v>3.7000000000000002E-3</v>
      </c>
      <c r="E610" s="30">
        <v>24.747499999999999</v>
      </c>
      <c r="F610" s="30">
        <f t="shared" si="21"/>
        <v>9.1565750000000001E-2</v>
      </c>
      <c r="G610" s="41"/>
      <c r="H610" s="42"/>
      <c r="I610" s="142">
        <v>0</v>
      </c>
    </row>
    <row r="611" spans="1:9" ht="15.75" hidden="1" thickBot="1" x14ac:dyDescent="0.3">
      <c r="A611" s="253"/>
      <c r="B611" s="32" t="s">
        <v>523</v>
      </c>
      <c r="C611" s="32"/>
      <c r="D611" s="84"/>
      <c r="E611" s="27" t="s">
        <v>523</v>
      </c>
      <c r="F611" s="27" t="str">
        <f t="shared" si="21"/>
        <v/>
      </c>
      <c r="G611" s="31"/>
      <c r="H611" s="27"/>
      <c r="I611" s="142">
        <v>0</v>
      </c>
    </row>
    <row r="612" spans="1:9" ht="27" hidden="1" customHeight="1" x14ac:dyDescent="0.25">
      <c r="A612" s="252" t="s">
        <v>7774</v>
      </c>
      <c r="B612" s="37" t="s">
        <v>523</v>
      </c>
      <c r="C612" s="22" t="s">
        <v>901</v>
      </c>
      <c r="D612" s="85"/>
      <c r="E612" s="24" t="s">
        <v>523</v>
      </c>
      <c r="F612" s="24" t="str">
        <f t="shared" si="21"/>
        <v/>
      </c>
      <c r="G612" s="25"/>
      <c r="H612" s="26"/>
      <c r="I612" s="142">
        <v>0</v>
      </c>
    </row>
    <row r="613" spans="1:9" hidden="1" x14ac:dyDescent="0.25">
      <c r="A613" s="247"/>
      <c r="B613" s="146" t="s">
        <v>523</v>
      </c>
      <c r="C613" s="146"/>
      <c r="D613" s="162"/>
      <c r="E613" s="27" t="s">
        <v>523</v>
      </c>
      <c r="F613" s="27" t="str">
        <f t="shared" si="21"/>
        <v/>
      </c>
      <c r="G613" s="31"/>
      <c r="H613" s="27"/>
      <c r="I613" s="142">
        <v>0</v>
      </c>
    </row>
    <row r="614" spans="1:9" ht="38.25" hidden="1" x14ac:dyDescent="0.25">
      <c r="A614" s="247"/>
      <c r="B614" s="148" t="s">
        <v>902</v>
      </c>
      <c r="C614" s="148" t="s">
        <v>280</v>
      </c>
      <c r="D614" s="149">
        <v>2.1179999999999999</v>
      </c>
      <c r="E614" s="27">
        <v>0.20899999999999999</v>
      </c>
      <c r="F614" s="30">
        <f t="shared" si="21"/>
        <v>0.44266199999999994</v>
      </c>
      <c r="G614" s="41">
        <f>SUM(F614:F618)</f>
        <v>17.187138750000003</v>
      </c>
      <c r="H614" s="42"/>
      <c r="I614" s="142">
        <v>0</v>
      </c>
    </row>
    <row r="615" spans="1:9" ht="25.5" hidden="1" x14ac:dyDescent="0.25">
      <c r="A615" s="247"/>
      <c r="B615" s="148" t="s">
        <v>3513</v>
      </c>
      <c r="C615" s="148" t="s">
        <v>901</v>
      </c>
      <c r="D615" s="149">
        <v>2.5000000000000001E-2</v>
      </c>
      <c r="E615" s="27">
        <v>22.61</v>
      </c>
      <c r="F615" s="30">
        <f t="shared" si="21"/>
        <v>0.56525000000000003</v>
      </c>
      <c r="G615" s="41"/>
      <c r="H615" s="42"/>
      <c r="I615" s="142">
        <v>0</v>
      </c>
    </row>
    <row r="616" spans="1:9" hidden="1" x14ac:dyDescent="0.25">
      <c r="A616" s="247"/>
      <c r="B616" s="148" t="s">
        <v>903</v>
      </c>
      <c r="C616" s="148" t="s">
        <v>705</v>
      </c>
      <c r="D616" s="149">
        <v>2.53E-2</v>
      </c>
      <c r="E616" s="30">
        <v>18.3825</v>
      </c>
      <c r="F616" s="30">
        <f t="shared" si="21"/>
        <v>0.46507725</v>
      </c>
      <c r="G616" s="41"/>
      <c r="H616" s="42"/>
      <c r="I616" s="142">
        <v>0</v>
      </c>
    </row>
    <row r="617" spans="1:9" ht="15.75" hidden="1" customHeight="1" x14ac:dyDescent="0.25">
      <c r="A617" s="247"/>
      <c r="B617" s="148" t="s">
        <v>904</v>
      </c>
      <c r="C617" s="148" t="s">
        <v>705</v>
      </c>
      <c r="D617" s="149">
        <v>0.1547</v>
      </c>
      <c r="E617" s="27">
        <v>24.747499999999999</v>
      </c>
      <c r="F617" s="30">
        <f t="shared" si="21"/>
        <v>3.82843825</v>
      </c>
      <c r="G617" s="41"/>
      <c r="H617" s="42"/>
      <c r="I617" s="142">
        <v>0</v>
      </c>
    </row>
    <row r="618" spans="1:9" ht="25.5" hidden="1" x14ac:dyDescent="0.25">
      <c r="A618" s="247"/>
      <c r="B618" s="148" t="s">
        <v>3214</v>
      </c>
      <c r="C618" s="150" t="s">
        <v>901</v>
      </c>
      <c r="D618" s="149">
        <v>1</v>
      </c>
      <c r="E618" s="27">
        <v>11.885711250000002</v>
      </c>
      <c r="F618" s="30">
        <f t="shared" si="21"/>
        <v>11.885711250000002</v>
      </c>
      <c r="G618" s="41"/>
      <c r="H618" s="42"/>
      <c r="I618" s="142">
        <v>0</v>
      </c>
    </row>
    <row r="619" spans="1:9" ht="15.75" hidden="1" thickBot="1" x14ac:dyDescent="0.3">
      <c r="A619" s="253"/>
      <c r="B619" s="163"/>
      <c r="C619" s="151"/>
      <c r="D619" s="62"/>
      <c r="E619" s="63" t="s">
        <v>523</v>
      </c>
      <c r="F619" s="64" t="str">
        <f t="shared" si="21"/>
        <v/>
      </c>
      <c r="G619" s="164"/>
      <c r="H619" s="42"/>
      <c r="I619" s="142">
        <v>0</v>
      </c>
    </row>
    <row r="620" spans="1:9" ht="26.25" hidden="1" customHeight="1" x14ac:dyDescent="0.25">
      <c r="A620" s="252" t="s">
        <v>3534</v>
      </c>
      <c r="B620" s="37" t="s">
        <v>523</v>
      </c>
      <c r="C620" s="74" t="s">
        <v>1293</v>
      </c>
      <c r="D620" s="85"/>
      <c r="E620" s="38" t="s">
        <v>523</v>
      </c>
      <c r="F620" s="38" t="str">
        <f t="shared" ref="F620:F635" si="22">IF(ISNUMBER(E620),ROUND(E620*$D620,2),"")</f>
        <v/>
      </c>
      <c r="G620" s="25"/>
      <c r="H620" s="26"/>
      <c r="I620" s="142">
        <v>0</v>
      </c>
    </row>
    <row r="621" spans="1:9" hidden="1" x14ac:dyDescent="0.25">
      <c r="A621" s="247"/>
      <c r="B621" s="28" t="s">
        <v>523</v>
      </c>
      <c r="C621" s="75"/>
      <c r="D621" s="83"/>
      <c r="E621" s="89" t="s">
        <v>523</v>
      </c>
      <c r="F621" s="90" t="str">
        <f t="shared" si="22"/>
        <v/>
      </c>
      <c r="G621" s="31"/>
      <c r="H621" s="27"/>
      <c r="I621" s="142">
        <v>0</v>
      </c>
    </row>
    <row r="622" spans="1:9" ht="51" hidden="1" x14ac:dyDescent="0.25">
      <c r="A622" s="247"/>
      <c r="B622" s="32" t="s">
        <v>3199</v>
      </c>
      <c r="C622" s="46" t="s">
        <v>945</v>
      </c>
      <c r="D622" s="33">
        <v>0.1071</v>
      </c>
      <c r="E622" s="30">
        <v>266.74099999999999</v>
      </c>
      <c r="F622" s="30">
        <f t="shared" si="22"/>
        <v>28.57</v>
      </c>
      <c r="G622" s="41">
        <f>SUM(F622:F624)</f>
        <v>36.46</v>
      </c>
      <c r="H622" s="42"/>
      <c r="I622" s="142">
        <v>0</v>
      </c>
    </row>
    <row r="623" spans="1:9" ht="51" hidden="1" x14ac:dyDescent="0.25">
      <c r="A623" s="247"/>
      <c r="B623" s="32" t="s">
        <v>3205</v>
      </c>
      <c r="C623" s="46" t="s">
        <v>947</v>
      </c>
      <c r="D623" s="33">
        <v>4.5900000000000003E-2</v>
      </c>
      <c r="E623" s="30">
        <v>49.143499999999996</v>
      </c>
      <c r="F623" s="30">
        <f t="shared" si="22"/>
        <v>2.2599999999999998</v>
      </c>
      <c r="G623" s="41"/>
      <c r="H623" s="42"/>
      <c r="I623" s="142">
        <v>0</v>
      </c>
    </row>
    <row r="624" spans="1:9" hidden="1" x14ac:dyDescent="0.25">
      <c r="A624" s="247"/>
      <c r="B624" s="32" t="s">
        <v>706</v>
      </c>
      <c r="C624" s="46" t="s">
        <v>705</v>
      </c>
      <c r="D624" s="33">
        <v>0.30590000000000001</v>
      </c>
      <c r="E624" s="27">
        <v>18.420500000000001</v>
      </c>
      <c r="F624" s="30">
        <f t="shared" si="22"/>
        <v>5.63</v>
      </c>
      <c r="G624" s="41"/>
      <c r="H624" s="42"/>
      <c r="I624" s="142">
        <v>0</v>
      </c>
    </row>
    <row r="625" spans="1:9" ht="15.75" hidden="1" thickBot="1" x14ac:dyDescent="0.3">
      <c r="A625" s="253"/>
      <c r="B625" s="95"/>
      <c r="C625" s="76"/>
      <c r="D625" s="87"/>
      <c r="E625" s="63" t="s">
        <v>523</v>
      </c>
      <c r="F625" s="63" t="str">
        <f t="shared" si="22"/>
        <v/>
      </c>
      <c r="G625" s="65"/>
      <c r="H625" s="27"/>
      <c r="I625" s="142">
        <v>0</v>
      </c>
    </row>
    <row r="626" spans="1:9" ht="26.25" hidden="1" customHeight="1" x14ac:dyDescent="0.25">
      <c r="A626" s="252" t="s">
        <v>3530</v>
      </c>
      <c r="B626" s="37" t="s">
        <v>523</v>
      </c>
      <c r="C626" s="74" t="s">
        <v>1445</v>
      </c>
      <c r="D626" s="85"/>
      <c r="E626" s="38" t="s">
        <v>523</v>
      </c>
      <c r="F626" s="38" t="str">
        <f t="shared" si="22"/>
        <v/>
      </c>
      <c r="G626" s="25"/>
      <c r="H626" s="26"/>
      <c r="I626" s="142">
        <v>0</v>
      </c>
    </row>
    <row r="627" spans="1:9" hidden="1" x14ac:dyDescent="0.25">
      <c r="A627" s="247"/>
      <c r="B627" s="28" t="s">
        <v>523</v>
      </c>
      <c r="C627" s="75"/>
      <c r="D627" s="83"/>
      <c r="E627" s="89" t="s">
        <v>523</v>
      </c>
      <c r="F627" s="90" t="str">
        <f t="shared" si="22"/>
        <v/>
      </c>
      <c r="G627" s="31"/>
      <c r="H627" s="27"/>
      <c r="I627" s="142">
        <v>0</v>
      </c>
    </row>
    <row r="628" spans="1:9" ht="51" hidden="1" x14ac:dyDescent="0.25">
      <c r="A628" s="247"/>
      <c r="B628" s="32" t="s">
        <v>3199</v>
      </c>
      <c r="C628" s="46" t="s">
        <v>945</v>
      </c>
      <c r="D628" s="33">
        <v>9.2999999999999992E-3</v>
      </c>
      <c r="E628" s="30">
        <v>266.74099999999999</v>
      </c>
      <c r="F628" s="30">
        <f t="shared" si="22"/>
        <v>2.48</v>
      </c>
      <c r="G628" s="41">
        <f>SUM(F628:F629)</f>
        <v>2.68</v>
      </c>
      <c r="H628" s="42"/>
      <c r="I628" s="142">
        <v>0</v>
      </c>
    </row>
    <row r="629" spans="1:9" ht="51" hidden="1" x14ac:dyDescent="0.25">
      <c r="A629" s="247"/>
      <c r="B629" s="32" t="s">
        <v>3205</v>
      </c>
      <c r="C629" s="46" t="s">
        <v>947</v>
      </c>
      <c r="D629" s="33">
        <v>4.0000000000000001E-3</v>
      </c>
      <c r="E629" s="30">
        <v>49.143499999999996</v>
      </c>
      <c r="F629" s="30">
        <f t="shared" si="22"/>
        <v>0.2</v>
      </c>
      <c r="G629" s="41"/>
      <c r="H629" s="42"/>
      <c r="I629" s="142">
        <v>0</v>
      </c>
    </row>
    <row r="630" spans="1:9" ht="15.75" hidden="1" thickBot="1" x14ac:dyDescent="0.3">
      <c r="A630" s="253"/>
      <c r="B630" s="95"/>
      <c r="C630" s="76"/>
      <c r="D630" s="87"/>
      <c r="E630" s="63" t="s">
        <v>523</v>
      </c>
      <c r="F630" s="63" t="str">
        <f t="shared" si="22"/>
        <v/>
      </c>
      <c r="G630" s="65"/>
      <c r="H630" s="27"/>
      <c r="I630" s="142">
        <v>0</v>
      </c>
    </row>
    <row r="631" spans="1:9" ht="26.25" hidden="1" customHeight="1" x14ac:dyDescent="0.25">
      <c r="A631" s="252" t="s">
        <v>3531</v>
      </c>
      <c r="B631" s="37" t="s">
        <v>523</v>
      </c>
      <c r="C631" s="74" t="s">
        <v>1445</v>
      </c>
      <c r="D631" s="85"/>
      <c r="E631" s="38" t="s">
        <v>523</v>
      </c>
      <c r="F631" s="38" t="str">
        <f t="shared" si="22"/>
        <v/>
      </c>
      <c r="G631" s="25"/>
      <c r="H631" s="26"/>
      <c r="I631" s="142">
        <v>0</v>
      </c>
    </row>
    <row r="632" spans="1:9" hidden="1" x14ac:dyDescent="0.25">
      <c r="A632" s="247"/>
      <c r="B632" s="28" t="s">
        <v>523</v>
      </c>
      <c r="C632" s="75"/>
      <c r="D632" s="83"/>
      <c r="E632" s="89" t="s">
        <v>523</v>
      </c>
      <c r="F632" s="90" t="str">
        <f t="shared" si="22"/>
        <v/>
      </c>
      <c r="G632" s="31"/>
      <c r="H632" s="27"/>
      <c r="I632" s="142">
        <v>0</v>
      </c>
    </row>
    <row r="633" spans="1:9" ht="51" hidden="1" x14ac:dyDescent="0.25">
      <c r="A633" s="247"/>
      <c r="B633" s="32" t="s">
        <v>3199</v>
      </c>
      <c r="C633" s="46" t="s">
        <v>945</v>
      </c>
      <c r="D633" s="33">
        <v>3.7000000000000002E-3</v>
      </c>
      <c r="E633" s="30">
        <v>266.74099999999999</v>
      </c>
      <c r="F633" s="30">
        <f t="shared" si="22"/>
        <v>0.99</v>
      </c>
      <c r="G633" s="41">
        <f>SUM(F633:F634)</f>
        <v>1.07</v>
      </c>
      <c r="H633" s="42"/>
      <c r="I633" s="142">
        <v>0</v>
      </c>
    </row>
    <row r="634" spans="1:9" ht="51" hidden="1" x14ac:dyDescent="0.25">
      <c r="A634" s="247"/>
      <c r="B634" s="32" t="s">
        <v>3205</v>
      </c>
      <c r="C634" s="46" t="s">
        <v>947</v>
      </c>
      <c r="D634" s="33">
        <v>1.6000000000000001E-3</v>
      </c>
      <c r="E634" s="30">
        <v>49.143499999999996</v>
      </c>
      <c r="F634" s="30">
        <f t="shared" si="22"/>
        <v>0.08</v>
      </c>
      <c r="G634" s="41"/>
      <c r="H634" s="42"/>
      <c r="I634" s="142">
        <v>0</v>
      </c>
    </row>
    <row r="635" spans="1:9" ht="15.75" hidden="1" thickBot="1" x14ac:dyDescent="0.3">
      <c r="A635" s="253"/>
      <c r="B635" s="95"/>
      <c r="C635" s="76"/>
      <c r="D635" s="87"/>
      <c r="E635" s="63" t="s">
        <v>523</v>
      </c>
      <c r="F635" s="63" t="str">
        <f t="shared" si="22"/>
        <v/>
      </c>
      <c r="G635" s="65"/>
      <c r="H635" s="27"/>
      <c r="I635" s="142">
        <v>0</v>
      </c>
    </row>
    <row r="636" spans="1:9" ht="26.25" hidden="1" customHeight="1" x14ac:dyDescent="0.25">
      <c r="A636" s="252" t="s">
        <v>3535</v>
      </c>
      <c r="B636" s="37" t="s">
        <v>523</v>
      </c>
      <c r="C636" s="74" t="s">
        <v>1293</v>
      </c>
      <c r="D636" s="85"/>
      <c r="E636" s="38" t="s">
        <v>523</v>
      </c>
      <c r="F636" s="38" t="str">
        <f t="shared" ref="F636:F641" si="23">IF(ISNUMBER(E636),ROUND(E636*$D636,2),"")</f>
        <v/>
      </c>
      <c r="G636" s="25"/>
      <c r="H636" s="26"/>
      <c r="I636" s="142">
        <v>0</v>
      </c>
    </row>
    <row r="637" spans="1:9" hidden="1" x14ac:dyDescent="0.25">
      <c r="A637" s="247"/>
      <c r="B637" s="28" t="s">
        <v>523</v>
      </c>
      <c r="C637" s="75"/>
      <c r="D637" s="83"/>
      <c r="E637" s="89" t="s">
        <v>523</v>
      </c>
      <c r="F637" s="90" t="str">
        <f t="shared" si="23"/>
        <v/>
      </c>
      <c r="G637" s="31"/>
      <c r="H637" s="27"/>
      <c r="I637" s="142">
        <v>0</v>
      </c>
    </row>
    <row r="638" spans="1:9" ht="51" hidden="1" x14ac:dyDescent="0.25">
      <c r="A638" s="247"/>
      <c r="B638" s="32" t="s">
        <v>3199</v>
      </c>
      <c r="C638" s="46" t="s">
        <v>945</v>
      </c>
      <c r="D638" s="33">
        <v>8.1199999999999994E-2</v>
      </c>
      <c r="E638" s="30">
        <v>266.74099999999999</v>
      </c>
      <c r="F638" s="30">
        <f t="shared" si="23"/>
        <v>21.66</v>
      </c>
      <c r="G638" s="41">
        <f>SUM(F638:F640)</f>
        <v>27.650000000000002</v>
      </c>
      <c r="H638" s="42"/>
      <c r="I638" s="142">
        <v>0</v>
      </c>
    </row>
    <row r="639" spans="1:9" ht="51" hidden="1" x14ac:dyDescent="0.25">
      <c r="A639" s="247"/>
      <c r="B639" s="32" t="s">
        <v>3205</v>
      </c>
      <c r="C639" s="46" t="s">
        <v>947</v>
      </c>
      <c r="D639" s="33">
        <v>3.4799999999999998E-2</v>
      </c>
      <c r="E639" s="30">
        <v>49.143499999999996</v>
      </c>
      <c r="F639" s="30">
        <f t="shared" si="23"/>
        <v>1.71</v>
      </c>
      <c r="G639" s="41"/>
      <c r="H639" s="42"/>
      <c r="I639" s="142">
        <v>0</v>
      </c>
    </row>
    <row r="640" spans="1:9" hidden="1" x14ac:dyDescent="0.25">
      <c r="A640" s="247"/>
      <c r="B640" s="32" t="s">
        <v>706</v>
      </c>
      <c r="C640" s="46" t="s">
        <v>705</v>
      </c>
      <c r="D640" s="33">
        <v>0.2321</v>
      </c>
      <c r="E640" s="27">
        <v>18.420500000000001</v>
      </c>
      <c r="F640" s="30">
        <f t="shared" si="23"/>
        <v>4.28</v>
      </c>
      <c r="G640" s="41"/>
      <c r="H640" s="42"/>
      <c r="I640" s="142">
        <v>0</v>
      </c>
    </row>
    <row r="641" spans="1:9" ht="15.75" hidden="1" thickBot="1" x14ac:dyDescent="0.3">
      <c r="A641" s="253"/>
      <c r="B641" s="95"/>
      <c r="C641" s="76"/>
      <c r="D641" s="87"/>
      <c r="E641" s="63" t="s">
        <v>523</v>
      </c>
      <c r="F641" s="63" t="str">
        <f t="shared" si="23"/>
        <v/>
      </c>
      <c r="G641" s="65"/>
      <c r="H641" s="27"/>
      <c r="I641" s="142">
        <v>0</v>
      </c>
    </row>
    <row r="643" spans="1:9" x14ac:dyDescent="0.25">
      <c r="E643" s="122"/>
    </row>
    <row r="644" spans="1:9" x14ac:dyDescent="0.25">
      <c r="E644" s="122"/>
    </row>
    <row r="645" spans="1:9" x14ac:dyDescent="0.25">
      <c r="E645" s="122"/>
    </row>
    <row r="646" spans="1:9" x14ac:dyDescent="0.25">
      <c r="E646" s="122"/>
    </row>
    <row r="647" spans="1:9" x14ac:dyDescent="0.25">
      <c r="E647" s="122"/>
    </row>
    <row r="648" spans="1:9" x14ac:dyDescent="0.25">
      <c r="E648" s="122"/>
    </row>
    <row r="649" spans="1:9" x14ac:dyDescent="0.25">
      <c r="E649" s="122"/>
    </row>
    <row r="650" spans="1:9" x14ac:dyDescent="0.25">
      <c r="E650" s="122"/>
    </row>
    <row r="651" spans="1:9" x14ac:dyDescent="0.25">
      <c r="E651" s="122"/>
    </row>
    <row r="652" spans="1:9" x14ac:dyDescent="0.25">
      <c r="E652" s="122"/>
    </row>
    <row r="653" spans="1:9" x14ac:dyDescent="0.25">
      <c r="E653" s="122"/>
    </row>
    <row r="654" spans="1:9" x14ac:dyDescent="0.25">
      <c r="E654" s="122"/>
    </row>
    <row r="655" spans="1:9" x14ac:dyDescent="0.25">
      <c r="E655" s="122"/>
    </row>
    <row r="656" spans="1:9" x14ac:dyDescent="0.25">
      <c r="E656" s="122"/>
    </row>
  </sheetData>
  <autoFilter ref="A5:I641">
    <filterColumn colId="8">
      <filters>
        <filter val="0,0100"/>
        <filter val="0,1347"/>
        <filter val="414,8585"/>
        <filter val="589,7077"/>
        <filter val="6.028,0000"/>
      </filters>
    </filterColumn>
  </autoFilter>
  <mergeCells count="76">
    <mergeCell ref="A1:G1"/>
    <mergeCell ref="A2:G2"/>
    <mergeCell ref="A3:G3"/>
    <mergeCell ref="A612:A619"/>
    <mergeCell ref="A620:A625"/>
    <mergeCell ref="A439:A450"/>
    <mergeCell ref="A451:A469"/>
    <mergeCell ref="A470:A483"/>
    <mergeCell ref="A515:A525"/>
    <mergeCell ref="A526:A531"/>
    <mergeCell ref="A48:A60"/>
    <mergeCell ref="A6:A15"/>
    <mergeCell ref="A16:A20"/>
    <mergeCell ref="A21:A26"/>
    <mergeCell ref="A27:A37"/>
    <mergeCell ref="A38:A47"/>
    <mergeCell ref="A626:A630"/>
    <mergeCell ref="A631:A635"/>
    <mergeCell ref="A636:A641"/>
    <mergeCell ref="A532:A537"/>
    <mergeCell ref="A538:A543"/>
    <mergeCell ref="A544:A549"/>
    <mergeCell ref="A589:A593"/>
    <mergeCell ref="A594:A606"/>
    <mergeCell ref="A550:A555"/>
    <mergeCell ref="A556:A562"/>
    <mergeCell ref="A563:A575"/>
    <mergeCell ref="A576:A581"/>
    <mergeCell ref="A582:A588"/>
    <mergeCell ref="A607:A611"/>
    <mergeCell ref="A286:A296"/>
    <mergeCell ref="A297:A304"/>
    <mergeCell ref="A305:A310"/>
    <mergeCell ref="A225:A238"/>
    <mergeCell ref="A278:A285"/>
    <mergeCell ref="A61:A68"/>
    <mergeCell ref="A69:A78"/>
    <mergeCell ref="A79:A85"/>
    <mergeCell ref="A86:A95"/>
    <mergeCell ref="A96:A105"/>
    <mergeCell ref="A106:A111"/>
    <mergeCell ref="A112:A117"/>
    <mergeCell ref="A118:A123"/>
    <mergeCell ref="A124:A129"/>
    <mergeCell ref="A192:A197"/>
    <mergeCell ref="A180:A185"/>
    <mergeCell ref="A186:A191"/>
    <mergeCell ref="A130:A135"/>
    <mergeCell ref="A136:A141"/>
    <mergeCell ref="A142:A147"/>
    <mergeCell ref="A148:A153"/>
    <mergeCell ref="A198:A202"/>
    <mergeCell ref="A203:A206"/>
    <mergeCell ref="A207:A214"/>
    <mergeCell ref="A154:A167"/>
    <mergeCell ref="A168:A179"/>
    <mergeCell ref="A215:A219"/>
    <mergeCell ref="A220:A224"/>
    <mergeCell ref="A239:A252"/>
    <mergeCell ref="A253:A267"/>
    <mergeCell ref="A268:A277"/>
    <mergeCell ref="A311:A324"/>
    <mergeCell ref="A325:A338"/>
    <mergeCell ref="A339:A350"/>
    <mergeCell ref="A351:A357"/>
    <mergeCell ref="A358:A364"/>
    <mergeCell ref="A365:A372"/>
    <mergeCell ref="A373:A378"/>
    <mergeCell ref="A379:A384"/>
    <mergeCell ref="A385:A393"/>
    <mergeCell ref="A394:A403"/>
    <mergeCell ref="A484:A502"/>
    <mergeCell ref="A503:A514"/>
    <mergeCell ref="A428:A438"/>
    <mergeCell ref="A416:A427"/>
    <mergeCell ref="A404:A415"/>
  </mergeCells>
  <conditionalFormatting sqref="F4">
    <cfRule type="containsText" dxfId="41" priority="598" operator="containsText" text="Pesquisa">
      <formula>NOT(ISERROR(SEARCH("Pesquisa",F4)))</formula>
    </cfRule>
  </conditionalFormatting>
  <conditionalFormatting sqref="C15:D15">
    <cfRule type="containsText" dxfId="40" priority="632" operator="containsText" text="Pesquisa de Preços">
      <formula>NOT(ISERROR(SEARCH("Pesquisa de Preços",C15)))</formula>
    </cfRule>
  </conditionalFormatting>
  <conditionalFormatting sqref="C7:D7">
    <cfRule type="containsText" dxfId="39" priority="631" operator="containsText" text="Pesquisa de Preços">
      <formula>NOT(ISERROR(SEARCH("Pesquisa de Preços",C7)))</formula>
    </cfRule>
  </conditionalFormatting>
  <conditionalFormatting sqref="C6:D6">
    <cfRule type="containsText" dxfId="38" priority="630" operator="containsText" text="Pesquisa de Preços">
      <formula>NOT(ISERROR(SEARCH("Pesquisa de Preços",C6)))</formula>
    </cfRule>
  </conditionalFormatting>
  <conditionalFormatting sqref="C8:D10">
    <cfRule type="containsText" dxfId="37" priority="629" operator="containsText" text="Pesquisa de Preços">
      <formula>NOT(ISERROR(SEARCH("Pesquisa de Preços",C8)))</formula>
    </cfRule>
  </conditionalFormatting>
  <conditionalFormatting sqref="C29:D36">
    <cfRule type="containsText" dxfId="36" priority="628" operator="containsText" text="Pesquisa de Preços">
      <formula>NOT(ISERROR(SEARCH("Pesquisa de Preços",C29)))</formula>
    </cfRule>
  </conditionalFormatting>
  <conditionalFormatting sqref="D27">
    <cfRule type="containsText" dxfId="35" priority="625" operator="containsText" text="Pesquisa de Preços">
      <formula>NOT(ISERROR(SEARCH("Pesquisa de Preços",D27)))</formula>
    </cfRule>
  </conditionalFormatting>
  <conditionalFormatting sqref="C37:D37">
    <cfRule type="containsText" dxfId="34" priority="627" operator="containsText" text="Pesquisa de Preços">
      <formula>NOT(ISERROR(SEARCH("Pesquisa de Preços",C37)))</formula>
    </cfRule>
  </conditionalFormatting>
  <conditionalFormatting sqref="C28:D28">
    <cfRule type="containsText" dxfId="33" priority="626" operator="containsText" text="Pesquisa de Preços">
      <formula>NOT(ISERROR(SEARCH("Pesquisa de Preços",C28)))</formula>
    </cfRule>
  </conditionalFormatting>
  <conditionalFormatting sqref="C27">
    <cfRule type="containsText" dxfId="32" priority="624"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34"/>
  <sheetViews>
    <sheetView view="pageBreakPreview" zoomScale="60" zoomScaleNormal="80" workbookViewId="0">
      <pane ySplit="5" topLeftCell="A6" activePane="bottomLeft" state="frozen"/>
      <selection pane="bottomLeft" activeCell="F8" sqref="F8"/>
    </sheetView>
  </sheetViews>
  <sheetFormatPr defaultRowHeight="15" x14ac:dyDescent="0.25"/>
  <cols>
    <col min="1" max="1" width="46.85546875" style="165" customWidth="1"/>
    <col min="2" max="2" width="65.7109375" style="5" customWidth="1"/>
    <col min="3" max="3" width="15.7109375" style="4"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254" t="s">
        <v>7768</v>
      </c>
      <c r="B1" s="254"/>
      <c r="C1" s="254"/>
      <c r="D1" s="254"/>
      <c r="E1" s="254"/>
      <c r="F1" s="254"/>
      <c r="G1" s="254"/>
      <c r="H1" s="77"/>
      <c r="I1" s="79"/>
    </row>
    <row r="2" spans="1:9" ht="24.95" customHeight="1" x14ac:dyDescent="0.25">
      <c r="A2" s="255" t="s">
        <v>1455</v>
      </c>
      <c r="B2" s="255"/>
      <c r="C2" s="255"/>
      <c r="D2" s="255"/>
      <c r="E2" s="255"/>
      <c r="F2" s="255"/>
      <c r="G2" s="255"/>
      <c r="H2" s="13"/>
      <c r="I2" s="79"/>
    </row>
    <row r="3" spans="1:9" ht="20.100000000000001" customHeight="1" x14ac:dyDescent="0.25">
      <c r="A3" s="256" t="s">
        <v>7772</v>
      </c>
      <c r="B3" s="256"/>
      <c r="C3" s="256"/>
      <c r="D3" s="256"/>
      <c r="E3" s="256"/>
      <c r="F3" s="256"/>
      <c r="G3" s="256"/>
      <c r="H3" s="14"/>
      <c r="I3" s="79"/>
    </row>
    <row r="4" spans="1:9" s="169" customFormat="1" ht="20.100000000000001" customHeight="1" thickBot="1" x14ac:dyDescent="0.3">
      <c r="A4" s="170"/>
      <c r="B4" s="171"/>
      <c r="C4" s="172"/>
      <c r="D4" s="171"/>
      <c r="E4" s="171"/>
      <c r="F4" s="171"/>
      <c r="G4" s="171"/>
      <c r="H4" s="173"/>
      <c r="I4" s="174"/>
    </row>
    <row r="5" spans="1:9" ht="65.099999999999994" customHeight="1" thickBot="1" x14ac:dyDescent="0.3">
      <c r="A5" s="93" t="s">
        <v>2</v>
      </c>
      <c r="B5" s="94" t="s">
        <v>3</v>
      </c>
      <c r="C5" s="118" t="s">
        <v>4</v>
      </c>
      <c r="D5" s="94" t="s">
        <v>5</v>
      </c>
      <c r="E5" s="94" t="s">
        <v>6</v>
      </c>
      <c r="F5" s="17" t="s">
        <v>7</v>
      </c>
      <c r="G5" s="17" t="s">
        <v>1420</v>
      </c>
      <c r="H5" s="20"/>
      <c r="I5" s="80" t="s">
        <v>9</v>
      </c>
    </row>
    <row r="6" spans="1:9" ht="15.75" thickBot="1" x14ac:dyDescent="0.3">
      <c r="A6" s="252" t="s">
        <v>3529</v>
      </c>
      <c r="B6" s="37" t="s">
        <v>523</v>
      </c>
      <c r="C6" s="74" t="s">
        <v>122</v>
      </c>
      <c r="D6" s="85"/>
      <c r="E6" s="38" t="s">
        <v>523</v>
      </c>
      <c r="F6" s="38" t="str">
        <f t="shared" ref="F6:F19" si="0">IF(ISNUMBER(E6),ROUND(E6*$D6,2),"")</f>
        <v/>
      </c>
      <c r="G6" s="25"/>
      <c r="H6" s="26"/>
      <c r="I6" s="142">
        <v>3.1148119999999997</v>
      </c>
    </row>
    <row r="7" spans="1:9" x14ac:dyDescent="0.25">
      <c r="A7" s="247"/>
      <c r="B7" s="28" t="s">
        <v>523</v>
      </c>
      <c r="C7" s="75"/>
      <c r="D7" s="83"/>
      <c r="E7" s="39" t="s">
        <v>523</v>
      </c>
      <c r="F7" s="27" t="str">
        <f t="shared" si="0"/>
        <v/>
      </c>
      <c r="G7" s="31"/>
      <c r="H7" s="27"/>
      <c r="I7" s="142">
        <v>3.1148119999999997</v>
      </c>
    </row>
    <row r="8" spans="1:9" ht="51" x14ac:dyDescent="0.25">
      <c r="A8" s="247"/>
      <c r="B8" s="32" t="s">
        <v>1080</v>
      </c>
      <c r="C8" s="46" t="s">
        <v>945</v>
      </c>
      <c r="D8" s="33">
        <v>1.3899999999999999E-2</v>
      </c>
      <c r="E8" s="30">
        <v>169.31849999999997</v>
      </c>
      <c r="F8" s="30">
        <f t="shared" si="0"/>
        <v>2.35</v>
      </c>
      <c r="G8" s="41">
        <f>SUM(F8:F9)</f>
        <v>2.6100000000000003</v>
      </c>
      <c r="H8" s="42"/>
      <c r="I8" s="142">
        <v>3.1148119999999997</v>
      </c>
    </row>
    <row r="9" spans="1:9" ht="51" x14ac:dyDescent="0.25">
      <c r="A9" s="247"/>
      <c r="B9" s="32" t="s">
        <v>1081</v>
      </c>
      <c r="C9" s="46" t="s">
        <v>947</v>
      </c>
      <c r="D9" s="33">
        <v>6.0000000000000001E-3</v>
      </c>
      <c r="E9" s="30">
        <v>43.946999999999996</v>
      </c>
      <c r="F9" s="30">
        <f t="shared" si="0"/>
        <v>0.26</v>
      </c>
      <c r="G9" s="41"/>
      <c r="H9" s="42"/>
      <c r="I9" s="142">
        <v>3.1148119999999997</v>
      </c>
    </row>
    <row r="10" spans="1:9" ht="15.75" thickBot="1" x14ac:dyDescent="0.3">
      <c r="A10" s="253"/>
      <c r="B10" s="51" t="s">
        <v>523</v>
      </c>
      <c r="C10" s="76"/>
      <c r="D10" s="87"/>
      <c r="E10" s="63" t="s">
        <v>523</v>
      </c>
      <c r="F10" s="63" t="str">
        <f t="shared" si="0"/>
        <v/>
      </c>
      <c r="G10" s="65"/>
      <c r="H10" s="27"/>
      <c r="I10" s="142">
        <v>3.1148119999999997</v>
      </c>
    </row>
    <row r="11" spans="1:9" ht="15.75" hidden="1" thickBot="1" x14ac:dyDescent="0.3">
      <c r="A11" s="252" t="s">
        <v>7775</v>
      </c>
      <c r="B11" s="37" t="s">
        <v>523</v>
      </c>
      <c r="C11" s="74" t="s">
        <v>901</v>
      </c>
      <c r="D11" s="85"/>
      <c r="E11" s="24" t="s">
        <v>523</v>
      </c>
      <c r="F11" s="22" t="str">
        <f t="shared" si="0"/>
        <v/>
      </c>
      <c r="G11" s="25"/>
      <c r="H11" s="26"/>
      <c r="I11" s="142">
        <v>0</v>
      </c>
    </row>
    <row r="12" spans="1:9" ht="15.75" hidden="1" thickBot="1" x14ac:dyDescent="0.3">
      <c r="A12" s="247"/>
      <c r="B12" s="28" t="s">
        <v>523</v>
      </c>
      <c r="C12" s="75"/>
      <c r="D12" s="83"/>
      <c r="E12" s="27" t="s">
        <v>523</v>
      </c>
      <c r="F12" s="27" t="str">
        <f t="shared" si="0"/>
        <v/>
      </c>
      <c r="G12" s="31"/>
      <c r="H12" s="27"/>
      <c r="I12" s="142">
        <v>0</v>
      </c>
    </row>
    <row r="13" spans="1:9" ht="15.75" hidden="1" thickBot="1" x14ac:dyDescent="0.3">
      <c r="A13" s="247"/>
      <c r="B13" s="32" t="s">
        <v>1454</v>
      </c>
      <c r="C13" s="46" t="s">
        <v>901</v>
      </c>
      <c r="D13" s="33">
        <v>1.07</v>
      </c>
      <c r="E13" s="27">
        <v>9.6234999999999999</v>
      </c>
      <c r="F13" s="30">
        <f t="shared" si="0"/>
        <v>10.3</v>
      </c>
      <c r="G13" s="41">
        <f>SUM(F13:F15)</f>
        <v>12.850000000000001</v>
      </c>
      <c r="H13" s="42"/>
      <c r="I13" s="142">
        <v>0</v>
      </c>
    </row>
    <row r="14" spans="1:9" ht="15.75" hidden="1" thickBot="1" x14ac:dyDescent="0.3">
      <c r="A14" s="247"/>
      <c r="B14" s="32" t="s">
        <v>903</v>
      </c>
      <c r="C14" s="46" t="s">
        <v>705</v>
      </c>
      <c r="D14" s="33">
        <v>1.3100000000000001E-2</v>
      </c>
      <c r="E14" s="30">
        <v>18.3825</v>
      </c>
      <c r="F14" s="30">
        <f t="shared" si="0"/>
        <v>0.24</v>
      </c>
      <c r="G14" s="41"/>
      <c r="H14" s="42"/>
      <c r="I14" s="142">
        <v>0</v>
      </c>
    </row>
    <row r="15" spans="1:9" ht="15.75" hidden="1" thickBot="1" x14ac:dyDescent="0.3">
      <c r="A15" s="247"/>
      <c r="B15" s="32" t="s">
        <v>904</v>
      </c>
      <c r="C15" s="46" t="s">
        <v>705</v>
      </c>
      <c r="D15" s="33">
        <v>9.3299999999999994E-2</v>
      </c>
      <c r="E15" s="27">
        <v>24.747499999999999</v>
      </c>
      <c r="F15" s="30">
        <f t="shared" si="0"/>
        <v>2.31</v>
      </c>
      <c r="G15" s="41"/>
      <c r="H15" s="42"/>
      <c r="I15" s="142">
        <v>0</v>
      </c>
    </row>
    <row r="16" spans="1:9" ht="15.75" hidden="1" thickBot="1" x14ac:dyDescent="0.3">
      <c r="A16" s="253"/>
      <c r="B16" s="51" t="s">
        <v>523</v>
      </c>
      <c r="C16" s="76"/>
      <c r="D16" s="87"/>
      <c r="E16" s="63" t="s">
        <v>523</v>
      </c>
      <c r="F16" s="64" t="str">
        <f t="shared" si="0"/>
        <v/>
      </c>
      <c r="G16" s="65"/>
      <c r="H16" s="27"/>
      <c r="I16" s="142">
        <v>0</v>
      </c>
    </row>
    <row r="17" spans="1:9" ht="15.75" customHeight="1" thickBot="1" x14ac:dyDescent="0.3">
      <c r="A17" s="252" t="s">
        <v>3532</v>
      </c>
      <c r="B17" s="37" t="s">
        <v>523</v>
      </c>
      <c r="C17" s="74" t="s">
        <v>120</v>
      </c>
      <c r="D17" s="85"/>
      <c r="E17" s="24" t="s">
        <v>523</v>
      </c>
      <c r="F17" s="22" t="str">
        <f t="shared" si="0"/>
        <v/>
      </c>
      <c r="G17" s="25"/>
      <c r="H17" s="26"/>
      <c r="I17" s="142">
        <v>0.15574060000000001</v>
      </c>
    </row>
    <row r="18" spans="1:9" x14ac:dyDescent="0.25">
      <c r="A18" s="247"/>
      <c r="B18" s="28" t="s">
        <v>523</v>
      </c>
      <c r="C18" s="75"/>
      <c r="D18" s="83"/>
      <c r="E18" s="27" t="s">
        <v>523</v>
      </c>
      <c r="F18" s="27" t="str">
        <f t="shared" si="0"/>
        <v/>
      </c>
      <c r="G18" s="31"/>
      <c r="H18" s="27"/>
      <c r="I18" s="142">
        <v>0.15574060000000001</v>
      </c>
    </row>
    <row r="19" spans="1:9" ht="51" x14ac:dyDescent="0.25">
      <c r="A19" s="247"/>
      <c r="B19" s="32" t="s">
        <v>1104</v>
      </c>
      <c r="C19" s="46" t="s">
        <v>945</v>
      </c>
      <c r="D19" s="33">
        <v>8.3000000000000001E-3</v>
      </c>
      <c r="E19" s="27">
        <v>189.9905</v>
      </c>
      <c r="F19" s="30">
        <f t="shared" si="0"/>
        <v>1.58</v>
      </c>
      <c r="G19" s="41">
        <f>SUM(F19:F22)</f>
        <v>7.8757193500000007</v>
      </c>
      <c r="H19" s="42"/>
      <c r="I19" s="142">
        <v>0.15574060000000001</v>
      </c>
    </row>
    <row r="20" spans="1:9" ht="38.25" x14ac:dyDescent="0.25">
      <c r="A20" s="247"/>
      <c r="B20" s="32" t="s">
        <v>3206</v>
      </c>
      <c r="C20" s="43" t="s">
        <v>947</v>
      </c>
      <c r="D20" s="33">
        <v>1.5100000000000001E-2</v>
      </c>
      <c r="E20" s="27">
        <v>58.462999999999994</v>
      </c>
      <c r="F20" s="30">
        <f>IF(ISNUMBER(E20),E20*$D20,"")</f>
        <v>0.88279129999999995</v>
      </c>
      <c r="G20" s="41"/>
      <c r="H20" s="42"/>
      <c r="I20" s="142">
        <v>0.15574060000000001</v>
      </c>
    </row>
    <row r="21" spans="1:9" ht="51" x14ac:dyDescent="0.25">
      <c r="A21" s="247"/>
      <c r="B21" s="32" t="s">
        <v>1080</v>
      </c>
      <c r="C21" s="43" t="s">
        <v>945</v>
      </c>
      <c r="D21" s="33">
        <v>2.6700000000000002E-2</v>
      </c>
      <c r="E21" s="27">
        <v>169.3185</v>
      </c>
      <c r="F21" s="30">
        <f>IF(ISNUMBER(E21),E21*$D21,"")</f>
        <v>4.5208039500000003</v>
      </c>
      <c r="G21" s="41"/>
      <c r="H21" s="42"/>
      <c r="I21" s="142">
        <v>0.15574060000000001</v>
      </c>
    </row>
    <row r="22" spans="1:9" ht="51" x14ac:dyDescent="0.25">
      <c r="A22" s="247"/>
      <c r="B22" s="32" t="s">
        <v>1081</v>
      </c>
      <c r="C22" s="43" t="s">
        <v>947</v>
      </c>
      <c r="D22" s="33">
        <v>2.0299999999999999E-2</v>
      </c>
      <c r="E22" s="27">
        <v>43.946999999999996</v>
      </c>
      <c r="F22" s="30">
        <f>IF(ISNUMBER(E22),E22*$D22,"")</f>
        <v>0.89212409999999986</v>
      </c>
      <c r="G22" s="41"/>
      <c r="H22" s="42"/>
      <c r="I22" s="142">
        <v>0.15574060000000001</v>
      </c>
    </row>
    <row r="23" spans="1:9" ht="15.75" thickBot="1" x14ac:dyDescent="0.3">
      <c r="A23" s="253"/>
      <c r="B23" s="51" t="s">
        <v>523</v>
      </c>
      <c r="C23" s="76"/>
      <c r="D23" s="87"/>
      <c r="E23" s="63" t="s">
        <v>523</v>
      </c>
      <c r="F23" s="64" t="str">
        <f t="shared" ref="F23:F30" si="1">IF(ISNUMBER(E23),ROUND(E23*$D23,2),"")</f>
        <v/>
      </c>
      <c r="G23" s="65"/>
      <c r="H23" s="27"/>
      <c r="I23" s="142">
        <v>0.15574060000000001</v>
      </c>
    </row>
    <row r="24" spans="1:9" ht="40.15" hidden="1" customHeight="1" x14ac:dyDescent="0.25">
      <c r="A24" s="252" t="s">
        <v>1348</v>
      </c>
      <c r="B24" s="37" t="s">
        <v>523</v>
      </c>
      <c r="C24" s="74" t="s">
        <v>120</v>
      </c>
      <c r="D24" s="85"/>
      <c r="E24" s="38" t="s">
        <v>523</v>
      </c>
      <c r="F24" s="38" t="str">
        <f t="shared" si="1"/>
        <v/>
      </c>
      <c r="G24" s="25"/>
      <c r="H24" s="26"/>
      <c r="I24" s="142">
        <v>0</v>
      </c>
    </row>
    <row r="25" spans="1:9" hidden="1" x14ac:dyDescent="0.25">
      <c r="A25" s="247"/>
      <c r="B25" s="28" t="s">
        <v>523</v>
      </c>
      <c r="C25" s="75"/>
      <c r="D25" s="83"/>
      <c r="E25" s="89" t="s">
        <v>523</v>
      </c>
      <c r="F25" s="90" t="str">
        <f t="shared" si="1"/>
        <v/>
      </c>
      <c r="G25" s="31"/>
      <c r="H25" s="27"/>
      <c r="I25" s="142">
        <v>0</v>
      </c>
    </row>
    <row r="26" spans="1:9" hidden="1" x14ac:dyDescent="0.25">
      <c r="A26" s="247"/>
      <c r="B26" s="32" t="s">
        <v>113</v>
      </c>
      <c r="C26" s="46" t="s">
        <v>120</v>
      </c>
      <c r="D26" s="33">
        <v>1.36</v>
      </c>
      <c r="E26" s="30">
        <v>160.53099999999998</v>
      </c>
      <c r="F26" s="30">
        <f t="shared" si="1"/>
        <v>218.32</v>
      </c>
      <c r="G26" s="41">
        <f>SUM(F26:F32)</f>
        <v>690.12679107999998</v>
      </c>
      <c r="H26" s="42"/>
      <c r="I26" s="142">
        <v>0</v>
      </c>
    </row>
    <row r="27" spans="1:9" hidden="1" x14ac:dyDescent="0.25">
      <c r="A27" s="247"/>
      <c r="B27" s="32" t="s">
        <v>114</v>
      </c>
      <c r="C27" s="46" t="s">
        <v>901</v>
      </c>
      <c r="D27" s="33">
        <v>459.85</v>
      </c>
      <c r="E27" s="30">
        <v>0.64600000000000002</v>
      </c>
      <c r="F27" s="30">
        <f t="shared" si="1"/>
        <v>297.06</v>
      </c>
      <c r="G27" s="41"/>
      <c r="H27" s="42"/>
      <c r="I27" s="142">
        <v>0</v>
      </c>
    </row>
    <row r="28" spans="1:9" ht="25.5" hidden="1" x14ac:dyDescent="0.25">
      <c r="A28" s="247"/>
      <c r="B28" s="32" t="s">
        <v>116</v>
      </c>
      <c r="C28" s="46" t="s">
        <v>705</v>
      </c>
      <c r="D28" s="33">
        <v>4.8499999999999996</v>
      </c>
      <c r="E28" s="27">
        <v>18.534500000000001</v>
      </c>
      <c r="F28" s="30">
        <f t="shared" si="1"/>
        <v>89.89</v>
      </c>
      <c r="G28" s="41"/>
      <c r="H28" s="42"/>
      <c r="I28" s="142">
        <v>0</v>
      </c>
    </row>
    <row r="29" spans="1:9" ht="38.25" hidden="1" x14ac:dyDescent="0.25">
      <c r="A29" s="247"/>
      <c r="B29" s="32" t="s">
        <v>1427</v>
      </c>
      <c r="C29" s="46" t="s">
        <v>945</v>
      </c>
      <c r="D29" s="33">
        <v>1.1299999999999999</v>
      </c>
      <c r="E29" s="27">
        <v>1.3964999999999999</v>
      </c>
      <c r="F29" s="30">
        <f t="shared" si="1"/>
        <v>1.58</v>
      </c>
      <c r="G29" s="41"/>
      <c r="H29" s="42"/>
      <c r="I29" s="142">
        <v>0</v>
      </c>
    </row>
    <row r="30" spans="1:9" ht="38.25" hidden="1" x14ac:dyDescent="0.25">
      <c r="A30" s="247"/>
      <c r="B30" s="32" t="s">
        <v>1428</v>
      </c>
      <c r="C30" s="46" t="s">
        <v>947</v>
      </c>
      <c r="D30" s="33">
        <v>3.72</v>
      </c>
      <c r="E30" s="27">
        <v>0.3705</v>
      </c>
      <c r="F30" s="30">
        <f t="shared" si="1"/>
        <v>1.38</v>
      </c>
      <c r="G30" s="41"/>
      <c r="H30" s="42"/>
      <c r="I30" s="142">
        <v>0</v>
      </c>
    </row>
    <row r="31" spans="1:9" ht="51" hidden="1" x14ac:dyDescent="0.25">
      <c r="A31" s="247"/>
      <c r="B31" s="32" t="s">
        <v>3532</v>
      </c>
      <c r="C31" s="32" t="s">
        <v>120</v>
      </c>
      <c r="D31" s="33">
        <f>D26</f>
        <v>1.36</v>
      </c>
      <c r="E31" s="27">
        <v>7.8726404999999993</v>
      </c>
      <c r="F31" s="30">
        <f>IF(ISNUMBER(E31),E31*$D31,"")</f>
        <v>10.70679108</v>
      </c>
      <c r="G31" s="41"/>
      <c r="H31" s="42"/>
      <c r="I31" s="142">
        <v>0</v>
      </c>
    </row>
    <row r="32" spans="1:9" ht="38.25" hidden="1" x14ac:dyDescent="0.25">
      <c r="A32" s="247"/>
      <c r="B32" s="32" t="s">
        <v>3529</v>
      </c>
      <c r="C32" s="46" t="s">
        <v>122</v>
      </c>
      <c r="D32" s="33">
        <f>20*D26</f>
        <v>27.200000000000003</v>
      </c>
      <c r="E32" s="30">
        <v>2.6172091499999994</v>
      </c>
      <c r="F32" s="30">
        <f t="shared" ref="F32:F52" si="2">IF(ISNUMBER(E32),ROUND(E32*$D32,2),"")</f>
        <v>71.19</v>
      </c>
      <c r="G32" s="41"/>
      <c r="H32" s="42"/>
      <c r="I32" s="142">
        <v>0</v>
      </c>
    </row>
    <row r="33" spans="1:9" hidden="1" x14ac:dyDescent="0.25">
      <c r="A33" s="247"/>
      <c r="B33" s="47"/>
      <c r="C33" s="119"/>
      <c r="D33" s="33"/>
      <c r="E33" s="27" t="s">
        <v>523</v>
      </c>
      <c r="F33" s="30" t="str">
        <f t="shared" si="2"/>
        <v/>
      </c>
      <c r="G33" s="41"/>
      <c r="H33" s="42"/>
      <c r="I33" s="142">
        <v>0</v>
      </c>
    </row>
    <row r="34" spans="1:9" hidden="1" x14ac:dyDescent="0.25">
      <c r="A34" s="247"/>
      <c r="B34" s="44" t="s">
        <v>757</v>
      </c>
      <c r="C34" s="119"/>
      <c r="D34" s="33"/>
      <c r="E34" s="27" t="s">
        <v>523</v>
      </c>
      <c r="F34" s="30" t="str">
        <f t="shared" si="2"/>
        <v/>
      </c>
      <c r="G34" s="41"/>
      <c r="H34" s="42"/>
      <c r="I34" s="142">
        <v>0</v>
      </c>
    </row>
    <row r="35" spans="1:9" ht="15.75" hidden="1" thickBot="1" x14ac:dyDescent="0.3">
      <c r="A35" s="253"/>
      <c r="B35" s="95" t="s">
        <v>6408</v>
      </c>
      <c r="C35" s="76"/>
      <c r="D35" s="87"/>
      <c r="E35" s="63" t="s">
        <v>523</v>
      </c>
      <c r="F35" s="63" t="str">
        <f t="shared" si="2"/>
        <v/>
      </c>
      <c r="G35" s="65"/>
      <c r="H35" s="27"/>
      <c r="I35" s="142">
        <v>0</v>
      </c>
    </row>
    <row r="36" spans="1:9" ht="27.75" hidden="1" customHeight="1" x14ac:dyDescent="0.25">
      <c r="A36" s="252" t="s">
        <v>3693</v>
      </c>
      <c r="B36" s="37" t="s">
        <v>523</v>
      </c>
      <c r="C36" s="74" t="s">
        <v>995</v>
      </c>
      <c r="D36" s="85"/>
      <c r="E36" s="38" t="s">
        <v>523</v>
      </c>
      <c r="F36" s="38" t="str">
        <f t="shared" si="2"/>
        <v/>
      </c>
      <c r="G36" s="25"/>
      <c r="H36" s="26"/>
      <c r="I36" s="142">
        <v>0</v>
      </c>
    </row>
    <row r="37" spans="1:9" ht="27.75" hidden="1" customHeight="1" x14ac:dyDescent="0.25">
      <c r="A37" s="247"/>
      <c r="B37" s="28" t="s">
        <v>523</v>
      </c>
      <c r="C37" s="75"/>
      <c r="D37" s="83"/>
      <c r="E37" s="89" t="s">
        <v>523</v>
      </c>
      <c r="F37" s="90" t="str">
        <f t="shared" si="2"/>
        <v/>
      </c>
      <c r="G37" s="31"/>
      <c r="H37" s="27"/>
      <c r="I37" s="142">
        <v>0</v>
      </c>
    </row>
    <row r="38" spans="1:9" ht="27.75" hidden="1" customHeight="1" x14ac:dyDescent="0.25">
      <c r="A38" s="247"/>
      <c r="B38" s="32" t="s">
        <v>3711</v>
      </c>
      <c r="C38" s="46" t="s">
        <v>480</v>
      </c>
      <c r="D38" s="33">
        <v>4.4320000000000004</v>
      </c>
      <c r="E38" s="30">
        <v>3.0019999999999998</v>
      </c>
      <c r="F38" s="30">
        <f t="shared" si="2"/>
        <v>13.3</v>
      </c>
      <c r="G38" s="41">
        <f>SUM(F38:F44)</f>
        <v>240.52999999999997</v>
      </c>
      <c r="H38" s="42"/>
      <c r="I38" s="142">
        <v>0</v>
      </c>
    </row>
    <row r="39" spans="1:9" ht="27.75" hidden="1" customHeight="1" x14ac:dyDescent="0.25">
      <c r="A39" s="247"/>
      <c r="B39" s="32" t="s">
        <v>1371</v>
      </c>
      <c r="C39" s="46" t="s">
        <v>901</v>
      </c>
      <c r="D39" s="33">
        <v>8.5999999999999993E-2</v>
      </c>
      <c r="E39" s="30">
        <v>22.077999999999996</v>
      </c>
      <c r="F39" s="30">
        <f t="shared" si="2"/>
        <v>1.9</v>
      </c>
      <c r="G39" s="41"/>
      <c r="H39" s="42"/>
      <c r="I39" s="142">
        <v>0</v>
      </c>
    </row>
    <row r="40" spans="1:9" ht="27.75" hidden="1" customHeight="1" x14ac:dyDescent="0.25">
      <c r="A40" s="247"/>
      <c r="B40" s="32" t="s">
        <v>3759</v>
      </c>
      <c r="C40" s="46" t="s">
        <v>480</v>
      </c>
      <c r="D40" s="33">
        <v>6.53</v>
      </c>
      <c r="E40" s="27">
        <v>30.950999999999997</v>
      </c>
      <c r="F40" s="30">
        <f t="shared" si="2"/>
        <v>202.11</v>
      </c>
      <c r="G40" s="41"/>
      <c r="H40" s="42"/>
      <c r="I40" s="142">
        <v>0</v>
      </c>
    </row>
    <row r="41" spans="1:9" ht="27.75" hidden="1" customHeight="1" x14ac:dyDescent="0.25">
      <c r="A41" s="247"/>
      <c r="B41" s="32" t="s">
        <v>788</v>
      </c>
      <c r="C41" s="46" t="s">
        <v>705</v>
      </c>
      <c r="D41" s="33">
        <v>0.14299999999999999</v>
      </c>
      <c r="E41" s="27">
        <v>19.494</v>
      </c>
      <c r="F41" s="30">
        <f t="shared" si="2"/>
        <v>2.79</v>
      </c>
      <c r="G41" s="41"/>
      <c r="H41" s="42"/>
      <c r="I41" s="142">
        <v>0</v>
      </c>
    </row>
    <row r="42" spans="1:9" ht="27.75" hidden="1" customHeight="1" x14ac:dyDescent="0.25">
      <c r="A42" s="247"/>
      <c r="B42" s="32" t="s">
        <v>996</v>
      </c>
      <c r="C42" s="46" t="s">
        <v>705</v>
      </c>
      <c r="D42" s="33">
        <v>0.71499999999999997</v>
      </c>
      <c r="E42" s="27">
        <v>24.633499999999998</v>
      </c>
      <c r="F42" s="30">
        <f t="shared" si="2"/>
        <v>17.61</v>
      </c>
      <c r="G42" s="41"/>
      <c r="H42" s="42"/>
      <c r="I42" s="142">
        <v>0</v>
      </c>
    </row>
    <row r="43" spans="1:9" ht="27.75" hidden="1" customHeight="1" x14ac:dyDescent="0.25">
      <c r="A43" s="247"/>
      <c r="B43" s="32" t="s">
        <v>1159</v>
      </c>
      <c r="C43" s="46" t="s">
        <v>945</v>
      </c>
      <c r="D43" s="33">
        <v>0.05</v>
      </c>
      <c r="E43" s="27">
        <v>20.225499999999997</v>
      </c>
      <c r="F43" s="30">
        <f t="shared" si="2"/>
        <v>1.01</v>
      </c>
      <c r="G43" s="41"/>
      <c r="H43" s="42"/>
      <c r="I43" s="142">
        <v>0</v>
      </c>
    </row>
    <row r="44" spans="1:9" ht="27.75" hidden="1" customHeight="1" x14ac:dyDescent="0.25">
      <c r="A44" s="247"/>
      <c r="B44" s="32" t="s">
        <v>1160</v>
      </c>
      <c r="C44" s="46" t="s">
        <v>947</v>
      </c>
      <c r="D44" s="33">
        <v>9.2999999999999999E-2</v>
      </c>
      <c r="E44" s="30">
        <v>19.446499999999997</v>
      </c>
      <c r="F44" s="30">
        <f t="shared" si="2"/>
        <v>1.81</v>
      </c>
      <c r="G44" s="41"/>
      <c r="H44" s="42"/>
      <c r="I44" s="142">
        <v>0</v>
      </c>
    </row>
    <row r="45" spans="1:9" ht="27.75" hidden="1" customHeight="1" x14ac:dyDescent="0.25">
      <c r="A45" s="253"/>
      <c r="B45" s="95"/>
      <c r="C45" s="76"/>
      <c r="D45" s="87"/>
      <c r="E45" s="63" t="s">
        <v>523</v>
      </c>
      <c r="F45" s="63" t="str">
        <f t="shared" si="2"/>
        <v/>
      </c>
      <c r="G45" s="65"/>
      <c r="H45" s="27"/>
      <c r="I45" s="142">
        <v>0</v>
      </c>
    </row>
    <row r="46" spans="1:9" ht="40.15" hidden="1" customHeight="1" x14ac:dyDescent="0.25">
      <c r="A46" s="252" t="s">
        <v>3234</v>
      </c>
      <c r="B46" s="37" t="s">
        <v>523</v>
      </c>
      <c r="C46" s="74" t="s">
        <v>120</v>
      </c>
      <c r="D46" s="85"/>
      <c r="E46" s="38" t="s">
        <v>523</v>
      </c>
      <c r="F46" s="38" t="str">
        <f t="shared" si="2"/>
        <v/>
      </c>
      <c r="G46" s="25"/>
      <c r="H46" s="26"/>
      <c r="I46" s="142">
        <v>0</v>
      </c>
    </row>
    <row r="47" spans="1:9" hidden="1" x14ac:dyDescent="0.25">
      <c r="A47" s="247"/>
      <c r="B47" s="28" t="s">
        <v>523</v>
      </c>
      <c r="C47" s="75"/>
      <c r="D47" s="83"/>
      <c r="E47" s="89" t="s">
        <v>523</v>
      </c>
      <c r="F47" s="90" t="str">
        <f t="shared" si="2"/>
        <v/>
      </c>
      <c r="G47" s="31"/>
      <c r="H47" s="27"/>
      <c r="I47" s="142">
        <v>0</v>
      </c>
    </row>
    <row r="48" spans="1:9" ht="25.5" hidden="1" x14ac:dyDescent="0.25">
      <c r="A48" s="247"/>
      <c r="B48" s="32" t="s">
        <v>1291</v>
      </c>
      <c r="C48" s="46" t="s">
        <v>120</v>
      </c>
      <c r="D48" s="33">
        <v>0.95</v>
      </c>
      <c r="E48" s="30">
        <v>162.62100000000001</v>
      </c>
      <c r="F48" s="30">
        <f t="shared" si="2"/>
        <v>154.49</v>
      </c>
      <c r="G48" s="41">
        <f>SUM(F48:F57)</f>
        <v>569.91900847500006</v>
      </c>
      <c r="H48" s="42"/>
      <c r="I48" s="142">
        <v>0</v>
      </c>
    </row>
    <row r="49" spans="1:9" hidden="1" x14ac:dyDescent="0.25">
      <c r="A49" s="247"/>
      <c r="B49" s="32" t="s">
        <v>750</v>
      </c>
      <c r="C49" s="46" t="s">
        <v>901</v>
      </c>
      <c r="D49" s="33">
        <v>426.49</v>
      </c>
      <c r="E49" s="30">
        <v>0.64600000000000002</v>
      </c>
      <c r="F49" s="30">
        <f t="shared" si="2"/>
        <v>275.51</v>
      </c>
      <c r="G49" s="41"/>
      <c r="H49" s="42"/>
      <c r="I49" s="142">
        <v>0</v>
      </c>
    </row>
    <row r="50" spans="1:9" ht="25.5" hidden="1" x14ac:dyDescent="0.25">
      <c r="A50" s="247"/>
      <c r="B50" s="32" t="s">
        <v>1446</v>
      </c>
      <c r="C50" s="46" t="s">
        <v>705</v>
      </c>
      <c r="D50" s="33">
        <v>4.32</v>
      </c>
      <c r="E50" s="27">
        <v>18.534500000000001</v>
      </c>
      <c r="F50" s="30">
        <f t="shared" si="2"/>
        <v>80.069999999999993</v>
      </c>
      <c r="G50" s="41"/>
      <c r="H50" s="42"/>
      <c r="I50" s="142">
        <v>0</v>
      </c>
    </row>
    <row r="51" spans="1:9" ht="38.25" hidden="1" x14ac:dyDescent="0.25">
      <c r="A51" s="247"/>
      <c r="B51" s="32" t="s">
        <v>117</v>
      </c>
      <c r="C51" s="46" t="s">
        <v>945</v>
      </c>
      <c r="D51" s="33">
        <v>1.01</v>
      </c>
      <c r="E51" s="27">
        <v>1.3964999999999999</v>
      </c>
      <c r="F51" s="30">
        <f t="shared" si="2"/>
        <v>1.41</v>
      </c>
      <c r="G51" s="41"/>
      <c r="H51" s="42"/>
      <c r="I51" s="142">
        <v>0</v>
      </c>
    </row>
    <row r="52" spans="1:9" ht="38.25" hidden="1" x14ac:dyDescent="0.25">
      <c r="A52" s="247"/>
      <c r="B52" s="32" t="s">
        <v>118</v>
      </c>
      <c r="C52" s="46" t="s">
        <v>947</v>
      </c>
      <c r="D52" s="33">
        <v>3.31</v>
      </c>
      <c r="E52" s="27">
        <v>0.3705</v>
      </c>
      <c r="F52" s="30">
        <f t="shared" si="2"/>
        <v>1.23</v>
      </c>
      <c r="G52" s="41"/>
      <c r="H52" s="42"/>
      <c r="I52" s="142">
        <v>0</v>
      </c>
    </row>
    <row r="53" spans="1:9" ht="51" hidden="1" x14ac:dyDescent="0.25">
      <c r="A53" s="247"/>
      <c r="B53" s="32" t="s">
        <v>3532</v>
      </c>
      <c r="C53" s="32" t="s">
        <v>120</v>
      </c>
      <c r="D53" s="33">
        <f>D48</f>
        <v>0.95</v>
      </c>
      <c r="E53" s="27">
        <v>7.8726404999999993</v>
      </c>
      <c r="F53" s="30">
        <f>IF(ISNUMBER(E53),E53*$D53,"")</f>
        <v>7.4790084749999988</v>
      </c>
      <c r="G53" s="41"/>
      <c r="H53" s="42"/>
      <c r="I53" s="142">
        <v>0</v>
      </c>
    </row>
    <row r="54" spans="1:9" ht="38.25" hidden="1" x14ac:dyDescent="0.25">
      <c r="A54" s="247"/>
      <c r="B54" s="32" t="s">
        <v>3529</v>
      </c>
      <c r="C54" s="46" t="s">
        <v>122</v>
      </c>
      <c r="D54" s="33">
        <f>20*D48</f>
        <v>19</v>
      </c>
      <c r="E54" s="30">
        <v>2.6172091499999994</v>
      </c>
      <c r="F54" s="30">
        <f t="shared" ref="F54:F66" si="3">IF(ISNUMBER(E54),ROUND(E54*$D54,2),"")</f>
        <v>49.73</v>
      </c>
      <c r="G54" s="41"/>
      <c r="H54" s="42"/>
      <c r="I54" s="142">
        <v>0</v>
      </c>
    </row>
    <row r="55" spans="1:9" hidden="1" x14ac:dyDescent="0.25">
      <c r="A55" s="247"/>
      <c r="B55" s="47"/>
      <c r="C55" s="119"/>
      <c r="D55" s="33"/>
      <c r="E55" s="27" t="s">
        <v>523</v>
      </c>
      <c r="F55" s="30" t="str">
        <f t="shared" si="3"/>
        <v/>
      </c>
      <c r="G55" s="41"/>
      <c r="H55" s="42"/>
      <c r="I55" s="142">
        <v>0</v>
      </c>
    </row>
    <row r="56" spans="1:9" hidden="1" x14ac:dyDescent="0.25">
      <c r="A56" s="247"/>
      <c r="B56" s="44" t="s">
        <v>757</v>
      </c>
      <c r="C56" s="119"/>
      <c r="D56" s="33"/>
      <c r="E56" s="27" t="s">
        <v>523</v>
      </c>
      <c r="F56" s="30" t="str">
        <f t="shared" si="3"/>
        <v/>
      </c>
      <c r="G56" s="41"/>
      <c r="H56" s="42"/>
      <c r="I56" s="142">
        <v>0</v>
      </c>
    </row>
    <row r="57" spans="1:9" hidden="1" x14ac:dyDescent="0.25">
      <c r="A57" s="247"/>
      <c r="B57" s="143" t="s">
        <v>3699</v>
      </c>
      <c r="C57" s="144"/>
      <c r="D57" s="145"/>
      <c r="E57" s="27" t="s">
        <v>523</v>
      </c>
      <c r="F57" s="27" t="str">
        <f t="shared" si="3"/>
        <v/>
      </c>
      <c r="G57" s="41"/>
      <c r="H57" s="42"/>
      <c r="I57" s="142">
        <v>0</v>
      </c>
    </row>
    <row r="58" spans="1:9" ht="15.75" hidden="1" thickBot="1" x14ac:dyDescent="0.3">
      <c r="A58" s="253"/>
      <c r="B58" s="95"/>
      <c r="C58" s="76"/>
      <c r="D58" s="87"/>
      <c r="E58" s="63" t="s">
        <v>523</v>
      </c>
      <c r="F58" s="63" t="str">
        <f t="shared" si="3"/>
        <v/>
      </c>
      <c r="G58" s="65"/>
      <c r="H58" s="27"/>
      <c r="I58" s="142">
        <v>0</v>
      </c>
    </row>
    <row r="59" spans="1:9" ht="53.45" hidden="1" customHeight="1" x14ac:dyDescent="0.25">
      <c r="A59" s="252" t="s">
        <v>154</v>
      </c>
      <c r="B59" s="37" t="s">
        <v>523</v>
      </c>
      <c r="C59" s="74" t="s">
        <v>120</v>
      </c>
      <c r="D59" s="85"/>
      <c r="E59" s="38" t="s">
        <v>523</v>
      </c>
      <c r="F59" s="38" t="str">
        <f t="shared" si="3"/>
        <v/>
      </c>
      <c r="G59" s="25"/>
      <c r="H59" s="26"/>
      <c r="I59" s="142">
        <v>0</v>
      </c>
    </row>
    <row r="60" spans="1:9" hidden="1" x14ac:dyDescent="0.25">
      <c r="A60" s="247"/>
      <c r="B60" s="28" t="s">
        <v>523</v>
      </c>
      <c r="C60" s="75"/>
      <c r="D60" s="83"/>
      <c r="E60" s="89" t="s">
        <v>523</v>
      </c>
      <c r="F60" s="90" t="str">
        <f t="shared" si="3"/>
        <v/>
      </c>
      <c r="G60" s="31"/>
      <c r="H60" s="27"/>
      <c r="I60" s="142">
        <v>0</v>
      </c>
    </row>
    <row r="61" spans="1:9" ht="25.5" hidden="1" x14ac:dyDescent="0.25">
      <c r="A61" s="247"/>
      <c r="B61" s="32" t="s">
        <v>754</v>
      </c>
      <c r="C61" s="46" t="s">
        <v>120</v>
      </c>
      <c r="D61" s="33">
        <v>1.1599999999999999</v>
      </c>
      <c r="E61" s="30">
        <v>160.53099999999998</v>
      </c>
      <c r="F61" s="30">
        <f t="shared" si="3"/>
        <v>186.22</v>
      </c>
      <c r="G61" s="41">
        <f>SUM(F61:F71)</f>
        <v>650.6922629799999</v>
      </c>
      <c r="H61" s="42"/>
      <c r="I61" s="142">
        <v>0</v>
      </c>
    </row>
    <row r="62" spans="1:9" hidden="1" x14ac:dyDescent="0.25">
      <c r="A62" s="247"/>
      <c r="B62" s="32" t="s">
        <v>1448</v>
      </c>
      <c r="C62" s="46" t="s">
        <v>901</v>
      </c>
      <c r="D62" s="33">
        <v>174.1</v>
      </c>
      <c r="E62" s="30">
        <v>1.0449999999999999</v>
      </c>
      <c r="F62" s="30">
        <f t="shared" si="3"/>
        <v>181.93</v>
      </c>
      <c r="G62" s="41"/>
      <c r="H62" s="42"/>
      <c r="I62" s="142">
        <v>0</v>
      </c>
    </row>
    <row r="63" spans="1:9" hidden="1" x14ac:dyDescent="0.25">
      <c r="A63" s="247"/>
      <c r="B63" s="32" t="s">
        <v>750</v>
      </c>
      <c r="C63" s="46" t="s">
        <v>901</v>
      </c>
      <c r="D63" s="33">
        <v>195.86</v>
      </c>
      <c r="E63" s="27">
        <v>0.64600000000000002</v>
      </c>
      <c r="F63" s="30">
        <f t="shared" si="3"/>
        <v>126.53</v>
      </c>
      <c r="G63" s="41"/>
      <c r="H63" s="42"/>
      <c r="I63" s="142">
        <v>0</v>
      </c>
    </row>
    <row r="64" spans="1:9" ht="25.5" hidden="1" x14ac:dyDescent="0.25">
      <c r="A64" s="247"/>
      <c r="B64" s="32" t="s">
        <v>1446</v>
      </c>
      <c r="C64" s="46" t="s">
        <v>705</v>
      </c>
      <c r="D64" s="33">
        <v>4.5</v>
      </c>
      <c r="E64" s="27">
        <v>18.534500000000001</v>
      </c>
      <c r="F64" s="30">
        <f t="shared" si="3"/>
        <v>83.41</v>
      </c>
      <c r="G64" s="41"/>
      <c r="H64" s="42"/>
      <c r="I64" s="142">
        <v>0</v>
      </c>
    </row>
    <row r="65" spans="1:9" ht="38.25" hidden="1" x14ac:dyDescent="0.25">
      <c r="A65" s="247"/>
      <c r="B65" s="32" t="s">
        <v>117</v>
      </c>
      <c r="C65" s="46" t="s">
        <v>945</v>
      </c>
      <c r="D65" s="33">
        <v>1.05</v>
      </c>
      <c r="E65" s="27">
        <v>1.3964999999999999</v>
      </c>
      <c r="F65" s="30">
        <f t="shared" si="3"/>
        <v>1.47</v>
      </c>
      <c r="G65" s="41"/>
      <c r="H65" s="42"/>
      <c r="I65" s="142">
        <v>0</v>
      </c>
    </row>
    <row r="66" spans="1:9" ht="38.25" hidden="1" x14ac:dyDescent="0.25">
      <c r="A66" s="247"/>
      <c r="B66" s="32" t="s">
        <v>1428</v>
      </c>
      <c r="C66" s="46" t="s">
        <v>947</v>
      </c>
      <c r="D66" s="33">
        <v>3.45</v>
      </c>
      <c r="E66" s="27">
        <v>0.3705</v>
      </c>
      <c r="F66" s="30">
        <f t="shared" si="3"/>
        <v>1.28</v>
      </c>
      <c r="G66" s="41"/>
      <c r="H66" s="42"/>
      <c r="I66" s="142">
        <v>0</v>
      </c>
    </row>
    <row r="67" spans="1:9" ht="51" hidden="1" x14ac:dyDescent="0.25">
      <c r="A67" s="247"/>
      <c r="B67" s="32" t="s">
        <v>3532</v>
      </c>
      <c r="C67" s="32" t="s">
        <v>120</v>
      </c>
      <c r="D67" s="33">
        <f>D61</f>
        <v>1.1599999999999999</v>
      </c>
      <c r="E67" s="27">
        <v>7.8726404999999993</v>
      </c>
      <c r="F67" s="30">
        <f>IF(ISNUMBER(E67),E67*$D67,"")</f>
        <v>9.1322629799999984</v>
      </c>
      <c r="G67" s="41"/>
      <c r="H67" s="42"/>
      <c r="I67" s="142">
        <v>0</v>
      </c>
    </row>
    <row r="68" spans="1:9" ht="38.25" hidden="1" x14ac:dyDescent="0.25">
      <c r="A68" s="247"/>
      <c r="B68" s="32" t="s">
        <v>3529</v>
      </c>
      <c r="C68" s="46" t="s">
        <v>122</v>
      </c>
      <c r="D68" s="33">
        <f>20*D61</f>
        <v>23.2</v>
      </c>
      <c r="E68" s="30">
        <v>2.6172091499999994</v>
      </c>
      <c r="F68" s="30">
        <f t="shared" ref="F68:F79" si="4">IF(ISNUMBER(E68),ROUND(E68*$D68,2),"")</f>
        <v>60.72</v>
      </c>
      <c r="G68" s="41"/>
      <c r="H68" s="42"/>
      <c r="I68" s="142">
        <v>0</v>
      </c>
    </row>
    <row r="69" spans="1:9" hidden="1" x14ac:dyDescent="0.25">
      <c r="A69" s="247"/>
      <c r="B69" s="47"/>
      <c r="C69" s="119"/>
      <c r="D69" s="33"/>
      <c r="E69" s="27" t="s">
        <v>523</v>
      </c>
      <c r="F69" s="30" t="str">
        <f t="shared" si="4"/>
        <v/>
      </c>
      <c r="G69" s="41"/>
      <c r="H69" s="42"/>
      <c r="I69" s="142">
        <v>0</v>
      </c>
    </row>
    <row r="70" spans="1:9" hidden="1" x14ac:dyDescent="0.25">
      <c r="A70" s="247"/>
      <c r="B70" s="44" t="s">
        <v>757</v>
      </c>
      <c r="C70" s="119"/>
      <c r="D70" s="33"/>
      <c r="E70" s="27" t="s">
        <v>523</v>
      </c>
      <c r="F70" s="30" t="str">
        <f t="shared" si="4"/>
        <v/>
      </c>
      <c r="G70" s="41"/>
      <c r="H70" s="42"/>
      <c r="I70" s="142">
        <v>0</v>
      </c>
    </row>
    <row r="71" spans="1:9" hidden="1" x14ac:dyDescent="0.25">
      <c r="A71" s="247"/>
      <c r="B71" s="143" t="s">
        <v>3699</v>
      </c>
      <c r="C71" s="144"/>
      <c r="D71" s="145"/>
      <c r="E71" s="27" t="s">
        <v>523</v>
      </c>
      <c r="F71" s="27" t="str">
        <f t="shared" si="4"/>
        <v/>
      </c>
      <c r="G71" s="41"/>
      <c r="H71" s="42"/>
      <c r="I71" s="142">
        <v>0</v>
      </c>
    </row>
    <row r="72" spans="1:9" ht="15.75" hidden="1" thickBot="1" x14ac:dyDescent="0.3">
      <c r="A72" s="253"/>
      <c r="B72" s="95"/>
      <c r="C72" s="76"/>
      <c r="D72" s="87"/>
      <c r="E72" s="63" t="s">
        <v>523</v>
      </c>
      <c r="F72" s="63" t="str">
        <f t="shared" si="4"/>
        <v/>
      </c>
      <c r="G72" s="65"/>
      <c r="H72" s="27"/>
      <c r="I72" s="142">
        <v>0</v>
      </c>
    </row>
    <row r="73" spans="1:9" ht="27.75" hidden="1" customHeight="1" x14ac:dyDescent="0.25">
      <c r="A73" s="252" t="s">
        <v>7773</v>
      </c>
      <c r="B73" s="37" t="s">
        <v>523</v>
      </c>
      <c r="C73" s="74" t="s">
        <v>901</v>
      </c>
      <c r="D73" s="85"/>
      <c r="E73" s="38" t="s">
        <v>523</v>
      </c>
      <c r="F73" s="38" t="str">
        <f t="shared" si="4"/>
        <v/>
      </c>
      <c r="G73" s="25"/>
      <c r="H73" s="26"/>
      <c r="I73" s="142">
        <v>0</v>
      </c>
    </row>
    <row r="74" spans="1:9" ht="27.75" hidden="1" customHeight="1" x14ac:dyDescent="0.25">
      <c r="A74" s="247"/>
      <c r="B74" s="28" t="s">
        <v>523</v>
      </c>
      <c r="C74" s="75"/>
      <c r="D74" s="83"/>
      <c r="E74" s="89" t="s">
        <v>523</v>
      </c>
      <c r="F74" s="90" t="str">
        <f t="shared" si="4"/>
        <v/>
      </c>
      <c r="G74" s="31"/>
      <c r="H74" s="27"/>
      <c r="I74" s="142">
        <v>0</v>
      </c>
    </row>
    <row r="75" spans="1:9" ht="27.75" hidden="1" customHeight="1" x14ac:dyDescent="0.25">
      <c r="A75" s="247"/>
      <c r="B75" s="32" t="s">
        <v>902</v>
      </c>
      <c r="C75" s="46" t="s">
        <v>280</v>
      </c>
      <c r="D75" s="33">
        <v>2.8159999999999998</v>
      </c>
      <c r="E75" s="30">
        <v>0.20899999999999999</v>
      </c>
      <c r="F75" s="30">
        <f t="shared" si="4"/>
        <v>0.59</v>
      </c>
      <c r="G75" s="41">
        <f>SUM(F75:F79)</f>
        <v>19.27</v>
      </c>
      <c r="H75" s="42"/>
      <c r="I75" s="142">
        <v>0</v>
      </c>
    </row>
    <row r="76" spans="1:9" ht="27.75" hidden="1" customHeight="1" x14ac:dyDescent="0.25">
      <c r="A76" s="247"/>
      <c r="B76" s="32" t="s">
        <v>3513</v>
      </c>
      <c r="C76" s="46" t="s">
        <v>901</v>
      </c>
      <c r="D76" s="33">
        <v>2.5000000000000001E-2</v>
      </c>
      <c r="E76" s="30">
        <v>22.61</v>
      </c>
      <c r="F76" s="30">
        <f t="shared" si="4"/>
        <v>0.56999999999999995</v>
      </c>
      <c r="G76" s="41"/>
      <c r="H76" s="42"/>
      <c r="I76" s="142">
        <v>0</v>
      </c>
    </row>
    <row r="77" spans="1:9" ht="27.75" hidden="1" customHeight="1" x14ac:dyDescent="0.25">
      <c r="A77" s="247"/>
      <c r="B77" s="32" t="s">
        <v>903</v>
      </c>
      <c r="C77" s="46" t="s">
        <v>705</v>
      </c>
      <c r="D77" s="33">
        <v>3.1E-2</v>
      </c>
      <c r="E77" s="27">
        <v>18.3825</v>
      </c>
      <c r="F77" s="30">
        <f t="shared" si="4"/>
        <v>0.56999999999999995</v>
      </c>
      <c r="G77" s="41"/>
      <c r="H77" s="42"/>
      <c r="I77" s="142">
        <v>0</v>
      </c>
    </row>
    <row r="78" spans="1:9" ht="27.75" hidden="1" customHeight="1" x14ac:dyDescent="0.25">
      <c r="A78" s="247"/>
      <c r="B78" s="32" t="s">
        <v>904</v>
      </c>
      <c r="C78" s="46" t="s">
        <v>705</v>
      </c>
      <c r="D78" s="33">
        <v>0.18959999999999999</v>
      </c>
      <c r="E78" s="27">
        <v>24.747499999999999</v>
      </c>
      <c r="F78" s="30">
        <f t="shared" si="4"/>
        <v>4.6900000000000004</v>
      </c>
      <c r="G78" s="41"/>
      <c r="H78" s="42"/>
      <c r="I78" s="142">
        <v>0</v>
      </c>
    </row>
    <row r="79" spans="1:9" ht="27.75" hidden="1" customHeight="1" x14ac:dyDescent="0.25">
      <c r="A79" s="247"/>
      <c r="B79" s="32" t="s">
        <v>1451</v>
      </c>
      <c r="C79" s="46" t="s">
        <v>901</v>
      </c>
      <c r="D79" s="33">
        <v>1</v>
      </c>
      <c r="E79" s="27">
        <v>12.846897500000001</v>
      </c>
      <c r="F79" s="30">
        <f t="shared" si="4"/>
        <v>12.85</v>
      </c>
      <c r="G79" s="41"/>
      <c r="H79" s="42"/>
      <c r="I79" s="142">
        <v>0</v>
      </c>
    </row>
    <row r="80" spans="1:9" ht="27.75" hidden="1" customHeight="1" x14ac:dyDescent="0.25">
      <c r="A80" s="253"/>
      <c r="B80" s="95"/>
      <c r="C80" s="76"/>
      <c r="D80" s="87"/>
      <c r="E80" s="63" t="s">
        <v>523</v>
      </c>
      <c r="F80" s="63" t="str">
        <f t="shared" ref="F80:F87" si="5">IF(ISNUMBER(E80),ROUND(E80*$D80,2),"")</f>
        <v/>
      </c>
      <c r="G80" s="65"/>
      <c r="H80" s="27"/>
      <c r="I80" s="142">
        <v>0</v>
      </c>
    </row>
    <row r="81" spans="1:9" ht="40.15" hidden="1" customHeight="1" x14ac:dyDescent="0.25">
      <c r="A81" s="252" t="s">
        <v>6620</v>
      </c>
      <c r="B81" s="37" t="s">
        <v>523</v>
      </c>
      <c r="C81" s="74" t="s">
        <v>120</v>
      </c>
      <c r="D81" s="85"/>
      <c r="E81" s="38" t="s">
        <v>523</v>
      </c>
      <c r="F81" s="38" t="str">
        <f t="shared" si="5"/>
        <v/>
      </c>
      <c r="G81" s="25"/>
      <c r="H81" s="26"/>
      <c r="I81" s="142">
        <v>0</v>
      </c>
    </row>
    <row r="82" spans="1:9" hidden="1" x14ac:dyDescent="0.25">
      <c r="A82" s="247"/>
      <c r="B82" s="28" t="s">
        <v>523</v>
      </c>
      <c r="C82" s="75"/>
      <c r="D82" s="83"/>
      <c r="E82" s="89" t="s">
        <v>523</v>
      </c>
      <c r="F82" s="90" t="str">
        <f t="shared" si="5"/>
        <v/>
      </c>
      <c r="G82" s="31"/>
      <c r="H82" s="27"/>
      <c r="I82" s="142">
        <v>0</v>
      </c>
    </row>
    <row r="83" spans="1:9" ht="25.5" hidden="1" x14ac:dyDescent="0.25">
      <c r="A83" s="247"/>
      <c r="B83" s="32" t="s">
        <v>754</v>
      </c>
      <c r="C83" s="46" t="s">
        <v>120</v>
      </c>
      <c r="D83" s="33">
        <v>0.71189999999999998</v>
      </c>
      <c r="E83" s="30">
        <v>160.53099999999998</v>
      </c>
      <c r="F83" s="30">
        <f t="shared" si="5"/>
        <v>114.28</v>
      </c>
      <c r="G83" s="41">
        <f>SUM(F83:F91)</f>
        <v>595.50006519629983</v>
      </c>
      <c r="H83" s="42"/>
      <c r="I83" s="142">
        <v>0</v>
      </c>
    </row>
    <row r="84" spans="1:9" hidden="1" x14ac:dyDescent="0.25">
      <c r="A84" s="247"/>
      <c r="B84" s="32" t="s">
        <v>750</v>
      </c>
      <c r="C84" s="46" t="s">
        <v>901</v>
      </c>
      <c r="D84" s="33">
        <v>391.16629999999998</v>
      </c>
      <c r="E84" s="30">
        <v>0.64600000000000002</v>
      </c>
      <c r="F84" s="30">
        <f t="shared" si="5"/>
        <v>252.69</v>
      </c>
      <c r="G84" s="41"/>
      <c r="H84" s="42"/>
      <c r="I84" s="142">
        <v>0</v>
      </c>
    </row>
    <row r="85" spans="1:9" ht="25.5" hidden="1" x14ac:dyDescent="0.25">
      <c r="A85" s="247"/>
      <c r="B85" s="32" t="s">
        <v>762</v>
      </c>
      <c r="C85" s="46" t="s">
        <v>120</v>
      </c>
      <c r="D85" s="33">
        <v>0.5927</v>
      </c>
      <c r="E85" s="27">
        <v>147.041</v>
      </c>
      <c r="F85" s="30">
        <f t="shared" si="5"/>
        <v>87.15</v>
      </c>
      <c r="G85" s="41"/>
      <c r="H85" s="42"/>
      <c r="I85" s="142">
        <v>0</v>
      </c>
    </row>
    <row r="86" spans="1:9" hidden="1" x14ac:dyDescent="0.25">
      <c r="A86" s="247"/>
      <c r="B86" s="32" t="s">
        <v>706</v>
      </c>
      <c r="C86" s="46" t="s">
        <v>705</v>
      </c>
      <c r="D86" s="33">
        <v>1.9633</v>
      </c>
      <c r="E86" s="27">
        <v>18.420500000000001</v>
      </c>
      <c r="F86" s="30">
        <f t="shared" si="5"/>
        <v>36.159999999999997</v>
      </c>
      <c r="G86" s="41"/>
      <c r="H86" s="42"/>
      <c r="I86" s="142">
        <v>0</v>
      </c>
    </row>
    <row r="87" spans="1:9" ht="25.5" hidden="1" x14ac:dyDescent="0.25">
      <c r="A87" s="247"/>
      <c r="B87" s="32" t="s">
        <v>1446</v>
      </c>
      <c r="C87" s="46" t="s">
        <v>705</v>
      </c>
      <c r="D87" s="33">
        <v>1.24</v>
      </c>
      <c r="E87" s="27">
        <v>18.534500000000001</v>
      </c>
      <c r="F87" s="30">
        <f t="shared" si="5"/>
        <v>22.98</v>
      </c>
      <c r="G87" s="41"/>
      <c r="H87" s="42"/>
      <c r="I87" s="142">
        <v>0</v>
      </c>
    </row>
    <row r="88" spans="1:9" ht="38.25" hidden="1" x14ac:dyDescent="0.25">
      <c r="A88" s="247"/>
      <c r="B88" s="32" t="s">
        <v>1370</v>
      </c>
      <c r="C88" s="32" t="s">
        <v>945</v>
      </c>
      <c r="D88" s="33">
        <v>0.63819999999999999</v>
      </c>
      <c r="E88" s="27">
        <v>4.3319999999999999</v>
      </c>
      <c r="F88" s="30">
        <f>IF(ISNUMBER(E88),E88*$D88,"")</f>
        <v>2.7646823999999999</v>
      </c>
      <c r="G88" s="41"/>
      <c r="H88" s="42"/>
      <c r="I88" s="142">
        <v>0</v>
      </c>
    </row>
    <row r="89" spans="1:9" ht="38.25" hidden="1" x14ac:dyDescent="0.25">
      <c r="A89" s="247"/>
      <c r="B89" s="32" t="s">
        <v>1447</v>
      </c>
      <c r="C89" s="43" t="s">
        <v>947</v>
      </c>
      <c r="D89" s="33">
        <v>0.6018</v>
      </c>
      <c r="E89" s="27">
        <v>1.52</v>
      </c>
      <c r="F89" s="30">
        <f>IF(ISNUMBER(E89),E89*$D89,"")</f>
        <v>0.91473599999999999</v>
      </c>
      <c r="G89" s="41"/>
      <c r="H89" s="42"/>
      <c r="I89" s="142">
        <v>0</v>
      </c>
    </row>
    <row r="90" spans="1:9" ht="51" hidden="1" x14ac:dyDescent="0.25">
      <c r="A90" s="247"/>
      <c r="B90" s="32" t="s">
        <v>3532</v>
      </c>
      <c r="C90" s="32" t="s">
        <v>120</v>
      </c>
      <c r="D90" s="33">
        <f>D83+D85</f>
        <v>1.3046</v>
      </c>
      <c r="E90" s="27">
        <v>7.8726404999999993</v>
      </c>
      <c r="F90" s="30">
        <f>IF(ISNUMBER(E90),E90*$D90,"")</f>
        <v>10.270646796299999</v>
      </c>
      <c r="G90" s="41"/>
      <c r="H90" s="42"/>
      <c r="I90" s="142">
        <v>0</v>
      </c>
    </row>
    <row r="91" spans="1:9" ht="38.25" hidden="1" x14ac:dyDescent="0.25">
      <c r="A91" s="247"/>
      <c r="B91" s="32" t="s">
        <v>3529</v>
      </c>
      <c r="C91" s="46" t="s">
        <v>122</v>
      </c>
      <c r="D91" s="33">
        <f>20*(D83+D85)</f>
        <v>26.091999999999999</v>
      </c>
      <c r="E91" s="30">
        <v>2.6172091499999994</v>
      </c>
      <c r="F91" s="30">
        <f>IF(ISNUMBER(E91),ROUND(E91*$D91,2),"")</f>
        <v>68.290000000000006</v>
      </c>
      <c r="G91" s="41"/>
      <c r="H91" s="42"/>
      <c r="I91" s="142">
        <v>0</v>
      </c>
    </row>
    <row r="92" spans="1:9" hidden="1" x14ac:dyDescent="0.25">
      <c r="A92" s="247"/>
      <c r="B92" s="47"/>
      <c r="C92" s="119"/>
      <c r="D92" s="33"/>
      <c r="E92" s="27" t="s">
        <v>523</v>
      </c>
      <c r="F92" s="30" t="str">
        <f t="shared" ref="F92:F101" si="6">IF(ISNUMBER(E92),ROUND(E92*$D92,2),"")</f>
        <v/>
      </c>
      <c r="G92" s="41"/>
      <c r="H92" s="42"/>
      <c r="I92" s="142">
        <v>0</v>
      </c>
    </row>
    <row r="93" spans="1:9" hidden="1" x14ac:dyDescent="0.25">
      <c r="A93" s="247"/>
      <c r="B93" s="44" t="s">
        <v>757</v>
      </c>
      <c r="C93" s="119"/>
      <c r="D93" s="33"/>
      <c r="E93" s="27" t="s">
        <v>523</v>
      </c>
      <c r="F93" s="30" t="str">
        <f t="shared" si="6"/>
        <v/>
      </c>
      <c r="G93" s="41"/>
      <c r="H93" s="42"/>
      <c r="I93" s="142">
        <v>0</v>
      </c>
    </row>
    <row r="94" spans="1:9" ht="15.75" hidden="1" thickBot="1" x14ac:dyDescent="0.3">
      <c r="A94" s="253"/>
      <c r="B94" s="95"/>
      <c r="C94" s="76"/>
      <c r="D94" s="87"/>
      <c r="E94" s="63" t="s">
        <v>523</v>
      </c>
      <c r="F94" s="63" t="str">
        <f t="shared" si="6"/>
        <v/>
      </c>
      <c r="G94" s="65"/>
      <c r="H94" s="27"/>
      <c r="I94" s="142">
        <v>0</v>
      </c>
    </row>
    <row r="95" spans="1:9" ht="40.15" hidden="1" customHeight="1" x14ac:dyDescent="0.25">
      <c r="A95" s="252" t="s">
        <v>6619</v>
      </c>
      <c r="B95" s="37" t="s">
        <v>523</v>
      </c>
      <c r="C95" s="74" t="s">
        <v>120</v>
      </c>
      <c r="D95" s="85"/>
      <c r="E95" s="38" t="s">
        <v>523</v>
      </c>
      <c r="F95" s="38" t="str">
        <f t="shared" si="6"/>
        <v/>
      </c>
      <c r="G95" s="25"/>
      <c r="H95" s="26"/>
      <c r="I95" s="142">
        <v>0</v>
      </c>
    </row>
    <row r="96" spans="1:9" hidden="1" x14ac:dyDescent="0.25">
      <c r="A96" s="247"/>
      <c r="B96" s="28" t="s">
        <v>523</v>
      </c>
      <c r="C96" s="75"/>
      <c r="D96" s="83"/>
      <c r="E96" s="89" t="s">
        <v>523</v>
      </c>
      <c r="F96" s="90" t="str">
        <f t="shared" si="6"/>
        <v/>
      </c>
      <c r="G96" s="31"/>
      <c r="H96" s="27"/>
      <c r="I96" s="142">
        <v>0</v>
      </c>
    </row>
    <row r="97" spans="1:9" ht="25.5" hidden="1" x14ac:dyDescent="0.25">
      <c r="A97" s="247"/>
      <c r="B97" s="32" t="s">
        <v>754</v>
      </c>
      <c r="C97" s="46" t="s">
        <v>120</v>
      </c>
      <c r="D97" s="33">
        <v>0.72750000000000004</v>
      </c>
      <c r="E97" s="30">
        <v>160.53099999999998</v>
      </c>
      <c r="F97" s="30">
        <f t="shared" si="6"/>
        <v>116.79</v>
      </c>
      <c r="G97" s="41">
        <f>SUM(F97:F105)</f>
        <v>583.45827967035007</v>
      </c>
      <c r="H97" s="42"/>
      <c r="I97" s="142">
        <v>0</v>
      </c>
    </row>
    <row r="98" spans="1:9" hidden="1" x14ac:dyDescent="0.25">
      <c r="A98" s="247"/>
      <c r="B98" s="32" t="s">
        <v>750</v>
      </c>
      <c r="C98" s="46" t="s">
        <v>901</v>
      </c>
      <c r="D98" s="33">
        <v>364.94330000000002</v>
      </c>
      <c r="E98" s="30">
        <v>0.64600000000000002</v>
      </c>
      <c r="F98" s="30">
        <f t="shared" si="6"/>
        <v>235.75</v>
      </c>
      <c r="G98" s="41"/>
      <c r="H98" s="42"/>
      <c r="I98" s="142">
        <v>0</v>
      </c>
    </row>
    <row r="99" spans="1:9" ht="25.5" hidden="1" x14ac:dyDescent="0.25">
      <c r="A99" s="247"/>
      <c r="B99" s="32" t="s">
        <v>762</v>
      </c>
      <c r="C99" s="46" t="s">
        <v>120</v>
      </c>
      <c r="D99" s="33">
        <v>0.59719999999999995</v>
      </c>
      <c r="E99" s="27">
        <v>147.041</v>
      </c>
      <c r="F99" s="30">
        <f t="shared" si="6"/>
        <v>87.81</v>
      </c>
      <c r="G99" s="41"/>
      <c r="H99" s="42"/>
      <c r="I99" s="142">
        <v>0</v>
      </c>
    </row>
    <row r="100" spans="1:9" hidden="1" x14ac:dyDescent="0.25">
      <c r="A100" s="247"/>
      <c r="B100" s="32" t="s">
        <v>706</v>
      </c>
      <c r="C100" s="46" t="s">
        <v>705</v>
      </c>
      <c r="D100" s="33">
        <v>1.9792000000000001</v>
      </c>
      <c r="E100" s="27">
        <v>18.420500000000001</v>
      </c>
      <c r="F100" s="30">
        <f t="shared" si="6"/>
        <v>36.46</v>
      </c>
      <c r="G100" s="41"/>
      <c r="H100" s="42"/>
      <c r="I100" s="142">
        <v>0</v>
      </c>
    </row>
    <row r="101" spans="1:9" ht="25.5" hidden="1" x14ac:dyDescent="0.25">
      <c r="A101" s="247"/>
      <c r="B101" s="32" t="s">
        <v>1446</v>
      </c>
      <c r="C101" s="46" t="s">
        <v>705</v>
      </c>
      <c r="D101" s="33">
        <v>1.2501</v>
      </c>
      <c r="E101" s="27">
        <v>18.534500000000001</v>
      </c>
      <c r="F101" s="30">
        <f t="shared" si="6"/>
        <v>23.17</v>
      </c>
      <c r="G101" s="41"/>
      <c r="H101" s="42"/>
      <c r="I101" s="142">
        <v>0</v>
      </c>
    </row>
    <row r="102" spans="1:9" ht="38.25" hidden="1" x14ac:dyDescent="0.25">
      <c r="A102" s="247"/>
      <c r="B102" s="32" t="s">
        <v>1370</v>
      </c>
      <c r="C102" s="32" t="s">
        <v>945</v>
      </c>
      <c r="D102" s="33">
        <v>0.64339999999999997</v>
      </c>
      <c r="E102" s="27">
        <v>4.3319999999999999</v>
      </c>
      <c r="F102" s="30">
        <f t="shared" ref="F102:F104" si="7">IF(ISNUMBER(E102),E102*$D102,"")</f>
        <v>2.7872087999999997</v>
      </c>
      <c r="G102" s="41"/>
      <c r="H102" s="42"/>
      <c r="I102" s="142">
        <v>0</v>
      </c>
    </row>
    <row r="103" spans="1:9" ht="38.25" hidden="1" x14ac:dyDescent="0.25">
      <c r="A103" s="247"/>
      <c r="B103" s="32" t="s">
        <v>1447</v>
      </c>
      <c r="C103" s="43" t="s">
        <v>947</v>
      </c>
      <c r="D103" s="33">
        <v>0.60670000000000002</v>
      </c>
      <c r="E103" s="27">
        <v>1.52</v>
      </c>
      <c r="F103" s="30">
        <f t="shared" si="7"/>
        <v>0.922184</v>
      </c>
      <c r="G103" s="41"/>
      <c r="H103" s="42"/>
      <c r="I103" s="142">
        <v>0</v>
      </c>
    </row>
    <row r="104" spans="1:9" ht="51" hidden="1" x14ac:dyDescent="0.25">
      <c r="A104" s="247"/>
      <c r="B104" s="32" t="s">
        <v>3532</v>
      </c>
      <c r="C104" s="32" t="s">
        <v>120</v>
      </c>
      <c r="D104" s="33">
        <f>D97+D99</f>
        <v>1.3247</v>
      </c>
      <c r="E104" s="27">
        <v>7.8726404999999993</v>
      </c>
      <c r="F104" s="30">
        <f t="shared" si="7"/>
        <v>10.428886870349999</v>
      </c>
      <c r="G104" s="41"/>
      <c r="H104" s="42"/>
      <c r="I104" s="142">
        <v>0</v>
      </c>
    </row>
    <row r="105" spans="1:9" ht="38.25" hidden="1" x14ac:dyDescent="0.25">
      <c r="A105" s="247"/>
      <c r="B105" s="32" t="s">
        <v>3529</v>
      </c>
      <c r="C105" s="46" t="s">
        <v>122</v>
      </c>
      <c r="D105" s="33">
        <f>20*(D97+D99)</f>
        <v>26.494</v>
      </c>
      <c r="E105" s="30">
        <v>2.6172091499999994</v>
      </c>
      <c r="F105" s="30">
        <f>IF(ISNUMBER(E105),ROUND(E105*$D105,2),"")</f>
        <v>69.34</v>
      </c>
      <c r="G105" s="41"/>
      <c r="H105" s="42"/>
      <c r="I105" s="142">
        <v>0</v>
      </c>
    </row>
    <row r="106" spans="1:9" hidden="1" x14ac:dyDescent="0.25">
      <c r="A106" s="247"/>
      <c r="B106" s="47"/>
      <c r="C106" s="119"/>
      <c r="D106" s="33"/>
      <c r="E106" s="27" t="s">
        <v>523</v>
      </c>
      <c r="F106" s="30" t="str">
        <f t="shared" ref="F106:F115" si="8">IF(ISNUMBER(E106),ROUND(E106*$D106,2),"")</f>
        <v/>
      </c>
      <c r="G106" s="41"/>
      <c r="H106" s="42"/>
      <c r="I106" s="142">
        <v>0</v>
      </c>
    </row>
    <row r="107" spans="1:9" hidden="1" x14ac:dyDescent="0.25">
      <c r="A107" s="247"/>
      <c r="B107" s="44" t="s">
        <v>757</v>
      </c>
      <c r="C107" s="119"/>
      <c r="D107" s="33"/>
      <c r="E107" s="27" t="s">
        <v>523</v>
      </c>
      <c r="F107" s="30" t="str">
        <f t="shared" si="8"/>
        <v/>
      </c>
      <c r="G107" s="41"/>
      <c r="H107" s="42"/>
      <c r="I107" s="142">
        <v>0</v>
      </c>
    </row>
    <row r="108" spans="1:9" ht="15.75" hidden="1" thickBot="1" x14ac:dyDescent="0.3">
      <c r="A108" s="253"/>
      <c r="B108" s="95"/>
      <c r="C108" s="76"/>
      <c r="D108" s="87"/>
      <c r="E108" s="63" t="s">
        <v>523</v>
      </c>
      <c r="F108" s="63" t="str">
        <f t="shared" si="8"/>
        <v/>
      </c>
      <c r="G108" s="65"/>
      <c r="H108" s="27"/>
      <c r="I108" s="142">
        <v>0</v>
      </c>
    </row>
    <row r="109" spans="1:9" ht="40.15" hidden="1" customHeight="1" x14ac:dyDescent="0.25">
      <c r="A109" s="252" t="s">
        <v>6713</v>
      </c>
      <c r="B109" s="37" t="s">
        <v>523</v>
      </c>
      <c r="C109" s="74" t="s">
        <v>120</v>
      </c>
      <c r="D109" s="85"/>
      <c r="E109" s="38" t="s">
        <v>523</v>
      </c>
      <c r="F109" s="38" t="str">
        <f t="shared" si="8"/>
        <v/>
      </c>
      <c r="G109" s="25"/>
      <c r="H109" s="26"/>
      <c r="I109" s="142">
        <v>0</v>
      </c>
    </row>
    <row r="110" spans="1:9" hidden="1" x14ac:dyDescent="0.25">
      <c r="A110" s="247"/>
      <c r="B110" s="28" t="s">
        <v>523</v>
      </c>
      <c r="C110" s="75"/>
      <c r="D110" s="83"/>
      <c r="E110" s="89" t="s">
        <v>523</v>
      </c>
      <c r="F110" s="90" t="str">
        <f t="shared" si="8"/>
        <v/>
      </c>
      <c r="G110" s="31"/>
      <c r="H110" s="27"/>
      <c r="I110" s="142">
        <v>0</v>
      </c>
    </row>
    <row r="111" spans="1:9" ht="25.5" hidden="1" x14ac:dyDescent="0.25">
      <c r="A111" s="247"/>
      <c r="B111" s="32" t="s">
        <v>1291</v>
      </c>
      <c r="C111" s="46" t="s">
        <v>120</v>
      </c>
      <c r="D111" s="33">
        <v>0.63019999999999998</v>
      </c>
      <c r="E111" s="30">
        <v>162.62100000000001</v>
      </c>
      <c r="F111" s="30">
        <f t="shared" si="8"/>
        <v>102.48</v>
      </c>
      <c r="G111" s="41">
        <f>SUM(F111:F120)</f>
        <v>641.42322848519996</v>
      </c>
      <c r="H111" s="42"/>
      <c r="I111" s="142">
        <v>0</v>
      </c>
    </row>
    <row r="112" spans="1:9" hidden="1" x14ac:dyDescent="0.25">
      <c r="A112" s="247"/>
      <c r="B112" s="32" t="s">
        <v>1448</v>
      </c>
      <c r="C112" s="46" t="s">
        <v>901</v>
      </c>
      <c r="D112" s="33">
        <v>15.125500000000001</v>
      </c>
      <c r="E112" s="30">
        <v>1.0449999999999999</v>
      </c>
      <c r="F112" s="30">
        <f t="shared" si="8"/>
        <v>15.81</v>
      </c>
      <c r="G112" s="41"/>
      <c r="H112" s="42"/>
      <c r="I112" s="142">
        <v>0</v>
      </c>
    </row>
    <row r="113" spans="1:9" hidden="1" x14ac:dyDescent="0.25">
      <c r="A113" s="247"/>
      <c r="B113" s="32" t="s">
        <v>750</v>
      </c>
      <c r="C113" s="46" t="s">
        <v>901</v>
      </c>
      <c r="D113" s="33">
        <v>420.15269999999998</v>
      </c>
      <c r="E113" s="27">
        <v>0.64600000000000002</v>
      </c>
      <c r="F113" s="30">
        <f t="shared" si="8"/>
        <v>271.42</v>
      </c>
      <c r="G113" s="41"/>
      <c r="H113" s="42"/>
      <c r="I113" s="142">
        <v>0</v>
      </c>
    </row>
    <row r="114" spans="1:9" ht="25.5" hidden="1" x14ac:dyDescent="0.25">
      <c r="A114" s="247"/>
      <c r="B114" s="32" t="s">
        <v>759</v>
      </c>
      <c r="C114" s="46" t="s">
        <v>120</v>
      </c>
      <c r="D114" s="33">
        <v>0.58819999999999995</v>
      </c>
      <c r="E114" s="27">
        <v>169.76499999999999</v>
      </c>
      <c r="F114" s="30">
        <f t="shared" si="8"/>
        <v>99.86</v>
      </c>
      <c r="G114" s="41"/>
      <c r="H114" s="42"/>
      <c r="I114" s="142">
        <v>0</v>
      </c>
    </row>
    <row r="115" spans="1:9" hidden="1" x14ac:dyDescent="0.25">
      <c r="A115" s="247"/>
      <c r="B115" s="32" t="s">
        <v>706</v>
      </c>
      <c r="C115" s="46" t="s">
        <v>705</v>
      </c>
      <c r="D115" s="33">
        <v>2.5491999999999999</v>
      </c>
      <c r="E115" s="27">
        <v>18.420500000000001</v>
      </c>
      <c r="F115" s="30">
        <f t="shared" si="8"/>
        <v>46.96</v>
      </c>
      <c r="G115" s="41"/>
      <c r="H115" s="42"/>
      <c r="I115" s="142">
        <v>0</v>
      </c>
    </row>
    <row r="116" spans="1:9" ht="25.5" hidden="1" x14ac:dyDescent="0.25">
      <c r="A116" s="247"/>
      <c r="B116" s="32" t="s">
        <v>1446</v>
      </c>
      <c r="C116" s="32" t="s">
        <v>705</v>
      </c>
      <c r="D116" s="33">
        <v>1.6069</v>
      </c>
      <c r="E116" s="27">
        <v>18.534500000000001</v>
      </c>
      <c r="F116" s="30">
        <f t="shared" ref="F116:F119" si="9">IF(ISNUMBER(E116),E116*$D116,"")</f>
        <v>29.783088050000003</v>
      </c>
      <c r="G116" s="41"/>
      <c r="H116" s="42"/>
      <c r="I116" s="142">
        <v>0</v>
      </c>
    </row>
    <row r="117" spans="1:9" ht="38.25" hidden="1" x14ac:dyDescent="0.25">
      <c r="A117" s="247"/>
      <c r="B117" s="32" t="s">
        <v>117</v>
      </c>
      <c r="C117" s="43" t="s">
        <v>945</v>
      </c>
      <c r="D117" s="33">
        <v>1.1137999999999999</v>
      </c>
      <c r="E117" s="27">
        <v>1.3964999999999999</v>
      </c>
      <c r="F117" s="30">
        <f t="shared" si="9"/>
        <v>1.5554216999999997</v>
      </c>
      <c r="G117" s="41"/>
      <c r="H117" s="42"/>
      <c r="I117" s="142">
        <v>0</v>
      </c>
    </row>
    <row r="118" spans="1:9" ht="38.25" hidden="1" x14ac:dyDescent="0.25">
      <c r="A118" s="247"/>
      <c r="B118" s="32" t="s">
        <v>118</v>
      </c>
      <c r="C118" s="32" t="s">
        <v>947</v>
      </c>
      <c r="D118" s="33">
        <v>0.49309999999999998</v>
      </c>
      <c r="E118" s="27">
        <v>0.3705</v>
      </c>
      <c r="F118" s="30">
        <f t="shared" si="9"/>
        <v>0.18269354999999998</v>
      </c>
      <c r="G118" s="41"/>
      <c r="H118" s="42"/>
      <c r="I118" s="142">
        <v>0</v>
      </c>
    </row>
    <row r="119" spans="1:9" ht="51" hidden="1" x14ac:dyDescent="0.25">
      <c r="A119" s="247"/>
      <c r="B119" s="32" t="s">
        <v>3532</v>
      </c>
      <c r="C119" s="32" t="s">
        <v>120</v>
      </c>
      <c r="D119" s="33">
        <f>D111+D114</f>
        <v>1.2183999999999999</v>
      </c>
      <c r="E119" s="27">
        <v>7.8726404999999993</v>
      </c>
      <c r="F119" s="30">
        <f t="shared" si="9"/>
        <v>9.5920251851999989</v>
      </c>
      <c r="G119" s="41"/>
      <c r="H119" s="42"/>
      <c r="I119" s="142">
        <v>0</v>
      </c>
    </row>
    <row r="120" spans="1:9" ht="38.25" hidden="1" x14ac:dyDescent="0.25">
      <c r="A120" s="247"/>
      <c r="B120" s="32" t="s">
        <v>3529</v>
      </c>
      <c r="C120" s="46" t="s">
        <v>122</v>
      </c>
      <c r="D120" s="33">
        <f>20*(D111+D114)</f>
        <v>24.367999999999999</v>
      </c>
      <c r="E120" s="30">
        <v>2.6172091499999994</v>
      </c>
      <c r="F120" s="30">
        <f>IF(ISNUMBER(E120),ROUND(E120*$D120,2),"")</f>
        <v>63.78</v>
      </c>
      <c r="G120" s="41"/>
      <c r="H120" s="42"/>
      <c r="I120" s="142">
        <v>0</v>
      </c>
    </row>
    <row r="121" spans="1:9" hidden="1" x14ac:dyDescent="0.25">
      <c r="A121" s="247"/>
      <c r="B121" s="47"/>
      <c r="C121" s="119"/>
      <c r="D121" s="33"/>
      <c r="E121" s="27" t="s">
        <v>523</v>
      </c>
      <c r="F121" s="30" t="str">
        <f t="shared" ref="F121:F134" si="10">IF(ISNUMBER(E121),ROUND(E121*$D121,2),"")</f>
        <v/>
      </c>
      <c r="G121" s="41"/>
      <c r="H121" s="42"/>
      <c r="I121" s="142">
        <v>0</v>
      </c>
    </row>
    <row r="122" spans="1:9" hidden="1" x14ac:dyDescent="0.25">
      <c r="A122" s="247"/>
      <c r="B122" s="44" t="s">
        <v>757</v>
      </c>
      <c r="C122" s="119"/>
      <c r="D122" s="33"/>
      <c r="E122" s="27" t="s">
        <v>523</v>
      </c>
      <c r="F122" s="30" t="str">
        <f t="shared" si="10"/>
        <v/>
      </c>
      <c r="G122" s="41"/>
      <c r="H122" s="42"/>
      <c r="I122" s="142">
        <v>0</v>
      </c>
    </row>
    <row r="123" spans="1:9" ht="15.75" hidden="1" thickBot="1" x14ac:dyDescent="0.3">
      <c r="A123" s="253"/>
      <c r="B123" s="95"/>
      <c r="C123" s="76"/>
      <c r="D123" s="87"/>
      <c r="E123" s="63" t="s">
        <v>523</v>
      </c>
      <c r="F123" s="63" t="str">
        <f t="shared" si="10"/>
        <v/>
      </c>
      <c r="G123" s="65"/>
      <c r="H123" s="27"/>
      <c r="I123" s="142">
        <v>0</v>
      </c>
    </row>
    <row r="124" spans="1:9" ht="15.75" hidden="1" thickBot="1" x14ac:dyDescent="0.3">
      <c r="A124" s="252" t="s">
        <v>7780</v>
      </c>
      <c r="B124" s="37" t="s">
        <v>523</v>
      </c>
      <c r="C124" s="74" t="s">
        <v>901</v>
      </c>
      <c r="D124" s="85"/>
      <c r="E124" s="24" t="s">
        <v>523</v>
      </c>
      <c r="F124" s="22" t="str">
        <f t="shared" si="10"/>
        <v/>
      </c>
      <c r="G124" s="25"/>
      <c r="H124" s="26"/>
      <c r="I124" s="142">
        <v>0</v>
      </c>
    </row>
    <row r="125" spans="1:9" hidden="1" x14ac:dyDescent="0.25">
      <c r="A125" s="247"/>
      <c r="B125" s="28" t="s">
        <v>523</v>
      </c>
      <c r="C125" s="75"/>
      <c r="D125" s="83"/>
      <c r="E125" s="27" t="s">
        <v>523</v>
      </c>
      <c r="F125" s="27" t="str">
        <f t="shared" si="10"/>
        <v/>
      </c>
      <c r="G125" s="31"/>
      <c r="H125" s="27"/>
      <c r="I125" s="142">
        <v>0</v>
      </c>
    </row>
    <row r="126" spans="1:9" hidden="1" x14ac:dyDescent="0.25">
      <c r="A126" s="247"/>
      <c r="B126" s="32" t="s">
        <v>775</v>
      </c>
      <c r="C126" s="46" t="s">
        <v>901</v>
      </c>
      <c r="D126" s="33">
        <v>1.1100000000000001</v>
      </c>
      <c r="E126" s="27">
        <v>8.8064999999999998</v>
      </c>
      <c r="F126" s="30">
        <f t="shared" si="10"/>
        <v>9.7799999999999994</v>
      </c>
      <c r="G126" s="41">
        <f>SUM(F126:F127)</f>
        <v>9.8699999999999992</v>
      </c>
      <c r="H126" s="42"/>
      <c r="I126" s="142">
        <v>0</v>
      </c>
    </row>
    <row r="127" spans="1:9" hidden="1" x14ac:dyDescent="0.25">
      <c r="A127" s="247"/>
      <c r="B127" s="32" t="s">
        <v>904</v>
      </c>
      <c r="C127" s="46" t="s">
        <v>705</v>
      </c>
      <c r="D127" s="33">
        <v>3.7000000000000002E-3</v>
      </c>
      <c r="E127" s="27">
        <v>24.747499999999999</v>
      </c>
      <c r="F127" s="30">
        <f t="shared" si="10"/>
        <v>0.09</v>
      </c>
      <c r="G127" s="41"/>
      <c r="H127" s="42"/>
      <c r="I127" s="142">
        <v>0</v>
      </c>
    </row>
    <row r="128" spans="1:9" ht="15.75" hidden="1" thickBot="1" x14ac:dyDescent="0.3">
      <c r="A128" s="253"/>
      <c r="B128" s="51" t="s">
        <v>523</v>
      </c>
      <c r="C128" s="76"/>
      <c r="D128" s="87"/>
      <c r="E128" s="63" t="s">
        <v>523</v>
      </c>
      <c r="F128" s="64" t="str">
        <f t="shared" si="10"/>
        <v/>
      </c>
      <c r="G128" s="65"/>
      <c r="H128" s="27"/>
      <c r="I128" s="142">
        <v>0</v>
      </c>
    </row>
    <row r="129" spans="1:9" ht="15.75" hidden="1" thickBot="1" x14ac:dyDescent="0.3">
      <c r="A129" s="252" t="s">
        <v>7776</v>
      </c>
      <c r="B129" s="37" t="s">
        <v>523</v>
      </c>
      <c r="C129" s="74" t="s">
        <v>901</v>
      </c>
      <c r="D129" s="85"/>
      <c r="E129" s="24" t="s">
        <v>523</v>
      </c>
      <c r="F129" s="22" t="str">
        <f t="shared" si="10"/>
        <v/>
      </c>
      <c r="G129" s="25"/>
      <c r="H129" s="26"/>
      <c r="I129" s="142">
        <v>0</v>
      </c>
    </row>
    <row r="130" spans="1:9" hidden="1" x14ac:dyDescent="0.25">
      <c r="A130" s="247"/>
      <c r="B130" s="28" t="s">
        <v>523</v>
      </c>
      <c r="C130" s="75"/>
      <c r="D130" s="83"/>
      <c r="E130" s="27" t="s">
        <v>523</v>
      </c>
      <c r="F130" s="27" t="str">
        <f t="shared" si="10"/>
        <v/>
      </c>
      <c r="G130" s="31"/>
      <c r="H130" s="27"/>
      <c r="I130" s="142">
        <v>0</v>
      </c>
    </row>
    <row r="131" spans="1:9" hidden="1" x14ac:dyDescent="0.25">
      <c r="A131" s="247"/>
      <c r="B131" s="32" t="s">
        <v>1454</v>
      </c>
      <c r="C131" s="46" t="s">
        <v>901</v>
      </c>
      <c r="D131" s="33">
        <v>1.07</v>
      </c>
      <c r="E131" s="27">
        <v>9.6234999999999999</v>
      </c>
      <c r="F131" s="30">
        <f t="shared" si="10"/>
        <v>10.3</v>
      </c>
      <c r="G131" s="41">
        <f>SUM(F131:F133)</f>
        <v>11.89</v>
      </c>
      <c r="H131" s="42"/>
      <c r="I131" s="142">
        <v>0</v>
      </c>
    </row>
    <row r="132" spans="1:9" hidden="1" x14ac:dyDescent="0.25">
      <c r="A132" s="247"/>
      <c r="B132" s="32" t="s">
        <v>903</v>
      </c>
      <c r="C132" s="46" t="s">
        <v>705</v>
      </c>
      <c r="D132" s="33">
        <v>8.2000000000000007E-3</v>
      </c>
      <c r="E132" s="30">
        <v>18.3825</v>
      </c>
      <c r="F132" s="30">
        <f t="shared" si="10"/>
        <v>0.15</v>
      </c>
      <c r="G132" s="41"/>
      <c r="H132" s="42"/>
      <c r="I132" s="142">
        <v>0</v>
      </c>
    </row>
    <row r="133" spans="1:9" hidden="1" x14ac:dyDescent="0.25">
      <c r="A133" s="247"/>
      <c r="B133" s="32" t="s">
        <v>904</v>
      </c>
      <c r="C133" s="46" t="s">
        <v>705</v>
      </c>
      <c r="D133" s="33">
        <v>5.8099999999999999E-2</v>
      </c>
      <c r="E133" s="27">
        <v>24.747499999999999</v>
      </c>
      <c r="F133" s="30">
        <f t="shared" si="10"/>
        <v>1.44</v>
      </c>
      <c r="G133" s="41"/>
      <c r="H133" s="42"/>
      <c r="I133" s="142">
        <v>0</v>
      </c>
    </row>
    <row r="134" spans="1:9" ht="15.75" hidden="1" thickBot="1" x14ac:dyDescent="0.3">
      <c r="A134" s="253"/>
      <c r="B134" s="51" t="s">
        <v>523</v>
      </c>
      <c r="C134" s="76"/>
      <c r="D134" s="87"/>
      <c r="E134" s="63" t="s">
        <v>523</v>
      </c>
      <c r="F134" s="64" t="str">
        <f t="shared" si="10"/>
        <v/>
      </c>
      <c r="G134" s="65"/>
      <c r="H134" s="27"/>
      <c r="I134" s="142">
        <v>0</v>
      </c>
    </row>
  </sheetData>
  <autoFilter ref="A5:I134">
    <filterColumn colId="8">
      <filters>
        <filter val="0,1557"/>
        <filter val="3,1148"/>
      </filters>
    </filterColumn>
  </autoFilter>
  <mergeCells count="16">
    <mergeCell ref="A1:G1"/>
    <mergeCell ref="A2:G2"/>
    <mergeCell ref="A3:G3"/>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31" priority="174"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I3147"/>
  <sheetViews>
    <sheetView tabSelected="1" view="pageBreakPreview" zoomScale="80" zoomScaleNormal="80" zoomScaleSheetLayoutView="80" workbookViewId="0">
      <pane ySplit="5" topLeftCell="A2712" activePane="bottomLeft" state="frozen"/>
      <selection pane="bottomLeft" activeCell="H3154" sqref="H3154"/>
    </sheetView>
  </sheetViews>
  <sheetFormatPr defaultRowHeight="15" x14ac:dyDescent="0.25"/>
  <cols>
    <col min="1" max="1" width="14.7109375" customWidth="1"/>
    <col min="2" max="2" width="80.7109375" style="5" customWidth="1"/>
    <col min="3" max="4" width="15.7109375" customWidth="1"/>
    <col min="5" max="6" width="20.7109375" customWidth="1"/>
    <col min="7" max="7" width="15.7109375" customWidth="1"/>
    <col min="8" max="9" width="20.7109375" customWidth="1"/>
  </cols>
  <sheetData>
    <row r="1" spans="1:9" ht="24.95" customHeight="1" x14ac:dyDescent="0.25">
      <c r="A1" s="96" t="s">
        <v>7768</v>
      </c>
      <c r="B1" s="113"/>
      <c r="C1" s="96"/>
      <c r="D1" s="96"/>
      <c r="E1" s="96"/>
      <c r="F1" s="96"/>
      <c r="G1" s="96"/>
      <c r="H1" s="96"/>
      <c r="I1" s="96"/>
    </row>
    <row r="2" spans="1:9" ht="24.95" customHeight="1" x14ac:dyDescent="0.25">
      <c r="A2" s="97" t="s">
        <v>1456</v>
      </c>
      <c r="B2" s="114"/>
      <c r="C2" s="97"/>
      <c r="D2" s="97"/>
      <c r="E2" s="97"/>
      <c r="F2" s="97"/>
      <c r="G2" s="97"/>
      <c r="H2" s="97"/>
      <c r="I2" s="97"/>
    </row>
    <row r="3" spans="1:9" ht="20.100000000000001" customHeight="1" x14ac:dyDescent="0.25">
      <c r="A3" s="98" t="s">
        <v>7772</v>
      </c>
      <c r="B3" s="98"/>
      <c r="C3" s="98"/>
      <c r="D3" s="98"/>
      <c r="E3" s="98"/>
      <c r="F3" s="98"/>
      <c r="G3" s="98"/>
      <c r="H3" s="98"/>
      <c r="I3" s="98"/>
    </row>
    <row r="4" spans="1:9" s="169" customFormat="1" ht="18" customHeight="1" thickBot="1" x14ac:dyDescent="0.3">
      <c r="A4" s="99"/>
      <c r="B4" s="100"/>
      <c r="C4" s="101"/>
      <c r="D4" s="101"/>
      <c r="E4" s="102"/>
      <c r="F4" s="102"/>
      <c r="G4" s="100"/>
      <c r="H4" s="167"/>
      <c r="I4" s="168"/>
    </row>
    <row r="5" spans="1:9" s="184" customFormat="1" ht="45" customHeight="1" x14ac:dyDescent="0.25">
      <c r="A5" s="180" t="s">
        <v>1</v>
      </c>
      <c r="B5" s="181" t="s">
        <v>2</v>
      </c>
      <c r="C5" s="181" t="s">
        <v>4</v>
      </c>
      <c r="D5" s="182" t="s">
        <v>1457</v>
      </c>
      <c r="E5" s="183" t="s">
        <v>6</v>
      </c>
      <c r="F5" s="183" t="s">
        <v>3196</v>
      </c>
      <c r="G5" s="183" t="s">
        <v>1459</v>
      </c>
      <c r="H5" s="183" t="s">
        <v>1460</v>
      </c>
      <c r="I5" s="203" t="s">
        <v>3725</v>
      </c>
    </row>
    <row r="6" spans="1:9" s="184" customFormat="1" x14ac:dyDescent="0.25">
      <c r="A6" s="185" t="s">
        <v>10</v>
      </c>
      <c r="B6" s="186" t="s">
        <v>1461</v>
      </c>
      <c r="C6" s="187" t="s">
        <v>1462</v>
      </c>
      <c r="D6" s="187">
        <v>360</v>
      </c>
      <c r="E6" s="124">
        <f ca="1">OFFSET(INDEX(Composições!A:J,MATCH(Orçamentária!A6,Composições!A:A,0),8),2,0)</f>
        <v>87.314499999999995</v>
      </c>
      <c r="F6" s="125">
        <f ca="1">IF(ISNUMBER(E6),D6*E6,"")</f>
        <v>31433.219999999998</v>
      </c>
      <c r="G6" s="126">
        <f>BDI!$B$17</f>
        <v>0.191</v>
      </c>
      <c r="H6" s="127">
        <f ca="1">IF(ISNUMBER(E6),ROUND(E6*(1+G6),2),"")</f>
        <v>103.99</v>
      </c>
      <c r="I6" s="204">
        <f ca="1">IF(ISNUMBER(E6),ROUND(H6*D6,2),"")</f>
        <v>37436.400000000001</v>
      </c>
    </row>
    <row r="7" spans="1:9" hidden="1" x14ac:dyDescent="0.25">
      <c r="A7" s="103" t="s">
        <v>13</v>
      </c>
      <c r="B7" s="104" t="s">
        <v>1463</v>
      </c>
      <c r="C7" s="105" t="s">
        <v>1462</v>
      </c>
      <c r="D7" s="105">
        <v>0</v>
      </c>
      <c r="E7" s="124">
        <f ca="1">OFFSET(INDEX(Composições!A:J,MATCH(Orçamentária!A7,Composições!A:A,0),8),2,0)</f>
        <v>41.495999999999995</v>
      </c>
      <c r="F7" s="125">
        <f t="shared" ref="F7:F70" ca="1" si="0">IF(ISNUMBER(E7),D7*E7,"")</f>
        <v>0</v>
      </c>
      <c r="G7" s="126" t="e">
        <f>IF(A7&lt;&gt;"",IF(AND(#REF!="Padrão",$H$4=#REF!),BDI!$B$17,IF(AND(#REF!="Padrão",$H$4=#REF!),BDI!#REF!,IF(AND(#REF!="Diferenciado",$H$4=#REF!),BDI!$E$17,IF(AND(#REF!="Diferenciado",$H$4=#REF!),BDI!#REF!,IF(#REF!="ZERO",0))))),"")</f>
        <v>#REF!</v>
      </c>
      <c r="H7" s="127" t="e">
        <f t="shared" ref="H7:H70" ca="1" si="1">IF(ISNUMBER(E7),ROUND(E7*(1+G7),2),"")</f>
        <v>#REF!</v>
      </c>
      <c r="I7" s="125" t="e">
        <f t="shared" ref="I7:I70" ca="1" si="2">IF(ISNUMBER(E7),ROUND(H7*D7,2),"")</f>
        <v>#REF!</v>
      </c>
    </row>
    <row r="8" spans="1:9" s="184" customFormat="1" x14ac:dyDescent="0.25">
      <c r="A8" s="185" t="s">
        <v>15</v>
      </c>
      <c r="B8" s="186" t="s">
        <v>1464</v>
      </c>
      <c r="C8" s="187" t="s">
        <v>20</v>
      </c>
      <c r="D8" s="187">
        <v>1</v>
      </c>
      <c r="E8" s="124">
        <f ca="1">OFFSET(INDEX(Composições!A:J,MATCH(Orçamentária!A8,Composições!A:A,0),8),2,0)</f>
        <v>1586.7279999999998</v>
      </c>
      <c r="F8" s="125">
        <f t="shared" ca="1" si="0"/>
        <v>1586.7279999999998</v>
      </c>
      <c r="G8" s="126">
        <f>BDI!$B$17</f>
        <v>0.191</v>
      </c>
      <c r="H8" s="127">
        <f t="shared" ca="1" si="1"/>
        <v>1889.79</v>
      </c>
      <c r="I8" s="204">
        <f t="shared" ca="1" si="2"/>
        <v>1889.79</v>
      </c>
    </row>
    <row r="9" spans="1:9" s="184" customFormat="1" x14ac:dyDescent="0.25">
      <c r="A9" s="185" t="s">
        <v>17</v>
      </c>
      <c r="B9" s="186" t="s">
        <v>1465</v>
      </c>
      <c r="C9" s="187" t="s">
        <v>20</v>
      </c>
      <c r="D9" s="187">
        <v>1</v>
      </c>
      <c r="E9" s="124">
        <f ca="1">OFFSET(INDEX(Composições!A:J,MATCH(Orçamentária!A9,Composições!A:A,0),8),2,0)</f>
        <v>2223.4299999999998</v>
      </c>
      <c r="F9" s="125">
        <f t="shared" ca="1" si="0"/>
        <v>2223.4299999999998</v>
      </c>
      <c r="G9" s="126">
        <f>BDI!$B$17</f>
        <v>0.191</v>
      </c>
      <c r="H9" s="127">
        <f t="shared" ca="1" si="1"/>
        <v>2648.11</v>
      </c>
      <c r="I9" s="204">
        <f t="shared" ca="1" si="2"/>
        <v>2648.11</v>
      </c>
    </row>
    <row r="10" spans="1:9" s="184" customFormat="1" x14ac:dyDescent="0.25">
      <c r="A10" s="185" t="s">
        <v>21</v>
      </c>
      <c r="B10" s="186" t="s">
        <v>1466</v>
      </c>
      <c r="C10" s="187" t="s">
        <v>109</v>
      </c>
      <c r="D10" s="187">
        <v>0.25</v>
      </c>
      <c r="E10" s="124">
        <f ca="1">OFFSET(INDEX(Composições!A:J,MATCH(Orçamentária!A10,Composições!A:A,0),8),2,0)</f>
        <v>48.424228400000004</v>
      </c>
      <c r="F10" s="125">
        <f t="shared" ca="1" si="0"/>
        <v>12.106057100000001</v>
      </c>
      <c r="G10" s="126">
        <f>BDI!$B$17</f>
        <v>0.191</v>
      </c>
      <c r="H10" s="127">
        <f t="shared" ca="1" si="1"/>
        <v>57.67</v>
      </c>
      <c r="I10" s="204">
        <f t="shared" ca="1" si="2"/>
        <v>14.42</v>
      </c>
    </row>
    <row r="11" spans="1:9" hidden="1" x14ac:dyDescent="0.25">
      <c r="A11" s="103" t="s">
        <v>24</v>
      </c>
      <c r="B11" s="104" t="s">
        <v>1467</v>
      </c>
      <c r="C11" s="105" t="s">
        <v>109</v>
      </c>
      <c r="D11" s="105">
        <v>0</v>
      </c>
      <c r="E11" s="124">
        <f ca="1">OFFSET(INDEX(Composições!A:J,MATCH(Orçamentária!A11,Composições!A:A,0),8),2,0)</f>
        <v>271.82349999999997</v>
      </c>
      <c r="F11" s="125">
        <f t="shared" ca="1" si="0"/>
        <v>0</v>
      </c>
      <c r="G11" s="126" t="e">
        <f>IF(A11&lt;&gt;"",IF(AND(#REF!="Padrão",$H$4=#REF!),BDI!$B$17,IF(AND(#REF!="Padrão",$H$4=#REF!),BDI!#REF!,IF(AND(#REF!="Diferenciado",$H$4=#REF!),BDI!$E$17,IF(AND(#REF!="Diferenciado",$H$4=#REF!),BDI!#REF!,IF(#REF!="ZERO",0))))),"")</f>
        <v>#REF!</v>
      </c>
      <c r="H11" s="127" t="e">
        <f t="shared" ca="1" si="1"/>
        <v>#REF!</v>
      </c>
      <c r="I11" s="125" t="e">
        <f t="shared" ca="1" si="2"/>
        <v>#REF!</v>
      </c>
    </row>
    <row r="12" spans="1:9" hidden="1" x14ac:dyDescent="0.25">
      <c r="A12" s="103" t="s">
        <v>25</v>
      </c>
      <c r="B12" s="104" t="s">
        <v>1468</v>
      </c>
      <c r="C12" s="105" t="s">
        <v>95</v>
      </c>
      <c r="D12" s="105">
        <v>0</v>
      </c>
      <c r="E12" s="124">
        <f ca="1">OFFSET(INDEX(Composições!A:J,MATCH(Orçamentária!A12,Composições!A:A,0),8),2,0)</f>
        <v>12.894349999999999</v>
      </c>
      <c r="F12" s="125">
        <f t="shared" ca="1" si="0"/>
        <v>0</v>
      </c>
      <c r="G12" s="126" t="e">
        <f>IF(A12&lt;&gt;"",IF(AND(#REF!="Padrão",$H$4=#REF!),BDI!$B$17,IF(AND(#REF!="Padrão",$H$4=#REF!),BDI!#REF!,IF(AND(#REF!="Diferenciado",$H$4=#REF!),BDI!$E$17,IF(AND(#REF!="Diferenciado",$H$4=#REF!),BDI!#REF!,IF(#REF!="ZERO",0))))),"")</f>
        <v>#REF!</v>
      </c>
      <c r="H12" s="127" t="e">
        <f t="shared" ca="1" si="1"/>
        <v>#REF!</v>
      </c>
      <c r="I12" s="125" t="e">
        <f t="shared" ca="1" si="2"/>
        <v>#REF!</v>
      </c>
    </row>
    <row r="13" spans="1:9" s="184" customFormat="1" x14ac:dyDescent="0.25">
      <c r="A13" s="185" t="s">
        <v>26</v>
      </c>
      <c r="B13" s="186" t="s">
        <v>1469</v>
      </c>
      <c r="C13" s="187" t="s">
        <v>95</v>
      </c>
      <c r="D13" s="187">
        <v>42</v>
      </c>
      <c r="E13" s="124">
        <f ca="1">OFFSET(INDEX(Composições!A:J,MATCH(Orçamentária!A13,Composições!A:A,0),8),2,0)</f>
        <v>6.5356475500000002</v>
      </c>
      <c r="F13" s="125">
        <f t="shared" ca="1" si="0"/>
        <v>274.49719709999999</v>
      </c>
      <c r="G13" s="126">
        <f>BDI!$B$17</f>
        <v>0.191</v>
      </c>
      <c r="H13" s="127">
        <f t="shared" ca="1" si="1"/>
        <v>7.78</v>
      </c>
      <c r="I13" s="204">
        <f t="shared" ca="1" si="2"/>
        <v>326.76</v>
      </c>
    </row>
    <row r="14" spans="1:9" s="184" customFormat="1" x14ac:dyDescent="0.25">
      <c r="A14" s="185" t="s">
        <v>28</v>
      </c>
      <c r="B14" s="186" t="s">
        <v>6270</v>
      </c>
      <c r="C14" s="187" t="s">
        <v>95</v>
      </c>
      <c r="D14" s="187">
        <v>13.5</v>
      </c>
      <c r="E14" s="124">
        <f ca="1">OFFSET(INDEX(Composições!A:J,MATCH(Orçamentária!A14,Composições!A:A,0),8),2,0)</f>
        <v>1.4224036500000001</v>
      </c>
      <c r="F14" s="125">
        <f t="shared" ca="1" si="0"/>
        <v>19.202449275000003</v>
      </c>
      <c r="G14" s="126">
        <f>BDI!$B$17</f>
        <v>0.191</v>
      </c>
      <c r="H14" s="127">
        <f t="shared" ca="1" si="1"/>
        <v>1.69</v>
      </c>
      <c r="I14" s="204">
        <f t="shared" ca="1" si="2"/>
        <v>22.82</v>
      </c>
    </row>
    <row r="15" spans="1:9" hidden="1" x14ac:dyDescent="0.25">
      <c r="A15" s="103" t="s">
        <v>29</v>
      </c>
      <c r="B15" s="104" t="s">
        <v>1470</v>
      </c>
      <c r="C15" s="105" t="s">
        <v>93</v>
      </c>
      <c r="D15" s="105">
        <v>0</v>
      </c>
      <c r="E15" s="124">
        <f ca="1">OFFSET(INDEX(Composições!A:J,MATCH(Orçamentária!A15,Composições!A:A,0),8),2,0)</f>
        <v>2.9385589999999997</v>
      </c>
      <c r="F15" s="125">
        <f t="shared" ca="1" si="0"/>
        <v>0</v>
      </c>
      <c r="G15" s="126" t="e">
        <f>IF(A15&lt;&gt;"",IF(AND(#REF!="Padrão",$H$4=#REF!),BDI!$B$17,IF(AND(#REF!="Padrão",$H$4=#REF!),BDI!#REF!,IF(AND(#REF!="Diferenciado",$H$4=#REF!),BDI!$E$17,IF(AND(#REF!="Diferenciado",$H$4=#REF!),BDI!#REF!,IF(#REF!="ZERO",0))))),"")</f>
        <v>#REF!</v>
      </c>
      <c r="H15" s="127" t="e">
        <f t="shared" ca="1" si="1"/>
        <v>#REF!</v>
      </c>
      <c r="I15" s="125" t="e">
        <f t="shared" ca="1" si="2"/>
        <v>#REF!</v>
      </c>
    </row>
    <row r="16" spans="1:9" hidden="1" x14ac:dyDescent="0.25">
      <c r="A16" s="103" t="s">
        <v>31</v>
      </c>
      <c r="B16" s="104" t="s">
        <v>1471</v>
      </c>
      <c r="C16" s="105" t="s">
        <v>95</v>
      </c>
      <c r="D16" s="105">
        <v>0</v>
      </c>
      <c r="E16" s="124">
        <f ca="1">OFFSET(INDEX(Composições!A:J,MATCH(Orçamentária!A16,Composições!A:A,0),8),2,0)</f>
        <v>10.6517021</v>
      </c>
      <c r="F16" s="125">
        <f t="shared" ca="1" si="0"/>
        <v>0</v>
      </c>
      <c r="G16" s="126" t="e">
        <f>IF(A16&lt;&gt;"",IF(AND(#REF!="Padrão",$H$4=#REF!),BDI!$B$17,IF(AND(#REF!="Padrão",$H$4=#REF!),BDI!#REF!,IF(AND(#REF!="Diferenciado",$H$4=#REF!),BDI!$E$17,IF(AND(#REF!="Diferenciado",$H$4=#REF!),BDI!#REF!,IF(#REF!="ZERO",0))))),"")</f>
        <v>#REF!</v>
      </c>
      <c r="H16" s="127" t="e">
        <f t="shared" ca="1" si="1"/>
        <v>#REF!</v>
      </c>
      <c r="I16" s="125" t="e">
        <f t="shared" ca="1" si="2"/>
        <v>#REF!</v>
      </c>
    </row>
    <row r="17" spans="1:9" hidden="1" x14ac:dyDescent="0.25">
      <c r="A17" s="103" t="s">
        <v>37</v>
      </c>
      <c r="B17" s="104" t="s">
        <v>1472</v>
      </c>
      <c r="C17" s="105" t="s">
        <v>95</v>
      </c>
      <c r="D17" s="105">
        <v>0</v>
      </c>
      <c r="E17" s="124">
        <f ca="1">OFFSET(INDEX(Composições!A:J,MATCH(Orçamentária!A17,Composições!A:A,0),8),2,0)</f>
        <v>2.8705646499999999</v>
      </c>
      <c r="F17" s="125">
        <f t="shared" ca="1" si="0"/>
        <v>0</v>
      </c>
      <c r="G17" s="126" t="e">
        <f>IF(A17&lt;&gt;"",IF(AND(#REF!="Padrão",$H$4=#REF!),BDI!$B$17,IF(AND(#REF!="Padrão",$H$4=#REF!),BDI!#REF!,IF(AND(#REF!="Diferenciado",$H$4=#REF!),BDI!$E$17,IF(AND(#REF!="Diferenciado",$H$4=#REF!),BDI!#REF!,IF(#REF!="ZERO",0))))),"")</f>
        <v>#REF!</v>
      </c>
      <c r="H17" s="127" t="e">
        <f t="shared" ca="1" si="1"/>
        <v>#REF!</v>
      </c>
      <c r="I17" s="125" t="e">
        <f t="shared" ca="1" si="2"/>
        <v>#REF!</v>
      </c>
    </row>
    <row r="18" spans="1:9" hidden="1" x14ac:dyDescent="0.25">
      <c r="A18" s="103" t="s">
        <v>38</v>
      </c>
      <c r="B18" s="104" t="s">
        <v>1473</v>
      </c>
      <c r="C18" s="105" t="s">
        <v>93</v>
      </c>
      <c r="D18" s="105">
        <v>0</v>
      </c>
      <c r="E18" s="124">
        <f ca="1">OFFSET(INDEX(Composições!A:J,MATCH(Orçamentária!A18,Composições!A:A,0),8),2,0)</f>
        <v>0.43042410000000003</v>
      </c>
      <c r="F18" s="125">
        <f t="shared" ca="1" si="0"/>
        <v>0</v>
      </c>
      <c r="G18" s="126" t="e">
        <f>IF(A18&lt;&gt;"",IF(AND(#REF!="Padrão",$H$4=#REF!),BDI!$B$17,IF(AND(#REF!="Padrão",$H$4=#REF!),BDI!#REF!,IF(AND(#REF!="Diferenciado",$H$4=#REF!),BDI!$E$17,IF(AND(#REF!="Diferenciado",$H$4=#REF!),BDI!#REF!,IF(#REF!="ZERO",0))))),"")</f>
        <v>#REF!</v>
      </c>
      <c r="H18" s="127" t="e">
        <f t="shared" ca="1" si="1"/>
        <v>#REF!</v>
      </c>
      <c r="I18" s="125" t="e">
        <f t="shared" ca="1" si="2"/>
        <v>#REF!</v>
      </c>
    </row>
    <row r="19" spans="1:9" hidden="1" x14ac:dyDescent="0.25">
      <c r="A19" s="103" t="s">
        <v>40</v>
      </c>
      <c r="B19" s="104" t="s">
        <v>1474</v>
      </c>
      <c r="C19" s="105" t="s">
        <v>109</v>
      </c>
      <c r="D19" s="105">
        <v>0</v>
      </c>
      <c r="E19" s="124">
        <f ca="1">OFFSET(INDEX(Composições!A:J,MATCH(Orçamentária!A19,Composições!A:A,0),8),2,0)</f>
        <v>248.71025649999999</v>
      </c>
      <c r="F19" s="125">
        <f t="shared" ca="1" si="0"/>
        <v>0</v>
      </c>
      <c r="G19" s="126" t="e">
        <f>IF(A19&lt;&gt;"",IF(AND(#REF!="Padrão",$H$4=#REF!),BDI!$B$17,IF(AND(#REF!="Padrão",$H$4=#REF!),BDI!#REF!,IF(AND(#REF!="Diferenciado",$H$4=#REF!),BDI!$E$17,IF(AND(#REF!="Diferenciado",$H$4=#REF!),BDI!#REF!,IF(#REF!="ZERO",0))))),"")</f>
        <v>#REF!</v>
      </c>
      <c r="H19" s="127" t="e">
        <f t="shared" ca="1" si="1"/>
        <v>#REF!</v>
      </c>
      <c r="I19" s="125" t="e">
        <f t="shared" ca="1" si="2"/>
        <v>#REF!</v>
      </c>
    </row>
    <row r="20" spans="1:9" s="184" customFormat="1" x14ac:dyDescent="0.25">
      <c r="A20" s="185" t="s">
        <v>1475</v>
      </c>
      <c r="B20" s="186" t="s">
        <v>1476</v>
      </c>
      <c r="C20" s="187" t="s">
        <v>20</v>
      </c>
      <c r="D20" s="187">
        <v>5</v>
      </c>
      <c r="E20" s="202">
        <v>333.9</v>
      </c>
      <c r="F20" s="125">
        <f t="shared" si="0"/>
        <v>1669.5</v>
      </c>
      <c r="G20" s="126">
        <f>BDI!$B$17</f>
        <v>0.191</v>
      </c>
      <c r="H20" s="127">
        <f t="shared" si="1"/>
        <v>397.67</v>
      </c>
      <c r="I20" s="204">
        <f t="shared" si="2"/>
        <v>1988.35</v>
      </c>
    </row>
    <row r="21" spans="1:9" hidden="1" x14ac:dyDescent="0.25">
      <c r="A21" s="103" t="s">
        <v>43</v>
      </c>
      <c r="B21" s="104" t="s">
        <v>1477</v>
      </c>
      <c r="C21" s="105" t="s">
        <v>95</v>
      </c>
      <c r="D21" s="105">
        <v>0</v>
      </c>
      <c r="E21" s="124">
        <f ca="1">OFFSET(INDEX(Composições!A:J,MATCH(Orçamentária!A21,Composições!A:A,0),8),2,0)</f>
        <v>14.713124999999998</v>
      </c>
      <c r="F21" s="125">
        <f t="shared" ca="1" si="0"/>
        <v>0</v>
      </c>
      <c r="G21" s="126" t="e">
        <f>IF(A21&lt;&gt;"",IF(AND(#REF!="Padrão",$H$4=#REF!),BDI!$B$17,IF(AND(#REF!="Padrão",$H$4=#REF!),BDI!#REF!,IF(AND(#REF!="Diferenciado",$H$4=#REF!),BDI!$E$17,IF(AND(#REF!="Diferenciado",$H$4=#REF!),BDI!#REF!,IF(#REF!="ZERO",0))))),"")</f>
        <v>#REF!</v>
      </c>
      <c r="H21" s="127" t="e">
        <f t="shared" ca="1" si="1"/>
        <v>#REF!</v>
      </c>
      <c r="I21" s="125" t="e">
        <f t="shared" ca="1" si="2"/>
        <v>#REF!</v>
      </c>
    </row>
    <row r="22" spans="1:9" hidden="1" x14ac:dyDescent="0.25">
      <c r="A22" s="103" t="s">
        <v>45</v>
      </c>
      <c r="B22" s="104" t="s">
        <v>1478</v>
      </c>
      <c r="C22" s="105" t="s">
        <v>95</v>
      </c>
      <c r="D22" s="105">
        <v>0</v>
      </c>
      <c r="E22" s="124">
        <f ca="1">OFFSET(INDEX(Composições!A:J,MATCH(Orçamentária!A22,Composições!A:A,0),8),2,0)</f>
        <v>22.154</v>
      </c>
      <c r="F22" s="125">
        <f t="shared" ca="1" si="0"/>
        <v>0</v>
      </c>
      <c r="G22" s="126" t="e">
        <f>IF(A22&lt;&gt;"",IF(AND(#REF!="Padrão",$H$4=#REF!),BDI!$B$17,IF(AND(#REF!="Padrão",$H$4=#REF!),BDI!#REF!,IF(AND(#REF!="Diferenciado",$H$4=#REF!),BDI!$E$17,IF(AND(#REF!="Diferenciado",$H$4=#REF!),BDI!#REF!,IF(#REF!="ZERO",0))))),"")</f>
        <v>#REF!</v>
      </c>
      <c r="H22" s="127" t="e">
        <f t="shared" ca="1" si="1"/>
        <v>#REF!</v>
      </c>
      <c r="I22" s="125" t="e">
        <f t="shared" ca="1" si="2"/>
        <v>#REF!</v>
      </c>
    </row>
    <row r="23" spans="1:9" hidden="1" x14ac:dyDescent="0.25">
      <c r="A23" s="103" t="s">
        <v>46</v>
      </c>
      <c r="B23" s="104" t="s">
        <v>1479</v>
      </c>
      <c r="C23" s="105" t="s">
        <v>20</v>
      </c>
      <c r="D23" s="105">
        <v>0</v>
      </c>
      <c r="E23" s="124">
        <f ca="1">OFFSET(INDEX(Composições!A:J,MATCH(Orçamentária!A23,Composições!A:A,0),8),2,0)</f>
        <v>8.3638000000000012</v>
      </c>
      <c r="F23" s="125">
        <f t="shared" ca="1" si="0"/>
        <v>0</v>
      </c>
      <c r="G23" s="126" t="e">
        <f>IF(A23&lt;&gt;"",IF(AND(#REF!="Padrão",$H$4=#REF!),BDI!$B$17,IF(AND(#REF!="Padrão",$H$4=#REF!),BDI!#REF!,IF(AND(#REF!="Diferenciado",$H$4=#REF!),BDI!$E$17,IF(AND(#REF!="Diferenciado",$H$4=#REF!),BDI!#REF!,IF(#REF!="ZERO",0))))),"")</f>
        <v>#REF!</v>
      </c>
      <c r="H23" s="127" t="e">
        <f t="shared" ca="1" si="1"/>
        <v>#REF!</v>
      </c>
      <c r="I23" s="125" t="e">
        <f t="shared" ca="1" si="2"/>
        <v>#REF!</v>
      </c>
    </row>
    <row r="24" spans="1:9" hidden="1" x14ac:dyDescent="0.25">
      <c r="A24" s="103" t="s">
        <v>47</v>
      </c>
      <c r="B24" s="104" t="s">
        <v>1480</v>
      </c>
      <c r="C24" s="105" t="s">
        <v>93</v>
      </c>
      <c r="D24" s="105">
        <v>0</v>
      </c>
      <c r="E24" s="124">
        <f ca="1">OFFSET(INDEX(Composições!A:J,MATCH(Orçamentária!A24,Composições!A:A,0),8),2,0)</f>
        <v>4.6490625000000003</v>
      </c>
      <c r="F24" s="125">
        <f t="shared" ca="1" si="0"/>
        <v>0</v>
      </c>
      <c r="G24" s="126" t="e">
        <f>IF(A24&lt;&gt;"",IF(AND(#REF!="Padrão",$H$4=#REF!),BDI!$B$17,IF(AND(#REF!="Padrão",$H$4=#REF!),BDI!#REF!,IF(AND(#REF!="Diferenciado",$H$4=#REF!),BDI!$E$17,IF(AND(#REF!="Diferenciado",$H$4=#REF!),BDI!#REF!,IF(#REF!="ZERO",0))))),"")</f>
        <v>#REF!</v>
      </c>
      <c r="H24" s="127" t="e">
        <f t="shared" ca="1" si="1"/>
        <v>#REF!</v>
      </c>
      <c r="I24" s="125" t="e">
        <f t="shared" ca="1" si="2"/>
        <v>#REF!</v>
      </c>
    </row>
    <row r="25" spans="1:9" hidden="1" x14ac:dyDescent="0.25">
      <c r="A25" s="103" t="s">
        <v>48</v>
      </c>
      <c r="B25" s="104" t="s">
        <v>1481</v>
      </c>
      <c r="C25" s="105" t="s">
        <v>95</v>
      </c>
      <c r="D25" s="105">
        <v>0</v>
      </c>
      <c r="E25" s="124">
        <f ca="1">OFFSET(INDEX(Composições!A:J,MATCH(Orçamentária!A25,Composições!A:A,0),8),2,0)</f>
        <v>2.0909500000000003</v>
      </c>
      <c r="F25" s="125">
        <f t="shared" ca="1" si="0"/>
        <v>0</v>
      </c>
      <c r="G25" s="126" t="e">
        <f>IF(A25&lt;&gt;"",IF(AND(#REF!="Padrão",$H$4=#REF!),BDI!$B$17,IF(AND(#REF!="Padrão",$H$4=#REF!),BDI!#REF!,IF(AND(#REF!="Diferenciado",$H$4=#REF!),BDI!$E$17,IF(AND(#REF!="Diferenciado",$H$4=#REF!),BDI!#REF!,IF(#REF!="ZERO",0))))),"")</f>
        <v>#REF!</v>
      </c>
      <c r="H25" s="127" t="e">
        <f t="shared" ca="1" si="1"/>
        <v>#REF!</v>
      </c>
      <c r="I25" s="125" t="e">
        <f t="shared" ca="1" si="2"/>
        <v>#REF!</v>
      </c>
    </row>
    <row r="26" spans="1:9" hidden="1" x14ac:dyDescent="0.25">
      <c r="A26" s="103" t="s">
        <v>49</v>
      </c>
      <c r="B26" s="104" t="s">
        <v>1482</v>
      </c>
      <c r="C26" s="105" t="s">
        <v>93</v>
      </c>
      <c r="D26" s="105">
        <v>0</v>
      </c>
      <c r="E26" s="124">
        <f ca="1">OFFSET(INDEX(Composições!A:J,MATCH(Orçamentária!A26,Composições!A:A,0),8),2,0)</f>
        <v>3.2464824999999995</v>
      </c>
      <c r="F26" s="125">
        <f t="shared" ca="1" si="0"/>
        <v>0</v>
      </c>
      <c r="G26" s="126" t="e">
        <f>IF(A26&lt;&gt;"",IF(AND(#REF!="Padrão",$H$4=#REF!),BDI!$B$17,IF(AND(#REF!="Padrão",$H$4=#REF!),BDI!#REF!,IF(AND(#REF!="Diferenciado",$H$4=#REF!),BDI!$E$17,IF(AND(#REF!="Diferenciado",$H$4=#REF!),BDI!#REF!,IF(#REF!="ZERO",0))))),"")</f>
        <v>#REF!</v>
      </c>
      <c r="H26" s="127" t="e">
        <f t="shared" ca="1" si="1"/>
        <v>#REF!</v>
      </c>
      <c r="I26" s="125" t="e">
        <f t="shared" ca="1" si="2"/>
        <v>#REF!</v>
      </c>
    </row>
    <row r="27" spans="1:9" s="184" customFormat="1" x14ac:dyDescent="0.25">
      <c r="A27" s="185" t="s">
        <v>51</v>
      </c>
      <c r="B27" s="186" t="s">
        <v>1483</v>
      </c>
      <c r="C27" s="187" t="s">
        <v>20</v>
      </c>
      <c r="D27" s="187">
        <v>32</v>
      </c>
      <c r="E27" s="124">
        <f ca="1">OFFSET(INDEX(Composições!A:J,MATCH(Orçamentária!A27,Composições!A:A,0),8),2,0)</f>
        <v>23.763300000000001</v>
      </c>
      <c r="F27" s="125">
        <f t="shared" ca="1" si="0"/>
        <v>760.42560000000003</v>
      </c>
      <c r="G27" s="126">
        <f>BDI!$B$17</f>
        <v>0.191</v>
      </c>
      <c r="H27" s="127">
        <f t="shared" ca="1" si="1"/>
        <v>28.3</v>
      </c>
      <c r="I27" s="204">
        <f t="shared" ca="1" si="2"/>
        <v>905.6</v>
      </c>
    </row>
    <row r="28" spans="1:9" hidden="1" x14ac:dyDescent="0.25">
      <c r="A28" s="103" t="s">
        <v>53</v>
      </c>
      <c r="B28" s="104" t="s">
        <v>1484</v>
      </c>
      <c r="C28" s="105" t="s">
        <v>95</v>
      </c>
      <c r="D28" s="105">
        <v>0</v>
      </c>
      <c r="E28" s="124">
        <f ca="1">OFFSET(INDEX(Composições!A:J,MATCH(Orçamentária!A28,Composições!A:A,0),8),2,0)</f>
        <v>36.9816</v>
      </c>
      <c r="F28" s="125">
        <f t="shared" ca="1" si="0"/>
        <v>0</v>
      </c>
      <c r="G28" s="126" t="e">
        <f>IF(A28&lt;&gt;"",IF(AND(#REF!="Padrão",$H$4=#REF!),BDI!$B$17,IF(AND(#REF!="Padrão",$H$4=#REF!),BDI!#REF!,IF(AND(#REF!="Diferenciado",$H$4=#REF!),BDI!$E$17,IF(AND(#REF!="Diferenciado",$H$4=#REF!),BDI!#REF!,IF(#REF!="ZERO",0))))),"")</f>
        <v>#REF!</v>
      </c>
      <c r="H28" s="127" t="e">
        <f t="shared" ca="1" si="1"/>
        <v>#REF!</v>
      </c>
      <c r="I28" s="125" t="e">
        <f t="shared" ca="1" si="2"/>
        <v>#REF!</v>
      </c>
    </row>
    <row r="29" spans="1:9" hidden="1" x14ac:dyDescent="0.25">
      <c r="A29" s="103" t="s">
        <v>55</v>
      </c>
      <c r="B29" s="104" t="s">
        <v>1485</v>
      </c>
      <c r="C29" s="105" t="s">
        <v>95</v>
      </c>
      <c r="D29" s="105">
        <v>0</v>
      </c>
      <c r="E29" s="124">
        <f ca="1">OFFSET(INDEX(Composições!A:J,MATCH(Orçamentária!A29,Composições!A:A,0),8),2,0)</f>
        <v>6.5356475500000002</v>
      </c>
      <c r="F29" s="125">
        <f t="shared" ca="1" si="0"/>
        <v>0</v>
      </c>
      <c r="G29" s="126" t="e">
        <f>IF(A29&lt;&gt;"",IF(AND(#REF!="Padrão",$H$4=#REF!),BDI!$B$17,IF(AND(#REF!="Padrão",$H$4=#REF!),BDI!#REF!,IF(AND(#REF!="Diferenciado",$H$4=#REF!),BDI!$E$17,IF(AND(#REF!="Diferenciado",$H$4=#REF!),BDI!#REF!,IF(#REF!="ZERO",0))))),"")</f>
        <v>#REF!</v>
      </c>
      <c r="H29" s="127" t="e">
        <f t="shared" ca="1" si="1"/>
        <v>#REF!</v>
      </c>
      <c r="I29" s="125" t="e">
        <f t="shared" ca="1" si="2"/>
        <v>#REF!</v>
      </c>
    </row>
    <row r="30" spans="1:9" hidden="1" x14ac:dyDescent="0.25">
      <c r="A30" s="103" t="s">
        <v>56</v>
      </c>
      <c r="B30" s="104" t="s">
        <v>1486</v>
      </c>
      <c r="C30" s="105" t="s">
        <v>93</v>
      </c>
      <c r="D30" s="105">
        <v>0</v>
      </c>
      <c r="E30" s="124">
        <f ca="1">OFFSET(INDEX(Composições!A:J,MATCH(Orçamentária!A30,Composições!A:A,0),8),2,0)</f>
        <v>9.7788249999999994</v>
      </c>
      <c r="F30" s="125">
        <f t="shared" ca="1" si="0"/>
        <v>0</v>
      </c>
      <c r="G30" s="126" t="e">
        <f>IF(A30&lt;&gt;"",IF(AND(#REF!="Padrão",$H$4=#REF!),BDI!$B$17,IF(AND(#REF!="Padrão",$H$4=#REF!),BDI!#REF!,IF(AND(#REF!="Diferenciado",$H$4=#REF!),BDI!$E$17,IF(AND(#REF!="Diferenciado",$H$4=#REF!),BDI!#REF!,IF(#REF!="ZERO",0))))),"")</f>
        <v>#REF!</v>
      </c>
      <c r="H30" s="127" t="e">
        <f t="shared" ca="1" si="1"/>
        <v>#REF!</v>
      </c>
      <c r="I30" s="125" t="e">
        <f t="shared" ca="1" si="2"/>
        <v>#REF!</v>
      </c>
    </row>
    <row r="31" spans="1:9" hidden="1" x14ac:dyDescent="0.25">
      <c r="A31" s="103" t="s">
        <v>57</v>
      </c>
      <c r="B31" s="104" t="s">
        <v>1487</v>
      </c>
      <c r="C31" s="105" t="s">
        <v>95</v>
      </c>
      <c r="D31" s="105">
        <v>0</v>
      </c>
      <c r="E31" s="124">
        <f ca="1">OFFSET(INDEX(Composições!A:J,MATCH(Orçamentária!A31,Composições!A:A,0),8),2,0)</f>
        <v>10.454750000000001</v>
      </c>
      <c r="F31" s="125">
        <f t="shared" ca="1" si="0"/>
        <v>0</v>
      </c>
      <c r="G31" s="126" t="e">
        <f>IF(A31&lt;&gt;"",IF(AND(#REF!="Padrão",$H$4=#REF!),BDI!$B$17,IF(AND(#REF!="Padrão",$H$4=#REF!),BDI!#REF!,IF(AND(#REF!="Diferenciado",$H$4=#REF!),BDI!$E$17,IF(AND(#REF!="Diferenciado",$H$4=#REF!),BDI!#REF!,IF(#REF!="ZERO",0))))),"")</f>
        <v>#REF!</v>
      </c>
      <c r="H31" s="127" t="e">
        <f t="shared" ca="1" si="1"/>
        <v>#REF!</v>
      </c>
      <c r="I31" s="125" t="e">
        <f t="shared" ca="1" si="2"/>
        <v>#REF!</v>
      </c>
    </row>
    <row r="32" spans="1:9" hidden="1" x14ac:dyDescent="0.25">
      <c r="A32" s="103" t="s">
        <v>58</v>
      </c>
      <c r="B32" s="104" t="s">
        <v>1488</v>
      </c>
      <c r="C32" s="105" t="s">
        <v>20</v>
      </c>
      <c r="D32" s="105">
        <v>0</v>
      </c>
      <c r="E32" s="124">
        <f ca="1">OFFSET(INDEX(Composições!A:J,MATCH(Orçamentária!A32,Composições!A:A,0),8),2,0)</f>
        <v>7.5439499999999988</v>
      </c>
      <c r="F32" s="125">
        <f t="shared" ca="1" si="0"/>
        <v>0</v>
      </c>
      <c r="G32" s="126" t="e">
        <f>IF(A32&lt;&gt;"",IF(AND(#REF!="Padrão",$H$4=#REF!),BDI!$B$17,IF(AND(#REF!="Padrão",$H$4=#REF!),BDI!#REF!,IF(AND(#REF!="Diferenciado",$H$4=#REF!),BDI!$E$17,IF(AND(#REF!="Diferenciado",$H$4=#REF!),BDI!#REF!,IF(#REF!="ZERO",0))))),"")</f>
        <v>#REF!</v>
      </c>
      <c r="H32" s="127" t="e">
        <f t="shared" ca="1" si="1"/>
        <v>#REF!</v>
      </c>
      <c r="I32" s="125" t="e">
        <f t="shared" ca="1" si="2"/>
        <v>#REF!</v>
      </c>
    </row>
    <row r="33" spans="1:9" hidden="1" x14ac:dyDescent="0.25">
      <c r="A33" s="103" t="s">
        <v>59</v>
      </c>
      <c r="B33" s="104" t="s">
        <v>1489</v>
      </c>
      <c r="C33" s="105" t="s">
        <v>20</v>
      </c>
      <c r="D33" s="105">
        <v>0</v>
      </c>
      <c r="E33" s="124">
        <f ca="1">OFFSET(INDEX(Composições!A:J,MATCH(Orçamentária!A33,Composições!A:A,0),8),2,0)</f>
        <v>5.9042499999999993</v>
      </c>
      <c r="F33" s="125">
        <f t="shared" ca="1" si="0"/>
        <v>0</v>
      </c>
      <c r="G33" s="126" t="e">
        <f>IF(A33&lt;&gt;"",IF(AND(#REF!="Padrão",$H$4=#REF!),BDI!$B$17,IF(AND(#REF!="Padrão",$H$4=#REF!),BDI!#REF!,IF(AND(#REF!="Diferenciado",$H$4=#REF!),BDI!$E$17,IF(AND(#REF!="Diferenciado",$H$4=#REF!),BDI!#REF!,IF(#REF!="ZERO",0))))),"")</f>
        <v>#REF!</v>
      </c>
      <c r="H33" s="127" t="e">
        <f t="shared" ca="1" si="1"/>
        <v>#REF!</v>
      </c>
      <c r="I33" s="125" t="e">
        <f t="shared" ca="1" si="2"/>
        <v>#REF!</v>
      </c>
    </row>
    <row r="34" spans="1:9" hidden="1" x14ac:dyDescent="0.25">
      <c r="A34" s="103" t="s">
        <v>60</v>
      </c>
      <c r="B34" s="104" t="s">
        <v>6271</v>
      </c>
      <c r="C34" s="105" t="s">
        <v>20</v>
      </c>
      <c r="D34" s="105">
        <v>0</v>
      </c>
      <c r="E34" s="124">
        <f ca="1">OFFSET(INDEX(Composições!A:J,MATCH(Orçamentária!A34,Composições!A:A,0),8),2,0)</f>
        <v>8.0292081</v>
      </c>
      <c r="F34" s="125">
        <f t="shared" ca="1" si="0"/>
        <v>0</v>
      </c>
      <c r="G34" s="126" t="e">
        <f>IF(A34&lt;&gt;"",IF(AND(#REF!="Padrão",$H$4=#REF!),BDI!$B$17,IF(AND(#REF!="Padrão",$H$4=#REF!),BDI!#REF!,IF(AND(#REF!="Diferenciado",$H$4=#REF!),BDI!$E$17,IF(AND(#REF!="Diferenciado",$H$4=#REF!),BDI!#REF!,IF(#REF!="ZERO",0))))),"")</f>
        <v>#REF!</v>
      </c>
      <c r="H34" s="127" t="e">
        <f t="shared" ca="1" si="1"/>
        <v>#REF!</v>
      </c>
      <c r="I34" s="125" t="e">
        <f t="shared" ca="1" si="2"/>
        <v>#REF!</v>
      </c>
    </row>
    <row r="35" spans="1:9" hidden="1" x14ac:dyDescent="0.25">
      <c r="A35" s="103" t="s">
        <v>61</v>
      </c>
      <c r="B35" s="104" t="s">
        <v>1490</v>
      </c>
      <c r="C35" s="105" t="s">
        <v>95</v>
      </c>
      <c r="D35" s="105">
        <v>0</v>
      </c>
      <c r="E35" s="124">
        <f ca="1">OFFSET(INDEX(Composições!A:J,MATCH(Orçamentária!A35,Composições!A:A,0),8),2,0)</f>
        <v>18.818549999999998</v>
      </c>
      <c r="F35" s="125">
        <f t="shared" ca="1" si="0"/>
        <v>0</v>
      </c>
      <c r="G35" s="126" t="e">
        <f>IF(A35&lt;&gt;"",IF(AND(#REF!="Padrão",$H$4=#REF!),BDI!$B$17,IF(AND(#REF!="Padrão",$H$4=#REF!),BDI!#REF!,IF(AND(#REF!="Diferenciado",$H$4=#REF!),BDI!$E$17,IF(AND(#REF!="Diferenciado",$H$4=#REF!),BDI!#REF!,IF(#REF!="ZERO",0))))),"")</f>
        <v>#REF!</v>
      </c>
      <c r="H35" s="127" t="e">
        <f t="shared" ca="1" si="1"/>
        <v>#REF!</v>
      </c>
      <c r="I35" s="125" t="e">
        <f t="shared" ca="1" si="2"/>
        <v>#REF!</v>
      </c>
    </row>
    <row r="36" spans="1:9" hidden="1" x14ac:dyDescent="0.25">
      <c r="A36" s="103" t="s">
        <v>62</v>
      </c>
      <c r="B36" s="104" t="s">
        <v>1491</v>
      </c>
      <c r="C36" s="105" t="s">
        <v>20</v>
      </c>
      <c r="D36" s="105">
        <v>0</v>
      </c>
      <c r="E36" s="124">
        <f ca="1">OFFSET(INDEX(Composições!A:J,MATCH(Orçamentária!A36,Composições!A:A,0),8),2,0)</f>
        <v>10.6162139</v>
      </c>
      <c r="F36" s="125">
        <f t="shared" ca="1" si="0"/>
        <v>0</v>
      </c>
      <c r="G36" s="126" t="e">
        <f>IF(A36&lt;&gt;"",IF(AND(#REF!="Padrão",$H$4=#REF!),BDI!$B$17,IF(AND(#REF!="Padrão",$H$4=#REF!),BDI!#REF!,IF(AND(#REF!="Diferenciado",$H$4=#REF!),BDI!$E$17,IF(AND(#REF!="Diferenciado",$H$4=#REF!),BDI!#REF!,IF(#REF!="ZERO",0))))),"")</f>
        <v>#REF!</v>
      </c>
      <c r="H36" s="127" t="e">
        <f t="shared" ca="1" si="1"/>
        <v>#REF!</v>
      </c>
      <c r="I36" s="125" t="e">
        <f t="shared" ca="1" si="2"/>
        <v>#REF!</v>
      </c>
    </row>
    <row r="37" spans="1:9" hidden="1" x14ac:dyDescent="0.25">
      <c r="A37" s="103" t="s">
        <v>63</v>
      </c>
      <c r="B37" s="104" t="s">
        <v>1492</v>
      </c>
      <c r="C37" s="105" t="s">
        <v>20</v>
      </c>
      <c r="D37" s="105">
        <v>0</v>
      </c>
      <c r="E37" s="124">
        <f ca="1">OFFSET(INDEX(Composições!A:J,MATCH(Orçamentária!A37,Composições!A:A,0),8),2,0)</f>
        <v>5.6073844999999993</v>
      </c>
      <c r="F37" s="125">
        <f t="shared" ca="1" si="0"/>
        <v>0</v>
      </c>
      <c r="G37" s="126" t="e">
        <f>IF(A37&lt;&gt;"",IF(AND(#REF!="Padrão",$H$4=#REF!),BDI!$B$17,IF(AND(#REF!="Padrão",$H$4=#REF!),BDI!#REF!,IF(AND(#REF!="Diferenciado",$H$4=#REF!),BDI!$E$17,IF(AND(#REF!="Diferenciado",$H$4=#REF!),BDI!#REF!,IF(#REF!="ZERO",0))))),"")</f>
        <v>#REF!</v>
      </c>
      <c r="H37" s="127" t="e">
        <f t="shared" ca="1" si="1"/>
        <v>#REF!</v>
      </c>
      <c r="I37" s="125" t="e">
        <f t="shared" ca="1" si="2"/>
        <v>#REF!</v>
      </c>
    </row>
    <row r="38" spans="1:9" hidden="1" x14ac:dyDescent="0.25">
      <c r="A38" s="103" t="s">
        <v>65</v>
      </c>
      <c r="B38" s="104" t="s">
        <v>1493</v>
      </c>
      <c r="C38" s="105" t="s">
        <v>20</v>
      </c>
      <c r="D38" s="105">
        <v>0</v>
      </c>
      <c r="E38" s="124">
        <f ca="1">OFFSET(INDEX(Composições!A:J,MATCH(Orçamentária!A38,Composições!A:A,0),8),2,0)</f>
        <v>7.7414417000000011</v>
      </c>
      <c r="F38" s="125">
        <f t="shared" ca="1" si="0"/>
        <v>0</v>
      </c>
      <c r="G38" s="126" t="e">
        <f>IF(A38&lt;&gt;"",IF(AND(#REF!="Padrão",$H$4=#REF!),BDI!$B$17,IF(AND(#REF!="Padrão",$H$4=#REF!),BDI!#REF!,IF(AND(#REF!="Diferenciado",$H$4=#REF!),BDI!$E$17,IF(AND(#REF!="Diferenciado",$H$4=#REF!),BDI!#REF!,IF(#REF!="ZERO",0))))),"")</f>
        <v>#REF!</v>
      </c>
      <c r="H38" s="127" t="e">
        <f t="shared" ca="1" si="1"/>
        <v>#REF!</v>
      </c>
      <c r="I38" s="125" t="e">
        <f t="shared" ca="1" si="2"/>
        <v>#REF!</v>
      </c>
    </row>
    <row r="39" spans="1:9" hidden="1" x14ac:dyDescent="0.25">
      <c r="A39" s="103" t="s">
        <v>66</v>
      </c>
      <c r="B39" s="104" t="s">
        <v>1494</v>
      </c>
      <c r="C39" s="105" t="s">
        <v>95</v>
      </c>
      <c r="D39" s="105">
        <v>0</v>
      </c>
      <c r="E39" s="124">
        <f ca="1">OFFSET(INDEX(Composições!A:J,MATCH(Orçamentária!A39,Composições!A:A,0),8),2,0)</f>
        <v>14.216730999999999</v>
      </c>
      <c r="F39" s="125">
        <f t="shared" ca="1" si="0"/>
        <v>0</v>
      </c>
      <c r="G39" s="126" t="e">
        <f>IF(A39&lt;&gt;"",IF(AND(#REF!="Padrão",$H$4=#REF!),BDI!$B$17,IF(AND(#REF!="Padrão",$H$4=#REF!),BDI!#REF!,IF(AND(#REF!="Diferenciado",$H$4=#REF!),BDI!$E$17,IF(AND(#REF!="Diferenciado",$H$4=#REF!),BDI!#REF!,IF(#REF!="ZERO",0))))),"")</f>
        <v>#REF!</v>
      </c>
      <c r="H39" s="127" t="e">
        <f t="shared" ca="1" si="1"/>
        <v>#REF!</v>
      </c>
      <c r="I39" s="125" t="e">
        <f t="shared" ca="1" si="2"/>
        <v>#REF!</v>
      </c>
    </row>
    <row r="40" spans="1:9" hidden="1" x14ac:dyDescent="0.25">
      <c r="A40" s="103" t="s">
        <v>67</v>
      </c>
      <c r="B40" s="104" t="s">
        <v>1495</v>
      </c>
      <c r="C40" s="105" t="s">
        <v>95</v>
      </c>
      <c r="D40" s="105">
        <v>0</v>
      </c>
      <c r="E40" s="124">
        <f ca="1">OFFSET(INDEX(Composições!A:J,MATCH(Orçamentária!A40,Composições!A:A,0),8),2,0)</f>
        <v>9.1846000000000014</v>
      </c>
      <c r="F40" s="125">
        <f t="shared" ca="1" si="0"/>
        <v>0</v>
      </c>
      <c r="G40" s="126" t="e">
        <f>IF(A40&lt;&gt;"",IF(AND(#REF!="Padrão",$H$4=#REF!),BDI!$B$17,IF(AND(#REF!="Padrão",$H$4=#REF!),BDI!#REF!,IF(AND(#REF!="Diferenciado",$H$4=#REF!),BDI!$E$17,IF(AND(#REF!="Diferenciado",$H$4=#REF!),BDI!#REF!,IF(#REF!="ZERO",0))))),"")</f>
        <v>#REF!</v>
      </c>
      <c r="H40" s="127" t="e">
        <f t="shared" ca="1" si="1"/>
        <v>#REF!</v>
      </c>
      <c r="I40" s="125" t="e">
        <f t="shared" ca="1" si="2"/>
        <v>#REF!</v>
      </c>
    </row>
    <row r="41" spans="1:9" hidden="1" x14ac:dyDescent="0.25">
      <c r="A41" s="103" t="s">
        <v>69</v>
      </c>
      <c r="B41" s="104" t="s">
        <v>1496</v>
      </c>
      <c r="C41" s="105" t="s">
        <v>93</v>
      </c>
      <c r="D41" s="105">
        <v>0</v>
      </c>
      <c r="E41" s="124">
        <f ca="1">OFFSET(INDEX(Composições!A:J,MATCH(Orçamentária!A41,Composições!A:A,0),8),2,0)</f>
        <v>3.2464824999999995</v>
      </c>
      <c r="F41" s="125">
        <f t="shared" ca="1" si="0"/>
        <v>0</v>
      </c>
      <c r="G41" s="126" t="e">
        <f>IF(A41&lt;&gt;"",IF(AND(#REF!="Padrão",$H$4=#REF!),BDI!$B$17,IF(AND(#REF!="Padrão",$H$4=#REF!),BDI!#REF!,IF(AND(#REF!="Diferenciado",$H$4=#REF!),BDI!$E$17,IF(AND(#REF!="Diferenciado",$H$4=#REF!),BDI!#REF!,IF(#REF!="ZERO",0))))),"")</f>
        <v>#REF!</v>
      </c>
      <c r="H41" s="127" t="e">
        <f t="shared" ca="1" si="1"/>
        <v>#REF!</v>
      </c>
      <c r="I41" s="125" t="e">
        <f t="shared" ca="1" si="2"/>
        <v>#REF!</v>
      </c>
    </row>
    <row r="42" spans="1:9" hidden="1" x14ac:dyDescent="0.25">
      <c r="A42" s="103" t="s">
        <v>70</v>
      </c>
      <c r="B42" s="104" t="s">
        <v>1497</v>
      </c>
      <c r="C42" s="105" t="s">
        <v>95</v>
      </c>
      <c r="D42" s="105">
        <v>0</v>
      </c>
      <c r="E42" s="124">
        <f ca="1">OFFSET(INDEX(Composições!A:J,MATCH(Orçamentária!A42,Composições!A:A,0),8),2,0)</f>
        <v>7.3682000000000007</v>
      </c>
      <c r="F42" s="125">
        <f t="shared" ca="1" si="0"/>
        <v>0</v>
      </c>
      <c r="G42" s="126" t="e">
        <f>IF(A42&lt;&gt;"",IF(AND(#REF!="Padrão",$H$4=#REF!),BDI!$B$17,IF(AND(#REF!="Padrão",$H$4=#REF!),BDI!#REF!,IF(AND(#REF!="Diferenciado",$H$4=#REF!),BDI!$E$17,IF(AND(#REF!="Diferenciado",$H$4=#REF!),BDI!#REF!,IF(#REF!="ZERO",0))))),"")</f>
        <v>#REF!</v>
      </c>
      <c r="H42" s="127" t="e">
        <f t="shared" ca="1" si="1"/>
        <v>#REF!</v>
      </c>
      <c r="I42" s="125" t="e">
        <f t="shared" ca="1" si="2"/>
        <v>#REF!</v>
      </c>
    </row>
    <row r="43" spans="1:9" s="184" customFormat="1" x14ac:dyDescent="0.25">
      <c r="A43" s="185" t="s">
        <v>71</v>
      </c>
      <c r="B43" s="186" t="s">
        <v>1498</v>
      </c>
      <c r="C43" s="187" t="s">
        <v>95</v>
      </c>
      <c r="D43" s="187">
        <v>1054.2</v>
      </c>
      <c r="E43" s="124">
        <f ca="1">OFFSET(INDEX(Composições!A:J,MATCH(Orçamentária!A43,Composições!A:A,0),8),2,0)</f>
        <v>4.2672109499999999</v>
      </c>
      <c r="F43" s="125">
        <f t="shared" ca="1" si="0"/>
        <v>4498.4937834900002</v>
      </c>
      <c r="G43" s="126">
        <f>BDI!$B$17</f>
        <v>0.191</v>
      </c>
      <c r="H43" s="127">
        <f t="shared" ca="1" si="1"/>
        <v>5.08</v>
      </c>
      <c r="I43" s="204">
        <f t="shared" ca="1" si="2"/>
        <v>5355.34</v>
      </c>
    </row>
    <row r="44" spans="1:9" hidden="1" x14ac:dyDescent="0.25">
      <c r="A44" s="103" t="s">
        <v>73</v>
      </c>
      <c r="B44" s="104" t="s">
        <v>1499</v>
      </c>
      <c r="C44" s="105" t="s">
        <v>20</v>
      </c>
      <c r="D44" s="105">
        <v>0</v>
      </c>
      <c r="E44" s="124">
        <f ca="1">OFFSET(INDEX(Composições!A:J,MATCH(Orçamentária!A44,Composições!A:A,0),8),2,0)</f>
        <v>65.587999999999994</v>
      </c>
      <c r="F44" s="125">
        <f t="shared" ca="1" si="0"/>
        <v>0</v>
      </c>
      <c r="G44" s="126" t="e">
        <f>IF(A44&lt;&gt;"",IF(AND(#REF!="Padrão",$H$4=#REF!),BDI!$B$17,IF(AND(#REF!="Padrão",$H$4=#REF!),BDI!#REF!,IF(AND(#REF!="Diferenciado",$H$4=#REF!),BDI!$E$17,IF(AND(#REF!="Diferenciado",$H$4=#REF!),BDI!#REF!,IF(#REF!="ZERO",0))))),"")</f>
        <v>#REF!</v>
      </c>
      <c r="H44" s="127" t="e">
        <f t="shared" ca="1" si="1"/>
        <v>#REF!</v>
      </c>
      <c r="I44" s="125" t="e">
        <f t="shared" ca="1" si="2"/>
        <v>#REF!</v>
      </c>
    </row>
    <row r="45" spans="1:9" hidden="1" x14ac:dyDescent="0.25">
      <c r="A45" s="103" t="s">
        <v>75</v>
      </c>
      <c r="B45" s="104" t="s">
        <v>1500</v>
      </c>
      <c r="C45" s="105" t="s">
        <v>95</v>
      </c>
      <c r="D45" s="105">
        <v>0</v>
      </c>
      <c r="E45" s="124">
        <f ca="1">OFFSET(INDEX(Composições!A:J,MATCH(Orçamentária!A45,Composições!A:A,0),8),2,0)</f>
        <v>3.6841000000000004</v>
      </c>
      <c r="F45" s="125">
        <f t="shared" ca="1" si="0"/>
        <v>0</v>
      </c>
      <c r="G45" s="126" t="e">
        <f>IF(A45&lt;&gt;"",IF(AND(#REF!="Padrão",$H$4=#REF!),BDI!$B$17,IF(AND(#REF!="Padrão",$H$4=#REF!),BDI!#REF!,IF(AND(#REF!="Diferenciado",$H$4=#REF!),BDI!$E$17,IF(AND(#REF!="Diferenciado",$H$4=#REF!),BDI!#REF!,IF(#REF!="ZERO",0))))),"")</f>
        <v>#REF!</v>
      </c>
      <c r="H45" s="127" t="e">
        <f t="shared" ca="1" si="1"/>
        <v>#REF!</v>
      </c>
      <c r="I45" s="125" t="e">
        <f t="shared" ca="1" si="2"/>
        <v>#REF!</v>
      </c>
    </row>
    <row r="46" spans="1:9" hidden="1" x14ac:dyDescent="0.25">
      <c r="A46" s="103" t="s">
        <v>76</v>
      </c>
      <c r="B46" s="104" t="s">
        <v>1501</v>
      </c>
      <c r="C46" s="105" t="s">
        <v>93</v>
      </c>
      <c r="D46" s="105">
        <v>0</v>
      </c>
      <c r="E46" s="124">
        <f ca="1">OFFSET(INDEX(Composições!A:J,MATCH(Orçamentária!A46,Composições!A:A,0),8),2,0)</f>
        <v>1.6099517000000001</v>
      </c>
      <c r="F46" s="125">
        <f t="shared" ca="1" si="0"/>
        <v>0</v>
      </c>
      <c r="G46" s="126" t="e">
        <f>IF(A46&lt;&gt;"",IF(AND(#REF!="Padrão",$H$4=#REF!),BDI!$B$17,IF(AND(#REF!="Padrão",$H$4=#REF!),BDI!#REF!,IF(AND(#REF!="Diferenciado",$H$4=#REF!),BDI!$E$17,IF(AND(#REF!="Diferenciado",$H$4=#REF!),BDI!#REF!,IF(#REF!="ZERO",0))))),"")</f>
        <v>#REF!</v>
      </c>
      <c r="H46" s="127" t="e">
        <f t="shared" ca="1" si="1"/>
        <v>#REF!</v>
      </c>
      <c r="I46" s="125" t="e">
        <f t="shared" ca="1" si="2"/>
        <v>#REF!</v>
      </c>
    </row>
    <row r="47" spans="1:9" hidden="1" x14ac:dyDescent="0.25">
      <c r="A47" s="103" t="s">
        <v>77</v>
      </c>
      <c r="B47" s="104" t="s">
        <v>1502</v>
      </c>
      <c r="C47" s="105" t="s">
        <v>95</v>
      </c>
      <c r="D47" s="105">
        <v>0</v>
      </c>
      <c r="E47" s="124">
        <f ca="1">OFFSET(INDEX(Composições!A:J,MATCH(Orçamentária!A47,Composições!A:A,0),8),2,0)</f>
        <v>6.6188874999999996</v>
      </c>
      <c r="F47" s="125">
        <f t="shared" ca="1" si="0"/>
        <v>0</v>
      </c>
      <c r="G47" s="126" t="e">
        <f>IF(A47&lt;&gt;"",IF(AND(#REF!="Padrão",$H$4=#REF!),BDI!$B$17,IF(AND(#REF!="Padrão",$H$4=#REF!),BDI!#REF!,IF(AND(#REF!="Diferenciado",$H$4=#REF!),BDI!$E$17,IF(AND(#REF!="Diferenciado",$H$4=#REF!),BDI!#REF!,IF(#REF!="ZERO",0))))),"")</f>
        <v>#REF!</v>
      </c>
      <c r="H47" s="127" t="e">
        <f t="shared" ca="1" si="1"/>
        <v>#REF!</v>
      </c>
      <c r="I47" s="125" t="e">
        <f t="shared" ca="1" si="2"/>
        <v>#REF!</v>
      </c>
    </row>
    <row r="48" spans="1:9" hidden="1" x14ac:dyDescent="0.25">
      <c r="A48" s="103" t="s">
        <v>79</v>
      </c>
      <c r="B48" s="104" t="s">
        <v>1503</v>
      </c>
      <c r="C48" s="105" t="s">
        <v>93</v>
      </c>
      <c r="D48" s="105">
        <v>0</v>
      </c>
      <c r="E48" s="124">
        <f ca="1">OFFSET(INDEX(Composições!A:J,MATCH(Orçamentária!A48,Composições!A:A,0),8),2,0)</f>
        <v>10.131275</v>
      </c>
      <c r="F48" s="125">
        <f t="shared" ca="1" si="0"/>
        <v>0</v>
      </c>
      <c r="G48" s="126" t="e">
        <f>IF(A48&lt;&gt;"",IF(AND(#REF!="Padrão",$H$4=#REF!),BDI!$B$17,IF(AND(#REF!="Padrão",$H$4=#REF!),BDI!#REF!,IF(AND(#REF!="Diferenciado",$H$4=#REF!),BDI!$E$17,IF(AND(#REF!="Diferenciado",$H$4=#REF!),BDI!#REF!,IF(#REF!="ZERO",0))))),"")</f>
        <v>#REF!</v>
      </c>
      <c r="H48" s="127" t="e">
        <f t="shared" ca="1" si="1"/>
        <v>#REF!</v>
      </c>
      <c r="I48" s="125" t="e">
        <f t="shared" ca="1" si="2"/>
        <v>#REF!</v>
      </c>
    </row>
    <row r="49" spans="1:9" hidden="1" x14ac:dyDescent="0.25">
      <c r="A49" s="103" t="s">
        <v>80</v>
      </c>
      <c r="B49" s="104" t="s">
        <v>1504</v>
      </c>
      <c r="C49" s="105" t="s">
        <v>20</v>
      </c>
      <c r="D49" s="105">
        <v>0</v>
      </c>
      <c r="E49" s="124">
        <f ca="1">OFFSET(INDEX(Composições!A:J,MATCH(Orçamentária!A49,Composições!A:A,0),8),2,0)</f>
        <v>47.604500000000002</v>
      </c>
      <c r="F49" s="125">
        <f t="shared" ca="1" si="0"/>
        <v>0</v>
      </c>
      <c r="G49" s="126" t="e">
        <f>IF(A49&lt;&gt;"",IF(AND(#REF!="Padrão",$H$4=#REF!),BDI!$B$17,IF(AND(#REF!="Padrão",$H$4=#REF!),BDI!#REF!,IF(AND(#REF!="Diferenciado",$H$4=#REF!),BDI!$E$17,IF(AND(#REF!="Diferenciado",$H$4=#REF!),BDI!#REF!,IF(#REF!="ZERO",0))))),"")</f>
        <v>#REF!</v>
      </c>
      <c r="H49" s="127" t="e">
        <f t="shared" ca="1" si="1"/>
        <v>#REF!</v>
      </c>
      <c r="I49" s="125" t="e">
        <f t="shared" ca="1" si="2"/>
        <v>#REF!</v>
      </c>
    </row>
    <row r="50" spans="1:9" hidden="1" x14ac:dyDescent="0.25">
      <c r="A50" s="103" t="s">
        <v>82</v>
      </c>
      <c r="B50" s="104" t="s">
        <v>1505</v>
      </c>
      <c r="C50" s="105" t="s">
        <v>95</v>
      </c>
      <c r="D50" s="105">
        <v>0</v>
      </c>
      <c r="E50" s="124">
        <f ca="1">OFFSET(INDEX(Composições!A:J,MATCH(Orçamentária!A50,Composições!A:A,0),8),2,0)</f>
        <v>16.3915565</v>
      </c>
      <c r="F50" s="125">
        <f t="shared" ca="1" si="0"/>
        <v>0</v>
      </c>
      <c r="G50" s="126" t="e">
        <f>IF(A50&lt;&gt;"",IF(AND(#REF!="Padrão",$H$4=#REF!),BDI!$B$17,IF(AND(#REF!="Padrão",$H$4=#REF!),BDI!#REF!,IF(AND(#REF!="Diferenciado",$H$4=#REF!),BDI!$E$17,IF(AND(#REF!="Diferenciado",$H$4=#REF!),BDI!#REF!,IF(#REF!="ZERO",0))))),"")</f>
        <v>#REF!</v>
      </c>
      <c r="H50" s="127" t="e">
        <f t="shared" ca="1" si="1"/>
        <v>#REF!</v>
      </c>
      <c r="I50" s="125" t="e">
        <f t="shared" ca="1" si="2"/>
        <v>#REF!</v>
      </c>
    </row>
    <row r="51" spans="1:9" hidden="1" x14ac:dyDescent="0.25">
      <c r="A51" s="103" t="s">
        <v>83</v>
      </c>
      <c r="B51" s="104" t="s">
        <v>1506</v>
      </c>
      <c r="C51" s="105" t="s">
        <v>109</v>
      </c>
      <c r="D51" s="105">
        <v>0</v>
      </c>
      <c r="E51" s="124">
        <f ca="1">OFFSET(INDEX(Composições!A:J,MATCH(Orçamentária!A51,Composições!A:A,0),8),2,0)</f>
        <v>18.420500000000001</v>
      </c>
      <c r="F51" s="125">
        <f t="shared" ca="1" si="0"/>
        <v>0</v>
      </c>
      <c r="G51" s="126" t="e">
        <f>IF(A51&lt;&gt;"",IF(AND(#REF!="Padrão",$H$4=#REF!),BDI!$B$17,IF(AND(#REF!="Padrão",$H$4=#REF!),BDI!#REF!,IF(AND(#REF!="Diferenciado",$H$4=#REF!),BDI!$E$17,IF(AND(#REF!="Diferenciado",$H$4=#REF!),BDI!#REF!,IF(#REF!="ZERO",0))))),"")</f>
        <v>#REF!</v>
      </c>
      <c r="H51" s="127" t="e">
        <f t="shared" ca="1" si="1"/>
        <v>#REF!</v>
      </c>
      <c r="I51" s="125" t="e">
        <f t="shared" ca="1" si="2"/>
        <v>#REF!</v>
      </c>
    </row>
    <row r="52" spans="1:9" hidden="1" x14ac:dyDescent="0.25">
      <c r="A52" s="103" t="s">
        <v>1507</v>
      </c>
      <c r="B52" s="104" t="s">
        <v>1508</v>
      </c>
      <c r="C52" s="105" t="s">
        <v>20</v>
      </c>
      <c r="D52" s="105">
        <v>0</v>
      </c>
      <c r="E52" s="124" t="s">
        <v>523</v>
      </c>
      <c r="F52" s="125" t="str">
        <f t="shared" si="0"/>
        <v/>
      </c>
      <c r="G52" s="126" t="e">
        <f>IF(A52&lt;&gt;"",IF(AND(#REF!="Padrão",$H$4=#REF!),BDI!$B$17,IF(AND(#REF!="Padrão",$H$4=#REF!),BDI!#REF!,IF(AND(#REF!="Diferenciado",$H$4=#REF!),BDI!$E$17,IF(AND(#REF!="Diferenciado",$H$4=#REF!),BDI!#REF!,IF(#REF!="ZERO",0))))),"")</f>
        <v>#REF!</v>
      </c>
      <c r="H52" s="127" t="str">
        <f t="shared" si="1"/>
        <v/>
      </c>
      <c r="I52" s="125" t="str">
        <f t="shared" si="2"/>
        <v/>
      </c>
    </row>
    <row r="53" spans="1:9" hidden="1" x14ac:dyDescent="0.25">
      <c r="A53" s="103" t="s">
        <v>84</v>
      </c>
      <c r="B53" s="104" t="s">
        <v>1509</v>
      </c>
      <c r="C53" s="105" t="s">
        <v>1510</v>
      </c>
      <c r="D53" s="105">
        <v>0</v>
      </c>
      <c r="E53" s="124">
        <f ca="1">OFFSET(INDEX(Composições!A:J,MATCH(Orçamentária!A53,Composições!A:A,0),8),2,0)</f>
        <v>6.0134999999999996</v>
      </c>
      <c r="F53" s="125">
        <f t="shared" ca="1" si="0"/>
        <v>0</v>
      </c>
      <c r="G53" s="126" t="e">
        <f>IF(A53&lt;&gt;"",IF(AND(#REF!="Padrão",$H$4=#REF!),BDI!$B$17,IF(AND(#REF!="Padrão",$H$4=#REF!),BDI!#REF!,IF(AND(#REF!="Diferenciado",$H$4=#REF!),BDI!$E$17,IF(AND(#REF!="Diferenciado",$H$4=#REF!),BDI!#REF!,IF(#REF!="ZERO",0))))),"")</f>
        <v>#REF!</v>
      </c>
      <c r="H53" s="127" t="e">
        <f t="shared" ca="1" si="1"/>
        <v>#REF!</v>
      </c>
      <c r="I53" s="125" t="e">
        <f t="shared" ca="1" si="2"/>
        <v>#REF!</v>
      </c>
    </row>
    <row r="54" spans="1:9" hidden="1" x14ac:dyDescent="0.25">
      <c r="A54" s="103" t="s">
        <v>87</v>
      </c>
      <c r="B54" s="104" t="s">
        <v>1511</v>
      </c>
      <c r="C54" s="105" t="s">
        <v>1512</v>
      </c>
      <c r="D54" s="105">
        <v>0</v>
      </c>
      <c r="E54" s="124">
        <f ca="1">OFFSET(INDEX(Composições!A:J,MATCH(Orçamentária!A54,Composições!A:A,0),8),2,0)</f>
        <v>18.05</v>
      </c>
      <c r="F54" s="125">
        <f t="shared" ca="1" si="0"/>
        <v>0</v>
      </c>
      <c r="G54" s="126" t="e">
        <f>IF(A54&lt;&gt;"",IF(AND(#REF!="Padrão",$H$4=#REF!),BDI!$B$17,IF(AND(#REF!="Padrão",$H$4=#REF!),BDI!#REF!,IF(AND(#REF!="Diferenciado",$H$4=#REF!),BDI!$E$17,IF(AND(#REF!="Diferenciado",$H$4=#REF!),BDI!#REF!,IF(#REF!="ZERO",0))))),"")</f>
        <v>#REF!</v>
      </c>
      <c r="H54" s="127" t="e">
        <f t="shared" ca="1" si="1"/>
        <v>#REF!</v>
      </c>
      <c r="I54" s="125" t="e">
        <f t="shared" ca="1" si="2"/>
        <v>#REF!</v>
      </c>
    </row>
    <row r="55" spans="1:9" hidden="1" x14ac:dyDescent="0.25">
      <c r="A55" s="103" t="s">
        <v>1513</v>
      </c>
      <c r="B55" s="104" t="s">
        <v>1514</v>
      </c>
      <c r="C55" s="105" t="s">
        <v>93</v>
      </c>
      <c r="D55" s="105">
        <v>0</v>
      </c>
      <c r="E55" s="124" t="s">
        <v>523</v>
      </c>
      <c r="F55" s="125" t="str">
        <f t="shared" si="0"/>
        <v/>
      </c>
      <c r="G55" s="126" t="e">
        <f>IF(A55&lt;&gt;"",IF(AND(#REF!="Padrão",$H$4=#REF!),BDI!$B$17,IF(AND(#REF!="Padrão",$H$4=#REF!),BDI!#REF!,IF(AND(#REF!="Diferenciado",$H$4=#REF!),BDI!$E$17,IF(AND(#REF!="Diferenciado",$H$4=#REF!),BDI!#REF!,IF(#REF!="ZERO",0))))),"")</f>
        <v>#REF!</v>
      </c>
      <c r="H55" s="127" t="str">
        <f t="shared" si="1"/>
        <v/>
      </c>
      <c r="I55" s="125" t="str">
        <f t="shared" si="2"/>
        <v/>
      </c>
    </row>
    <row r="56" spans="1:9" hidden="1" x14ac:dyDescent="0.25">
      <c r="A56" s="103" t="s">
        <v>89</v>
      </c>
      <c r="B56" s="104" t="s">
        <v>1515</v>
      </c>
      <c r="C56" s="105" t="s">
        <v>93</v>
      </c>
      <c r="D56" s="105">
        <v>0</v>
      </c>
      <c r="E56" s="124">
        <f ca="1">OFFSET(INDEX(Composições!A:J,MATCH(Orçamentária!A56,Composições!A:A,0),8),2,0)</f>
        <v>6.3214899999999989</v>
      </c>
      <c r="F56" s="125">
        <f t="shared" ca="1" si="0"/>
        <v>0</v>
      </c>
      <c r="G56" s="126" t="e">
        <f>IF(A56&lt;&gt;"",IF(AND(#REF!="Padrão",$H$4=#REF!),BDI!$B$17,IF(AND(#REF!="Padrão",$H$4=#REF!),BDI!#REF!,IF(AND(#REF!="Diferenciado",$H$4=#REF!),BDI!$E$17,IF(AND(#REF!="Diferenciado",$H$4=#REF!),BDI!#REF!,IF(#REF!="ZERO",0))))),"")</f>
        <v>#REF!</v>
      </c>
      <c r="H56" s="127" t="e">
        <f t="shared" ca="1" si="1"/>
        <v>#REF!</v>
      </c>
      <c r="I56" s="125" t="e">
        <f t="shared" ca="1" si="2"/>
        <v>#REF!</v>
      </c>
    </row>
    <row r="57" spans="1:9" hidden="1" x14ac:dyDescent="0.25">
      <c r="A57" s="103" t="s">
        <v>1516</v>
      </c>
      <c r="B57" s="104" t="s">
        <v>1517</v>
      </c>
      <c r="C57" s="105" t="s">
        <v>20</v>
      </c>
      <c r="D57" s="105">
        <v>0</v>
      </c>
      <c r="E57" s="124" t="s">
        <v>523</v>
      </c>
      <c r="F57" s="125" t="str">
        <f t="shared" si="0"/>
        <v/>
      </c>
      <c r="G57" s="126" t="e">
        <f>IF(A57&lt;&gt;"",IF(AND(#REF!="Padrão",$H$4=#REF!),BDI!$B$17,IF(AND(#REF!="Padrão",$H$4=#REF!),BDI!#REF!,IF(AND(#REF!="Diferenciado",$H$4=#REF!),BDI!$E$17,IF(AND(#REF!="Diferenciado",$H$4=#REF!),BDI!#REF!,IF(#REF!="ZERO",0))))),"")</f>
        <v>#REF!</v>
      </c>
      <c r="H57" s="127" t="str">
        <f t="shared" si="1"/>
        <v/>
      </c>
      <c r="I57" s="125" t="str">
        <f t="shared" si="2"/>
        <v/>
      </c>
    </row>
    <row r="58" spans="1:9" hidden="1" x14ac:dyDescent="0.25">
      <c r="A58" s="103" t="s">
        <v>1518</v>
      </c>
      <c r="B58" s="104" t="s">
        <v>1519</v>
      </c>
      <c r="C58" s="105" t="s">
        <v>1512</v>
      </c>
      <c r="D58" s="105">
        <v>0</v>
      </c>
      <c r="E58" s="124" t="s">
        <v>523</v>
      </c>
      <c r="F58" s="125" t="str">
        <f t="shared" si="0"/>
        <v/>
      </c>
      <c r="G58" s="126" t="e">
        <f>IF(A58&lt;&gt;"",IF(AND(#REF!="Padrão",$H$4=#REF!),BDI!$B$17,IF(AND(#REF!="Padrão",$H$4=#REF!),BDI!#REF!,IF(AND(#REF!="Diferenciado",$H$4=#REF!),BDI!$E$17,IF(AND(#REF!="Diferenciado",$H$4=#REF!),BDI!#REF!,IF(#REF!="ZERO",0))))),"")</f>
        <v>#REF!</v>
      </c>
      <c r="H58" s="127" t="str">
        <f t="shared" si="1"/>
        <v/>
      </c>
      <c r="I58" s="125" t="str">
        <f t="shared" si="2"/>
        <v/>
      </c>
    </row>
    <row r="59" spans="1:9" hidden="1" x14ac:dyDescent="0.25">
      <c r="A59" s="103" t="s">
        <v>1520</v>
      </c>
      <c r="B59" s="104" t="s">
        <v>1521</v>
      </c>
      <c r="C59" s="105" t="s">
        <v>20</v>
      </c>
      <c r="D59" s="105">
        <v>0</v>
      </c>
      <c r="E59" s="124" t="s">
        <v>523</v>
      </c>
      <c r="F59" s="125" t="str">
        <f t="shared" si="0"/>
        <v/>
      </c>
      <c r="G59" s="126" t="e">
        <f>IF(A59&lt;&gt;"",IF(AND(#REF!="Padrão",$H$4=#REF!),BDI!$B$17,IF(AND(#REF!="Padrão",$H$4=#REF!),BDI!#REF!,IF(AND(#REF!="Diferenciado",$H$4=#REF!),BDI!$E$17,IF(AND(#REF!="Diferenciado",$H$4=#REF!),BDI!#REF!,IF(#REF!="ZERO",0))))),"")</f>
        <v>#REF!</v>
      </c>
      <c r="H59" s="127" t="str">
        <f t="shared" si="1"/>
        <v/>
      </c>
      <c r="I59" s="125" t="str">
        <f t="shared" si="2"/>
        <v/>
      </c>
    </row>
    <row r="60" spans="1:9" hidden="1" x14ac:dyDescent="0.25">
      <c r="A60" s="103" t="s">
        <v>1522</v>
      </c>
      <c r="B60" s="104" t="s">
        <v>1523</v>
      </c>
      <c r="C60" s="105" t="s">
        <v>1512</v>
      </c>
      <c r="D60" s="105">
        <v>0</v>
      </c>
      <c r="E60" s="124" t="s">
        <v>523</v>
      </c>
      <c r="F60" s="125" t="str">
        <f t="shared" si="0"/>
        <v/>
      </c>
      <c r="G60" s="126" t="e">
        <f>IF(A60&lt;&gt;"",IF(AND(#REF!="Padrão",$H$4=#REF!),BDI!$B$17,IF(AND(#REF!="Padrão",$H$4=#REF!),BDI!#REF!,IF(AND(#REF!="Diferenciado",$H$4=#REF!),BDI!$E$17,IF(AND(#REF!="Diferenciado",$H$4=#REF!),BDI!#REF!,IF(#REF!="ZERO",0))))),"")</f>
        <v>#REF!</v>
      </c>
      <c r="H60" s="127" t="str">
        <f t="shared" si="1"/>
        <v/>
      </c>
      <c r="I60" s="125" t="str">
        <f t="shared" si="2"/>
        <v/>
      </c>
    </row>
    <row r="61" spans="1:9" hidden="1" x14ac:dyDescent="0.25">
      <c r="A61" s="103" t="s">
        <v>1524</v>
      </c>
      <c r="B61" s="104" t="s">
        <v>1525</v>
      </c>
      <c r="C61" s="105" t="s">
        <v>20</v>
      </c>
      <c r="D61" s="105">
        <v>0</v>
      </c>
      <c r="E61" s="124" t="s">
        <v>523</v>
      </c>
      <c r="F61" s="125" t="str">
        <f t="shared" si="0"/>
        <v/>
      </c>
      <c r="G61" s="126" t="e">
        <f>IF(A61&lt;&gt;"",IF(AND(#REF!="Padrão",$H$4=#REF!),BDI!$B$17,IF(AND(#REF!="Padrão",$H$4=#REF!),BDI!#REF!,IF(AND(#REF!="Diferenciado",$H$4=#REF!),BDI!$E$17,IF(AND(#REF!="Diferenciado",$H$4=#REF!),BDI!#REF!,IF(#REF!="ZERO",0))))),"")</f>
        <v>#REF!</v>
      </c>
      <c r="H61" s="127" t="str">
        <f t="shared" si="1"/>
        <v/>
      </c>
      <c r="I61" s="125" t="str">
        <f t="shared" si="2"/>
        <v/>
      </c>
    </row>
    <row r="62" spans="1:9" ht="25.5" hidden="1" x14ac:dyDescent="0.25">
      <c r="A62" s="103" t="s">
        <v>92</v>
      </c>
      <c r="B62" s="104" t="s">
        <v>1526</v>
      </c>
      <c r="C62" s="105" t="s">
        <v>95</v>
      </c>
      <c r="D62" s="105">
        <v>0</v>
      </c>
      <c r="E62" s="124">
        <f ca="1">OFFSET(INDEX(Composições!A:J,MATCH(Orçamentária!A62,Composições!A:A,0),8),2,0)</f>
        <v>28.374124999999999</v>
      </c>
      <c r="F62" s="125">
        <f t="shared" ca="1" si="0"/>
        <v>0</v>
      </c>
      <c r="G62" s="126" t="e">
        <f>IF(A62&lt;&gt;"",IF(AND(#REF!="Padrão",$H$4=#REF!),BDI!$B$17,IF(AND(#REF!="Padrão",$H$4=#REF!),BDI!#REF!,IF(AND(#REF!="Diferenciado",$H$4=#REF!),BDI!$E$17,IF(AND(#REF!="Diferenciado",$H$4=#REF!),BDI!#REF!,IF(#REF!="ZERO",0))))),"")</f>
        <v>#REF!</v>
      </c>
      <c r="H62" s="127" t="e">
        <f t="shared" ca="1" si="1"/>
        <v>#REF!</v>
      </c>
      <c r="I62" s="125" t="e">
        <f t="shared" ca="1" si="2"/>
        <v>#REF!</v>
      </c>
    </row>
    <row r="63" spans="1:9" hidden="1" x14ac:dyDescent="0.25">
      <c r="A63" s="103" t="s">
        <v>1527</v>
      </c>
      <c r="B63" s="104" t="s">
        <v>1528</v>
      </c>
      <c r="C63" s="105" t="s">
        <v>20</v>
      </c>
      <c r="D63" s="105">
        <v>0</v>
      </c>
      <c r="E63" s="124" t="s">
        <v>523</v>
      </c>
      <c r="F63" s="125" t="str">
        <f t="shared" si="0"/>
        <v/>
      </c>
      <c r="G63" s="126" t="e">
        <f>IF(A63&lt;&gt;"",IF(AND(#REF!="Padrão",$H$4=#REF!),BDI!$B$17,IF(AND(#REF!="Padrão",$H$4=#REF!),BDI!#REF!,IF(AND(#REF!="Diferenciado",$H$4=#REF!),BDI!$E$17,IF(AND(#REF!="Diferenciado",$H$4=#REF!),BDI!#REF!,IF(#REF!="ZERO",0))))),"")</f>
        <v>#REF!</v>
      </c>
      <c r="H63" s="127" t="str">
        <f t="shared" si="1"/>
        <v/>
      </c>
      <c r="I63" s="125" t="str">
        <f t="shared" si="2"/>
        <v/>
      </c>
    </row>
    <row r="64" spans="1:9" hidden="1" x14ac:dyDescent="0.25">
      <c r="A64" s="103" t="s">
        <v>1529</v>
      </c>
      <c r="B64" s="104" t="s">
        <v>1530</v>
      </c>
      <c r="C64" s="105" t="s">
        <v>20</v>
      </c>
      <c r="D64" s="105">
        <v>0</v>
      </c>
      <c r="E64" s="124" t="s">
        <v>523</v>
      </c>
      <c r="F64" s="125" t="str">
        <f t="shared" si="0"/>
        <v/>
      </c>
      <c r="G64" s="126" t="e">
        <f>IF(A64&lt;&gt;"",IF(AND(#REF!="Padrão",$H$4=#REF!),BDI!$B$17,IF(AND(#REF!="Padrão",$H$4=#REF!),BDI!#REF!,IF(AND(#REF!="Diferenciado",$H$4=#REF!),BDI!$E$17,IF(AND(#REF!="Diferenciado",$H$4=#REF!),BDI!#REF!,IF(#REF!="ZERO",0))))),"")</f>
        <v>#REF!</v>
      </c>
      <c r="H64" s="127" t="str">
        <f t="shared" si="1"/>
        <v/>
      </c>
      <c r="I64" s="125" t="str">
        <f t="shared" si="2"/>
        <v/>
      </c>
    </row>
    <row r="65" spans="1:9" hidden="1" x14ac:dyDescent="0.25">
      <c r="A65" s="103" t="s">
        <v>1531</v>
      </c>
      <c r="B65" s="104" t="s">
        <v>1532</v>
      </c>
      <c r="C65" s="105" t="s">
        <v>20</v>
      </c>
      <c r="D65" s="105">
        <v>0</v>
      </c>
      <c r="E65" s="124" t="s">
        <v>523</v>
      </c>
      <c r="F65" s="125" t="str">
        <f t="shared" si="0"/>
        <v/>
      </c>
      <c r="G65" s="126" t="e">
        <f>IF(A65&lt;&gt;"",IF(AND(#REF!="Padrão",$H$4=#REF!),BDI!$B$17,IF(AND(#REF!="Padrão",$H$4=#REF!),BDI!#REF!,IF(AND(#REF!="Diferenciado",$H$4=#REF!),BDI!$E$17,IF(AND(#REF!="Diferenciado",$H$4=#REF!),BDI!#REF!,IF(#REF!="ZERO",0))))),"")</f>
        <v>#REF!</v>
      </c>
      <c r="H65" s="127" t="str">
        <f t="shared" si="1"/>
        <v/>
      </c>
      <c r="I65" s="125" t="str">
        <f t="shared" si="2"/>
        <v/>
      </c>
    </row>
    <row r="66" spans="1:9" hidden="1" x14ac:dyDescent="0.25">
      <c r="A66" s="103" t="s">
        <v>1533</v>
      </c>
      <c r="B66" s="104" t="s">
        <v>1534</v>
      </c>
      <c r="C66" s="105" t="s">
        <v>20</v>
      </c>
      <c r="D66" s="105">
        <v>0</v>
      </c>
      <c r="E66" s="124" t="s">
        <v>523</v>
      </c>
      <c r="F66" s="125" t="str">
        <f t="shared" si="0"/>
        <v/>
      </c>
      <c r="G66" s="126" t="e">
        <f>IF(A66&lt;&gt;"",IF(AND(#REF!="Padrão",$H$4=#REF!),BDI!$B$17,IF(AND(#REF!="Padrão",$H$4=#REF!),BDI!#REF!,IF(AND(#REF!="Diferenciado",$H$4=#REF!),BDI!$E$17,IF(AND(#REF!="Diferenciado",$H$4=#REF!),BDI!#REF!,IF(#REF!="ZERO",0))))),"")</f>
        <v>#REF!</v>
      </c>
      <c r="H66" s="127" t="str">
        <f t="shared" si="1"/>
        <v/>
      </c>
      <c r="I66" s="125" t="str">
        <f t="shared" si="2"/>
        <v/>
      </c>
    </row>
    <row r="67" spans="1:9" hidden="1" x14ac:dyDescent="0.25">
      <c r="A67" s="103" t="s">
        <v>1535</v>
      </c>
      <c r="B67" s="104" t="s">
        <v>1536</v>
      </c>
      <c r="C67" s="105" t="s">
        <v>20</v>
      </c>
      <c r="D67" s="105">
        <v>0</v>
      </c>
      <c r="E67" s="124" t="s">
        <v>523</v>
      </c>
      <c r="F67" s="125" t="str">
        <f t="shared" si="0"/>
        <v/>
      </c>
      <c r="G67" s="126" t="e">
        <f>IF(A67&lt;&gt;"",IF(AND(#REF!="Padrão",$H$4=#REF!),BDI!$B$17,IF(AND(#REF!="Padrão",$H$4=#REF!),BDI!#REF!,IF(AND(#REF!="Diferenciado",$H$4=#REF!),BDI!$E$17,IF(AND(#REF!="Diferenciado",$H$4=#REF!),BDI!#REF!,IF(#REF!="ZERO",0))))),"")</f>
        <v>#REF!</v>
      </c>
      <c r="H67" s="127" t="str">
        <f t="shared" si="1"/>
        <v/>
      </c>
      <c r="I67" s="125" t="str">
        <f t="shared" si="2"/>
        <v/>
      </c>
    </row>
    <row r="68" spans="1:9" hidden="1" x14ac:dyDescent="0.25">
      <c r="A68" s="103" t="s">
        <v>1537</v>
      </c>
      <c r="B68" s="104" t="s">
        <v>1538</v>
      </c>
      <c r="C68" s="105" t="s">
        <v>1510</v>
      </c>
      <c r="D68" s="105">
        <v>0</v>
      </c>
      <c r="E68" s="124" t="s">
        <v>523</v>
      </c>
      <c r="F68" s="125" t="str">
        <f t="shared" si="0"/>
        <v/>
      </c>
      <c r="G68" s="126" t="e">
        <f>IF(A68&lt;&gt;"",IF(AND(#REF!="Padrão",$H$4=#REF!),BDI!$B$17,IF(AND(#REF!="Padrão",$H$4=#REF!),BDI!#REF!,IF(AND(#REF!="Diferenciado",$H$4=#REF!),BDI!$E$17,IF(AND(#REF!="Diferenciado",$H$4=#REF!),BDI!#REF!,IF(#REF!="ZERO",0))))),"")</f>
        <v>#REF!</v>
      </c>
      <c r="H68" s="127" t="str">
        <f t="shared" si="1"/>
        <v/>
      </c>
      <c r="I68" s="125" t="str">
        <f t="shared" si="2"/>
        <v/>
      </c>
    </row>
    <row r="69" spans="1:9" hidden="1" x14ac:dyDescent="0.25">
      <c r="A69" s="103" t="s">
        <v>1539</v>
      </c>
      <c r="B69" s="104" t="s">
        <v>1540</v>
      </c>
      <c r="C69" s="105" t="s">
        <v>20</v>
      </c>
      <c r="D69" s="105">
        <v>0</v>
      </c>
      <c r="E69" s="124" t="s">
        <v>523</v>
      </c>
      <c r="F69" s="125" t="str">
        <f t="shared" si="0"/>
        <v/>
      </c>
      <c r="G69" s="126" t="e">
        <f>IF(A69&lt;&gt;"",IF(AND(#REF!="Padrão",$H$4=#REF!),BDI!$B$17,IF(AND(#REF!="Padrão",$H$4=#REF!),BDI!#REF!,IF(AND(#REF!="Diferenciado",$H$4=#REF!),BDI!$E$17,IF(AND(#REF!="Diferenciado",$H$4=#REF!),BDI!#REF!,IF(#REF!="ZERO",0))))),"")</f>
        <v>#REF!</v>
      </c>
      <c r="H69" s="127" t="str">
        <f t="shared" si="1"/>
        <v/>
      </c>
      <c r="I69" s="125" t="str">
        <f t="shared" si="2"/>
        <v/>
      </c>
    </row>
    <row r="70" spans="1:9" hidden="1" x14ac:dyDescent="0.25">
      <c r="A70" s="103" t="s">
        <v>1541</v>
      </c>
      <c r="B70" s="104" t="s">
        <v>1542</v>
      </c>
      <c r="C70" s="105" t="s">
        <v>20</v>
      </c>
      <c r="D70" s="105">
        <v>0</v>
      </c>
      <c r="E70" s="124" t="s">
        <v>523</v>
      </c>
      <c r="F70" s="125" t="str">
        <f t="shared" si="0"/>
        <v/>
      </c>
      <c r="G70" s="126" t="e">
        <f>IF(A70&lt;&gt;"",IF(AND(#REF!="Padrão",$H$4=#REF!),BDI!$B$17,IF(AND(#REF!="Padrão",$H$4=#REF!),BDI!#REF!,IF(AND(#REF!="Diferenciado",$H$4=#REF!),BDI!$E$17,IF(AND(#REF!="Diferenciado",$H$4=#REF!),BDI!#REF!,IF(#REF!="ZERO",0))))),"")</f>
        <v>#REF!</v>
      </c>
      <c r="H70" s="127" t="str">
        <f t="shared" si="1"/>
        <v/>
      </c>
      <c r="I70" s="125" t="str">
        <f t="shared" si="2"/>
        <v/>
      </c>
    </row>
    <row r="71" spans="1:9" hidden="1" x14ac:dyDescent="0.25">
      <c r="A71" s="103" t="s">
        <v>1543</v>
      </c>
      <c r="B71" s="104" t="s">
        <v>1544</v>
      </c>
      <c r="C71" s="105" t="s">
        <v>20</v>
      </c>
      <c r="D71" s="105">
        <v>0</v>
      </c>
      <c r="E71" s="124" t="s">
        <v>523</v>
      </c>
      <c r="F71" s="125" t="str">
        <f t="shared" ref="F71:F134" si="3">IF(ISNUMBER(E71),D71*E71,"")</f>
        <v/>
      </c>
      <c r="G71" s="126" t="e">
        <f>IF(A71&lt;&gt;"",IF(AND(#REF!="Padrão",$H$4=#REF!),BDI!$B$17,IF(AND(#REF!="Padrão",$H$4=#REF!),BDI!#REF!,IF(AND(#REF!="Diferenciado",$H$4=#REF!),BDI!$E$17,IF(AND(#REF!="Diferenciado",$H$4=#REF!),BDI!#REF!,IF(#REF!="ZERO",0))))),"")</f>
        <v>#REF!</v>
      </c>
      <c r="H71" s="127" t="str">
        <f t="shared" ref="H71:H134" si="4">IF(ISNUMBER(E71),ROUND(E71*(1+G71),2),"")</f>
        <v/>
      </c>
      <c r="I71" s="125" t="str">
        <f t="shared" ref="I71:I134" si="5">IF(ISNUMBER(E71),ROUND(H71*D71,2),"")</f>
        <v/>
      </c>
    </row>
    <row r="72" spans="1:9" hidden="1" x14ac:dyDescent="0.25">
      <c r="A72" s="103" t="s">
        <v>1545</v>
      </c>
      <c r="B72" s="104" t="s">
        <v>1546</v>
      </c>
      <c r="C72" s="105" t="s">
        <v>1547</v>
      </c>
      <c r="D72" s="105">
        <v>0</v>
      </c>
      <c r="E72" s="124" t="s">
        <v>523</v>
      </c>
      <c r="F72" s="125" t="str">
        <f t="shared" si="3"/>
        <v/>
      </c>
      <c r="G72" s="126" t="e">
        <f>IF(A72&lt;&gt;"",IF(AND(#REF!="Padrão",$H$4=#REF!),BDI!$B$17,IF(AND(#REF!="Padrão",$H$4=#REF!),BDI!#REF!,IF(AND(#REF!="Diferenciado",$H$4=#REF!),BDI!$E$17,IF(AND(#REF!="Diferenciado",$H$4=#REF!),BDI!#REF!,IF(#REF!="ZERO",0))))),"")</f>
        <v>#REF!</v>
      </c>
      <c r="H72" s="127" t="str">
        <f t="shared" si="4"/>
        <v/>
      </c>
      <c r="I72" s="125" t="str">
        <f t="shared" si="5"/>
        <v/>
      </c>
    </row>
    <row r="73" spans="1:9" hidden="1" x14ac:dyDescent="0.25">
      <c r="A73" s="103" t="s">
        <v>1548</v>
      </c>
      <c r="B73" s="104" t="s">
        <v>1549</v>
      </c>
      <c r="C73" s="105" t="s">
        <v>1512</v>
      </c>
      <c r="D73" s="105">
        <v>0</v>
      </c>
      <c r="E73" s="124" t="s">
        <v>523</v>
      </c>
      <c r="F73" s="125" t="str">
        <f t="shared" si="3"/>
        <v/>
      </c>
      <c r="G73" s="126" t="e">
        <f>IF(A73&lt;&gt;"",IF(AND(#REF!="Padrão",$H$4=#REF!),BDI!$B$17,IF(AND(#REF!="Padrão",$H$4=#REF!),BDI!#REF!,IF(AND(#REF!="Diferenciado",$H$4=#REF!),BDI!$E$17,IF(AND(#REF!="Diferenciado",$H$4=#REF!),BDI!#REF!,IF(#REF!="ZERO",0))))),"")</f>
        <v>#REF!</v>
      </c>
      <c r="H73" s="127" t="str">
        <f t="shared" si="4"/>
        <v/>
      </c>
      <c r="I73" s="125" t="str">
        <f t="shared" si="5"/>
        <v/>
      </c>
    </row>
    <row r="74" spans="1:9" hidden="1" x14ac:dyDescent="0.25">
      <c r="A74" s="103" t="s">
        <v>1550</v>
      </c>
      <c r="B74" s="104" t="s">
        <v>6272</v>
      </c>
      <c r="C74" s="105" t="s">
        <v>20</v>
      </c>
      <c r="D74" s="105">
        <v>0</v>
      </c>
      <c r="E74" s="124" t="s">
        <v>523</v>
      </c>
      <c r="F74" s="125" t="str">
        <f t="shared" si="3"/>
        <v/>
      </c>
      <c r="G74" s="126" t="e">
        <f>IF(A74&lt;&gt;"",IF(AND(#REF!="Padrão",$H$4=#REF!),BDI!$B$17,IF(AND(#REF!="Padrão",$H$4=#REF!),BDI!#REF!,IF(AND(#REF!="Diferenciado",$H$4=#REF!),BDI!$E$17,IF(AND(#REF!="Diferenciado",$H$4=#REF!),BDI!#REF!,IF(#REF!="ZERO",0))))),"")</f>
        <v>#REF!</v>
      </c>
      <c r="H74" s="127" t="str">
        <f t="shared" si="4"/>
        <v/>
      </c>
      <c r="I74" s="125" t="str">
        <f t="shared" si="5"/>
        <v/>
      </c>
    </row>
    <row r="75" spans="1:9" hidden="1" x14ac:dyDescent="0.25">
      <c r="A75" s="103" t="s">
        <v>96</v>
      </c>
      <c r="B75" s="104" t="s">
        <v>1551</v>
      </c>
      <c r="C75" s="105" t="s">
        <v>95</v>
      </c>
      <c r="D75" s="105">
        <v>0</v>
      </c>
      <c r="E75" s="124">
        <f ca="1">OFFSET(INDEX(Composições!A:J,MATCH(Orçamentária!A75,Composições!A:A,0),8),2,0)</f>
        <v>77.558175750000018</v>
      </c>
      <c r="F75" s="125">
        <f t="shared" ca="1" si="3"/>
        <v>0</v>
      </c>
      <c r="G75" s="126" t="e">
        <f>IF(A75&lt;&gt;"",IF(AND(#REF!="Padrão",$H$4=#REF!),BDI!$B$17,IF(AND(#REF!="Padrão",$H$4=#REF!),BDI!#REF!,IF(AND(#REF!="Diferenciado",$H$4=#REF!),BDI!$E$17,IF(AND(#REF!="Diferenciado",$H$4=#REF!),BDI!#REF!,IF(#REF!="ZERO",0))))),"")</f>
        <v>#REF!</v>
      </c>
      <c r="H75" s="127" t="e">
        <f t="shared" ca="1" si="4"/>
        <v>#REF!</v>
      </c>
      <c r="I75" s="125" t="e">
        <f t="shared" ca="1" si="5"/>
        <v>#REF!</v>
      </c>
    </row>
    <row r="76" spans="1:9" hidden="1" x14ac:dyDescent="0.25">
      <c r="A76" s="103" t="s">
        <v>1552</v>
      </c>
      <c r="B76" s="104" t="s">
        <v>1553</v>
      </c>
      <c r="C76" s="105" t="s">
        <v>20</v>
      </c>
      <c r="D76" s="105">
        <v>0</v>
      </c>
      <c r="E76" s="124" t="s">
        <v>523</v>
      </c>
      <c r="F76" s="125" t="str">
        <f t="shared" si="3"/>
        <v/>
      </c>
      <c r="G76" s="126" t="e">
        <f>IF(A76&lt;&gt;"",IF(AND(#REF!="Padrão",$H$4=#REF!),BDI!$B$17,IF(AND(#REF!="Padrão",$H$4=#REF!),BDI!#REF!,IF(AND(#REF!="Diferenciado",$H$4=#REF!),BDI!$E$17,IF(AND(#REF!="Diferenciado",$H$4=#REF!),BDI!#REF!,IF(#REF!="ZERO",0))))),"")</f>
        <v>#REF!</v>
      </c>
      <c r="H76" s="127" t="str">
        <f t="shared" si="4"/>
        <v/>
      </c>
      <c r="I76" s="125" t="str">
        <f t="shared" si="5"/>
        <v/>
      </c>
    </row>
    <row r="77" spans="1:9" hidden="1" x14ac:dyDescent="0.25">
      <c r="A77" s="103" t="s">
        <v>1554</v>
      </c>
      <c r="B77" s="104" t="s">
        <v>1555</v>
      </c>
      <c r="C77" s="105" t="s">
        <v>20</v>
      </c>
      <c r="D77" s="105">
        <v>0</v>
      </c>
      <c r="E77" s="124" t="s">
        <v>523</v>
      </c>
      <c r="F77" s="125" t="str">
        <f t="shared" si="3"/>
        <v/>
      </c>
      <c r="G77" s="126" t="e">
        <f>IF(A77&lt;&gt;"",IF(AND(#REF!="Padrão",$H$4=#REF!),BDI!$B$17,IF(AND(#REF!="Padrão",$H$4=#REF!),BDI!#REF!,IF(AND(#REF!="Diferenciado",$H$4=#REF!),BDI!$E$17,IF(AND(#REF!="Diferenciado",$H$4=#REF!),BDI!#REF!,IF(#REF!="ZERO",0))))),"")</f>
        <v>#REF!</v>
      </c>
      <c r="H77" s="127" t="str">
        <f t="shared" si="4"/>
        <v/>
      </c>
      <c r="I77" s="125" t="str">
        <f t="shared" si="5"/>
        <v/>
      </c>
    </row>
    <row r="78" spans="1:9" hidden="1" x14ac:dyDescent="0.25">
      <c r="A78" s="103" t="s">
        <v>105</v>
      </c>
      <c r="B78" s="104" t="s">
        <v>6349</v>
      </c>
      <c r="C78" s="105" t="s">
        <v>95</v>
      </c>
      <c r="D78" s="105">
        <v>0</v>
      </c>
      <c r="E78" s="124">
        <f ca="1">OFFSET(INDEX(Composições!A:J,MATCH(Orçamentária!A78,Composições!A:A,0),8),2,0)</f>
        <v>2.2473010000000002</v>
      </c>
      <c r="F78" s="125">
        <f t="shared" ca="1" si="3"/>
        <v>0</v>
      </c>
      <c r="G78" s="126" t="e">
        <f>IF(A78&lt;&gt;"",IF(AND(#REF!="Padrão",$H$4=#REF!),BDI!$B$17,IF(AND(#REF!="Padrão",$H$4=#REF!),BDI!#REF!,IF(AND(#REF!="Diferenciado",$H$4=#REF!),BDI!$E$17,IF(AND(#REF!="Diferenciado",$H$4=#REF!),BDI!#REF!,IF(#REF!="ZERO",0))))),"")</f>
        <v>#REF!</v>
      </c>
      <c r="H78" s="127" t="e">
        <f t="shared" ca="1" si="4"/>
        <v>#REF!</v>
      </c>
      <c r="I78" s="125" t="e">
        <f t="shared" ca="1" si="5"/>
        <v>#REF!</v>
      </c>
    </row>
    <row r="79" spans="1:9" s="184" customFormat="1" x14ac:dyDescent="0.25">
      <c r="A79" s="185" t="s">
        <v>106</v>
      </c>
      <c r="B79" s="186" t="s">
        <v>1556</v>
      </c>
      <c r="C79" s="187" t="s">
        <v>93</v>
      </c>
      <c r="D79" s="187">
        <v>44.9</v>
      </c>
      <c r="E79" s="124">
        <f ca="1">OFFSET(INDEX(Composições!A:J,MATCH(Orçamentária!A79,Composições!A:A,0),8),2,0)</f>
        <v>18.761617048434996</v>
      </c>
      <c r="F79" s="125">
        <f t="shared" ca="1" si="3"/>
        <v>842.39660547473125</v>
      </c>
      <c r="G79" s="126">
        <f>BDI!$B$17</f>
        <v>0.191</v>
      </c>
      <c r="H79" s="127">
        <f t="shared" ca="1" si="4"/>
        <v>22.35</v>
      </c>
      <c r="I79" s="204">
        <f t="shared" ca="1" si="5"/>
        <v>1003.52</v>
      </c>
    </row>
    <row r="80" spans="1:9" s="184" customFormat="1" x14ac:dyDescent="0.25">
      <c r="A80" s="185" t="s">
        <v>110</v>
      </c>
      <c r="B80" s="186" t="s">
        <v>6273</v>
      </c>
      <c r="C80" s="187" t="s">
        <v>20</v>
      </c>
      <c r="D80" s="187">
        <v>16</v>
      </c>
      <c r="E80" s="124">
        <f ca="1">OFFSET(INDEX(Composições!A:J,MATCH(Orçamentária!A80,Composições!A:A,0),8),2,0)</f>
        <v>91.217821999999984</v>
      </c>
      <c r="F80" s="125">
        <f t="shared" ca="1" si="3"/>
        <v>1459.4851519999997</v>
      </c>
      <c r="G80" s="126">
        <f>BDI!$B$17</f>
        <v>0.191</v>
      </c>
      <c r="H80" s="127">
        <f t="shared" ca="1" si="4"/>
        <v>108.64</v>
      </c>
      <c r="I80" s="204">
        <f t="shared" ca="1" si="5"/>
        <v>1738.24</v>
      </c>
    </row>
    <row r="81" spans="1:9" hidden="1" x14ac:dyDescent="0.25">
      <c r="A81" s="103" t="s">
        <v>111</v>
      </c>
      <c r="B81" s="104" t="s">
        <v>1557</v>
      </c>
      <c r="C81" s="105" t="s">
        <v>20</v>
      </c>
      <c r="D81" s="105">
        <v>0</v>
      </c>
      <c r="E81" s="124">
        <f ca="1">OFFSET(INDEX(Composições!A:J,MATCH(Orçamentária!A81,Composições!A:A,0),8),2,0)</f>
        <v>116.50492199999999</v>
      </c>
      <c r="F81" s="125">
        <f t="shared" ca="1" si="3"/>
        <v>0</v>
      </c>
      <c r="G81" s="126" t="e">
        <f>IF(A81&lt;&gt;"",IF(AND(#REF!="Padrão",$H$4=#REF!),BDI!$B$17,IF(AND(#REF!="Padrão",$H$4=#REF!),BDI!#REF!,IF(AND(#REF!="Diferenciado",$H$4=#REF!),BDI!$E$17,IF(AND(#REF!="Diferenciado",$H$4=#REF!),BDI!#REF!,IF(#REF!="ZERO",0))))),"")</f>
        <v>#REF!</v>
      </c>
      <c r="H81" s="127" t="e">
        <f t="shared" ca="1" si="4"/>
        <v>#REF!</v>
      </c>
      <c r="I81" s="125" t="e">
        <f t="shared" ca="1" si="5"/>
        <v>#REF!</v>
      </c>
    </row>
    <row r="82" spans="1:9" hidden="1" x14ac:dyDescent="0.25">
      <c r="A82" s="103" t="s">
        <v>112</v>
      </c>
      <c r="B82" s="104" t="s">
        <v>1558</v>
      </c>
      <c r="C82" s="105" t="s">
        <v>109</v>
      </c>
      <c r="D82" s="105">
        <v>0</v>
      </c>
      <c r="E82" s="124">
        <f ca="1">OFFSET(INDEX(Composições!A:J,MATCH(Orçamentária!A82,Composições!A:A,0),8),2,0)</f>
        <v>803.402160579</v>
      </c>
      <c r="F82" s="125">
        <f t="shared" ca="1" si="3"/>
        <v>0</v>
      </c>
      <c r="G82" s="126" t="e">
        <f>IF(A82&lt;&gt;"",IF(AND(#REF!="Padrão",$H$4=#REF!),BDI!$B$17,IF(AND(#REF!="Padrão",$H$4=#REF!),BDI!#REF!,IF(AND(#REF!="Diferenciado",$H$4=#REF!),BDI!$E$17,IF(AND(#REF!="Diferenciado",$H$4=#REF!),BDI!#REF!,IF(#REF!="ZERO",0))))),"")</f>
        <v>#REF!</v>
      </c>
      <c r="H82" s="127" t="e">
        <f t="shared" ca="1" si="4"/>
        <v>#REF!</v>
      </c>
      <c r="I82" s="125" t="e">
        <f t="shared" ca="1" si="5"/>
        <v>#REF!</v>
      </c>
    </row>
    <row r="83" spans="1:9" hidden="1" x14ac:dyDescent="0.25">
      <c r="A83" s="103" t="s">
        <v>124</v>
      </c>
      <c r="B83" s="104" t="s">
        <v>1559</v>
      </c>
      <c r="C83" s="105" t="s">
        <v>109</v>
      </c>
      <c r="D83" s="105">
        <v>0</v>
      </c>
      <c r="E83" s="124">
        <f ca="1">OFFSET(INDEX(Composições!A:J,MATCH(Orçamentária!A83,Composições!A:A,0),8),2,0)</f>
        <v>847.28756275950002</v>
      </c>
      <c r="F83" s="125">
        <f t="shared" ca="1" si="3"/>
        <v>0</v>
      </c>
      <c r="G83" s="126" t="e">
        <f>IF(A83&lt;&gt;"",IF(AND(#REF!="Padrão",$H$4=#REF!),BDI!$B$17,IF(AND(#REF!="Padrão",$H$4=#REF!),BDI!#REF!,IF(AND(#REF!="Diferenciado",$H$4=#REF!),BDI!$E$17,IF(AND(#REF!="Diferenciado",$H$4=#REF!),BDI!#REF!,IF(#REF!="ZERO",0))))),"")</f>
        <v>#REF!</v>
      </c>
      <c r="H83" s="127" t="e">
        <f t="shared" ca="1" si="4"/>
        <v>#REF!</v>
      </c>
      <c r="I83" s="125" t="e">
        <f t="shared" ca="1" si="5"/>
        <v>#REF!</v>
      </c>
    </row>
    <row r="84" spans="1:9" hidden="1" x14ac:dyDescent="0.25">
      <c r="A84" s="103" t="s">
        <v>125</v>
      </c>
      <c r="B84" s="104" t="s">
        <v>1560</v>
      </c>
      <c r="C84" s="105" t="s">
        <v>1510</v>
      </c>
      <c r="D84" s="105">
        <v>0</v>
      </c>
      <c r="E84" s="124">
        <f ca="1">OFFSET(INDEX(Composições!A:J,MATCH(Orçamentária!A84,Composições!A:A,0),8),2,0)</f>
        <v>20.370849999999997</v>
      </c>
      <c r="F84" s="125">
        <f t="shared" ca="1" si="3"/>
        <v>0</v>
      </c>
      <c r="G84" s="126" t="e">
        <f>IF(A84&lt;&gt;"",IF(AND(#REF!="Padrão",$H$4=#REF!),BDI!$B$17,IF(AND(#REF!="Padrão",$H$4=#REF!),BDI!#REF!,IF(AND(#REF!="Diferenciado",$H$4=#REF!),BDI!$E$17,IF(AND(#REF!="Diferenciado",$H$4=#REF!),BDI!#REF!,IF(#REF!="ZERO",0))))),"")</f>
        <v>#REF!</v>
      </c>
      <c r="H84" s="127" t="e">
        <f t="shared" ca="1" si="4"/>
        <v>#REF!</v>
      </c>
      <c r="I84" s="125" t="e">
        <f t="shared" ca="1" si="5"/>
        <v>#REF!</v>
      </c>
    </row>
    <row r="85" spans="1:9" hidden="1" x14ac:dyDescent="0.25">
      <c r="A85" s="103" t="s">
        <v>129</v>
      </c>
      <c r="B85" s="104" t="s">
        <v>1561</v>
      </c>
      <c r="C85" s="105" t="s">
        <v>42</v>
      </c>
      <c r="D85" s="105">
        <v>0</v>
      </c>
      <c r="E85" s="124">
        <f ca="1">OFFSET(INDEX(Composições!A:J,MATCH(Orçamentária!A85,Composições!A:A,0),8),2,0)</f>
        <v>14.596655</v>
      </c>
      <c r="F85" s="125">
        <f t="shared" ca="1" si="3"/>
        <v>0</v>
      </c>
      <c r="G85" s="126" t="e">
        <f>IF(A85&lt;&gt;"",IF(AND(#REF!="Padrão",$H$4=#REF!),BDI!$B$17,IF(AND(#REF!="Padrão",$H$4=#REF!),BDI!#REF!,IF(AND(#REF!="Diferenciado",$H$4=#REF!),BDI!$E$17,IF(AND(#REF!="Diferenciado",$H$4=#REF!),BDI!#REF!,IF(#REF!="ZERO",0))))),"")</f>
        <v>#REF!</v>
      </c>
      <c r="H85" s="127" t="e">
        <f t="shared" ca="1" si="4"/>
        <v>#REF!</v>
      </c>
      <c r="I85" s="125" t="e">
        <f t="shared" ca="1" si="5"/>
        <v>#REF!</v>
      </c>
    </row>
    <row r="86" spans="1:9" hidden="1" x14ac:dyDescent="0.25">
      <c r="A86" s="103" t="s">
        <v>139</v>
      </c>
      <c r="B86" s="104" t="s">
        <v>1562</v>
      </c>
      <c r="C86" s="105" t="s">
        <v>95</v>
      </c>
      <c r="D86" s="105">
        <v>0</v>
      </c>
      <c r="E86" s="124">
        <f ca="1">OFFSET(INDEX(Composições!A:J,MATCH(Orçamentária!A86,Composições!A:A,0),8),2,0)</f>
        <v>185.800176217</v>
      </c>
      <c r="F86" s="125">
        <f t="shared" ca="1" si="3"/>
        <v>0</v>
      </c>
      <c r="G86" s="126" t="e">
        <f>IF(A86&lt;&gt;"",IF(AND(#REF!="Padrão",$H$4=#REF!),BDI!$B$17,IF(AND(#REF!="Padrão",$H$4=#REF!),BDI!#REF!,IF(AND(#REF!="Diferenciado",$H$4=#REF!),BDI!$E$17,IF(AND(#REF!="Diferenciado",$H$4=#REF!),BDI!#REF!,IF(#REF!="ZERO",0))))),"")</f>
        <v>#REF!</v>
      </c>
      <c r="H86" s="127" t="e">
        <f t="shared" ca="1" si="4"/>
        <v>#REF!</v>
      </c>
      <c r="I86" s="125" t="e">
        <f t="shared" ca="1" si="5"/>
        <v>#REF!</v>
      </c>
    </row>
    <row r="87" spans="1:9" hidden="1" x14ac:dyDescent="0.25">
      <c r="A87" s="103" t="s">
        <v>140</v>
      </c>
      <c r="B87" s="104" t="s">
        <v>1563</v>
      </c>
      <c r="C87" s="105" t="s">
        <v>93</v>
      </c>
      <c r="D87" s="105">
        <v>0</v>
      </c>
      <c r="E87" s="124">
        <f ca="1">OFFSET(INDEX(Composições!A:J,MATCH(Orçamentária!A87,Composições!A:A,0),8),2,0)</f>
        <v>25.500521299999999</v>
      </c>
      <c r="F87" s="125">
        <f t="shared" ca="1" si="3"/>
        <v>0</v>
      </c>
      <c r="G87" s="126" t="e">
        <f>IF(A87&lt;&gt;"",IF(AND(#REF!="Padrão",$H$4=#REF!),BDI!$B$17,IF(AND(#REF!="Padrão",$H$4=#REF!),BDI!#REF!,IF(AND(#REF!="Diferenciado",$H$4=#REF!),BDI!$E$17,IF(AND(#REF!="Diferenciado",$H$4=#REF!),BDI!#REF!,IF(#REF!="ZERO",0))))),"")</f>
        <v>#REF!</v>
      </c>
      <c r="H87" s="127" t="e">
        <f t="shared" ca="1" si="4"/>
        <v>#REF!</v>
      </c>
      <c r="I87" s="125" t="e">
        <f t="shared" ca="1" si="5"/>
        <v>#REF!</v>
      </c>
    </row>
    <row r="88" spans="1:9" hidden="1" x14ac:dyDescent="0.25">
      <c r="A88" s="103" t="s">
        <v>146</v>
      </c>
      <c r="B88" s="104" t="s">
        <v>1564</v>
      </c>
      <c r="C88" s="105" t="s">
        <v>95</v>
      </c>
      <c r="D88" s="105">
        <v>0</v>
      </c>
      <c r="E88" s="124">
        <f ca="1">OFFSET(INDEX(Composições!A:J,MATCH(Orçamentária!A88,Composições!A:A,0),8),2,0)</f>
        <v>26.319179999999999</v>
      </c>
      <c r="F88" s="125">
        <f t="shared" ca="1" si="3"/>
        <v>0</v>
      </c>
      <c r="G88" s="126" t="e">
        <f>IF(A88&lt;&gt;"",IF(AND(#REF!="Padrão",$H$4=#REF!),BDI!$B$17,IF(AND(#REF!="Padrão",$H$4=#REF!),BDI!#REF!,IF(AND(#REF!="Diferenciado",$H$4=#REF!),BDI!$E$17,IF(AND(#REF!="Diferenciado",$H$4=#REF!),BDI!#REF!,IF(#REF!="ZERO",0))))),"")</f>
        <v>#REF!</v>
      </c>
      <c r="H88" s="127" t="e">
        <f t="shared" ca="1" si="4"/>
        <v>#REF!</v>
      </c>
      <c r="I88" s="125" t="e">
        <f t="shared" ca="1" si="5"/>
        <v>#REF!</v>
      </c>
    </row>
    <row r="89" spans="1:9" s="184" customFormat="1" x14ac:dyDescent="0.25">
      <c r="A89" s="185" t="s">
        <v>149</v>
      </c>
      <c r="B89" s="186" t="s">
        <v>1565</v>
      </c>
      <c r="C89" s="187" t="s">
        <v>95</v>
      </c>
      <c r="D89" s="187">
        <v>1.1000000000000001</v>
      </c>
      <c r="E89" s="124">
        <f ca="1">OFFSET(INDEX(Composições!A:J,MATCH(Orçamentária!A89,Composições!A:A,0),8),2,0)</f>
        <v>86.077793750865993</v>
      </c>
      <c r="F89" s="125">
        <f t="shared" ca="1" si="3"/>
        <v>94.685573125952601</v>
      </c>
      <c r="G89" s="126">
        <f>BDI!$B$17</f>
        <v>0.191</v>
      </c>
      <c r="H89" s="127">
        <f t="shared" ca="1" si="4"/>
        <v>102.52</v>
      </c>
      <c r="I89" s="204">
        <f t="shared" ca="1" si="5"/>
        <v>112.77</v>
      </c>
    </row>
    <row r="90" spans="1:9" s="184" customFormat="1" x14ac:dyDescent="0.25">
      <c r="A90" s="185" t="s">
        <v>155</v>
      </c>
      <c r="B90" s="186" t="s">
        <v>1566</v>
      </c>
      <c r="C90" s="187" t="s">
        <v>95</v>
      </c>
      <c r="D90" s="187">
        <v>46</v>
      </c>
      <c r="E90" s="124">
        <f ca="1">OFFSET(INDEX(Composições!A:J,MATCH(Orçamentária!A90,Composições!A:A,0),8),2,0)</f>
        <v>57.706994749999986</v>
      </c>
      <c r="F90" s="125">
        <f t="shared" ca="1" si="3"/>
        <v>2654.5217584999991</v>
      </c>
      <c r="G90" s="126">
        <f>BDI!$B$17</f>
        <v>0.191</v>
      </c>
      <c r="H90" s="127">
        <f t="shared" ca="1" si="4"/>
        <v>68.73</v>
      </c>
      <c r="I90" s="204">
        <f t="shared" ca="1" si="5"/>
        <v>3161.58</v>
      </c>
    </row>
    <row r="91" spans="1:9" hidden="1" x14ac:dyDescent="0.25">
      <c r="A91" s="103" t="s">
        <v>163</v>
      </c>
      <c r="B91" s="104" t="s">
        <v>1567</v>
      </c>
      <c r="C91" s="105" t="s">
        <v>93</v>
      </c>
      <c r="D91" s="105">
        <v>0</v>
      </c>
      <c r="E91" s="124">
        <f ca="1">OFFSET(INDEX(Composições!A:J,MATCH(Orçamentária!A91,Composições!A:A,0),8),2,0)</f>
        <v>26.373136972996001</v>
      </c>
      <c r="F91" s="125">
        <f t="shared" ca="1" si="3"/>
        <v>0</v>
      </c>
      <c r="G91" s="126" t="e">
        <f>IF(A91&lt;&gt;"",IF(AND(#REF!="Padrão",$H$4=#REF!),BDI!$B$17,IF(AND(#REF!="Padrão",$H$4=#REF!),BDI!#REF!,IF(AND(#REF!="Diferenciado",$H$4=#REF!),BDI!$E$17,IF(AND(#REF!="Diferenciado",$H$4=#REF!),BDI!#REF!,IF(#REF!="ZERO",0))))),"")</f>
        <v>#REF!</v>
      </c>
      <c r="H91" s="127" t="e">
        <f t="shared" ca="1" si="4"/>
        <v>#REF!</v>
      </c>
      <c r="I91" s="125" t="e">
        <f t="shared" ca="1" si="5"/>
        <v>#REF!</v>
      </c>
    </row>
    <row r="92" spans="1:9" hidden="1" x14ac:dyDescent="0.25">
      <c r="A92" s="103" t="s">
        <v>165</v>
      </c>
      <c r="B92" s="104" t="s">
        <v>1568</v>
      </c>
      <c r="C92" s="105" t="s">
        <v>95</v>
      </c>
      <c r="D92" s="105">
        <v>0</v>
      </c>
      <c r="E92" s="124">
        <f ca="1">OFFSET(INDEX(Composições!A:J,MATCH(Orçamentária!A92,Composições!A:A,0),8),2,0)</f>
        <v>84.410845899999998</v>
      </c>
      <c r="F92" s="125">
        <f t="shared" ca="1" si="3"/>
        <v>0</v>
      </c>
      <c r="G92" s="126" t="e">
        <f>IF(A92&lt;&gt;"",IF(AND(#REF!="Padrão",$H$4=#REF!),BDI!$B$17,IF(AND(#REF!="Padrão",$H$4=#REF!),BDI!#REF!,IF(AND(#REF!="Diferenciado",$H$4=#REF!),BDI!$E$17,IF(AND(#REF!="Diferenciado",$H$4=#REF!),BDI!#REF!,IF(#REF!="ZERO",0))))),"")</f>
        <v>#REF!</v>
      </c>
      <c r="H92" s="127" t="e">
        <f t="shared" ca="1" si="4"/>
        <v>#REF!</v>
      </c>
      <c r="I92" s="125" t="e">
        <f t="shared" ca="1" si="5"/>
        <v>#REF!</v>
      </c>
    </row>
    <row r="93" spans="1:9" hidden="1" x14ac:dyDescent="0.25">
      <c r="A93" s="103" t="s">
        <v>173</v>
      </c>
      <c r="B93" s="104" t="s">
        <v>1569</v>
      </c>
      <c r="C93" s="105" t="s">
        <v>95</v>
      </c>
      <c r="D93" s="105">
        <v>0</v>
      </c>
      <c r="E93" s="124">
        <f ca="1">OFFSET(INDEX(Composições!A:J,MATCH(Orçamentária!A93,Composições!A:A,0),8),2,0)</f>
        <v>5.4761590999999994</v>
      </c>
      <c r="F93" s="125">
        <f t="shared" ca="1" si="3"/>
        <v>0</v>
      </c>
      <c r="G93" s="126" t="e">
        <f>IF(A93&lt;&gt;"",IF(AND(#REF!="Padrão",$H$4=#REF!),BDI!$B$17,IF(AND(#REF!="Padrão",$H$4=#REF!),BDI!#REF!,IF(AND(#REF!="Diferenciado",$H$4=#REF!),BDI!$E$17,IF(AND(#REF!="Diferenciado",$H$4=#REF!),BDI!#REF!,IF(#REF!="ZERO",0))))),"")</f>
        <v>#REF!</v>
      </c>
      <c r="H93" s="127" t="e">
        <f t="shared" ca="1" si="4"/>
        <v>#REF!</v>
      </c>
      <c r="I93" s="125" t="e">
        <f t="shared" ca="1" si="5"/>
        <v>#REF!</v>
      </c>
    </row>
    <row r="94" spans="1:9" hidden="1" x14ac:dyDescent="0.25">
      <c r="A94" s="103" t="s">
        <v>174</v>
      </c>
      <c r="B94" s="104" t="s">
        <v>1570</v>
      </c>
      <c r="C94" s="105" t="s">
        <v>95</v>
      </c>
      <c r="D94" s="105">
        <v>0</v>
      </c>
      <c r="E94" s="124">
        <f ca="1">OFFSET(INDEX(Composições!A:J,MATCH(Orçamentária!A94,Composições!A:A,0),8),2,0)</f>
        <v>86.187710027741986</v>
      </c>
      <c r="F94" s="125">
        <f t="shared" ca="1" si="3"/>
        <v>0</v>
      </c>
      <c r="G94" s="126" t="e">
        <f>IF(A94&lt;&gt;"",IF(AND(#REF!="Padrão",$H$4=#REF!),BDI!$B$17,IF(AND(#REF!="Padrão",$H$4=#REF!),BDI!#REF!,IF(AND(#REF!="Diferenciado",$H$4=#REF!),BDI!$E$17,IF(AND(#REF!="Diferenciado",$H$4=#REF!),BDI!#REF!,IF(#REF!="ZERO",0))))),"")</f>
        <v>#REF!</v>
      </c>
      <c r="H94" s="127" t="e">
        <f t="shared" ca="1" si="4"/>
        <v>#REF!</v>
      </c>
      <c r="I94" s="125" t="e">
        <f t="shared" ca="1" si="5"/>
        <v>#REF!</v>
      </c>
    </row>
    <row r="95" spans="1:9" hidden="1" x14ac:dyDescent="0.25">
      <c r="A95" s="103" t="s">
        <v>175</v>
      </c>
      <c r="B95" s="104" t="s">
        <v>1571</v>
      </c>
      <c r="C95" s="105" t="s">
        <v>95</v>
      </c>
      <c r="D95" s="105">
        <v>0</v>
      </c>
      <c r="E95" s="124">
        <f ca="1">OFFSET(INDEX(Composições!A:J,MATCH(Orçamentária!A95,Composições!A:A,0),8),2,0)</f>
        <v>10.819041673999999</v>
      </c>
      <c r="F95" s="125">
        <f t="shared" ca="1" si="3"/>
        <v>0</v>
      </c>
      <c r="G95" s="126" t="e">
        <f>IF(A95&lt;&gt;"",IF(AND(#REF!="Padrão",$H$4=#REF!),BDI!$B$17,IF(AND(#REF!="Padrão",$H$4=#REF!),BDI!#REF!,IF(AND(#REF!="Diferenciado",$H$4=#REF!),BDI!$E$17,IF(AND(#REF!="Diferenciado",$H$4=#REF!),BDI!#REF!,IF(#REF!="ZERO",0))))),"")</f>
        <v>#REF!</v>
      </c>
      <c r="H95" s="127" t="e">
        <f t="shared" ca="1" si="4"/>
        <v>#REF!</v>
      </c>
      <c r="I95" s="125" t="e">
        <f t="shared" ca="1" si="5"/>
        <v>#REF!</v>
      </c>
    </row>
    <row r="96" spans="1:9" hidden="1" x14ac:dyDescent="0.25">
      <c r="A96" s="103" t="s">
        <v>177</v>
      </c>
      <c r="B96" s="104" t="s">
        <v>1572</v>
      </c>
      <c r="C96" s="105" t="s">
        <v>95</v>
      </c>
      <c r="D96" s="105">
        <v>0</v>
      </c>
      <c r="E96" s="124">
        <f ca="1">OFFSET(INDEX(Composições!A:J,MATCH(Orçamentária!A96,Composições!A:A,0),8),2,0)</f>
        <v>4.7502613651779999</v>
      </c>
      <c r="F96" s="125">
        <f t="shared" ca="1" si="3"/>
        <v>0</v>
      </c>
      <c r="G96" s="126" t="e">
        <f>IF(A96&lt;&gt;"",IF(AND(#REF!="Padrão",$H$4=#REF!),BDI!$B$17,IF(AND(#REF!="Padrão",$H$4=#REF!),BDI!#REF!,IF(AND(#REF!="Diferenciado",$H$4=#REF!),BDI!$E$17,IF(AND(#REF!="Diferenciado",$H$4=#REF!),BDI!#REF!,IF(#REF!="ZERO",0))))),"")</f>
        <v>#REF!</v>
      </c>
      <c r="H96" s="127" t="e">
        <f t="shared" ca="1" si="4"/>
        <v>#REF!</v>
      </c>
      <c r="I96" s="125" t="e">
        <f t="shared" ca="1" si="5"/>
        <v>#REF!</v>
      </c>
    </row>
    <row r="97" spans="1:9" hidden="1" x14ac:dyDescent="0.25">
      <c r="A97" s="103" t="s">
        <v>179</v>
      </c>
      <c r="B97" s="104" t="s">
        <v>181</v>
      </c>
      <c r="C97" s="105" t="s">
        <v>95</v>
      </c>
      <c r="D97" s="105">
        <v>0</v>
      </c>
      <c r="E97" s="124">
        <f ca="1">OFFSET(INDEX(Composições!A:J,MATCH(Orçamentária!A97,Composições!A:A,0),8),2,0)</f>
        <v>11.372640000000001</v>
      </c>
      <c r="F97" s="125">
        <f t="shared" ca="1" si="3"/>
        <v>0</v>
      </c>
      <c r="G97" s="126" t="e">
        <f>IF(A97&lt;&gt;"",IF(AND(#REF!="Padrão",$H$4=#REF!),BDI!$B$17,IF(AND(#REF!="Padrão",$H$4=#REF!),BDI!#REF!,IF(AND(#REF!="Diferenciado",$H$4=#REF!),BDI!$E$17,IF(AND(#REF!="Diferenciado",$H$4=#REF!),BDI!#REF!,IF(#REF!="ZERO",0))))),"")</f>
        <v>#REF!</v>
      </c>
      <c r="H97" s="127" t="e">
        <f t="shared" ca="1" si="4"/>
        <v>#REF!</v>
      </c>
      <c r="I97" s="125" t="e">
        <f t="shared" ca="1" si="5"/>
        <v>#REF!</v>
      </c>
    </row>
    <row r="98" spans="1:9" s="184" customFormat="1" x14ac:dyDescent="0.25">
      <c r="A98" s="185" t="s">
        <v>183</v>
      </c>
      <c r="B98" s="186" t="s">
        <v>1573</v>
      </c>
      <c r="C98" s="187" t="s">
        <v>95</v>
      </c>
      <c r="D98" s="187">
        <v>0.1</v>
      </c>
      <c r="E98" s="124">
        <f ca="1">OFFSET(INDEX(Composições!A:J,MATCH(Orçamentária!A98,Composições!A:A,0),8),2,0)</f>
        <v>39.797420900000006</v>
      </c>
      <c r="F98" s="125">
        <f t="shared" ca="1" si="3"/>
        <v>3.9797420900000007</v>
      </c>
      <c r="G98" s="126">
        <f>BDI!$B$17</f>
        <v>0.191</v>
      </c>
      <c r="H98" s="127">
        <f t="shared" ca="1" si="4"/>
        <v>47.4</v>
      </c>
      <c r="I98" s="204">
        <f t="shared" ca="1" si="5"/>
        <v>4.74</v>
      </c>
    </row>
    <row r="99" spans="1:9" hidden="1" x14ac:dyDescent="0.25">
      <c r="A99" s="103" t="s">
        <v>187</v>
      </c>
      <c r="B99" s="104" t="s">
        <v>1574</v>
      </c>
      <c r="C99" s="105" t="s">
        <v>95</v>
      </c>
      <c r="D99" s="105">
        <v>0</v>
      </c>
      <c r="E99" s="124">
        <f ca="1">OFFSET(INDEX(Composições!A:J,MATCH(Orçamentária!A99,Composições!A:A,0),8),2,0)</f>
        <v>13.417156374999999</v>
      </c>
      <c r="F99" s="125">
        <f t="shared" ca="1" si="3"/>
        <v>0</v>
      </c>
      <c r="G99" s="126" t="e">
        <f>IF(A99&lt;&gt;"",IF(AND(#REF!="Padrão",$H$4=#REF!),BDI!$B$17,IF(AND(#REF!="Padrão",$H$4=#REF!),BDI!#REF!,IF(AND(#REF!="Diferenciado",$H$4=#REF!),BDI!$E$17,IF(AND(#REF!="Diferenciado",$H$4=#REF!),BDI!#REF!,IF(#REF!="ZERO",0))))),"")</f>
        <v>#REF!</v>
      </c>
      <c r="H99" s="127" t="e">
        <f t="shared" ca="1" si="4"/>
        <v>#REF!</v>
      </c>
      <c r="I99" s="125" t="e">
        <f t="shared" ca="1" si="5"/>
        <v>#REF!</v>
      </c>
    </row>
    <row r="100" spans="1:9" hidden="1" x14ac:dyDescent="0.25">
      <c r="A100" s="103" t="s">
        <v>188</v>
      </c>
      <c r="B100" s="104" t="s">
        <v>1575</v>
      </c>
      <c r="C100" s="105" t="s">
        <v>93</v>
      </c>
      <c r="D100" s="105">
        <v>0</v>
      </c>
      <c r="E100" s="124">
        <f ca="1">OFFSET(INDEX(Composições!A:J,MATCH(Orçamentária!A100,Composições!A:A,0),8),2,0)</f>
        <v>16.366425200000002</v>
      </c>
      <c r="F100" s="125">
        <f t="shared" ca="1" si="3"/>
        <v>0</v>
      </c>
      <c r="G100" s="126" t="e">
        <f>IF(A100&lt;&gt;"",IF(AND(#REF!="Padrão",$H$4=#REF!),BDI!$B$17,IF(AND(#REF!="Padrão",$H$4=#REF!),BDI!#REF!,IF(AND(#REF!="Diferenciado",$H$4=#REF!),BDI!$E$17,IF(AND(#REF!="Diferenciado",$H$4=#REF!),BDI!#REF!,IF(#REF!="ZERO",0))))),"")</f>
        <v>#REF!</v>
      </c>
      <c r="H100" s="127" t="e">
        <f t="shared" ca="1" si="4"/>
        <v>#REF!</v>
      </c>
      <c r="I100" s="125" t="e">
        <f t="shared" ca="1" si="5"/>
        <v>#REF!</v>
      </c>
    </row>
    <row r="101" spans="1:9" hidden="1" x14ac:dyDescent="0.25">
      <c r="A101" s="103" t="s">
        <v>192</v>
      </c>
      <c r="B101" s="104" t="s">
        <v>1576</v>
      </c>
      <c r="C101" s="105" t="s">
        <v>95</v>
      </c>
      <c r="D101" s="105">
        <v>0</v>
      </c>
      <c r="E101" s="124">
        <f ca="1">OFFSET(INDEX(Composições!A:J,MATCH(Orçamentária!A101,Composições!A:A,0),8),2,0)</f>
        <v>3.2414285</v>
      </c>
      <c r="F101" s="125">
        <f t="shared" ca="1" si="3"/>
        <v>0</v>
      </c>
      <c r="G101" s="126" t="e">
        <f>IF(A101&lt;&gt;"",IF(AND(#REF!="Padrão",$H$4=#REF!),BDI!$B$17,IF(AND(#REF!="Padrão",$H$4=#REF!),BDI!#REF!,IF(AND(#REF!="Diferenciado",$H$4=#REF!),BDI!$E$17,IF(AND(#REF!="Diferenciado",$H$4=#REF!),BDI!#REF!,IF(#REF!="ZERO",0))))),"")</f>
        <v>#REF!</v>
      </c>
      <c r="H101" s="127" t="e">
        <f t="shared" ca="1" si="4"/>
        <v>#REF!</v>
      </c>
      <c r="I101" s="125" t="e">
        <f t="shared" ca="1" si="5"/>
        <v>#REF!</v>
      </c>
    </row>
    <row r="102" spans="1:9" hidden="1" x14ac:dyDescent="0.25">
      <c r="A102" s="103" t="s">
        <v>194</v>
      </c>
      <c r="B102" s="104" t="s">
        <v>6274</v>
      </c>
      <c r="C102" s="105" t="s">
        <v>95</v>
      </c>
      <c r="D102" s="105">
        <v>0</v>
      </c>
      <c r="E102" s="124">
        <f ca="1">OFFSET(INDEX(Composições!A:J,MATCH(Orçamentária!A102,Composições!A:A,0),8),2,0)</f>
        <v>11.126447499999999</v>
      </c>
      <c r="F102" s="125">
        <f t="shared" ca="1" si="3"/>
        <v>0</v>
      </c>
      <c r="G102" s="126" t="e">
        <f>IF(A102&lt;&gt;"",IF(AND(#REF!="Padrão",$H$4=#REF!),BDI!$B$17,IF(AND(#REF!="Padrão",$H$4=#REF!),BDI!#REF!,IF(AND(#REF!="Diferenciado",$H$4=#REF!),BDI!$E$17,IF(AND(#REF!="Diferenciado",$H$4=#REF!),BDI!#REF!,IF(#REF!="ZERO",0))))),"")</f>
        <v>#REF!</v>
      </c>
      <c r="H102" s="127" t="e">
        <f t="shared" ca="1" si="4"/>
        <v>#REF!</v>
      </c>
      <c r="I102" s="125" t="e">
        <f t="shared" ca="1" si="5"/>
        <v>#REF!</v>
      </c>
    </row>
    <row r="103" spans="1:9" hidden="1" x14ac:dyDescent="0.25">
      <c r="A103" s="103" t="s">
        <v>199</v>
      </c>
      <c r="B103" s="104" t="s">
        <v>1577</v>
      </c>
      <c r="C103" s="105" t="s">
        <v>95</v>
      </c>
      <c r="D103" s="105">
        <v>0</v>
      </c>
      <c r="E103" s="124">
        <f ca="1">OFFSET(INDEX(Composições!A:J,MATCH(Orçamentária!A103,Composições!A:A,0),8),2,0)</f>
        <v>21.171634260000001</v>
      </c>
      <c r="F103" s="125">
        <f t="shared" ca="1" si="3"/>
        <v>0</v>
      </c>
      <c r="G103" s="126" t="e">
        <f>IF(A103&lt;&gt;"",IF(AND(#REF!="Padrão",$H$4=#REF!),BDI!$B$17,IF(AND(#REF!="Padrão",$H$4=#REF!),BDI!#REF!,IF(AND(#REF!="Diferenciado",$H$4=#REF!),BDI!$E$17,IF(AND(#REF!="Diferenciado",$H$4=#REF!),BDI!#REF!,IF(#REF!="ZERO",0))))),"")</f>
        <v>#REF!</v>
      </c>
      <c r="H103" s="127" t="e">
        <f t="shared" ca="1" si="4"/>
        <v>#REF!</v>
      </c>
      <c r="I103" s="125" t="e">
        <f t="shared" ca="1" si="5"/>
        <v>#REF!</v>
      </c>
    </row>
    <row r="104" spans="1:9" s="184" customFormat="1" x14ac:dyDescent="0.25">
      <c r="A104" s="185" t="s">
        <v>200</v>
      </c>
      <c r="B104" s="186" t="s">
        <v>1578</v>
      </c>
      <c r="C104" s="187" t="s">
        <v>95</v>
      </c>
      <c r="D104" s="187">
        <v>125</v>
      </c>
      <c r="E104" s="124">
        <f ca="1">OFFSET(INDEX(Composições!A:J,MATCH(Orçamentária!A104,Composições!A:A,0),8),2,0)</f>
        <v>16.3647399</v>
      </c>
      <c r="F104" s="125">
        <f t="shared" ca="1" si="3"/>
        <v>2045.5924875000001</v>
      </c>
      <c r="G104" s="126">
        <f>BDI!$B$17</f>
        <v>0.191</v>
      </c>
      <c r="H104" s="127">
        <f t="shared" ca="1" si="4"/>
        <v>19.489999999999998</v>
      </c>
      <c r="I104" s="204">
        <f t="shared" ca="1" si="5"/>
        <v>2436.25</v>
      </c>
    </row>
    <row r="105" spans="1:9" s="184" customFormat="1" x14ac:dyDescent="0.25">
      <c r="A105" s="185" t="s">
        <v>201</v>
      </c>
      <c r="B105" s="186" t="s">
        <v>1579</v>
      </c>
      <c r="C105" s="187" t="s">
        <v>95</v>
      </c>
      <c r="D105" s="187">
        <v>650</v>
      </c>
      <c r="E105" s="124">
        <f ca="1">OFFSET(INDEX(Composições!A:J,MATCH(Orçamentária!A105,Composições!A:A,0),8),2,0)</f>
        <v>14.441671999999999</v>
      </c>
      <c r="F105" s="125">
        <f t="shared" ca="1" si="3"/>
        <v>9387.0867999999991</v>
      </c>
      <c r="G105" s="126">
        <f>BDI!$B$17</f>
        <v>0.191</v>
      </c>
      <c r="H105" s="127">
        <f t="shared" ca="1" si="4"/>
        <v>17.2</v>
      </c>
      <c r="I105" s="204">
        <f t="shared" ca="1" si="5"/>
        <v>11180</v>
      </c>
    </row>
    <row r="106" spans="1:9" hidden="1" x14ac:dyDescent="0.25">
      <c r="A106" s="103" t="s">
        <v>202</v>
      </c>
      <c r="B106" s="104" t="s">
        <v>1580</v>
      </c>
      <c r="C106" s="105" t="s">
        <v>95</v>
      </c>
      <c r="D106" s="105">
        <v>0</v>
      </c>
      <c r="E106" s="124">
        <f ca="1">OFFSET(INDEX(Composições!A:J,MATCH(Orçamentária!A106,Composições!A:A,0),8),2,0)</f>
        <v>23.346474999999998</v>
      </c>
      <c r="F106" s="125">
        <f t="shared" ca="1" si="3"/>
        <v>0</v>
      </c>
      <c r="G106" s="126" t="e">
        <f>IF(A106&lt;&gt;"",IF(AND(#REF!="Padrão",$H$4=#REF!),BDI!$B$17,IF(AND(#REF!="Padrão",$H$4=#REF!),BDI!#REF!,IF(AND(#REF!="Diferenciado",$H$4=#REF!),BDI!$E$17,IF(AND(#REF!="Diferenciado",$H$4=#REF!),BDI!#REF!,IF(#REF!="ZERO",0))))),"")</f>
        <v>#REF!</v>
      </c>
      <c r="H106" s="127" t="e">
        <f t="shared" ca="1" si="4"/>
        <v>#REF!</v>
      </c>
      <c r="I106" s="125" t="e">
        <f t="shared" ca="1" si="5"/>
        <v>#REF!</v>
      </c>
    </row>
    <row r="107" spans="1:9" hidden="1" x14ac:dyDescent="0.25">
      <c r="A107" s="103" t="s">
        <v>204</v>
      </c>
      <c r="B107" s="104" t="s">
        <v>1581</v>
      </c>
      <c r="C107" s="105" t="s">
        <v>95</v>
      </c>
      <c r="D107" s="105">
        <v>0</v>
      </c>
      <c r="E107" s="124">
        <f ca="1">OFFSET(INDEX(Composições!A:J,MATCH(Orçamentária!A107,Composições!A:A,0),8),2,0)</f>
        <v>19.373064999999997</v>
      </c>
      <c r="F107" s="125">
        <f t="shared" ca="1" si="3"/>
        <v>0</v>
      </c>
      <c r="G107" s="126" t="e">
        <f>IF(A107&lt;&gt;"",IF(AND(#REF!="Padrão",$H$4=#REF!),BDI!$B$17,IF(AND(#REF!="Padrão",$H$4=#REF!),BDI!#REF!,IF(AND(#REF!="Diferenciado",$H$4=#REF!),BDI!$E$17,IF(AND(#REF!="Diferenciado",$H$4=#REF!),BDI!#REF!,IF(#REF!="ZERO",0))))),"")</f>
        <v>#REF!</v>
      </c>
      <c r="H107" s="127" t="e">
        <f t="shared" ca="1" si="4"/>
        <v>#REF!</v>
      </c>
      <c r="I107" s="125" t="e">
        <f t="shared" ca="1" si="5"/>
        <v>#REF!</v>
      </c>
    </row>
    <row r="108" spans="1:9" s="184" customFormat="1" x14ac:dyDescent="0.25">
      <c r="A108" s="185" t="s">
        <v>206</v>
      </c>
      <c r="B108" s="186" t="s">
        <v>1582</v>
      </c>
      <c r="C108" s="187" t="s">
        <v>95</v>
      </c>
      <c r="D108" s="187">
        <v>230</v>
      </c>
      <c r="E108" s="124">
        <f ca="1">OFFSET(INDEX(Composições!A:J,MATCH(Orçamentária!A108,Composições!A:A,0),8),2,0)</f>
        <v>16.285669499999997</v>
      </c>
      <c r="F108" s="125">
        <f t="shared" ca="1" si="3"/>
        <v>3745.7039849999992</v>
      </c>
      <c r="G108" s="126">
        <f>BDI!$B$17</f>
        <v>0.191</v>
      </c>
      <c r="H108" s="127">
        <f t="shared" ca="1" si="4"/>
        <v>19.399999999999999</v>
      </c>
      <c r="I108" s="204">
        <f t="shared" ca="1" si="5"/>
        <v>4462</v>
      </c>
    </row>
    <row r="109" spans="1:9" hidden="1" x14ac:dyDescent="0.25">
      <c r="A109" s="103" t="s">
        <v>207</v>
      </c>
      <c r="B109" s="104" t="s">
        <v>1583</v>
      </c>
      <c r="C109" s="105" t="s">
        <v>95</v>
      </c>
      <c r="D109" s="105">
        <v>0</v>
      </c>
      <c r="E109" s="124">
        <f ca="1">OFFSET(INDEX(Composições!A:J,MATCH(Orçamentária!A109,Composições!A:A,0),8),2,0)</f>
        <v>74.034260000000017</v>
      </c>
      <c r="F109" s="125">
        <f t="shared" ca="1" si="3"/>
        <v>0</v>
      </c>
      <c r="G109" s="126" t="e">
        <f>IF(A109&lt;&gt;"",IF(AND(#REF!="Padrão",$H$4=#REF!),BDI!$B$17,IF(AND(#REF!="Padrão",$H$4=#REF!),BDI!#REF!,IF(AND(#REF!="Diferenciado",$H$4=#REF!),BDI!$E$17,IF(AND(#REF!="Diferenciado",$H$4=#REF!),BDI!#REF!,IF(#REF!="ZERO",0))))),"")</f>
        <v>#REF!</v>
      </c>
      <c r="H109" s="127" t="e">
        <f t="shared" ca="1" si="4"/>
        <v>#REF!</v>
      </c>
      <c r="I109" s="125" t="e">
        <f t="shared" ca="1" si="5"/>
        <v>#REF!</v>
      </c>
    </row>
    <row r="110" spans="1:9" hidden="1" x14ac:dyDescent="0.25">
      <c r="A110" s="103" t="s">
        <v>209</v>
      </c>
      <c r="B110" s="104" t="s">
        <v>1584</v>
      </c>
      <c r="C110" s="105" t="s">
        <v>95</v>
      </c>
      <c r="D110" s="105">
        <v>0</v>
      </c>
      <c r="E110" s="124">
        <f ca="1">OFFSET(INDEX(Composições!A:J,MATCH(Orçamentária!A110,Composições!A:A,0),8),2,0)</f>
        <v>54.844567041424988</v>
      </c>
      <c r="F110" s="125">
        <f t="shared" ca="1" si="3"/>
        <v>0</v>
      </c>
      <c r="G110" s="126" t="e">
        <f>IF(A110&lt;&gt;"",IF(AND(#REF!="Padrão",$H$4=#REF!),BDI!$B$17,IF(AND(#REF!="Padrão",$H$4=#REF!),BDI!#REF!,IF(AND(#REF!="Diferenciado",$H$4=#REF!),BDI!$E$17,IF(AND(#REF!="Diferenciado",$H$4=#REF!),BDI!#REF!,IF(#REF!="ZERO",0))))),"")</f>
        <v>#REF!</v>
      </c>
      <c r="H110" s="127" t="e">
        <f t="shared" ca="1" si="4"/>
        <v>#REF!</v>
      </c>
      <c r="I110" s="125" t="e">
        <f t="shared" ca="1" si="5"/>
        <v>#REF!</v>
      </c>
    </row>
    <row r="111" spans="1:9" hidden="1" x14ac:dyDescent="0.25">
      <c r="A111" s="103" t="s">
        <v>212</v>
      </c>
      <c r="B111" s="104" t="s">
        <v>1585</v>
      </c>
      <c r="C111" s="105" t="s">
        <v>95</v>
      </c>
      <c r="D111" s="105">
        <v>0</v>
      </c>
      <c r="E111" s="124">
        <f ca="1">OFFSET(INDEX(Composições!A:J,MATCH(Orçamentária!A111,Composições!A:A,0),8),2,0)</f>
        <v>35.409075203474991</v>
      </c>
      <c r="F111" s="125">
        <f t="shared" ca="1" si="3"/>
        <v>0</v>
      </c>
      <c r="G111" s="126" t="e">
        <f>IF(A111&lt;&gt;"",IF(AND(#REF!="Padrão",$H$4=#REF!),BDI!$B$17,IF(AND(#REF!="Padrão",$H$4=#REF!),BDI!#REF!,IF(AND(#REF!="Diferenciado",$H$4=#REF!),BDI!$E$17,IF(AND(#REF!="Diferenciado",$H$4=#REF!),BDI!#REF!,IF(#REF!="ZERO",0))))),"")</f>
        <v>#REF!</v>
      </c>
      <c r="H111" s="127" t="e">
        <f t="shared" ca="1" si="4"/>
        <v>#REF!</v>
      </c>
      <c r="I111" s="125" t="e">
        <f t="shared" ca="1" si="5"/>
        <v>#REF!</v>
      </c>
    </row>
    <row r="112" spans="1:9" hidden="1" x14ac:dyDescent="0.25">
      <c r="A112" s="103" t="s">
        <v>213</v>
      </c>
      <c r="B112" s="104" t="s">
        <v>1586</v>
      </c>
      <c r="C112" s="105" t="s">
        <v>95</v>
      </c>
      <c r="D112" s="105">
        <v>0</v>
      </c>
      <c r="E112" s="124">
        <f ca="1">OFFSET(INDEX(Composições!A:J,MATCH(Orçamentária!A112,Composições!A:A,0),8),2,0)</f>
        <v>54.665906999999997</v>
      </c>
      <c r="F112" s="125">
        <f t="shared" ca="1" si="3"/>
        <v>0</v>
      </c>
      <c r="G112" s="126" t="e">
        <f>IF(A112&lt;&gt;"",IF(AND(#REF!="Padrão",$H$4=#REF!),BDI!$B$17,IF(AND(#REF!="Padrão",$H$4=#REF!),BDI!#REF!,IF(AND(#REF!="Diferenciado",$H$4=#REF!),BDI!$E$17,IF(AND(#REF!="Diferenciado",$H$4=#REF!),BDI!#REF!,IF(#REF!="ZERO",0))))),"")</f>
        <v>#REF!</v>
      </c>
      <c r="H112" s="127" t="e">
        <f t="shared" ca="1" si="4"/>
        <v>#REF!</v>
      </c>
      <c r="I112" s="125" t="e">
        <f t="shared" ca="1" si="5"/>
        <v>#REF!</v>
      </c>
    </row>
    <row r="113" spans="1:9" hidden="1" x14ac:dyDescent="0.25">
      <c r="A113" s="103" t="s">
        <v>215</v>
      </c>
      <c r="B113" s="104" t="s">
        <v>1587</v>
      </c>
      <c r="C113" s="105" t="s">
        <v>95</v>
      </c>
      <c r="D113" s="105">
        <v>0</v>
      </c>
      <c r="E113" s="124">
        <f ca="1">OFFSET(INDEX(Composições!A:J,MATCH(Orçamentária!A113,Composições!A:A,0),8),2,0)</f>
        <v>119.26837699999999</v>
      </c>
      <c r="F113" s="125">
        <f t="shared" ca="1" si="3"/>
        <v>0</v>
      </c>
      <c r="G113" s="126" t="e">
        <f>IF(A113&lt;&gt;"",IF(AND(#REF!="Padrão",$H$4=#REF!),BDI!$B$17,IF(AND(#REF!="Padrão",$H$4=#REF!),BDI!#REF!,IF(AND(#REF!="Diferenciado",$H$4=#REF!),BDI!$E$17,IF(AND(#REF!="Diferenciado",$H$4=#REF!),BDI!#REF!,IF(#REF!="ZERO",0))))),"")</f>
        <v>#REF!</v>
      </c>
      <c r="H113" s="127" t="e">
        <f t="shared" ca="1" si="4"/>
        <v>#REF!</v>
      </c>
      <c r="I113" s="125" t="e">
        <f t="shared" ca="1" si="5"/>
        <v>#REF!</v>
      </c>
    </row>
    <row r="114" spans="1:9" hidden="1" x14ac:dyDescent="0.25">
      <c r="A114" s="103" t="s">
        <v>218</v>
      </c>
      <c r="B114" s="104" t="s">
        <v>1588</v>
      </c>
      <c r="C114" s="105" t="s">
        <v>95</v>
      </c>
      <c r="D114" s="105">
        <v>0</v>
      </c>
      <c r="E114" s="124">
        <f ca="1">OFFSET(INDEX(Composições!A:J,MATCH(Orçamentária!A114,Composições!A:A,0),8),2,0)</f>
        <v>137.75253650000002</v>
      </c>
      <c r="F114" s="125">
        <f t="shared" ca="1" si="3"/>
        <v>0</v>
      </c>
      <c r="G114" s="126" t="e">
        <f>IF(A114&lt;&gt;"",IF(AND(#REF!="Padrão",$H$4=#REF!),BDI!$B$17,IF(AND(#REF!="Padrão",$H$4=#REF!),BDI!#REF!,IF(AND(#REF!="Diferenciado",$H$4=#REF!),BDI!$E$17,IF(AND(#REF!="Diferenciado",$H$4=#REF!),BDI!#REF!,IF(#REF!="ZERO",0))))),"")</f>
        <v>#REF!</v>
      </c>
      <c r="H114" s="127" t="e">
        <f t="shared" ca="1" si="4"/>
        <v>#REF!</v>
      </c>
      <c r="I114" s="125" t="e">
        <f t="shared" ca="1" si="5"/>
        <v>#REF!</v>
      </c>
    </row>
    <row r="115" spans="1:9" hidden="1" x14ac:dyDescent="0.25">
      <c r="A115" s="103" t="s">
        <v>221</v>
      </c>
      <c r="B115" s="104" t="s">
        <v>1589</v>
      </c>
      <c r="C115" s="105" t="s">
        <v>95</v>
      </c>
      <c r="D115" s="105">
        <v>0</v>
      </c>
      <c r="E115" s="124">
        <f ca="1">OFFSET(INDEX(Composições!A:J,MATCH(Orçamentária!A115,Composições!A:A,0),8),2,0)</f>
        <v>54.665906999999997</v>
      </c>
      <c r="F115" s="125">
        <f t="shared" ca="1" si="3"/>
        <v>0</v>
      </c>
      <c r="G115" s="126" t="e">
        <f>IF(A115&lt;&gt;"",IF(AND(#REF!="Padrão",$H$4=#REF!),BDI!$B$17,IF(AND(#REF!="Padrão",$H$4=#REF!),BDI!#REF!,IF(AND(#REF!="Diferenciado",$H$4=#REF!),BDI!$E$17,IF(AND(#REF!="Diferenciado",$H$4=#REF!),BDI!#REF!,IF(#REF!="ZERO",0))))),"")</f>
        <v>#REF!</v>
      </c>
      <c r="H115" s="127" t="e">
        <f t="shared" ca="1" si="4"/>
        <v>#REF!</v>
      </c>
      <c r="I115" s="125" t="e">
        <f t="shared" ca="1" si="5"/>
        <v>#REF!</v>
      </c>
    </row>
    <row r="116" spans="1:9" hidden="1" x14ac:dyDescent="0.25">
      <c r="A116" s="103" t="s">
        <v>223</v>
      </c>
      <c r="B116" s="104" t="s">
        <v>1590</v>
      </c>
      <c r="C116" s="105" t="s">
        <v>95</v>
      </c>
      <c r="D116" s="105">
        <v>0</v>
      </c>
      <c r="E116" s="124">
        <f ca="1">OFFSET(INDEX(Composições!A:J,MATCH(Orçamentária!A116,Composições!A:A,0),8),2,0)</f>
        <v>119.26837699999999</v>
      </c>
      <c r="F116" s="125">
        <f t="shared" ca="1" si="3"/>
        <v>0</v>
      </c>
      <c r="G116" s="126" t="e">
        <f>IF(A116&lt;&gt;"",IF(AND(#REF!="Padrão",$H$4=#REF!),BDI!$B$17,IF(AND(#REF!="Padrão",$H$4=#REF!),BDI!#REF!,IF(AND(#REF!="Diferenciado",$H$4=#REF!),BDI!$E$17,IF(AND(#REF!="Diferenciado",$H$4=#REF!),BDI!#REF!,IF(#REF!="ZERO",0))))),"")</f>
        <v>#REF!</v>
      </c>
      <c r="H116" s="127" t="e">
        <f t="shared" ca="1" si="4"/>
        <v>#REF!</v>
      </c>
      <c r="I116" s="125" t="e">
        <f t="shared" ca="1" si="5"/>
        <v>#REF!</v>
      </c>
    </row>
    <row r="117" spans="1:9" hidden="1" x14ac:dyDescent="0.25">
      <c r="A117" s="103" t="s">
        <v>225</v>
      </c>
      <c r="B117" s="104" t="s">
        <v>1591</v>
      </c>
      <c r="C117" s="105" t="s">
        <v>95</v>
      </c>
      <c r="D117" s="105">
        <v>0</v>
      </c>
      <c r="E117" s="124">
        <f ca="1">OFFSET(INDEX(Composições!A:J,MATCH(Orçamentária!A117,Composições!A:A,0),8),2,0)</f>
        <v>137.75253650000002</v>
      </c>
      <c r="F117" s="125">
        <f t="shared" ca="1" si="3"/>
        <v>0</v>
      </c>
      <c r="G117" s="126" t="e">
        <f>IF(A117&lt;&gt;"",IF(AND(#REF!="Padrão",$H$4=#REF!),BDI!$B$17,IF(AND(#REF!="Padrão",$H$4=#REF!),BDI!#REF!,IF(AND(#REF!="Diferenciado",$H$4=#REF!),BDI!$E$17,IF(AND(#REF!="Diferenciado",$H$4=#REF!),BDI!#REF!,IF(#REF!="ZERO",0))))),"")</f>
        <v>#REF!</v>
      </c>
      <c r="H117" s="127" t="e">
        <f t="shared" ca="1" si="4"/>
        <v>#REF!</v>
      </c>
      <c r="I117" s="125" t="e">
        <f t="shared" ca="1" si="5"/>
        <v>#REF!</v>
      </c>
    </row>
    <row r="118" spans="1:9" hidden="1" x14ac:dyDescent="0.25">
      <c r="A118" s="103" t="s">
        <v>227</v>
      </c>
      <c r="B118" s="104" t="s">
        <v>1592</v>
      </c>
      <c r="C118" s="105" t="s">
        <v>93</v>
      </c>
      <c r="D118" s="105">
        <v>0</v>
      </c>
      <c r="E118" s="124">
        <f ca="1">OFFSET(INDEX(Composições!A:J,MATCH(Orçamentária!A118,Composições!A:A,0),8),2,0)</f>
        <v>13.40547565</v>
      </c>
      <c r="F118" s="125">
        <f t="shared" ca="1" si="3"/>
        <v>0</v>
      </c>
      <c r="G118" s="126" t="e">
        <f>IF(A118&lt;&gt;"",IF(AND(#REF!="Padrão",$H$4=#REF!),BDI!$B$17,IF(AND(#REF!="Padrão",$H$4=#REF!),BDI!#REF!,IF(AND(#REF!="Diferenciado",$H$4=#REF!),BDI!$E$17,IF(AND(#REF!="Diferenciado",$H$4=#REF!),BDI!#REF!,IF(#REF!="ZERO",0))))),"")</f>
        <v>#REF!</v>
      </c>
      <c r="H118" s="127" t="e">
        <f t="shared" ca="1" si="4"/>
        <v>#REF!</v>
      </c>
      <c r="I118" s="125" t="e">
        <f t="shared" ca="1" si="5"/>
        <v>#REF!</v>
      </c>
    </row>
    <row r="119" spans="1:9" hidden="1" x14ac:dyDescent="0.25">
      <c r="A119" s="103" t="s">
        <v>228</v>
      </c>
      <c r="B119" s="104" t="s">
        <v>1593</v>
      </c>
      <c r="C119" s="105" t="s">
        <v>95</v>
      </c>
      <c r="D119" s="105">
        <v>0</v>
      </c>
      <c r="E119" s="124">
        <f ca="1">OFFSET(INDEX(Composições!A:J,MATCH(Orçamentária!A119,Composições!A:A,0),8),2,0)</f>
        <v>54.665906999999997</v>
      </c>
      <c r="F119" s="125">
        <f t="shared" ca="1" si="3"/>
        <v>0</v>
      </c>
      <c r="G119" s="126" t="e">
        <f>IF(A119&lt;&gt;"",IF(AND(#REF!="Padrão",$H$4=#REF!),BDI!$B$17,IF(AND(#REF!="Padrão",$H$4=#REF!),BDI!#REF!,IF(AND(#REF!="Diferenciado",$H$4=#REF!),BDI!$E$17,IF(AND(#REF!="Diferenciado",$H$4=#REF!),BDI!#REF!,IF(#REF!="ZERO",0))))),"")</f>
        <v>#REF!</v>
      </c>
      <c r="H119" s="127" t="e">
        <f t="shared" ca="1" si="4"/>
        <v>#REF!</v>
      </c>
      <c r="I119" s="125" t="e">
        <f t="shared" ca="1" si="5"/>
        <v>#REF!</v>
      </c>
    </row>
    <row r="120" spans="1:9" hidden="1" x14ac:dyDescent="0.25">
      <c r="A120" s="103" t="s">
        <v>230</v>
      </c>
      <c r="B120" s="104" t="s">
        <v>1594</v>
      </c>
      <c r="C120" s="105" t="s">
        <v>95</v>
      </c>
      <c r="D120" s="105">
        <v>0</v>
      </c>
      <c r="E120" s="124">
        <f ca="1">OFFSET(INDEX(Composições!A:J,MATCH(Orçamentária!A120,Composições!A:A,0),8),2,0)</f>
        <v>54.665906999999997</v>
      </c>
      <c r="F120" s="125">
        <f t="shared" ca="1" si="3"/>
        <v>0</v>
      </c>
      <c r="G120" s="126" t="e">
        <f>IF(A120&lt;&gt;"",IF(AND(#REF!="Padrão",$H$4=#REF!),BDI!$B$17,IF(AND(#REF!="Padrão",$H$4=#REF!),BDI!#REF!,IF(AND(#REF!="Diferenciado",$H$4=#REF!),BDI!$E$17,IF(AND(#REF!="Diferenciado",$H$4=#REF!),BDI!#REF!,IF(#REF!="ZERO",0))))),"")</f>
        <v>#REF!</v>
      </c>
      <c r="H120" s="127" t="e">
        <f t="shared" ca="1" si="4"/>
        <v>#REF!</v>
      </c>
      <c r="I120" s="125" t="e">
        <f t="shared" ca="1" si="5"/>
        <v>#REF!</v>
      </c>
    </row>
    <row r="121" spans="1:9" hidden="1" x14ac:dyDescent="0.25">
      <c r="A121" s="103" t="s">
        <v>232</v>
      </c>
      <c r="B121" s="104" t="s">
        <v>1595</v>
      </c>
      <c r="C121" s="105" t="s">
        <v>93</v>
      </c>
      <c r="D121" s="105">
        <v>0</v>
      </c>
      <c r="E121" s="124">
        <f ca="1">OFFSET(INDEX(Composições!A:J,MATCH(Orçamentária!A121,Composições!A:A,0),8),2,0)</f>
        <v>29.245633149999996</v>
      </c>
      <c r="F121" s="125">
        <f t="shared" ca="1" si="3"/>
        <v>0</v>
      </c>
      <c r="G121" s="126" t="e">
        <f>IF(A121&lt;&gt;"",IF(AND(#REF!="Padrão",$H$4=#REF!),BDI!$B$17,IF(AND(#REF!="Padrão",$H$4=#REF!),BDI!#REF!,IF(AND(#REF!="Diferenciado",$H$4=#REF!),BDI!$E$17,IF(AND(#REF!="Diferenciado",$H$4=#REF!),BDI!#REF!,IF(#REF!="ZERO",0))))),"")</f>
        <v>#REF!</v>
      </c>
      <c r="H121" s="127" t="e">
        <f t="shared" ca="1" si="4"/>
        <v>#REF!</v>
      </c>
      <c r="I121" s="125" t="e">
        <f t="shared" ca="1" si="5"/>
        <v>#REF!</v>
      </c>
    </row>
    <row r="122" spans="1:9" hidden="1" x14ac:dyDescent="0.25">
      <c r="A122" s="103" t="s">
        <v>234</v>
      </c>
      <c r="B122" s="104" t="s">
        <v>1596</v>
      </c>
      <c r="C122" s="105" t="s">
        <v>93</v>
      </c>
      <c r="D122" s="105">
        <v>0</v>
      </c>
      <c r="E122" s="124">
        <f ca="1">OFFSET(INDEX(Composições!A:J,MATCH(Orçamentária!A122,Composições!A:A,0),8),2,0)</f>
        <v>49.59</v>
      </c>
      <c r="F122" s="125">
        <f t="shared" ca="1" si="3"/>
        <v>0</v>
      </c>
      <c r="G122" s="126" t="e">
        <f>IF(A122&lt;&gt;"",IF(AND(#REF!="Padrão",$H$4=#REF!),BDI!$B$17,IF(AND(#REF!="Padrão",$H$4=#REF!),BDI!#REF!,IF(AND(#REF!="Diferenciado",$H$4=#REF!),BDI!$E$17,IF(AND(#REF!="Diferenciado",$H$4=#REF!),BDI!#REF!,IF(#REF!="ZERO",0))))),"")</f>
        <v>#REF!</v>
      </c>
      <c r="H122" s="127" t="e">
        <f t="shared" ca="1" si="4"/>
        <v>#REF!</v>
      </c>
      <c r="I122" s="125" t="e">
        <f t="shared" ca="1" si="5"/>
        <v>#REF!</v>
      </c>
    </row>
    <row r="123" spans="1:9" hidden="1" x14ac:dyDescent="0.25">
      <c r="A123" s="103" t="s">
        <v>235</v>
      </c>
      <c r="B123" s="104" t="s">
        <v>1597</v>
      </c>
      <c r="C123" s="105" t="s">
        <v>93</v>
      </c>
      <c r="D123" s="105">
        <v>0</v>
      </c>
      <c r="E123" s="124">
        <f ca="1">OFFSET(INDEX(Composições!A:J,MATCH(Orçamentária!A123,Composições!A:A,0),8),2,0)</f>
        <v>43.391249999999999</v>
      </c>
      <c r="F123" s="125">
        <f t="shared" ca="1" si="3"/>
        <v>0</v>
      </c>
      <c r="G123" s="126" t="e">
        <f>IF(A123&lt;&gt;"",IF(AND(#REF!="Padrão",$H$4=#REF!),BDI!$B$17,IF(AND(#REF!="Padrão",$H$4=#REF!),BDI!#REF!,IF(AND(#REF!="Diferenciado",$H$4=#REF!),BDI!$E$17,IF(AND(#REF!="Diferenciado",$H$4=#REF!),BDI!#REF!,IF(#REF!="ZERO",0))))),"")</f>
        <v>#REF!</v>
      </c>
      <c r="H123" s="127" t="e">
        <f t="shared" ca="1" si="4"/>
        <v>#REF!</v>
      </c>
      <c r="I123" s="125" t="e">
        <f t="shared" ca="1" si="5"/>
        <v>#REF!</v>
      </c>
    </row>
    <row r="124" spans="1:9" hidden="1" x14ac:dyDescent="0.25">
      <c r="A124" s="103" t="s">
        <v>236</v>
      </c>
      <c r="B124" s="104" t="s">
        <v>1598</v>
      </c>
      <c r="C124" s="105" t="s">
        <v>93</v>
      </c>
      <c r="D124" s="105">
        <v>0</v>
      </c>
      <c r="E124" s="124">
        <f ca="1">OFFSET(INDEX(Composições!A:J,MATCH(Orçamentária!A124,Composições!A:A,0),8),2,0)</f>
        <v>24.795000000000002</v>
      </c>
      <c r="F124" s="125">
        <f t="shared" ca="1" si="3"/>
        <v>0</v>
      </c>
      <c r="G124" s="126" t="e">
        <f>IF(A124&lt;&gt;"",IF(AND(#REF!="Padrão",$H$4=#REF!),BDI!$B$17,IF(AND(#REF!="Padrão",$H$4=#REF!),BDI!#REF!,IF(AND(#REF!="Diferenciado",$H$4=#REF!),BDI!$E$17,IF(AND(#REF!="Diferenciado",$H$4=#REF!),BDI!#REF!,IF(#REF!="ZERO",0))))),"")</f>
        <v>#REF!</v>
      </c>
      <c r="H124" s="127" t="e">
        <f t="shared" ca="1" si="4"/>
        <v>#REF!</v>
      </c>
      <c r="I124" s="125" t="e">
        <f t="shared" ca="1" si="5"/>
        <v>#REF!</v>
      </c>
    </row>
    <row r="125" spans="1:9" hidden="1" x14ac:dyDescent="0.25">
      <c r="A125" s="103" t="s">
        <v>237</v>
      </c>
      <c r="B125" s="104" t="s">
        <v>1599</v>
      </c>
      <c r="C125" s="105" t="s">
        <v>93</v>
      </c>
      <c r="D125" s="105">
        <v>0</v>
      </c>
      <c r="E125" s="124">
        <f ca="1">OFFSET(INDEX(Composições!A:J,MATCH(Orçamentária!A125,Composições!A:A,0),8),2,0)</f>
        <v>30.993750000000002</v>
      </c>
      <c r="F125" s="125">
        <f t="shared" ca="1" si="3"/>
        <v>0</v>
      </c>
      <c r="G125" s="126" t="e">
        <f>IF(A125&lt;&gt;"",IF(AND(#REF!="Padrão",$H$4=#REF!),BDI!$B$17,IF(AND(#REF!="Padrão",$H$4=#REF!),BDI!#REF!,IF(AND(#REF!="Diferenciado",$H$4=#REF!),BDI!$E$17,IF(AND(#REF!="Diferenciado",$H$4=#REF!),BDI!#REF!,IF(#REF!="ZERO",0))))),"")</f>
        <v>#REF!</v>
      </c>
      <c r="H125" s="127" t="e">
        <f t="shared" ca="1" si="4"/>
        <v>#REF!</v>
      </c>
      <c r="I125" s="125" t="e">
        <f t="shared" ca="1" si="5"/>
        <v>#REF!</v>
      </c>
    </row>
    <row r="126" spans="1:9" hidden="1" x14ac:dyDescent="0.25">
      <c r="A126" s="103" t="s">
        <v>238</v>
      </c>
      <c r="B126" s="104" t="s">
        <v>1600</v>
      </c>
      <c r="C126" s="105" t="s">
        <v>20</v>
      </c>
      <c r="D126" s="105">
        <v>0</v>
      </c>
      <c r="E126" s="124">
        <f ca="1">OFFSET(INDEX(Composições!A:J,MATCH(Orçamentária!A126,Composições!A:A,0),8),2,0)</f>
        <v>118.16099999999999</v>
      </c>
      <c r="F126" s="125">
        <f t="shared" ca="1" si="3"/>
        <v>0</v>
      </c>
      <c r="G126" s="126" t="e">
        <f>IF(A126&lt;&gt;"",IF(AND(#REF!="Padrão",$H$4=#REF!),BDI!$B$17,IF(AND(#REF!="Padrão",$H$4=#REF!),BDI!#REF!,IF(AND(#REF!="Diferenciado",$H$4=#REF!),BDI!$E$17,IF(AND(#REF!="Diferenciado",$H$4=#REF!),BDI!#REF!,IF(#REF!="ZERO",0))))),"")</f>
        <v>#REF!</v>
      </c>
      <c r="H126" s="127" t="e">
        <f t="shared" ca="1" si="4"/>
        <v>#REF!</v>
      </c>
      <c r="I126" s="125" t="e">
        <f t="shared" ca="1" si="5"/>
        <v>#REF!</v>
      </c>
    </row>
    <row r="127" spans="1:9" ht="25.5" hidden="1" x14ac:dyDescent="0.25">
      <c r="A127" s="103" t="s">
        <v>240</v>
      </c>
      <c r="B127" s="104" t="s">
        <v>1601</v>
      </c>
      <c r="C127" s="105" t="s">
        <v>20</v>
      </c>
      <c r="D127" s="105">
        <v>0</v>
      </c>
      <c r="E127" s="124">
        <f ca="1">OFFSET(INDEX(Composições!A:J,MATCH(Orçamentária!A127,Composições!A:A,0),8),2,0)</f>
        <v>17.717499999999998</v>
      </c>
      <c r="F127" s="125">
        <f t="shared" ca="1" si="3"/>
        <v>0</v>
      </c>
      <c r="G127" s="126" t="e">
        <f>IF(A127&lt;&gt;"",IF(AND(#REF!="Padrão",$H$4=#REF!),BDI!$B$17,IF(AND(#REF!="Padrão",$H$4=#REF!),BDI!#REF!,IF(AND(#REF!="Diferenciado",$H$4=#REF!),BDI!$E$17,IF(AND(#REF!="Diferenciado",$H$4=#REF!),BDI!#REF!,IF(#REF!="ZERO",0))))),"")</f>
        <v>#REF!</v>
      </c>
      <c r="H127" s="127" t="e">
        <f t="shared" ca="1" si="4"/>
        <v>#REF!</v>
      </c>
      <c r="I127" s="125" t="e">
        <f t="shared" ca="1" si="5"/>
        <v>#REF!</v>
      </c>
    </row>
    <row r="128" spans="1:9" hidden="1" x14ac:dyDescent="0.25">
      <c r="A128" s="103" t="s">
        <v>241</v>
      </c>
      <c r="B128" s="104" t="s">
        <v>1602</v>
      </c>
      <c r="C128" s="105" t="s">
        <v>95</v>
      </c>
      <c r="D128" s="105">
        <v>0</v>
      </c>
      <c r="E128" s="124">
        <f ca="1">OFFSET(INDEX(Composições!A:J,MATCH(Orçamentária!A128,Composições!A:A,0),8),2,0)</f>
        <v>79.511478350000004</v>
      </c>
      <c r="F128" s="125">
        <f t="shared" ca="1" si="3"/>
        <v>0</v>
      </c>
      <c r="G128" s="126" t="e">
        <f>IF(A128&lt;&gt;"",IF(AND(#REF!="Padrão",$H$4=#REF!),BDI!$B$17,IF(AND(#REF!="Padrão",$H$4=#REF!),BDI!#REF!,IF(AND(#REF!="Diferenciado",$H$4=#REF!),BDI!$E$17,IF(AND(#REF!="Diferenciado",$H$4=#REF!),BDI!#REF!,IF(#REF!="ZERO",0))))),"")</f>
        <v>#REF!</v>
      </c>
      <c r="H128" s="127" t="e">
        <f t="shared" ca="1" si="4"/>
        <v>#REF!</v>
      </c>
      <c r="I128" s="125" t="e">
        <f t="shared" ca="1" si="5"/>
        <v>#REF!</v>
      </c>
    </row>
    <row r="129" spans="1:9" hidden="1" x14ac:dyDescent="0.25">
      <c r="A129" s="103" t="s">
        <v>243</v>
      </c>
      <c r="B129" s="104" t="s">
        <v>1603</v>
      </c>
      <c r="C129" s="105" t="s">
        <v>95</v>
      </c>
      <c r="D129" s="105">
        <v>0</v>
      </c>
      <c r="E129" s="124">
        <f ca="1">OFFSET(INDEX(Composições!A:J,MATCH(Orçamentária!A129,Composições!A:A,0),8),2,0)</f>
        <v>159.98002755000002</v>
      </c>
      <c r="F129" s="125">
        <f t="shared" ca="1" si="3"/>
        <v>0</v>
      </c>
      <c r="G129" s="126" t="e">
        <f>IF(A129&lt;&gt;"",IF(AND(#REF!="Padrão",$H$4=#REF!),BDI!$B$17,IF(AND(#REF!="Padrão",$H$4=#REF!),BDI!#REF!,IF(AND(#REF!="Diferenciado",$H$4=#REF!),BDI!$E$17,IF(AND(#REF!="Diferenciado",$H$4=#REF!),BDI!#REF!,IF(#REF!="ZERO",0))))),"")</f>
        <v>#REF!</v>
      </c>
      <c r="H129" s="127" t="e">
        <f t="shared" ca="1" si="4"/>
        <v>#REF!</v>
      </c>
      <c r="I129" s="125" t="e">
        <f t="shared" ca="1" si="5"/>
        <v>#REF!</v>
      </c>
    </row>
    <row r="130" spans="1:9" hidden="1" x14ac:dyDescent="0.25">
      <c r="A130" s="103" t="s">
        <v>245</v>
      </c>
      <c r="B130" s="104" t="s">
        <v>1604</v>
      </c>
      <c r="C130" s="105" t="s">
        <v>95</v>
      </c>
      <c r="D130" s="105">
        <v>0</v>
      </c>
      <c r="E130" s="124">
        <f ca="1">OFFSET(INDEX(Composições!A:J,MATCH(Orçamentária!A130,Composições!A:A,0),8),2,0)</f>
        <v>102.06211950000001</v>
      </c>
      <c r="F130" s="125">
        <f t="shared" ca="1" si="3"/>
        <v>0</v>
      </c>
      <c r="G130" s="126" t="e">
        <f>IF(A130&lt;&gt;"",IF(AND(#REF!="Padrão",$H$4=#REF!),BDI!$B$17,IF(AND(#REF!="Padrão",$H$4=#REF!),BDI!#REF!,IF(AND(#REF!="Diferenciado",$H$4=#REF!),BDI!$E$17,IF(AND(#REF!="Diferenciado",$H$4=#REF!),BDI!#REF!,IF(#REF!="ZERO",0))))),"")</f>
        <v>#REF!</v>
      </c>
      <c r="H130" s="127" t="e">
        <f t="shared" ca="1" si="4"/>
        <v>#REF!</v>
      </c>
      <c r="I130" s="125" t="e">
        <f t="shared" ca="1" si="5"/>
        <v>#REF!</v>
      </c>
    </row>
    <row r="131" spans="1:9" hidden="1" x14ac:dyDescent="0.25">
      <c r="A131" s="103" t="s">
        <v>247</v>
      </c>
      <c r="B131" s="104" t="s">
        <v>1605</v>
      </c>
      <c r="C131" s="105" t="s">
        <v>95</v>
      </c>
      <c r="D131" s="105">
        <v>0</v>
      </c>
      <c r="E131" s="124">
        <f ca="1">OFFSET(INDEX(Composições!A:J,MATCH(Orçamentária!A131,Composições!A:A,0),8),2,0)</f>
        <v>79.511478350000004</v>
      </c>
      <c r="F131" s="125">
        <f t="shared" ca="1" si="3"/>
        <v>0</v>
      </c>
      <c r="G131" s="126" t="e">
        <f>IF(A131&lt;&gt;"",IF(AND(#REF!="Padrão",$H$4=#REF!),BDI!$B$17,IF(AND(#REF!="Padrão",$H$4=#REF!),BDI!#REF!,IF(AND(#REF!="Diferenciado",$H$4=#REF!),BDI!$E$17,IF(AND(#REF!="Diferenciado",$H$4=#REF!),BDI!#REF!,IF(#REF!="ZERO",0))))),"")</f>
        <v>#REF!</v>
      </c>
      <c r="H131" s="127" t="e">
        <f t="shared" ca="1" si="4"/>
        <v>#REF!</v>
      </c>
      <c r="I131" s="125" t="e">
        <f t="shared" ca="1" si="5"/>
        <v>#REF!</v>
      </c>
    </row>
    <row r="132" spans="1:9" hidden="1" x14ac:dyDescent="0.25">
      <c r="A132" s="103" t="s">
        <v>249</v>
      </c>
      <c r="B132" s="104" t="s">
        <v>1606</v>
      </c>
      <c r="C132" s="105" t="s">
        <v>95</v>
      </c>
      <c r="D132" s="105">
        <v>0</v>
      </c>
      <c r="E132" s="124">
        <f ca="1">OFFSET(INDEX(Composições!A:J,MATCH(Orçamentária!A132,Composições!A:A,0),8),2,0)</f>
        <v>159.98002755000002</v>
      </c>
      <c r="F132" s="125">
        <f t="shared" ca="1" si="3"/>
        <v>0</v>
      </c>
      <c r="G132" s="126" t="e">
        <f>IF(A132&lt;&gt;"",IF(AND(#REF!="Padrão",$H$4=#REF!),BDI!$B$17,IF(AND(#REF!="Padrão",$H$4=#REF!),BDI!#REF!,IF(AND(#REF!="Diferenciado",$H$4=#REF!),BDI!$E$17,IF(AND(#REF!="Diferenciado",$H$4=#REF!),BDI!#REF!,IF(#REF!="ZERO",0))))),"")</f>
        <v>#REF!</v>
      </c>
      <c r="H132" s="127" t="e">
        <f t="shared" ca="1" si="4"/>
        <v>#REF!</v>
      </c>
      <c r="I132" s="125" t="e">
        <f t="shared" ca="1" si="5"/>
        <v>#REF!</v>
      </c>
    </row>
    <row r="133" spans="1:9" hidden="1" x14ac:dyDescent="0.25">
      <c r="A133" s="103" t="s">
        <v>251</v>
      </c>
      <c r="B133" s="104" t="s">
        <v>1607</v>
      </c>
      <c r="C133" s="105" t="s">
        <v>95</v>
      </c>
      <c r="D133" s="105">
        <v>0</v>
      </c>
      <c r="E133" s="124">
        <f ca="1">OFFSET(INDEX(Composições!A:J,MATCH(Orçamentária!A133,Composições!A:A,0),8),2,0)</f>
        <v>159.98002755000002</v>
      </c>
      <c r="F133" s="125">
        <f t="shared" ca="1" si="3"/>
        <v>0</v>
      </c>
      <c r="G133" s="126" t="e">
        <f>IF(A133&lt;&gt;"",IF(AND(#REF!="Padrão",$H$4=#REF!),BDI!$B$17,IF(AND(#REF!="Padrão",$H$4=#REF!),BDI!#REF!,IF(AND(#REF!="Diferenciado",$H$4=#REF!),BDI!$E$17,IF(AND(#REF!="Diferenciado",$H$4=#REF!),BDI!#REF!,IF(#REF!="ZERO",0))))),"")</f>
        <v>#REF!</v>
      </c>
      <c r="H133" s="127" t="e">
        <f t="shared" ca="1" si="4"/>
        <v>#REF!</v>
      </c>
      <c r="I133" s="125" t="e">
        <f t="shared" ca="1" si="5"/>
        <v>#REF!</v>
      </c>
    </row>
    <row r="134" spans="1:9" hidden="1" x14ac:dyDescent="0.25">
      <c r="A134" s="103" t="s">
        <v>252</v>
      </c>
      <c r="B134" s="104" t="s">
        <v>6275</v>
      </c>
      <c r="C134" s="105" t="s">
        <v>95</v>
      </c>
      <c r="D134" s="105">
        <v>0</v>
      </c>
      <c r="E134" s="124">
        <f ca="1">OFFSET(INDEX(Composições!A:J,MATCH(Orçamentária!A134,Composições!A:A,0),8),2,0)</f>
        <v>11.9268377</v>
      </c>
      <c r="F134" s="125">
        <f t="shared" ca="1" si="3"/>
        <v>0</v>
      </c>
      <c r="G134" s="126" t="e">
        <f>IF(A134&lt;&gt;"",IF(AND(#REF!="Padrão",$H$4=#REF!),BDI!$B$17,IF(AND(#REF!="Padrão",$H$4=#REF!),BDI!#REF!,IF(AND(#REF!="Diferenciado",$H$4=#REF!),BDI!$E$17,IF(AND(#REF!="Diferenciado",$H$4=#REF!),BDI!#REF!,IF(#REF!="ZERO",0))))),"")</f>
        <v>#REF!</v>
      </c>
      <c r="H134" s="127" t="e">
        <f t="shared" ca="1" si="4"/>
        <v>#REF!</v>
      </c>
      <c r="I134" s="125" t="e">
        <f t="shared" ca="1" si="5"/>
        <v>#REF!</v>
      </c>
    </row>
    <row r="135" spans="1:9" hidden="1" x14ac:dyDescent="0.25">
      <c r="A135" s="103" t="s">
        <v>253</v>
      </c>
      <c r="B135" s="104" t="s">
        <v>1608</v>
      </c>
      <c r="C135" s="105" t="s">
        <v>95</v>
      </c>
      <c r="D135" s="105">
        <v>0</v>
      </c>
      <c r="E135" s="124">
        <f ca="1">OFFSET(INDEX(Composições!A:J,MATCH(Orçamentária!A135,Composições!A:A,0),8),2,0)</f>
        <v>54.237646999999996</v>
      </c>
      <c r="F135" s="125">
        <f t="shared" ref="F135:F198" ca="1" si="6">IF(ISNUMBER(E135),D135*E135,"")</f>
        <v>0</v>
      </c>
      <c r="G135" s="126" t="e">
        <f>IF(A135&lt;&gt;"",IF(AND(#REF!="Padrão",$H$4=#REF!),BDI!$B$17,IF(AND(#REF!="Padrão",$H$4=#REF!),BDI!#REF!,IF(AND(#REF!="Diferenciado",$H$4=#REF!),BDI!$E$17,IF(AND(#REF!="Diferenciado",$H$4=#REF!),BDI!#REF!,IF(#REF!="ZERO",0))))),"")</f>
        <v>#REF!</v>
      </c>
      <c r="H135" s="127" t="e">
        <f t="shared" ref="H135:H198" ca="1" si="7">IF(ISNUMBER(E135),ROUND(E135*(1+G135),2),"")</f>
        <v>#REF!</v>
      </c>
      <c r="I135" s="125" t="e">
        <f t="shared" ref="I135:I198" ca="1" si="8">IF(ISNUMBER(E135),ROUND(H135*D135,2),"")</f>
        <v>#REF!</v>
      </c>
    </row>
    <row r="136" spans="1:9" hidden="1" x14ac:dyDescent="0.25">
      <c r="A136" s="103" t="s">
        <v>254</v>
      </c>
      <c r="B136" s="104" t="s">
        <v>1609</v>
      </c>
      <c r="C136" s="105" t="s">
        <v>95</v>
      </c>
      <c r="D136" s="105">
        <v>0</v>
      </c>
      <c r="E136" s="124">
        <f ca="1">OFFSET(INDEX(Composições!A:J,MATCH(Orçamentária!A136,Composições!A:A,0),8),2,0)</f>
        <v>54.665906999999997</v>
      </c>
      <c r="F136" s="125">
        <f t="shared" ca="1" si="6"/>
        <v>0</v>
      </c>
      <c r="G136" s="126" t="e">
        <f>IF(A136&lt;&gt;"",IF(AND(#REF!="Padrão",$H$4=#REF!),BDI!$B$17,IF(AND(#REF!="Padrão",$H$4=#REF!),BDI!#REF!,IF(AND(#REF!="Diferenciado",$H$4=#REF!),BDI!$E$17,IF(AND(#REF!="Diferenciado",$H$4=#REF!),BDI!#REF!,IF(#REF!="ZERO",0))))),"")</f>
        <v>#REF!</v>
      </c>
      <c r="H136" s="127" t="e">
        <f t="shared" ca="1" si="7"/>
        <v>#REF!</v>
      </c>
      <c r="I136" s="125" t="e">
        <f t="shared" ca="1" si="8"/>
        <v>#REF!</v>
      </c>
    </row>
    <row r="137" spans="1:9" hidden="1" x14ac:dyDescent="0.25">
      <c r="A137" s="103" t="s">
        <v>1610</v>
      </c>
      <c r="B137" s="104" t="s">
        <v>1611</v>
      </c>
      <c r="C137" s="105" t="s">
        <v>95</v>
      </c>
      <c r="D137" s="105">
        <v>0</v>
      </c>
      <c r="E137" s="124" t="s">
        <v>523</v>
      </c>
      <c r="F137" s="125" t="str">
        <f t="shared" si="6"/>
        <v/>
      </c>
      <c r="G137" s="126" t="e">
        <f>IF(A137&lt;&gt;"",IF(AND(#REF!="Padrão",$H$4=#REF!),BDI!$B$17,IF(AND(#REF!="Padrão",$H$4=#REF!),BDI!#REF!,IF(AND(#REF!="Diferenciado",$H$4=#REF!),BDI!$E$17,IF(AND(#REF!="Diferenciado",$H$4=#REF!),BDI!#REF!,IF(#REF!="ZERO",0))))),"")</f>
        <v>#REF!</v>
      </c>
      <c r="H137" s="127" t="str">
        <f t="shared" si="7"/>
        <v/>
      </c>
      <c r="I137" s="125" t="str">
        <f t="shared" si="8"/>
        <v/>
      </c>
    </row>
    <row r="138" spans="1:9" hidden="1" x14ac:dyDescent="0.25">
      <c r="A138" s="103" t="s">
        <v>1612</v>
      </c>
      <c r="B138" s="104" t="s">
        <v>1613</v>
      </c>
      <c r="C138" s="105" t="s">
        <v>95</v>
      </c>
      <c r="D138" s="105">
        <v>0</v>
      </c>
      <c r="E138" s="124" t="s">
        <v>523</v>
      </c>
      <c r="F138" s="125" t="str">
        <f t="shared" si="6"/>
        <v/>
      </c>
      <c r="G138" s="126" t="e">
        <f>IF(A138&lt;&gt;"",IF(AND(#REF!="Padrão",$H$4=#REF!),BDI!$B$17,IF(AND(#REF!="Padrão",$H$4=#REF!),BDI!#REF!,IF(AND(#REF!="Diferenciado",$H$4=#REF!),BDI!$E$17,IF(AND(#REF!="Diferenciado",$H$4=#REF!),BDI!#REF!,IF(#REF!="ZERO",0))))),"")</f>
        <v>#REF!</v>
      </c>
      <c r="H138" s="127" t="str">
        <f t="shared" si="7"/>
        <v/>
      </c>
      <c r="I138" s="125" t="str">
        <f t="shared" si="8"/>
        <v/>
      </c>
    </row>
    <row r="139" spans="1:9" hidden="1" x14ac:dyDescent="0.25">
      <c r="A139" s="103" t="s">
        <v>1614</v>
      </c>
      <c r="B139" s="104" t="s">
        <v>1615</v>
      </c>
      <c r="C139" s="105" t="s">
        <v>95</v>
      </c>
      <c r="D139" s="105">
        <v>0</v>
      </c>
      <c r="E139" s="124" t="s">
        <v>523</v>
      </c>
      <c r="F139" s="125" t="str">
        <f t="shared" si="6"/>
        <v/>
      </c>
      <c r="G139" s="126" t="e">
        <f>IF(A139&lt;&gt;"",IF(AND(#REF!="Padrão",$H$4=#REF!),BDI!$B$17,IF(AND(#REF!="Padrão",$H$4=#REF!),BDI!#REF!,IF(AND(#REF!="Diferenciado",$H$4=#REF!),BDI!$E$17,IF(AND(#REF!="Diferenciado",$H$4=#REF!),BDI!#REF!,IF(#REF!="ZERO",0))))),"")</f>
        <v>#REF!</v>
      </c>
      <c r="H139" s="127" t="str">
        <f t="shared" si="7"/>
        <v/>
      </c>
      <c r="I139" s="125" t="str">
        <f t="shared" si="8"/>
        <v/>
      </c>
    </row>
    <row r="140" spans="1:9" hidden="1" x14ac:dyDescent="0.25">
      <c r="A140" s="103" t="s">
        <v>1616</v>
      </c>
      <c r="B140" s="104" t="s">
        <v>1617</v>
      </c>
      <c r="C140" s="105" t="s">
        <v>95</v>
      </c>
      <c r="D140" s="105">
        <v>0</v>
      </c>
      <c r="E140" s="124" t="s">
        <v>523</v>
      </c>
      <c r="F140" s="125" t="str">
        <f t="shared" si="6"/>
        <v/>
      </c>
      <c r="G140" s="126" t="e">
        <f>IF(A140&lt;&gt;"",IF(AND(#REF!="Padrão",$H$4=#REF!),BDI!$B$17,IF(AND(#REF!="Padrão",$H$4=#REF!),BDI!#REF!,IF(AND(#REF!="Diferenciado",$H$4=#REF!),BDI!$E$17,IF(AND(#REF!="Diferenciado",$H$4=#REF!),BDI!#REF!,IF(#REF!="ZERO",0))))),"")</f>
        <v>#REF!</v>
      </c>
      <c r="H140" s="127" t="str">
        <f t="shared" si="7"/>
        <v/>
      </c>
      <c r="I140" s="125" t="str">
        <f t="shared" si="8"/>
        <v/>
      </c>
    </row>
    <row r="141" spans="1:9" hidden="1" x14ac:dyDescent="0.25">
      <c r="A141" s="103" t="s">
        <v>1618</v>
      </c>
      <c r="B141" s="104" t="s">
        <v>1619</v>
      </c>
      <c r="C141" s="105" t="s">
        <v>95</v>
      </c>
      <c r="D141" s="105">
        <v>0</v>
      </c>
      <c r="E141" s="124" t="s">
        <v>523</v>
      </c>
      <c r="F141" s="125" t="str">
        <f t="shared" si="6"/>
        <v/>
      </c>
      <c r="G141" s="126" t="e">
        <f>IF(A141&lt;&gt;"",IF(AND(#REF!="Padrão",$H$4=#REF!),BDI!$B$17,IF(AND(#REF!="Padrão",$H$4=#REF!),BDI!#REF!,IF(AND(#REF!="Diferenciado",$H$4=#REF!),BDI!$E$17,IF(AND(#REF!="Diferenciado",$H$4=#REF!),BDI!#REF!,IF(#REF!="ZERO",0))))),"")</f>
        <v>#REF!</v>
      </c>
      <c r="H141" s="127" t="str">
        <f t="shared" si="7"/>
        <v/>
      </c>
      <c r="I141" s="125" t="str">
        <f t="shared" si="8"/>
        <v/>
      </c>
    </row>
    <row r="142" spans="1:9" hidden="1" x14ac:dyDescent="0.25">
      <c r="A142" s="103" t="s">
        <v>1620</v>
      </c>
      <c r="B142" s="104" t="s">
        <v>1621</v>
      </c>
      <c r="C142" s="105" t="s">
        <v>95</v>
      </c>
      <c r="D142" s="105">
        <v>0</v>
      </c>
      <c r="E142" s="124" t="s">
        <v>523</v>
      </c>
      <c r="F142" s="125" t="str">
        <f t="shared" si="6"/>
        <v/>
      </c>
      <c r="G142" s="126" t="e">
        <f>IF(A142&lt;&gt;"",IF(AND(#REF!="Padrão",$H$4=#REF!),BDI!$B$17,IF(AND(#REF!="Padrão",$H$4=#REF!),BDI!#REF!,IF(AND(#REF!="Diferenciado",$H$4=#REF!),BDI!$E$17,IF(AND(#REF!="Diferenciado",$H$4=#REF!),BDI!#REF!,IF(#REF!="ZERO",0))))),"")</f>
        <v>#REF!</v>
      </c>
      <c r="H142" s="127" t="str">
        <f t="shared" si="7"/>
        <v/>
      </c>
      <c r="I142" s="125" t="str">
        <f t="shared" si="8"/>
        <v/>
      </c>
    </row>
    <row r="143" spans="1:9" hidden="1" x14ac:dyDescent="0.25">
      <c r="A143" s="103" t="s">
        <v>256</v>
      </c>
      <c r="B143" s="104" t="s">
        <v>1622</v>
      </c>
      <c r="C143" s="105" t="s">
        <v>95</v>
      </c>
      <c r="D143" s="105">
        <v>0</v>
      </c>
      <c r="E143" s="124">
        <f ca="1">OFFSET(INDEX(Composições!A:J,MATCH(Orçamentária!A143,Composições!A:A,0),8),2,0)</f>
        <v>0.95</v>
      </c>
      <c r="F143" s="125">
        <f t="shared" ca="1" si="6"/>
        <v>0</v>
      </c>
      <c r="G143" s="126" t="e">
        <f>IF(A143&lt;&gt;"",IF(AND(#REF!="Padrão",$H$4=#REF!),BDI!$B$17,IF(AND(#REF!="Padrão",$H$4=#REF!),BDI!#REF!,IF(AND(#REF!="Diferenciado",$H$4=#REF!),BDI!$E$17,IF(AND(#REF!="Diferenciado",$H$4=#REF!),BDI!#REF!,IF(#REF!="ZERO",0))))),"")</f>
        <v>#REF!</v>
      </c>
      <c r="H143" s="127" t="e">
        <f t="shared" ca="1" si="7"/>
        <v>#REF!</v>
      </c>
      <c r="I143" s="125" t="e">
        <f t="shared" ca="1" si="8"/>
        <v>#REF!</v>
      </c>
    </row>
    <row r="144" spans="1:9" hidden="1" x14ac:dyDescent="0.25">
      <c r="A144" s="103" t="s">
        <v>258</v>
      </c>
      <c r="B144" s="104" t="s">
        <v>1623</v>
      </c>
      <c r="C144" s="105" t="s">
        <v>95</v>
      </c>
      <c r="D144" s="105">
        <v>0</v>
      </c>
      <c r="E144" s="124">
        <f ca="1">OFFSET(INDEX(Composições!A:J,MATCH(Orçamentária!A144,Composições!A:A,0),8),2,0)</f>
        <v>64.071610000000007</v>
      </c>
      <c r="F144" s="125">
        <f t="shared" ca="1" si="6"/>
        <v>0</v>
      </c>
      <c r="G144" s="126" t="e">
        <f>IF(A144&lt;&gt;"",IF(AND(#REF!="Padrão",$H$4=#REF!),BDI!$B$17,IF(AND(#REF!="Padrão",$H$4=#REF!),BDI!#REF!,IF(AND(#REF!="Diferenciado",$H$4=#REF!),BDI!$E$17,IF(AND(#REF!="Diferenciado",$H$4=#REF!),BDI!#REF!,IF(#REF!="ZERO",0))))),"")</f>
        <v>#REF!</v>
      </c>
      <c r="H144" s="127" t="e">
        <f t="shared" ca="1" si="7"/>
        <v>#REF!</v>
      </c>
      <c r="I144" s="125" t="e">
        <f t="shared" ca="1" si="8"/>
        <v>#REF!</v>
      </c>
    </row>
    <row r="145" spans="1:9" hidden="1" x14ac:dyDescent="0.25">
      <c r="A145" s="103" t="s">
        <v>261</v>
      </c>
      <c r="B145" s="104" t="s">
        <v>1624</v>
      </c>
      <c r="C145" s="105" t="s">
        <v>95</v>
      </c>
      <c r="D145" s="105">
        <v>0</v>
      </c>
      <c r="E145" s="124">
        <f ca="1">OFFSET(INDEX(Composições!A:J,MATCH(Orçamentária!A145,Composições!A:A,0),8),2,0)</f>
        <v>63.794827499999997</v>
      </c>
      <c r="F145" s="125">
        <f t="shared" ca="1" si="6"/>
        <v>0</v>
      </c>
      <c r="G145" s="126" t="e">
        <f>IF(A145&lt;&gt;"",IF(AND(#REF!="Padrão",$H$4=#REF!),BDI!$B$17,IF(AND(#REF!="Padrão",$H$4=#REF!),BDI!#REF!,IF(AND(#REF!="Diferenciado",$H$4=#REF!),BDI!$E$17,IF(AND(#REF!="Diferenciado",$H$4=#REF!),BDI!#REF!,IF(#REF!="ZERO",0))))),"")</f>
        <v>#REF!</v>
      </c>
      <c r="H145" s="127" t="e">
        <f t="shared" ca="1" si="7"/>
        <v>#REF!</v>
      </c>
      <c r="I145" s="125" t="e">
        <f t="shared" ca="1" si="8"/>
        <v>#REF!</v>
      </c>
    </row>
    <row r="146" spans="1:9" s="184" customFormat="1" x14ac:dyDescent="0.25">
      <c r="A146" s="185" t="s">
        <v>268</v>
      </c>
      <c r="B146" s="186" t="s">
        <v>1625</v>
      </c>
      <c r="C146" s="187" t="s">
        <v>95</v>
      </c>
      <c r="D146" s="187">
        <v>1</v>
      </c>
      <c r="E146" s="124">
        <f ca="1">OFFSET(INDEX(Composições!A:J,MATCH(Orçamentária!A146,Composições!A:A,0),8),2,0)</f>
        <v>29.3355155</v>
      </c>
      <c r="F146" s="125">
        <f t="shared" ca="1" si="6"/>
        <v>29.3355155</v>
      </c>
      <c r="G146" s="126">
        <f>BDI!$B$17</f>
        <v>0.191</v>
      </c>
      <c r="H146" s="127">
        <f t="shared" ca="1" si="7"/>
        <v>34.94</v>
      </c>
      <c r="I146" s="204">
        <f t="shared" ca="1" si="8"/>
        <v>34.94</v>
      </c>
    </row>
    <row r="147" spans="1:9" hidden="1" x14ac:dyDescent="0.25">
      <c r="A147" s="103" t="s">
        <v>269</v>
      </c>
      <c r="B147" s="104" t="s">
        <v>1626</v>
      </c>
      <c r="C147" s="105" t="s">
        <v>95</v>
      </c>
      <c r="D147" s="105">
        <v>0</v>
      </c>
      <c r="E147" s="124">
        <f ca="1">OFFSET(INDEX(Composições!A:J,MATCH(Orçamentária!A147,Composições!A:A,0),8),2,0)</f>
        <v>37.774327499999998</v>
      </c>
      <c r="F147" s="125">
        <f t="shared" ca="1" si="6"/>
        <v>0</v>
      </c>
      <c r="G147" s="126" t="e">
        <f>IF(A147&lt;&gt;"",IF(AND(#REF!="Padrão",$H$4=#REF!),BDI!$B$17,IF(AND(#REF!="Padrão",$H$4=#REF!),BDI!#REF!,IF(AND(#REF!="Diferenciado",$H$4=#REF!),BDI!$E$17,IF(AND(#REF!="Diferenciado",$H$4=#REF!),BDI!#REF!,IF(#REF!="ZERO",0))))),"")</f>
        <v>#REF!</v>
      </c>
      <c r="H147" s="127" t="e">
        <f t="shared" ca="1" si="7"/>
        <v>#REF!</v>
      </c>
      <c r="I147" s="125" t="e">
        <f t="shared" ca="1" si="8"/>
        <v>#REF!</v>
      </c>
    </row>
    <row r="148" spans="1:9" s="184" customFormat="1" x14ac:dyDescent="0.25">
      <c r="A148" s="185" t="s">
        <v>271</v>
      </c>
      <c r="B148" s="186" t="s">
        <v>1627</v>
      </c>
      <c r="C148" s="187" t="s">
        <v>95</v>
      </c>
      <c r="D148" s="187">
        <v>8</v>
      </c>
      <c r="E148" s="124">
        <f ca="1">OFFSET(INDEX(Composições!A:J,MATCH(Orçamentária!A148,Composições!A:A,0),8),2,0)</f>
        <v>245.06924999999998</v>
      </c>
      <c r="F148" s="125">
        <f t="shared" ca="1" si="6"/>
        <v>1960.5539999999999</v>
      </c>
      <c r="G148" s="126">
        <f>BDI!$B$17</f>
        <v>0.191</v>
      </c>
      <c r="H148" s="127">
        <f t="shared" ca="1" si="7"/>
        <v>291.88</v>
      </c>
      <c r="I148" s="204">
        <f t="shared" ca="1" si="8"/>
        <v>2335.04</v>
      </c>
    </row>
    <row r="149" spans="1:9" s="184" customFormat="1" x14ac:dyDescent="0.25">
      <c r="A149" s="185" t="s">
        <v>274</v>
      </c>
      <c r="B149" s="186" t="s">
        <v>1628</v>
      </c>
      <c r="C149" s="187" t="s">
        <v>95</v>
      </c>
      <c r="D149" s="187">
        <v>30</v>
      </c>
      <c r="E149" s="124">
        <f ca="1">OFFSET(INDEX(Composições!A:J,MATCH(Orçamentária!A149,Composições!A:A,0),8),2,0)</f>
        <v>66.824324300000001</v>
      </c>
      <c r="F149" s="125">
        <f t="shared" ca="1" si="6"/>
        <v>2004.7297290000001</v>
      </c>
      <c r="G149" s="126">
        <f>BDI!$B$17</f>
        <v>0.191</v>
      </c>
      <c r="H149" s="127">
        <f t="shared" ca="1" si="7"/>
        <v>79.59</v>
      </c>
      <c r="I149" s="204">
        <f t="shared" ca="1" si="8"/>
        <v>2387.6999999999998</v>
      </c>
    </row>
    <row r="150" spans="1:9" s="184" customFormat="1" x14ac:dyDescent="0.25">
      <c r="A150" s="185" t="s">
        <v>275</v>
      </c>
      <c r="B150" s="186" t="s">
        <v>1629</v>
      </c>
      <c r="C150" s="187" t="s">
        <v>95</v>
      </c>
      <c r="D150" s="187">
        <v>122.3</v>
      </c>
      <c r="E150" s="124">
        <f ca="1">OFFSET(INDEX(Composições!A:J,MATCH(Orçamentária!A150,Composições!A:A,0),8),2,0)</f>
        <v>40.415662849999997</v>
      </c>
      <c r="F150" s="125">
        <f t="shared" ca="1" si="6"/>
        <v>4942.8355665549998</v>
      </c>
      <c r="G150" s="126">
        <f>BDI!$B$17</f>
        <v>0.191</v>
      </c>
      <c r="H150" s="127">
        <f t="shared" ca="1" si="7"/>
        <v>48.14</v>
      </c>
      <c r="I150" s="204">
        <f t="shared" ca="1" si="8"/>
        <v>5887.52</v>
      </c>
    </row>
    <row r="151" spans="1:9" hidden="1" x14ac:dyDescent="0.25">
      <c r="A151" s="103" t="s">
        <v>276</v>
      </c>
      <c r="B151" s="104" t="s">
        <v>1630</v>
      </c>
      <c r="C151" s="105" t="s">
        <v>95</v>
      </c>
      <c r="D151" s="105">
        <v>0</v>
      </c>
      <c r="E151" s="124">
        <f ca="1">OFFSET(INDEX(Composições!A:J,MATCH(Orçamentária!A151,Composições!A:A,0),8),2,0)</f>
        <v>127.09099999999999</v>
      </c>
      <c r="F151" s="125">
        <f t="shared" ca="1" si="6"/>
        <v>0</v>
      </c>
      <c r="G151" s="126" t="e">
        <f>IF(A151&lt;&gt;"",IF(AND(#REF!="Padrão",$H$4=#REF!),BDI!$B$17,IF(AND(#REF!="Padrão",$H$4=#REF!),BDI!#REF!,IF(AND(#REF!="Diferenciado",$H$4=#REF!),BDI!$E$17,IF(AND(#REF!="Diferenciado",$H$4=#REF!),BDI!#REF!,IF(#REF!="ZERO",0))))),"")</f>
        <v>#REF!</v>
      </c>
      <c r="H151" s="127" t="e">
        <f t="shared" ca="1" si="7"/>
        <v>#REF!</v>
      </c>
      <c r="I151" s="125" t="e">
        <f t="shared" ca="1" si="8"/>
        <v>#REF!</v>
      </c>
    </row>
    <row r="152" spans="1:9" hidden="1" x14ac:dyDescent="0.25">
      <c r="A152" s="103" t="s">
        <v>278</v>
      </c>
      <c r="B152" s="104" t="s">
        <v>1631</v>
      </c>
      <c r="C152" s="105" t="s">
        <v>95</v>
      </c>
      <c r="D152" s="105">
        <v>0</v>
      </c>
      <c r="E152" s="124">
        <f ca="1">OFFSET(INDEX(Composições!A:J,MATCH(Orçamentária!A152,Composições!A:A,0),8),2,0)</f>
        <v>34.152499999999996</v>
      </c>
      <c r="F152" s="125">
        <f t="shared" ca="1" si="6"/>
        <v>0</v>
      </c>
      <c r="G152" s="126" t="e">
        <f>IF(A152&lt;&gt;"",IF(AND(#REF!="Padrão",$H$4=#REF!),BDI!$B$17,IF(AND(#REF!="Padrão",$H$4=#REF!),BDI!#REF!,IF(AND(#REF!="Diferenciado",$H$4=#REF!),BDI!$E$17,IF(AND(#REF!="Diferenciado",$H$4=#REF!),BDI!#REF!,IF(#REF!="ZERO",0))))),"")</f>
        <v>#REF!</v>
      </c>
      <c r="H152" s="127" t="e">
        <f t="shared" ca="1" si="7"/>
        <v>#REF!</v>
      </c>
      <c r="I152" s="125" t="e">
        <f t="shared" ca="1" si="8"/>
        <v>#REF!</v>
      </c>
    </row>
    <row r="153" spans="1:9" hidden="1" x14ac:dyDescent="0.25">
      <c r="A153" s="103" t="s">
        <v>281</v>
      </c>
      <c r="B153" s="104" t="s">
        <v>1632</v>
      </c>
      <c r="C153" s="105" t="s">
        <v>95</v>
      </c>
      <c r="D153" s="105">
        <v>0</v>
      </c>
      <c r="E153" s="124">
        <f ca="1">OFFSET(INDEX(Composições!A:J,MATCH(Orçamentária!A153,Composições!A:A,0),8),2,0)</f>
        <v>2.8362382999999998</v>
      </c>
      <c r="F153" s="125">
        <f t="shared" ca="1" si="6"/>
        <v>0</v>
      </c>
      <c r="G153" s="126" t="e">
        <f>IF(A153&lt;&gt;"",IF(AND(#REF!="Padrão",$H$4=#REF!),BDI!$B$17,IF(AND(#REF!="Padrão",$H$4=#REF!),BDI!#REF!,IF(AND(#REF!="Diferenciado",$H$4=#REF!),BDI!$E$17,IF(AND(#REF!="Diferenciado",$H$4=#REF!),BDI!#REF!,IF(#REF!="ZERO",0))))),"")</f>
        <v>#REF!</v>
      </c>
      <c r="H153" s="127" t="e">
        <f t="shared" ca="1" si="7"/>
        <v>#REF!</v>
      </c>
      <c r="I153" s="125" t="e">
        <f t="shared" ca="1" si="8"/>
        <v>#REF!</v>
      </c>
    </row>
    <row r="154" spans="1:9" s="184" customFormat="1" x14ac:dyDescent="0.25">
      <c r="A154" s="185" t="s">
        <v>282</v>
      </c>
      <c r="B154" s="186" t="s">
        <v>1633</v>
      </c>
      <c r="C154" s="187" t="s">
        <v>95</v>
      </c>
      <c r="D154" s="187">
        <v>14.1</v>
      </c>
      <c r="E154" s="124">
        <f ca="1">OFFSET(INDEX(Composições!A:J,MATCH(Orçamentária!A154,Composições!A:A,0),8),2,0)</f>
        <v>46.090199999999996</v>
      </c>
      <c r="F154" s="125">
        <f t="shared" ca="1" si="6"/>
        <v>649.87181999999996</v>
      </c>
      <c r="G154" s="126">
        <f>BDI!$B$17</f>
        <v>0.191</v>
      </c>
      <c r="H154" s="127">
        <f t="shared" ca="1" si="7"/>
        <v>54.89</v>
      </c>
      <c r="I154" s="204">
        <f t="shared" ca="1" si="8"/>
        <v>773.95</v>
      </c>
    </row>
    <row r="155" spans="1:9" hidden="1" x14ac:dyDescent="0.25">
      <c r="A155" s="103" t="s">
        <v>283</v>
      </c>
      <c r="B155" s="104" t="s">
        <v>1634</v>
      </c>
      <c r="C155" s="105" t="s">
        <v>93</v>
      </c>
      <c r="D155" s="105">
        <v>0</v>
      </c>
      <c r="E155" s="124">
        <f ca="1">OFFSET(INDEX(Composições!A:J,MATCH(Orçamentária!A155,Composições!A:A,0),8),2,0)</f>
        <v>12.549614000000002</v>
      </c>
      <c r="F155" s="125">
        <f t="shared" ca="1" si="6"/>
        <v>0</v>
      </c>
      <c r="G155" s="126" t="e">
        <f>IF(A155&lt;&gt;"",IF(AND(#REF!="Padrão",$H$4=#REF!),BDI!$B$17,IF(AND(#REF!="Padrão",$H$4=#REF!),BDI!#REF!,IF(AND(#REF!="Diferenciado",$H$4=#REF!),BDI!$E$17,IF(AND(#REF!="Diferenciado",$H$4=#REF!),BDI!#REF!,IF(#REF!="ZERO",0))))),"")</f>
        <v>#REF!</v>
      </c>
      <c r="H155" s="127" t="e">
        <f t="shared" ca="1" si="7"/>
        <v>#REF!</v>
      </c>
      <c r="I155" s="125" t="e">
        <f t="shared" ca="1" si="8"/>
        <v>#REF!</v>
      </c>
    </row>
    <row r="156" spans="1:9" hidden="1" x14ac:dyDescent="0.25">
      <c r="A156" s="103" t="s">
        <v>285</v>
      </c>
      <c r="B156" s="104" t="s">
        <v>1635</v>
      </c>
      <c r="C156" s="105" t="s">
        <v>95</v>
      </c>
      <c r="D156" s="105">
        <v>0</v>
      </c>
      <c r="E156" s="124">
        <f ca="1">OFFSET(INDEX(Composições!A:J,MATCH(Orçamentária!A156,Composições!A:A,0),8),2,0)</f>
        <v>8.8948499999999999</v>
      </c>
      <c r="F156" s="125">
        <f t="shared" ca="1" si="6"/>
        <v>0</v>
      </c>
      <c r="G156" s="126" t="e">
        <f>IF(A156&lt;&gt;"",IF(AND(#REF!="Padrão",$H$4=#REF!),BDI!$B$17,IF(AND(#REF!="Padrão",$H$4=#REF!),BDI!#REF!,IF(AND(#REF!="Diferenciado",$H$4=#REF!),BDI!$E$17,IF(AND(#REF!="Diferenciado",$H$4=#REF!),BDI!#REF!,IF(#REF!="ZERO",0))))),"")</f>
        <v>#REF!</v>
      </c>
      <c r="H156" s="127" t="e">
        <f t="shared" ca="1" si="7"/>
        <v>#REF!</v>
      </c>
      <c r="I156" s="125" t="e">
        <f t="shared" ca="1" si="8"/>
        <v>#REF!</v>
      </c>
    </row>
    <row r="157" spans="1:9" hidden="1" x14ac:dyDescent="0.25">
      <c r="A157" s="103" t="s">
        <v>286</v>
      </c>
      <c r="B157" s="104" t="s">
        <v>287</v>
      </c>
      <c r="C157" s="105" t="s">
        <v>93</v>
      </c>
      <c r="D157" s="105">
        <v>0</v>
      </c>
      <c r="E157" s="124">
        <f ca="1">OFFSET(INDEX(Composições!A:J,MATCH(Orçamentária!A157,Composições!A:A,0),8),2,0)</f>
        <v>5.7403750000000002</v>
      </c>
      <c r="F157" s="125">
        <f t="shared" ca="1" si="6"/>
        <v>0</v>
      </c>
      <c r="G157" s="126" t="e">
        <f>IF(A157&lt;&gt;"",IF(AND(#REF!="Padrão",$H$4=#REF!),BDI!$B$17,IF(AND(#REF!="Padrão",$H$4=#REF!),BDI!#REF!,IF(AND(#REF!="Diferenciado",$H$4=#REF!),BDI!$E$17,IF(AND(#REF!="Diferenciado",$H$4=#REF!),BDI!#REF!,IF(#REF!="ZERO",0))))),"")</f>
        <v>#REF!</v>
      </c>
      <c r="H157" s="127" t="e">
        <f t="shared" ca="1" si="7"/>
        <v>#REF!</v>
      </c>
      <c r="I157" s="125" t="e">
        <f t="shared" ca="1" si="8"/>
        <v>#REF!</v>
      </c>
    </row>
    <row r="158" spans="1:9" hidden="1" x14ac:dyDescent="0.25">
      <c r="A158" s="103" t="s">
        <v>288</v>
      </c>
      <c r="B158" s="104" t="s">
        <v>1636</v>
      </c>
      <c r="C158" s="105" t="s">
        <v>93</v>
      </c>
      <c r="D158" s="105">
        <v>0</v>
      </c>
      <c r="E158" s="124">
        <f ca="1">OFFSET(INDEX(Composições!A:J,MATCH(Orçamentária!A158,Composições!A:A,0),8),2,0)</f>
        <v>19.671175000000002</v>
      </c>
      <c r="F158" s="125">
        <f t="shared" ca="1" si="6"/>
        <v>0</v>
      </c>
      <c r="G158" s="126" t="e">
        <f>IF(A158&lt;&gt;"",IF(AND(#REF!="Padrão",$H$4=#REF!),BDI!$B$17,IF(AND(#REF!="Padrão",$H$4=#REF!),BDI!#REF!,IF(AND(#REF!="Diferenciado",$H$4=#REF!),BDI!$E$17,IF(AND(#REF!="Diferenciado",$H$4=#REF!),BDI!#REF!,IF(#REF!="ZERO",0))))),"")</f>
        <v>#REF!</v>
      </c>
      <c r="H158" s="127" t="e">
        <f t="shared" ca="1" si="7"/>
        <v>#REF!</v>
      </c>
      <c r="I158" s="125" t="e">
        <f t="shared" ca="1" si="8"/>
        <v>#REF!</v>
      </c>
    </row>
    <row r="159" spans="1:9" hidden="1" x14ac:dyDescent="0.25">
      <c r="A159" s="103" t="s">
        <v>290</v>
      </c>
      <c r="B159" s="104" t="s">
        <v>1637</v>
      </c>
      <c r="C159" s="105" t="s">
        <v>95</v>
      </c>
      <c r="D159" s="105">
        <v>0</v>
      </c>
      <c r="E159" s="124">
        <f ca="1">OFFSET(INDEX(Composições!A:J,MATCH(Orçamentária!A159,Composições!A:A,0),8),2,0)</f>
        <v>103.45500000000001</v>
      </c>
      <c r="F159" s="125">
        <f t="shared" ca="1" si="6"/>
        <v>0</v>
      </c>
      <c r="G159" s="126" t="e">
        <f>IF(A159&lt;&gt;"",IF(AND(#REF!="Padrão",$H$4=#REF!),BDI!$B$17,IF(AND(#REF!="Padrão",$H$4=#REF!),BDI!#REF!,IF(AND(#REF!="Diferenciado",$H$4=#REF!),BDI!$E$17,IF(AND(#REF!="Diferenciado",$H$4=#REF!),BDI!#REF!,IF(#REF!="ZERO",0))))),"")</f>
        <v>#REF!</v>
      </c>
      <c r="H159" s="127" t="e">
        <f t="shared" ca="1" si="7"/>
        <v>#REF!</v>
      </c>
      <c r="I159" s="125" t="e">
        <f t="shared" ca="1" si="8"/>
        <v>#REF!</v>
      </c>
    </row>
    <row r="160" spans="1:9" hidden="1" x14ac:dyDescent="0.25">
      <c r="A160" s="103" t="s">
        <v>292</v>
      </c>
      <c r="B160" s="104" t="s">
        <v>1638</v>
      </c>
      <c r="C160" s="105" t="s">
        <v>95</v>
      </c>
      <c r="D160" s="105">
        <v>0</v>
      </c>
      <c r="E160" s="124">
        <f ca="1">OFFSET(INDEX(Composições!A:J,MATCH(Orçamentária!A160,Composições!A:A,0),8),2,0)</f>
        <v>34.912500000000001</v>
      </c>
      <c r="F160" s="125">
        <f t="shared" ca="1" si="6"/>
        <v>0</v>
      </c>
      <c r="G160" s="126" t="e">
        <f>IF(A160&lt;&gt;"",IF(AND(#REF!="Padrão",$H$4=#REF!),BDI!$B$17,IF(AND(#REF!="Padrão",$H$4=#REF!),BDI!#REF!,IF(AND(#REF!="Diferenciado",$H$4=#REF!),BDI!$E$17,IF(AND(#REF!="Diferenciado",$H$4=#REF!),BDI!#REF!,IF(#REF!="ZERO",0))))),"")</f>
        <v>#REF!</v>
      </c>
      <c r="H160" s="127" t="e">
        <f t="shared" ca="1" si="7"/>
        <v>#REF!</v>
      </c>
      <c r="I160" s="125" t="e">
        <f t="shared" ca="1" si="8"/>
        <v>#REF!</v>
      </c>
    </row>
    <row r="161" spans="1:9" hidden="1" x14ac:dyDescent="0.25">
      <c r="A161" s="103" t="s">
        <v>293</v>
      </c>
      <c r="B161" s="104" t="s">
        <v>1639</v>
      </c>
      <c r="C161" s="105" t="s">
        <v>93</v>
      </c>
      <c r="D161" s="105">
        <v>0</v>
      </c>
      <c r="E161" s="124">
        <f ca="1">OFFSET(INDEX(Composições!A:J,MATCH(Orçamentária!A161,Composições!A:A,0),8),2,0)</f>
        <v>20.311476900000002</v>
      </c>
      <c r="F161" s="125">
        <f t="shared" ca="1" si="6"/>
        <v>0</v>
      </c>
      <c r="G161" s="126" t="e">
        <f>IF(A161&lt;&gt;"",IF(AND(#REF!="Padrão",$H$4=#REF!),BDI!$B$17,IF(AND(#REF!="Padrão",$H$4=#REF!),BDI!#REF!,IF(AND(#REF!="Diferenciado",$H$4=#REF!),BDI!$E$17,IF(AND(#REF!="Diferenciado",$H$4=#REF!),BDI!#REF!,IF(#REF!="ZERO",0))))),"")</f>
        <v>#REF!</v>
      </c>
      <c r="H161" s="127" t="e">
        <f t="shared" ca="1" si="7"/>
        <v>#REF!</v>
      </c>
      <c r="I161" s="125" t="e">
        <f t="shared" ca="1" si="8"/>
        <v>#REF!</v>
      </c>
    </row>
    <row r="162" spans="1:9" hidden="1" x14ac:dyDescent="0.25">
      <c r="A162" s="103" t="s">
        <v>296</v>
      </c>
      <c r="B162" s="104" t="s">
        <v>1640</v>
      </c>
      <c r="C162" s="105" t="s">
        <v>95</v>
      </c>
      <c r="D162" s="105">
        <v>0</v>
      </c>
      <c r="E162" s="124">
        <f ca="1">OFFSET(INDEX(Composições!A:J,MATCH(Orçamentária!A162,Composições!A:A,0),8),2,0)</f>
        <v>134.59073700000002</v>
      </c>
      <c r="F162" s="125">
        <f t="shared" ca="1" si="6"/>
        <v>0</v>
      </c>
      <c r="G162" s="126" t="e">
        <f>IF(A162&lt;&gt;"",IF(AND(#REF!="Padrão",$H$4=#REF!),BDI!$B$17,IF(AND(#REF!="Padrão",$H$4=#REF!),BDI!#REF!,IF(AND(#REF!="Diferenciado",$H$4=#REF!),BDI!$E$17,IF(AND(#REF!="Diferenciado",$H$4=#REF!),BDI!#REF!,IF(#REF!="ZERO",0))))),"")</f>
        <v>#REF!</v>
      </c>
      <c r="H162" s="127" t="e">
        <f t="shared" ca="1" si="7"/>
        <v>#REF!</v>
      </c>
      <c r="I162" s="125" t="e">
        <f t="shared" ca="1" si="8"/>
        <v>#REF!</v>
      </c>
    </row>
    <row r="163" spans="1:9" hidden="1" x14ac:dyDescent="0.25">
      <c r="A163" s="103" t="s">
        <v>297</v>
      </c>
      <c r="B163" s="104" t="s">
        <v>1641</v>
      </c>
      <c r="C163" s="105" t="s">
        <v>95</v>
      </c>
      <c r="D163" s="105">
        <v>0</v>
      </c>
      <c r="E163" s="124">
        <f ca="1">OFFSET(INDEX(Composições!A:J,MATCH(Orçamentária!A163,Composições!A:A,0),8),2,0)</f>
        <v>158.2242765</v>
      </c>
      <c r="F163" s="125">
        <f t="shared" ca="1" si="6"/>
        <v>0</v>
      </c>
      <c r="G163" s="126" t="e">
        <f>IF(A163&lt;&gt;"",IF(AND(#REF!="Padrão",$H$4=#REF!),BDI!$B$17,IF(AND(#REF!="Padrão",$H$4=#REF!),BDI!#REF!,IF(AND(#REF!="Diferenciado",$H$4=#REF!),BDI!$E$17,IF(AND(#REF!="Diferenciado",$H$4=#REF!),BDI!#REF!,IF(#REF!="ZERO",0))))),"")</f>
        <v>#REF!</v>
      </c>
      <c r="H163" s="127" t="e">
        <f t="shared" ca="1" si="7"/>
        <v>#REF!</v>
      </c>
      <c r="I163" s="125" t="e">
        <f t="shared" ca="1" si="8"/>
        <v>#REF!</v>
      </c>
    </row>
    <row r="164" spans="1:9" hidden="1" x14ac:dyDescent="0.25">
      <c r="A164" s="103" t="s">
        <v>299</v>
      </c>
      <c r="B164" s="104" t="s">
        <v>1642</v>
      </c>
      <c r="C164" s="105" t="s">
        <v>95</v>
      </c>
      <c r="D164" s="105">
        <v>0</v>
      </c>
      <c r="E164" s="124">
        <f ca="1">OFFSET(INDEX(Composições!A:J,MATCH(Orçamentária!A164,Composições!A:A,0),8),2,0)</f>
        <v>45.520200000000003</v>
      </c>
      <c r="F164" s="125">
        <f t="shared" ca="1" si="6"/>
        <v>0</v>
      </c>
      <c r="G164" s="126" t="e">
        <f>IF(A164&lt;&gt;"",IF(AND(#REF!="Padrão",$H$4=#REF!),BDI!$B$17,IF(AND(#REF!="Padrão",$H$4=#REF!),BDI!#REF!,IF(AND(#REF!="Diferenciado",$H$4=#REF!),BDI!$E$17,IF(AND(#REF!="Diferenciado",$H$4=#REF!),BDI!#REF!,IF(#REF!="ZERO",0))))),"")</f>
        <v>#REF!</v>
      </c>
      <c r="H164" s="127" t="e">
        <f t="shared" ca="1" si="7"/>
        <v>#REF!</v>
      </c>
      <c r="I164" s="125" t="e">
        <f t="shared" ca="1" si="8"/>
        <v>#REF!</v>
      </c>
    </row>
    <row r="165" spans="1:9" hidden="1" x14ac:dyDescent="0.25">
      <c r="A165" s="103" t="s">
        <v>300</v>
      </c>
      <c r="B165" s="104" t="s">
        <v>1643</v>
      </c>
      <c r="C165" s="105" t="s">
        <v>20</v>
      </c>
      <c r="D165" s="105">
        <v>0</v>
      </c>
      <c r="E165" s="124">
        <f ca="1">OFFSET(INDEX(Composições!A:J,MATCH(Orçamentária!A165,Composições!A:A,0),8),2,0)</f>
        <v>74.2930305</v>
      </c>
      <c r="F165" s="125">
        <f t="shared" ca="1" si="6"/>
        <v>0</v>
      </c>
      <c r="G165" s="126" t="e">
        <f>IF(A165&lt;&gt;"",IF(AND(#REF!="Padrão",$H$4=#REF!),BDI!$B$17,IF(AND(#REF!="Padrão",$H$4=#REF!),BDI!#REF!,IF(AND(#REF!="Diferenciado",$H$4=#REF!),BDI!$E$17,IF(AND(#REF!="Diferenciado",$H$4=#REF!),BDI!#REF!,IF(#REF!="ZERO",0))))),"")</f>
        <v>#REF!</v>
      </c>
      <c r="H165" s="127" t="e">
        <f t="shared" ca="1" si="7"/>
        <v>#REF!</v>
      </c>
      <c r="I165" s="125" t="e">
        <f t="shared" ca="1" si="8"/>
        <v>#REF!</v>
      </c>
    </row>
    <row r="166" spans="1:9" hidden="1" x14ac:dyDescent="0.25">
      <c r="A166" s="103" t="s">
        <v>301</v>
      </c>
      <c r="B166" s="104" t="s">
        <v>1644</v>
      </c>
      <c r="C166" s="105" t="s">
        <v>93</v>
      </c>
      <c r="D166" s="105">
        <v>0</v>
      </c>
      <c r="E166" s="124">
        <f ca="1">OFFSET(INDEX(Composições!A:J,MATCH(Orçamentária!A166,Composições!A:A,0),8),2,0)</f>
        <v>6.491017499999999</v>
      </c>
      <c r="F166" s="125">
        <f t="shared" ca="1" si="6"/>
        <v>0</v>
      </c>
      <c r="G166" s="126" t="e">
        <f>IF(A166&lt;&gt;"",IF(AND(#REF!="Padrão",$H$4=#REF!),BDI!$B$17,IF(AND(#REF!="Padrão",$H$4=#REF!),BDI!#REF!,IF(AND(#REF!="Diferenciado",$H$4=#REF!),BDI!$E$17,IF(AND(#REF!="Diferenciado",$H$4=#REF!),BDI!#REF!,IF(#REF!="ZERO",0))))),"")</f>
        <v>#REF!</v>
      </c>
      <c r="H166" s="127" t="e">
        <f t="shared" ca="1" si="7"/>
        <v>#REF!</v>
      </c>
      <c r="I166" s="125" t="e">
        <f t="shared" ca="1" si="8"/>
        <v>#REF!</v>
      </c>
    </row>
    <row r="167" spans="1:9" hidden="1" x14ac:dyDescent="0.25">
      <c r="A167" s="103" t="s">
        <v>1645</v>
      </c>
      <c r="B167" s="104" t="s">
        <v>1646</v>
      </c>
      <c r="C167" s="105" t="s">
        <v>95</v>
      </c>
      <c r="D167" s="105">
        <v>0</v>
      </c>
      <c r="E167" s="124" t="s">
        <v>523</v>
      </c>
      <c r="F167" s="125" t="str">
        <f t="shared" si="6"/>
        <v/>
      </c>
      <c r="G167" s="126" t="e">
        <f>IF(A167&lt;&gt;"",IF(AND(#REF!="Padrão",$H$4=#REF!),BDI!$B$17,IF(AND(#REF!="Padrão",$H$4=#REF!),BDI!#REF!,IF(AND(#REF!="Diferenciado",$H$4=#REF!),BDI!$E$17,IF(AND(#REF!="Diferenciado",$H$4=#REF!),BDI!#REF!,IF(#REF!="ZERO",0))))),"")</f>
        <v>#REF!</v>
      </c>
      <c r="H167" s="127" t="str">
        <f t="shared" si="7"/>
        <v/>
      </c>
      <c r="I167" s="125" t="str">
        <f t="shared" si="8"/>
        <v/>
      </c>
    </row>
    <row r="168" spans="1:9" hidden="1" x14ac:dyDescent="0.25">
      <c r="A168" s="103" t="s">
        <v>1647</v>
      </c>
      <c r="B168" s="104" t="s">
        <v>1648</v>
      </c>
      <c r="C168" s="105" t="s">
        <v>95</v>
      </c>
      <c r="D168" s="105">
        <v>0</v>
      </c>
      <c r="E168" s="124" t="s">
        <v>523</v>
      </c>
      <c r="F168" s="125" t="str">
        <f t="shared" si="6"/>
        <v/>
      </c>
      <c r="G168" s="126" t="e">
        <f>IF(A168&lt;&gt;"",IF(AND(#REF!="Padrão",$H$4=#REF!),BDI!$B$17,IF(AND(#REF!="Padrão",$H$4=#REF!),BDI!#REF!,IF(AND(#REF!="Diferenciado",$H$4=#REF!),BDI!$E$17,IF(AND(#REF!="Diferenciado",$H$4=#REF!),BDI!#REF!,IF(#REF!="ZERO",0))))),"")</f>
        <v>#REF!</v>
      </c>
      <c r="H168" s="127" t="str">
        <f t="shared" si="7"/>
        <v/>
      </c>
      <c r="I168" s="125" t="str">
        <f t="shared" si="8"/>
        <v/>
      </c>
    </row>
    <row r="169" spans="1:9" hidden="1" x14ac:dyDescent="0.25">
      <c r="A169" s="103" t="s">
        <v>1649</v>
      </c>
      <c r="B169" s="104" t="s">
        <v>1650</v>
      </c>
      <c r="C169" s="105" t="s">
        <v>95</v>
      </c>
      <c r="D169" s="105">
        <v>0</v>
      </c>
      <c r="E169" s="124" t="s">
        <v>523</v>
      </c>
      <c r="F169" s="125" t="str">
        <f t="shared" si="6"/>
        <v/>
      </c>
      <c r="G169" s="126" t="e">
        <f>IF(A169&lt;&gt;"",IF(AND(#REF!="Padrão",$H$4=#REF!),BDI!$B$17,IF(AND(#REF!="Padrão",$H$4=#REF!),BDI!#REF!,IF(AND(#REF!="Diferenciado",$H$4=#REF!),BDI!$E$17,IF(AND(#REF!="Diferenciado",$H$4=#REF!),BDI!#REF!,IF(#REF!="ZERO",0))))),"")</f>
        <v>#REF!</v>
      </c>
      <c r="H169" s="127" t="str">
        <f t="shared" si="7"/>
        <v/>
      </c>
      <c r="I169" s="125" t="str">
        <f t="shared" si="8"/>
        <v/>
      </c>
    </row>
    <row r="170" spans="1:9" hidden="1" x14ac:dyDescent="0.25">
      <c r="A170" s="103" t="s">
        <v>1651</v>
      </c>
      <c r="B170" s="104" t="s">
        <v>1652</v>
      </c>
      <c r="C170" s="105" t="s">
        <v>95</v>
      </c>
      <c r="D170" s="105">
        <v>0</v>
      </c>
      <c r="E170" s="124" t="s">
        <v>523</v>
      </c>
      <c r="F170" s="125" t="str">
        <f t="shared" si="6"/>
        <v/>
      </c>
      <c r="G170" s="126" t="e">
        <f>IF(A170&lt;&gt;"",IF(AND(#REF!="Padrão",$H$4=#REF!),BDI!$B$17,IF(AND(#REF!="Padrão",$H$4=#REF!),BDI!#REF!,IF(AND(#REF!="Diferenciado",$H$4=#REF!),BDI!$E$17,IF(AND(#REF!="Diferenciado",$H$4=#REF!),BDI!#REF!,IF(#REF!="ZERO",0))))),"")</f>
        <v>#REF!</v>
      </c>
      <c r="H170" s="127" t="str">
        <f t="shared" si="7"/>
        <v/>
      </c>
      <c r="I170" s="125" t="str">
        <f t="shared" si="8"/>
        <v/>
      </c>
    </row>
    <row r="171" spans="1:9" hidden="1" x14ac:dyDescent="0.25">
      <c r="A171" s="103" t="s">
        <v>302</v>
      </c>
      <c r="B171" s="104" t="s">
        <v>1653</v>
      </c>
      <c r="C171" s="105" t="s">
        <v>20</v>
      </c>
      <c r="D171" s="105">
        <v>0</v>
      </c>
      <c r="E171" s="124">
        <f ca="1">OFFSET(INDEX(Composições!A:J,MATCH(Orçamentária!A171,Composições!A:A,0),8),2,0)</f>
        <v>18.150700000000001</v>
      </c>
      <c r="F171" s="125">
        <f t="shared" ca="1" si="6"/>
        <v>0</v>
      </c>
      <c r="G171" s="126" t="e">
        <f>IF(A171&lt;&gt;"",IF(AND(#REF!="Padrão",$H$4=#REF!),BDI!$B$17,IF(AND(#REF!="Padrão",$H$4=#REF!),BDI!#REF!,IF(AND(#REF!="Diferenciado",$H$4=#REF!),BDI!$E$17,IF(AND(#REF!="Diferenciado",$H$4=#REF!),BDI!#REF!,IF(#REF!="ZERO",0))))),"")</f>
        <v>#REF!</v>
      </c>
      <c r="H171" s="127" t="e">
        <f t="shared" ca="1" si="7"/>
        <v>#REF!</v>
      </c>
      <c r="I171" s="125" t="e">
        <f t="shared" ca="1" si="8"/>
        <v>#REF!</v>
      </c>
    </row>
    <row r="172" spans="1:9" hidden="1" x14ac:dyDescent="0.25">
      <c r="A172" s="103" t="s">
        <v>304</v>
      </c>
      <c r="B172" s="104" t="s">
        <v>1654</v>
      </c>
      <c r="C172" s="105" t="s">
        <v>93</v>
      </c>
      <c r="D172" s="105">
        <v>0</v>
      </c>
      <c r="E172" s="124">
        <f ca="1">OFFSET(INDEX(Composições!A:J,MATCH(Orçamentária!A172,Composições!A:A,0),8),2,0)</f>
        <v>73.876892500000011</v>
      </c>
      <c r="F172" s="125">
        <f t="shared" ca="1" si="6"/>
        <v>0</v>
      </c>
      <c r="G172" s="126" t="e">
        <f>IF(A172&lt;&gt;"",IF(AND(#REF!="Padrão",$H$4=#REF!),BDI!$B$17,IF(AND(#REF!="Padrão",$H$4=#REF!),BDI!#REF!,IF(AND(#REF!="Diferenciado",$H$4=#REF!),BDI!$E$17,IF(AND(#REF!="Diferenciado",$H$4=#REF!),BDI!#REF!,IF(#REF!="ZERO",0))))),"")</f>
        <v>#REF!</v>
      </c>
      <c r="H172" s="127" t="e">
        <f t="shared" ca="1" si="7"/>
        <v>#REF!</v>
      </c>
      <c r="I172" s="125" t="e">
        <f t="shared" ca="1" si="8"/>
        <v>#REF!</v>
      </c>
    </row>
    <row r="173" spans="1:9" hidden="1" x14ac:dyDescent="0.25">
      <c r="A173" s="103" t="s">
        <v>306</v>
      </c>
      <c r="B173" s="104" t="s">
        <v>1655</v>
      </c>
      <c r="C173" s="105" t="s">
        <v>93</v>
      </c>
      <c r="D173" s="105">
        <v>0</v>
      </c>
      <c r="E173" s="124">
        <f ca="1">OFFSET(INDEX(Composições!A:J,MATCH(Orçamentária!A173,Composições!A:A,0),8),2,0)</f>
        <v>23.378778000000004</v>
      </c>
      <c r="F173" s="125">
        <f t="shared" ca="1" si="6"/>
        <v>0</v>
      </c>
      <c r="G173" s="126" t="e">
        <f>IF(A173&lt;&gt;"",IF(AND(#REF!="Padrão",$H$4=#REF!),BDI!$B$17,IF(AND(#REF!="Padrão",$H$4=#REF!),BDI!#REF!,IF(AND(#REF!="Diferenciado",$H$4=#REF!),BDI!$E$17,IF(AND(#REF!="Diferenciado",$H$4=#REF!),BDI!#REF!,IF(#REF!="ZERO",0))))),"")</f>
        <v>#REF!</v>
      </c>
      <c r="H173" s="127" t="e">
        <f t="shared" ca="1" si="7"/>
        <v>#REF!</v>
      </c>
      <c r="I173" s="125" t="e">
        <f t="shared" ca="1" si="8"/>
        <v>#REF!</v>
      </c>
    </row>
    <row r="174" spans="1:9" hidden="1" x14ac:dyDescent="0.25">
      <c r="A174" s="103" t="s">
        <v>307</v>
      </c>
      <c r="B174" s="104" t="s">
        <v>1656</v>
      </c>
      <c r="C174" s="105" t="s">
        <v>93</v>
      </c>
      <c r="D174" s="105">
        <v>0</v>
      </c>
      <c r="E174" s="124">
        <f ca="1">OFFSET(INDEX(Composições!A:J,MATCH(Orçamentária!A174,Composições!A:A,0),8),2,0)</f>
        <v>31.601139150000002</v>
      </c>
      <c r="F174" s="125">
        <f t="shared" ca="1" si="6"/>
        <v>0</v>
      </c>
      <c r="G174" s="126" t="e">
        <f>IF(A174&lt;&gt;"",IF(AND(#REF!="Padrão",$H$4=#REF!),BDI!$B$17,IF(AND(#REF!="Padrão",$H$4=#REF!),BDI!#REF!,IF(AND(#REF!="Diferenciado",$H$4=#REF!),BDI!$E$17,IF(AND(#REF!="Diferenciado",$H$4=#REF!),BDI!#REF!,IF(#REF!="ZERO",0))))),"")</f>
        <v>#REF!</v>
      </c>
      <c r="H174" s="127" t="e">
        <f t="shared" ca="1" si="7"/>
        <v>#REF!</v>
      </c>
      <c r="I174" s="125" t="e">
        <f t="shared" ca="1" si="8"/>
        <v>#REF!</v>
      </c>
    </row>
    <row r="175" spans="1:9" hidden="1" x14ac:dyDescent="0.25">
      <c r="A175" s="103" t="s">
        <v>308</v>
      </c>
      <c r="B175" s="104" t="s">
        <v>1657</v>
      </c>
      <c r="C175" s="105" t="s">
        <v>93</v>
      </c>
      <c r="D175" s="105">
        <v>0</v>
      </c>
      <c r="E175" s="124">
        <f ca="1">OFFSET(INDEX(Composições!A:J,MATCH(Orçamentária!A175,Composições!A:A,0),8),2,0)</f>
        <v>46.024589200000001</v>
      </c>
      <c r="F175" s="125">
        <f t="shared" ca="1" si="6"/>
        <v>0</v>
      </c>
      <c r="G175" s="126" t="e">
        <f>IF(A175&lt;&gt;"",IF(AND(#REF!="Padrão",$H$4=#REF!),BDI!$B$17,IF(AND(#REF!="Padrão",$H$4=#REF!),BDI!#REF!,IF(AND(#REF!="Diferenciado",$H$4=#REF!),BDI!$E$17,IF(AND(#REF!="Diferenciado",$H$4=#REF!),BDI!#REF!,IF(#REF!="ZERO",0))))),"")</f>
        <v>#REF!</v>
      </c>
      <c r="H175" s="127" t="e">
        <f t="shared" ca="1" si="7"/>
        <v>#REF!</v>
      </c>
      <c r="I175" s="125" t="e">
        <f t="shared" ca="1" si="8"/>
        <v>#REF!</v>
      </c>
    </row>
    <row r="176" spans="1:9" s="184" customFormat="1" x14ac:dyDescent="0.25">
      <c r="A176" s="185" t="s">
        <v>309</v>
      </c>
      <c r="B176" s="186" t="s">
        <v>6350</v>
      </c>
      <c r="C176" s="187" t="s">
        <v>93</v>
      </c>
      <c r="D176" s="187">
        <v>200</v>
      </c>
      <c r="E176" s="124">
        <f ca="1">OFFSET(INDEX(Composições!A:J,MATCH(Orçamentária!A176,Composições!A:A,0),8),2,0)</f>
        <v>5.4216215000000005</v>
      </c>
      <c r="F176" s="125">
        <f t="shared" ca="1" si="6"/>
        <v>1084.3243000000002</v>
      </c>
      <c r="G176" s="126">
        <f>BDI!$B$17</f>
        <v>0.191</v>
      </c>
      <c r="H176" s="127">
        <f t="shared" ca="1" si="7"/>
        <v>6.46</v>
      </c>
      <c r="I176" s="204">
        <f t="shared" ca="1" si="8"/>
        <v>1292</v>
      </c>
    </row>
    <row r="177" spans="1:9" hidden="1" x14ac:dyDescent="0.25">
      <c r="A177" s="103" t="s">
        <v>311</v>
      </c>
      <c r="B177" s="104" t="s">
        <v>6351</v>
      </c>
      <c r="C177" s="105" t="s">
        <v>93</v>
      </c>
      <c r="D177" s="105">
        <v>0</v>
      </c>
      <c r="E177" s="124">
        <f ca="1">OFFSET(INDEX(Composições!A:J,MATCH(Orçamentária!A177,Composições!A:A,0),8),2,0)</f>
        <v>11.481633499999997</v>
      </c>
      <c r="F177" s="125">
        <f t="shared" ca="1" si="6"/>
        <v>0</v>
      </c>
      <c r="G177" s="126" t="e">
        <f>IF(A177&lt;&gt;"",IF(AND(#REF!="Padrão",$H$4=#REF!),BDI!$B$17,IF(AND(#REF!="Padrão",$H$4=#REF!),BDI!#REF!,IF(AND(#REF!="Diferenciado",$H$4=#REF!),BDI!$E$17,IF(AND(#REF!="Diferenciado",$H$4=#REF!),BDI!#REF!,IF(#REF!="ZERO",0))))),"")</f>
        <v>#REF!</v>
      </c>
      <c r="H177" s="127" t="e">
        <f t="shared" ca="1" si="7"/>
        <v>#REF!</v>
      </c>
      <c r="I177" s="125" t="e">
        <f t="shared" ca="1" si="8"/>
        <v>#REF!</v>
      </c>
    </row>
    <row r="178" spans="1:9" hidden="1" x14ac:dyDescent="0.25">
      <c r="A178" s="103" t="s">
        <v>313</v>
      </c>
      <c r="B178" s="104" t="s">
        <v>6352</v>
      </c>
      <c r="C178" s="105" t="s">
        <v>93</v>
      </c>
      <c r="D178" s="105">
        <v>0</v>
      </c>
      <c r="E178" s="124">
        <f ca="1">OFFSET(INDEX(Composições!A:J,MATCH(Orçamentária!A178,Composições!A:A,0),8),2,0)</f>
        <v>16.509489499999997</v>
      </c>
      <c r="F178" s="125">
        <f t="shared" ca="1" si="6"/>
        <v>0</v>
      </c>
      <c r="G178" s="126" t="e">
        <f>IF(A178&lt;&gt;"",IF(AND(#REF!="Padrão",$H$4=#REF!),BDI!$B$17,IF(AND(#REF!="Padrão",$H$4=#REF!),BDI!#REF!,IF(AND(#REF!="Diferenciado",$H$4=#REF!),BDI!$E$17,IF(AND(#REF!="Diferenciado",$H$4=#REF!),BDI!#REF!,IF(#REF!="ZERO",0))))),"")</f>
        <v>#REF!</v>
      </c>
      <c r="H178" s="127" t="e">
        <f t="shared" ca="1" si="7"/>
        <v>#REF!</v>
      </c>
      <c r="I178" s="125" t="e">
        <f t="shared" ca="1" si="8"/>
        <v>#REF!</v>
      </c>
    </row>
    <row r="179" spans="1:9" hidden="1" x14ac:dyDescent="0.25">
      <c r="A179" s="103" t="s">
        <v>315</v>
      </c>
      <c r="B179" s="104" t="s">
        <v>6353</v>
      </c>
      <c r="C179" s="105" t="s">
        <v>93</v>
      </c>
      <c r="D179" s="105">
        <v>0</v>
      </c>
      <c r="E179" s="124">
        <f ca="1">OFFSET(INDEX(Composições!A:J,MATCH(Orçamentária!A179,Composições!A:A,0),8),2,0)</f>
        <v>18.978225999999999</v>
      </c>
      <c r="F179" s="125">
        <f t="shared" ca="1" si="6"/>
        <v>0</v>
      </c>
      <c r="G179" s="126" t="e">
        <f>IF(A179&lt;&gt;"",IF(AND(#REF!="Padrão",$H$4=#REF!),BDI!$B$17,IF(AND(#REF!="Padrão",$H$4=#REF!),BDI!#REF!,IF(AND(#REF!="Diferenciado",$H$4=#REF!),BDI!$E$17,IF(AND(#REF!="Diferenciado",$H$4=#REF!),BDI!#REF!,IF(#REF!="ZERO",0))))),"")</f>
        <v>#REF!</v>
      </c>
      <c r="H179" s="127" t="e">
        <f t="shared" ca="1" si="7"/>
        <v>#REF!</v>
      </c>
      <c r="I179" s="125" t="e">
        <f t="shared" ca="1" si="8"/>
        <v>#REF!</v>
      </c>
    </row>
    <row r="180" spans="1:9" hidden="1" x14ac:dyDescent="0.25">
      <c r="A180" s="103" t="s">
        <v>317</v>
      </c>
      <c r="B180" s="104" t="s">
        <v>1658</v>
      </c>
      <c r="C180" s="105" t="s">
        <v>20</v>
      </c>
      <c r="D180" s="105">
        <v>0</v>
      </c>
      <c r="E180" s="124">
        <f ca="1">OFFSET(INDEX(Composições!A:J,MATCH(Orçamentária!A180,Composições!A:A,0),8),2,0)</f>
        <v>9.7699824</v>
      </c>
      <c r="F180" s="125">
        <f t="shared" ca="1" si="6"/>
        <v>0</v>
      </c>
      <c r="G180" s="126" t="e">
        <f>IF(A180&lt;&gt;"",IF(AND(#REF!="Padrão",$H$4=#REF!),BDI!$B$17,IF(AND(#REF!="Padrão",$H$4=#REF!),BDI!#REF!,IF(AND(#REF!="Diferenciado",$H$4=#REF!),BDI!$E$17,IF(AND(#REF!="Diferenciado",$H$4=#REF!),BDI!#REF!,IF(#REF!="ZERO",0))))),"")</f>
        <v>#REF!</v>
      </c>
      <c r="H180" s="127" t="e">
        <f t="shared" ca="1" si="7"/>
        <v>#REF!</v>
      </c>
      <c r="I180" s="125" t="e">
        <f t="shared" ca="1" si="8"/>
        <v>#REF!</v>
      </c>
    </row>
    <row r="181" spans="1:9" hidden="1" x14ac:dyDescent="0.25">
      <c r="A181" s="103" t="s">
        <v>320</v>
      </c>
      <c r="B181" s="104" t="s">
        <v>1659</v>
      </c>
      <c r="C181" s="105" t="s">
        <v>20</v>
      </c>
      <c r="D181" s="105">
        <v>0</v>
      </c>
      <c r="E181" s="124">
        <f ca="1">OFFSET(INDEX(Composições!A:J,MATCH(Orçamentária!A181,Composições!A:A,0),8),2,0)</f>
        <v>101.95664194999999</v>
      </c>
      <c r="F181" s="125">
        <f t="shared" ca="1" si="6"/>
        <v>0</v>
      </c>
      <c r="G181" s="126" t="e">
        <f>IF(A181&lt;&gt;"",IF(AND(#REF!="Padrão",$H$4=#REF!),BDI!$B$17,IF(AND(#REF!="Padrão",$H$4=#REF!),BDI!#REF!,IF(AND(#REF!="Diferenciado",$H$4=#REF!),BDI!$E$17,IF(AND(#REF!="Diferenciado",$H$4=#REF!),BDI!#REF!,IF(#REF!="ZERO",0))))),"")</f>
        <v>#REF!</v>
      </c>
      <c r="H181" s="127" t="e">
        <f t="shared" ca="1" si="7"/>
        <v>#REF!</v>
      </c>
      <c r="I181" s="125" t="e">
        <f t="shared" ca="1" si="8"/>
        <v>#REF!</v>
      </c>
    </row>
    <row r="182" spans="1:9" hidden="1" x14ac:dyDescent="0.25">
      <c r="A182" s="103" t="s">
        <v>321</v>
      </c>
      <c r="B182" s="104" t="s">
        <v>1660</v>
      </c>
      <c r="C182" s="105" t="s">
        <v>20</v>
      </c>
      <c r="D182" s="105">
        <v>0</v>
      </c>
      <c r="E182" s="124">
        <f ca="1">OFFSET(INDEX(Composições!A:J,MATCH(Orçamentária!A182,Composições!A:A,0),8),2,0)</f>
        <v>138.98764194999998</v>
      </c>
      <c r="F182" s="125">
        <f t="shared" ca="1" si="6"/>
        <v>0</v>
      </c>
      <c r="G182" s="126" t="e">
        <f>IF(A182&lt;&gt;"",IF(AND(#REF!="Padrão",$H$4=#REF!),BDI!$B$17,IF(AND(#REF!="Padrão",$H$4=#REF!),BDI!#REF!,IF(AND(#REF!="Diferenciado",$H$4=#REF!),BDI!$E$17,IF(AND(#REF!="Diferenciado",$H$4=#REF!),BDI!#REF!,IF(#REF!="ZERO",0))))),"")</f>
        <v>#REF!</v>
      </c>
      <c r="H182" s="127" t="e">
        <f t="shared" ca="1" si="7"/>
        <v>#REF!</v>
      </c>
      <c r="I182" s="125" t="e">
        <f t="shared" ca="1" si="8"/>
        <v>#REF!</v>
      </c>
    </row>
    <row r="183" spans="1:9" hidden="1" x14ac:dyDescent="0.25">
      <c r="A183" s="103" t="s">
        <v>322</v>
      </c>
      <c r="B183" s="104" t="s">
        <v>1661</v>
      </c>
      <c r="C183" s="105" t="s">
        <v>20</v>
      </c>
      <c r="D183" s="105">
        <v>0</v>
      </c>
      <c r="E183" s="124">
        <f ca="1">OFFSET(INDEX(Composições!A:J,MATCH(Orçamentária!A183,Composições!A:A,0),8),2,0)</f>
        <v>2.7630750000000002</v>
      </c>
      <c r="F183" s="125">
        <f t="shared" ca="1" si="6"/>
        <v>0</v>
      </c>
      <c r="G183" s="126" t="e">
        <f>IF(A183&lt;&gt;"",IF(AND(#REF!="Padrão",$H$4=#REF!),BDI!$B$17,IF(AND(#REF!="Padrão",$H$4=#REF!),BDI!#REF!,IF(AND(#REF!="Diferenciado",$H$4=#REF!),BDI!$E$17,IF(AND(#REF!="Diferenciado",$H$4=#REF!),BDI!#REF!,IF(#REF!="ZERO",0))))),"")</f>
        <v>#REF!</v>
      </c>
      <c r="H183" s="127" t="e">
        <f t="shared" ca="1" si="7"/>
        <v>#REF!</v>
      </c>
      <c r="I183" s="125" t="e">
        <f t="shared" ca="1" si="8"/>
        <v>#REF!</v>
      </c>
    </row>
    <row r="184" spans="1:9" hidden="1" x14ac:dyDescent="0.25">
      <c r="A184" s="103" t="s">
        <v>324</v>
      </c>
      <c r="B184" s="104" t="s">
        <v>1662</v>
      </c>
      <c r="C184" s="105" t="s">
        <v>20</v>
      </c>
      <c r="D184" s="105">
        <v>0</v>
      </c>
      <c r="E184" s="124">
        <f ca="1">OFFSET(INDEX(Composições!A:J,MATCH(Orçamentária!A184,Composições!A:A,0),8),2,0)</f>
        <v>2.7630750000000002</v>
      </c>
      <c r="F184" s="125">
        <f t="shared" ca="1" si="6"/>
        <v>0</v>
      </c>
      <c r="G184" s="126" t="e">
        <f>IF(A184&lt;&gt;"",IF(AND(#REF!="Padrão",$H$4=#REF!),BDI!$B$17,IF(AND(#REF!="Padrão",$H$4=#REF!),BDI!#REF!,IF(AND(#REF!="Diferenciado",$H$4=#REF!),BDI!$E$17,IF(AND(#REF!="Diferenciado",$H$4=#REF!),BDI!#REF!,IF(#REF!="ZERO",0))))),"")</f>
        <v>#REF!</v>
      </c>
      <c r="H184" s="127" t="e">
        <f t="shared" ca="1" si="7"/>
        <v>#REF!</v>
      </c>
      <c r="I184" s="125" t="e">
        <f t="shared" ca="1" si="8"/>
        <v>#REF!</v>
      </c>
    </row>
    <row r="185" spans="1:9" hidden="1" x14ac:dyDescent="0.25">
      <c r="A185" s="103" t="s">
        <v>326</v>
      </c>
      <c r="B185" s="104" t="s">
        <v>1663</v>
      </c>
      <c r="C185" s="105" t="s">
        <v>20</v>
      </c>
      <c r="D185" s="105">
        <v>0</v>
      </c>
      <c r="E185" s="124">
        <f ca="1">OFFSET(INDEX(Composições!A:J,MATCH(Orçamentária!A185,Composições!A:A,0),8),2,0)</f>
        <v>14.829830599999999</v>
      </c>
      <c r="F185" s="125">
        <f t="shared" ca="1" si="6"/>
        <v>0</v>
      </c>
      <c r="G185" s="126" t="e">
        <f>IF(A185&lt;&gt;"",IF(AND(#REF!="Padrão",$H$4=#REF!),BDI!$B$17,IF(AND(#REF!="Padrão",$H$4=#REF!),BDI!#REF!,IF(AND(#REF!="Diferenciado",$H$4=#REF!),BDI!$E$17,IF(AND(#REF!="Diferenciado",$H$4=#REF!),BDI!#REF!,IF(#REF!="ZERO",0))))),"")</f>
        <v>#REF!</v>
      </c>
      <c r="H185" s="127" t="e">
        <f t="shared" ca="1" si="7"/>
        <v>#REF!</v>
      </c>
      <c r="I185" s="125" t="e">
        <f t="shared" ca="1" si="8"/>
        <v>#REF!</v>
      </c>
    </row>
    <row r="186" spans="1:9" hidden="1" x14ac:dyDescent="0.25">
      <c r="A186" s="103" t="s">
        <v>327</v>
      </c>
      <c r="B186" s="104" t="s">
        <v>6276</v>
      </c>
      <c r="C186" s="105" t="s">
        <v>20</v>
      </c>
      <c r="D186" s="105">
        <v>0</v>
      </c>
      <c r="E186" s="124">
        <f ca="1">OFFSET(INDEX(Composições!A:J,MATCH(Orçamentária!A186,Composições!A:A,0),8),2,0)</f>
        <v>1.8420500000000002</v>
      </c>
      <c r="F186" s="125">
        <f t="shared" ca="1" si="6"/>
        <v>0</v>
      </c>
      <c r="G186" s="126" t="e">
        <f>IF(A186&lt;&gt;"",IF(AND(#REF!="Padrão",$H$4=#REF!),BDI!$B$17,IF(AND(#REF!="Padrão",$H$4=#REF!),BDI!#REF!,IF(AND(#REF!="Diferenciado",$H$4=#REF!),BDI!$E$17,IF(AND(#REF!="Diferenciado",$H$4=#REF!),BDI!#REF!,IF(#REF!="ZERO",0))))),"")</f>
        <v>#REF!</v>
      </c>
      <c r="H186" s="127" t="e">
        <f t="shared" ca="1" si="7"/>
        <v>#REF!</v>
      </c>
      <c r="I186" s="125" t="e">
        <f t="shared" ca="1" si="8"/>
        <v>#REF!</v>
      </c>
    </row>
    <row r="187" spans="1:9" hidden="1" x14ac:dyDescent="0.25">
      <c r="A187" s="103" t="s">
        <v>329</v>
      </c>
      <c r="B187" s="104" t="s">
        <v>1664</v>
      </c>
      <c r="C187" s="105" t="s">
        <v>20</v>
      </c>
      <c r="D187" s="105">
        <v>0</v>
      </c>
      <c r="E187" s="124">
        <f ca="1">OFFSET(INDEX(Composições!A:J,MATCH(Orçamentária!A187,Composições!A:A,0),8),2,0)</f>
        <v>253.59063545000001</v>
      </c>
      <c r="F187" s="125">
        <f t="shared" ca="1" si="6"/>
        <v>0</v>
      </c>
      <c r="G187" s="126" t="e">
        <f>IF(A187&lt;&gt;"",IF(AND(#REF!="Padrão",$H$4=#REF!),BDI!$B$17,IF(AND(#REF!="Padrão",$H$4=#REF!),BDI!#REF!,IF(AND(#REF!="Diferenciado",$H$4=#REF!),BDI!$E$17,IF(AND(#REF!="Diferenciado",$H$4=#REF!),BDI!#REF!,IF(#REF!="ZERO",0))))),"")</f>
        <v>#REF!</v>
      </c>
      <c r="H187" s="127" t="e">
        <f t="shared" ca="1" si="7"/>
        <v>#REF!</v>
      </c>
      <c r="I187" s="125" t="e">
        <f t="shared" ca="1" si="8"/>
        <v>#REF!</v>
      </c>
    </row>
    <row r="188" spans="1:9" hidden="1" x14ac:dyDescent="0.25">
      <c r="A188" s="103" t="s">
        <v>331</v>
      </c>
      <c r="B188" s="104" t="s">
        <v>1665</v>
      </c>
      <c r="C188" s="105" t="s">
        <v>20</v>
      </c>
      <c r="D188" s="105">
        <v>0</v>
      </c>
      <c r="E188" s="124">
        <f ca="1">OFFSET(INDEX(Composições!A:J,MATCH(Orçamentária!A188,Composições!A:A,0),8),2,0)</f>
        <v>78.95213545</v>
      </c>
      <c r="F188" s="125">
        <f t="shared" ca="1" si="6"/>
        <v>0</v>
      </c>
      <c r="G188" s="126" t="e">
        <f>IF(A188&lt;&gt;"",IF(AND(#REF!="Padrão",$H$4=#REF!),BDI!$B$17,IF(AND(#REF!="Padrão",$H$4=#REF!),BDI!#REF!,IF(AND(#REF!="Diferenciado",$H$4=#REF!),BDI!$E$17,IF(AND(#REF!="Diferenciado",$H$4=#REF!),BDI!#REF!,IF(#REF!="ZERO",0))))),"")</f>
        <v>#REF!</v>
      </c>
      <c r="H188" s="127" t="e">
        <f t="shared" ca="1" si="7"/>
        <v>#REF!</v>
      </c>
      <c r="I188" s="125" t="e">
        <f t="shared" ca="1" si="8"/>
        <v>#REF!</v>
      </c>
    </row>
    <row r="189" spans="1:9" hidden="1" x14ac:dyDescent="0.25">
      <c r="A189" s="103" t="s">
        <v>333</v>
      </c>
      <c r="B189" s="104" t="s">
        <v>1666</v>
      </c>
      <c r="C189" s="105" t="s">
        <v>20</v>
      </c>
      <c r="D189" s="105">
        <v>0</v>
      </c>
      <c r="E189" s="124">
        <f ca="1">OFFSET(INDEX(Composições!A:J,MATCH(Orçamentária!A189,Composições!A:A,0),8),2,0)</f>
        <v>46.661591749999999</v>
      </c>
      <c r="F189" s="125">
        <f t="shared" ca="1" si="6"/>
        <v>0</v>
      </c>
      <c r="G189" s="126" t="e">
        <f>IF(A189&lt;&gt;"",IF(AND(#REF!="Padrão",$H$4=#REF!),BDI!$B$17,IF(AND(#REF!="Padrão",$H$4=#REF!),BDI!#REF!,IF(AND(#REF!="Diferenciado",$H$4=#REF!),BDI!$E$17,IF(AND(#REF!="Diferenciado",$H$4=#REF!),BDI!#REF!,IF(#REF!="ZERO",0))))),"")</f>
        <v>#REF!</v>
      </c>
      <c r="H189" s="127" t="e">
        <f t="shared" ca="1" si="7"/>
        <v>#REF!</v>
      </c>
      <c r="I189" s="125" t="e">
        <f t="shared" ca="1" si="8"/>
        <v>#REF!</v>
      </c>
    </row>
    <row r="190" spans="1:9" hidden="1" x14ac:dyDescent="0.25">
      <c r="A190" s="103" t="s">
        <v>336</v>
      </c>
      <c r="B190" s="104" t="s">
        <v>6277</v>
      </c>
      <c r="C190" s="105" t="s">
        <v>20</v>
      </c>
      <c r="D190" s="105">
        <v>0</v>
      </c>
      <c r="E190" s="124">
        <f ca="1">OFFSET(INDEX(Composições!A:J,MATCH(Orçamentária!A190,Composições!A:A,0),8),2,0)</f>
        <v>26.3325712</v>
      </c>
      <c r="F190" s="125">
        <f t="shared" ca="1" si="6"/>
        <v>0</v>
      </c>
      <c r="G190" s="126" t="e">
        <f>IF(A190&lt;&gt;"",IF(AND(#REF!="Padrão",$H$4=#REF!),BDI!$B$17,IF(AND(#REF!="Padrão",$H$4=#REF!),BDI!#REF!,IF(AND(#REF!="Diferenciado",$H$4=#REF!),BDI!$E$17,IF(AND(#REF!="Diferenciado",$H$4=#REF!),BDI!#REF!,IF(#REF!="ZERO",0))))),"")</f>
        <v>#REF!</v>
      </c>
      <c r="H190" s="127" t="e">
        <f t="shared" ca="1" si="7"/>
        <v>#REF!</v>
      </c>
      <c r="I190" s="125" t="e">
        <f t="shared" ca="1" si="8"/>
        <v>#REF!</v>
      </c>
    </row>
    <row r="191" spans="1:9" hidden="1" x14ac:dyDescent="0.25">
      <c r="A191" s="103" t="s">
        <v>338</v>
      </c>
      <c r="B191" s="104" t="s">
        <v>1667</v>
      </c>
      <c r="C191" s="105" t="s">
        <v>20</v>
      </c>
      <c r="D191" s="105">
        <v>0</v>
      </c>
      <c r="E191" s="124">
        <f ca="1">OFFSET(INDEX(Composições!A:J,MATCH(Orçamentária!A191,Composições!A:A,0),8),2,0)</f>
        <v>46.661591749999999</v>
      </c>
      <c r="F191" s="125">
        <f t="shared" ca="1" si="6"/>
        <v>0</v>
      </c>
      <c r="G191" s="126" t="e">
        <f>IF(A191&lt;&gt;"",IF(AND(#REF!="Padrão",$H$4=#REF!),BDI!$B$17,IF(AND(#REF!="Padrão",$H$4=#REF!),BDI!#REF!,IF(AND(#REF!="Diferenciado",$H$4=#REF!),BDI!$E$17,IF(AND(#REF!="Diferenciado",$H$4=#REF!),BDI!#REF!,IF(#REF!="ZERO",0))))),"")</f>
        <v>#REF!</v>
      </c>
      <c r="H191" s="127" t="e">
        <f t="shared" ca="1" si="7"/>
        <v>#REF!</v>
      </c>
      <c r="I191" s="125" t="e">
        <f t="shared" ca="1" si="8"/>
        <v>#REF!</v>
      </c>
    </row>
    <row r="192" spans="1:9" hidden="1" x14ac:dyDescent="0.25">
      <c r="A192" s="103" t="s">
        <v>340</v>
      </c>
      <c r="B192" s="104" t="s">
        <v>1668</v>
      </c>
      <c r="C192" s="105" t="s">
        <v>20</v>
      </c>
      <c r="D192" s="105">
        <v>0</v>
      </c>
      <c r="E192" s="124">
        <f ca="1">OFFSET(INDEX(Composições!A:J,MATCH(Orçamentária!A192,Composições!A:A,0),8),2,0)</f>
        <v>45.566010900000009</v>
      </c>
      <c r="F192" s="125">
        <f t="shared" ca="1" si="6"/>
        <v>0</v>
      </c>
      <c r="G192" s="126" t="e">
        <f>IF(A192&lt;&gt;"",IF(AND(#REF!="Padrão",$H$4=#REF!),BDI!$B$17,IF(AND(#REF!="Padrão",$H$4=#REF!),BDI!#REF!,IF(AND(#REF!="Diferenciado",$H$4=#REF!),BDI!$E$17,IF(AND(#REF!="Diferenciado",$H$4=#REF!),BDI!#REF!,IF(#REF!="ZERO",0))))),"")</f>
        <v>#REF!</v>
      </c>
      <c r="H192" s="127" t="e">
        <f t="shared" ca="1" si="7"/>
        <v>#REF!</v>
      </c>
      <c r="I192" s="125" t="e">
        <f t="shared" ca="1" si="8"/>
        <v>#REF!</v>
      </c>
    </row>
    <row r="193" spans="1:9" hidden="1" x14ac:dyDescent="0.25">
      <c r="A193" s="103" t="s">
        <v>342</v>
      </c>
      <c r="B193" s="104" t="s">
        <v>1669</v>
      </c>
      <c r="C193" s="105" t="s">
        <v>20</v>
      </c>
      <c r="D193" s="105">
        <v>0</v>
      </c>
      <c r="E193" s="124">
        <f ca="1">OFFSET(INDEX(Composições!A:J,MATCH(Orçamentária!A193,Composições!A:A,0),8),2,0)</f>
        <v>46.071218999999999</v>
      </c>
      <c r="F193" s="125">
        <f t="shared" ca="1" si="6"/>
        <v>0</v>
      </c>
      <c r="G193" s="126" t="e">
        <f>IF(A193&lt;&gt;"",IF(AND(#REF!="Padrão",$H$4=#REF!),BDI!$B$17,IF(AND(#REF!="Padrão",$H$4=#REF!),BDI!#REF!,IF(AND(#REF!="Diferenciado",$H$4=#REF!),BDI!$E$17,IF(AND(#REF!="Diferenciado",$H$4=#REF!),BDI!#REF!,IF(#REF!="ZERO",0))))),"")</f>
        <v>#REF!</v>
      </c>
      <c r="H193" s="127" t="e">
        <f t="shared" ca="1" si="7"/>
        <v>#REF!</v>
      </c>
      <c r="I193" s="125" t="e">
        <f t="shared" ca="1" si="8"/>
        <v>#REF!</v>
      </c>
    </row>
    <row r="194" spans="1:9" hidden="1" x14ac:dyDescent="0.25">
      <c r="A194" s="103" t="s">
        <v>345</v>
      </c>
      <c r="B194" s="104" t="s">
        <v>1670</v>
      </c>
      <c r="C194" s="105" t="s">
        <v>20</v>
      </c>
      <c r="D194" s="105">
        <v>0</v>
      </c>
      <c r="E194" s="124">
        <f ca="1">OFFSET(INDEX(Composições!A:J,MATCH(Orçamentária!A194,Composições!A:A,0),8),2,0)</f>
        <v>78.95213545</v>
      </c>
      <c r="F194" s="125">
        <f t="shared" ca="1" si="6"/>
        <v>0</v>
      </c>
      <c r="G194" s="126" t="e">
        <f>IF(A194&lt;&gt;"",IF(AND(#REF!="Padrão",$H$4=#REF!),BDI!$B$17,IF(AND(#REF!="Padrão",$H$4=#REF!),BDI!#REF!,IF(AND(#REF!="Diferenciado",$H$4=#REF!),BDI!$E$17,IF(AND(#REF!="Diferenciado",$H$4=#REF!),BDI!#REF!,IF(#REF!="ZERO",0))))),"")</f>
        <v>#REF!</v>
      </c>
      <c r="H194" s="127" t="e">
        <f t="shared" ca="1" si="7"/>
        <v>#REF!</v>
      </c>
      <c r="I194" s="125" t="e">
        <f t="shared" ca="1" si="8"/>
        <v>#REF!</v>
      </c>
    </row>
    <row r="195" spans="1:9" hidden="1" x14ac:dyDescent="0.25">
      <c r="A195" s="103" t="s">
        <v>346</v>
      </c>
      <c r="B195" s="104" t="s">
        <v>1671</v>
      </c>
      <c r="C195" s="105" t="s">
        <v>20</v>
      </c>
      <c r="D195" s="105">
        <v>0</v>
      </c>
      <c r="E195" s="124">
        <f ca="1">OFFSET(INDEX(Composições!A:J,MATCH(Orçamentária!A195,Composições!A:A,0),8),2,0)</f>
        <v>124.62501090000001</v>
      </c>
      <c r="F195" s="125">
        <f t="shared" ca="1" si="6"/>
        <v>0</v>
      </c>
      <c r="G195" s="126" t="e">
        <f>IF(A195&lt;&gt;"",IF(AND(#REF!="Padrão",$H$4=#REF!),BDI!$B$17,IF(AND(#REF!="Padrão",$H$4=#REF!),BDI!#REF!,IF(AND(#REF!="Diferenciado",$H$4=#REF!),BDI!$E$17,IF(AND(#REF!="Diferenciado",$H$4=#REF!),BDI!#REF!,IF(#REF!="ZERO",0))))),"")</f>
        <v>#REF!</v>
      </c>
      <c r="H195" s="127" t="e">
        <f t="shared" ca="1" si="7"/>
        <v>#REF!</v>
      </c>
      <c r="I195" s="125" t="e">
        <f t="shared" ca="1" si="8"/>
        <v>#REF!</v>
      </c>
    </row>
    <row r="196" spans="1:9" hidden="1" x14ac:dyDescent="0.25">
      <c r="A196" s="103" t="s">
        <v>347</v>
      </c>
      <c r="B196" s="104" t="s">
        <v>1672</v>
      </c>
      <c r="C196" s="105" t="s">
        <v>20</v>
      </c>
      <c r="D196" s="105">
        <v>0</v>
      </c>
      <c r="E196" s="124">
        <f ca="1">OFFSET(INDEX(Composições!A:J,MATCH(Orçamentária!A196,Composições!A:A,0),8),2,0)</f>
        <v>350.12821900000006</v>
      </c>
      <c r="F196" s="125">
        <f t="shared" ca="1" si="6"/>
        <v>0</v>
      </c>
      <c r="G196" s="126" t="e">
        <f>IF(A196&lt;&gt;"",IF(AND(#REF!="Padrão",$H$4=#REF!),BDI!$B$17,IF(AND(#REF!="Padrão",$H$4=#REF!),BDI!#REF!,IF(AND(#REF!="Diferenciado",$H$4=#REF!),BDI!$E$17,IF(AND(#REF!="Diferenciado",$H$4=#REF!),BDI!#REF!,IF(#REF!="ZERO",0))))),"")</f>
        <v>#REF!</v>
      </c>
      <c r="H196" s="127" t="e">
        <f t="shared" ca="1" si="7"/>
        <v>#REF!</v>
      </c>
      <c r="I196" s="125" t="e">
        <f t="shared" ca="1" si="8"/>
        <v>#REF!</v>
      </c>
    </row>
    <row r="197" spans="1:9" hidden="1" x14ac:dyDescent="0.25">
      <c r="A197" s="103" t="s">
        <v>348</v>
      </c>
      <c r="B197" s="104" t="s">
        <v>6278</v>
      </c>
      <c r="C197" s="105" t="s">
        <v>20</v>
      </c>
      <c r="D197" s="105">
        <v>0</v>
      </c>
      <c r="E197" s="124">
        <f ca="1">OFFSET(INDEX(Composições!A:J,MATCH(Orçamentária!A197,Composições!A:A,0),8),2,0)</f>
        <v>90.303847900000008</v>
      </c>
      <c r="F197" s="125">
        <f t="shared" ca="1" si="6"/>
        <v>0</v>
      </c>
      <c r="G197" s="126" t="e">
        <f>IF(A197&lt;&gt;"",IF(AND(#REF!="Padrão",$H$4=#REF!),BDI!$B$17,IF(AND(#REF!="Padrão",$H$4=#REF!),BDI!#REF!,IF(AND(#REF!="Diferenciado",$H$4=#REF!),BDI!$E$17,IF(AND(#REF!="Diferenciado",$H$4=#REF!),BDI!#REF!,IF(#REF!="ZERO",0))))),"")</f>
        <v>#REF!</v>
      </c>
      <c r="H197" s="127" t="e">
        <f t="shared" ca="1" si="7"/>
        <v>#REF!</v>
      </c>
      <c r="I197" s="125" t="e">
        <f t="shared" ca="1" si="8"/>
        <v>#REF!</v>
      </c>
    </row>
    <row r="198" spans="1:9" hidden="1" x14ac:dyDescent="0.25">
      <c r="A198" s="103" t="s">
        <v>350</v>
      </c>
      <c r="B198" s="104" t="s">
        <v>6279</v>
      </c>
      <c r="C198" s="105" t="s">
        <v>20</v>
      </c>
      <c r="D198" s="105">
        <v>0</v>
      </c>
      <c r="E198" s="124">
        <f ca="1">OFFSET(INDEX(Composições!A:J,MATCH(Orçamentária!A198,Composições!A:A,0),8),2,0)</f>
        <v>1.9440799999999998</v>
      </c>
      <c r="F198" s="125">
        <f t="shared" ca="1" si="6"/>
        <v>0</v>
      </c>
      <c r="G198" s="126" t="e">
        <f>IF(A198&lt;&gt;"",IF(AND(#REF!="Padrão",$H$4=#REF!),BDI!$B$17,IF(AND(#REF!="Padrão",$H$4=#REF!),BDI!#REF!,IF(AND(#REF!="Diferenciado",$H$4=#REF!),BDI!$E$17,IF(AND(#REF!="Diferenciado",$H$4=#REF!),BDI!#REF!,IF(#REF!="ZERO",0))))),"")</f>
        <v>#REF!</v>
      </c>
      <c r="H198" s="127" t="e">
        <f t="shared" ca="1" si="7"/>
        <v>#REF!</v>
      </c>
      <c r="I198" s="125" t="e">
        <f t="shared" ca="1" si="8"/>
        <v>#REF!</v>
      </c>
    </row>
    <row r="199" spans="1:9" hidden="1" x14ac:dyDescent="0.25">
      <c r="A199" s="103" t="s">
        <v>352</v>
      </c>
      <c r="B199" s="104" t="s">
        <v>6280</v>
      </c>
      <c r="C199" s="105" t="s">
        <v>20</v>
      </c>
      <c r="D199" s="105">
        <v>0</v>
      </c>
      <c r="E199" s="124">
        <f ca="1">OFFSET(INDEX(Composições!A:J,MATCH(Orçamentária!A199,Composições!A:A,0),8),2,0)</f>
        <v>1.9440799999999998</v>
      </c>
      <c r="F199" s="125">
        <f t="shared" ref="F199:F262" ca="1" si="9">IF(ISNUMBER(E199),D199*E199,"")</f>
        <v>0</v>
      </c>
      <c r="G199" s="126" t="e">
        <f>IF(A199&lt;&gt;"",IF(AND(#REF!="Padrão",$H$4=#REF!),BDI!$B$17,IF(AND(#REF!="Padrão",$H$4=#REF!),BDI!#REF!,IF(AND(#REF!="Diferenciado",$H$4=#REF!),BDI!$E$17,IF(AND(#REF!="Diferenciado",$H$4=#REF!),BDI!#REF!,IF(#REF!="ZERO",0))))),"")</f>
        <v>#REF!</v>
      </c>
      <c r="H199" s="127" t="e">
        <f t="shared" ref="H199:H262" ca="1" si="10">IF(ISNUMBER(E199),ROUND(E199*(1+G199),2),"")</f>
        <v>#REF!</v>
      </c>
      <c r="I199" s="125" t="e">
        <f t="shared" ref="I199:I262" ca="1" si="11">IF(ISNUMBER(E199),ROUND(H199*D199,2),"")</f>
        <v>#REF!</v>
      </c>
    </row>
    <row r="200" spans="1:9" hidden="1" x14ac:dyDescent="0.25">
      <c r="A200" s="103" t="s">
        <v>354</v>
      </c>
      <c r="B200" s="104" t="s">
        <v>6281</v>
      </c>
      <c r="C200" s="105" t="s">
        <v>20</v>
      </c>
      <c r="D200" s="105">
        <v>0</v>
      </c>
      <c r="E200" s="124">
        <f ca="1">OFFSET(INDEX(Composições!A:J,MATCH(Orçamentária!A200,Composições!A:A,0),8),2,0)</f>
        <v>21.698</v>
      </c>
      <c r="F200" s="125">
        <f t="shared" ca="1" si="9"/>
        <v>0</v>
      </c>
      <c r="G200" s="126" t="e">
        <f>IF(A200&lt;&gt;"",IF(AND(#REF!="Padrão",$H$4=#REF!),BDI!$B$17,IF(AND(#REF!="Padrão",$H$4=#REF!),BDI!#REF!,IF(AND(#REF!="Diferenciado",$H$4=#REF!),BDI!$E$17,IF(AND(#REF!="Diferenciado",$H$4=#REF!),BDI!#REF!,IF(#REF!="ZERO",0))))),"")</f>
        <v>#REF!</v>
      </c>
      <c r="H200" s="127" t="e">
        <f t="shared" ca="1" si="10"/>
        <v>#REF!</v>
      </c>
      <c r="I200" s="125" t="e">
        <f t="shared" ca="1" si="11"/>
        <v>#REF!</v>
      </c>
    </row>
    <row r="201" spans="1:9" hidden="1" x14ac:dyDescent="0.25">
      <c r="A201" s="103" t="s">
        <v>356</v>
      </c>
      <c r="B201" s="104" t="s">
        <v>1673</v>
      </c>
      <c r="C201" s="105" t="s">
        <v>20</v>
      </c>
      <c r="D201" s="105">
        <v>0</v>
      </c>
      <c r="E201" s="124">
        <f ca="1">OFFSET(INDEX(Composições!A:J,MATCH(Orçamentária!A201,Composições!A:A,0),8),2,0)</f>
        <v>4.3726485999999998</v>
      </c>
      <c r="F201" s="125">
        <f t="shared" ca="1" si="9"/>
        <v>0</v>
      </c>
      <c r="G201" s="126" t="e">
        <f>IF(A201&lt;&gt;"",IF(AND(#REF!="Padrão",$H$4=#REF!),BDI!$B$17,IF(AND(#REF!="Padrão",$H$4=#REF!),BDI!#REF!,IF(AND(#REF!="Diferenciado",$H$4=#REF!),BDI!$E$17,IF(AND(#REF!="Diferenciado",$H$4=#REF!),BDI!#REF!,IF(#REF!="ZERO",0))))),"")</f>
        <v>#REF!</v>
      </c>
      <c r="H201" s="127" t="e">
        <f t="shared" ca="1" si="10"/>
        <v>#REF!</v>
      </c>
      <c r="I201" s="125" t="e">
        <f t="shared" ca="1" si="11"/>
        <v>#REF!</v>
      </c>
    </row>
    <row r="202" spans="1:9" hidden="1" x14ac:dyDescent="0.25">
      <c r="A202" s="103" t="s">
        <v>357</v>
      </c>
      <c r="B202" s="104" t="s">
        <v>6282</v>
      </c>
      <c r="C202" s="105" t="s">
        <v>20</v>
      </c>
      <c r="D202" s="105">
        <v>0</v>
      </c>
      <c r="E202" s="124">
        <f ca="1">OFFSET(INDEX(Composições!A:J,MATCH(Orçamentária!A202,Composições!A:A,0),8),2,0)</f>
        <v>45.340650000000004</v>
      </c>
      <c r="F202" s="125">
        <f t="shared" ca="1" si="9"/>
        <v>0</v>
      </c>
      <c r="G202" s="126" t="e">
        <f>IF(A202&lt;&gt;"",IF(AND(#REF!="Padrão",$H$4=#REF!),BDI!$B$17,IF(AND(#REF!="Padrão",$H$4=#REF!),BDI!#REF!,IF(AND(#REF!="Diferenciado",$H$4=#REF!),BDI!$E$17,IF(AND(#REF!="Diferenciado",$H$4=#REF!),BDI!#REF!,IF(#REF!="ZERO",0))))),"")</f>
        <v>#REF!</v>
      </c>
      <c r="H202" s="127" t="e">
        <f t="shared" ca="1" si="10"/>
        <v>#REF!</v>
      </c>
      <c r="I202" s="125" t="e">
        <f t="shared" ca="1" si="11"/>
        <v>#REF!</v>
      </c>
    </row>
    <row r="203" spans="1:9" hidden="1" x14ac:dyDescent="0.25">
      <c r="A203" s="103" t="s">
        <v>359</v>
      </c>
      <c r="B203" s="104" t="s">
        <v>6283</v>
      </c>
      <c r="C203" s="105" t="s">
        <v>20</v>
      </c>
      <c r="D203" s="105">
        <v>0</v>
      </c>
      <c r="E203" s="124">
        <f ca="1">OFFSET(INDEX(Composições!A:J,MATCH(Orçamentária!A203,Composições!A:A,0),8),2,0)</f>
        <v>8.3768244999999979</v>
      </c>
      <c r="F203" s="125">
        <f t="shared" ca="1" si="9"/>
        <v>0</v>
      </c>
      <c r="G203" s="126" t="e">
        <f>IF(A203&lt;&gt;"",IF(AND(#REF!="Padrão",$H$4=#REF!),BDI!$B$17,IF(AND(#REF!="Padrão",$H$4=#REF!),BDI!#REF!,IF(AND(#REF!="Diferenciado",$H$4=#REF!),BDI!$E$17,IF(AND(#REF!="Diferenciado",$H$4=#REF!),BDI!#REF!,IF(#REF!="ZERO",0))))),"")</f>
        <v>#REF!</v>
      </c>
      <c r="H203" s="127" t="e">
        <f t="shared" ca="1" si="10"/>
        <v>#REF!</v>
      </c>
      <c r="I203" s="125" t="e">
        <f t="shared" ca="1" si="11"/>
        <v>#REF!</v>
      </c>
    </row>
    <row r="204" spans="1:9" hidden="1" x14ac:dyDescent="0.25">
      <c r="A204" s="103" t="s">
        <v>361</v>
      </c>
      <c r="B204" s="104" t="s">
        <v>1674</v>
      </c>
      <c r="C204" s="105" t="s">
        <v>20</v>
      </c>
      <c r="D204" s="105">
        <v>0</v>
      </c>
      <c r="E204" s="124">
        <f ca="1">OFFSET(INDEX(Composições!A:J,MATCH(Orçamentária!A204,Composições!A:A,0),8),2,0)</f>
        <v>170.58361500000001</v>
      </c>
      <c r="F204" s="125">
        <f t="shared" ca="1" si="9"/>
        <v>0</v>
      </c>
      <c r="G204" s="126" t="e">
        <f>IF(A204&lt;&gt;"",IF(AND(#REF!="Padrão",$H$4=#REF!),BDI!$B$17,IF(AND(#REF!="Padrão",$H$4=#REF!),BDI!#REF!,IF(AND(#REF!="Diferenciado",$H$4=#REF!),BDI!$E$17,IF(AND(#REF!="Diferenciado",$H$4=#REF!),BDI!#REF!,IF(#REF!="ZERO",0))))),"")</f>
        <v>#REF!</v>
      </c>
      <c r="H204" s="127" t="e">
        <f t="shared" ca="1" si="10"/>
        <v>#REF!</v>
      </c>
      <c r="I204" s="125" t="e">
        <f t="shared" ca="1" si="11"/>
        <v>#REF!</v>
      </c>
    </row>
    <row r="205" spans="1:9" hidden="1" x14ac:dyDescent="0.25">
      <c r="A205" s="103" t="s">
        <v>363</v>
      </c>
      <c r="B205" s="104" t="s">
        <v>6284</v>
      </c>
      <c r="C205" s="105" t="s">
        <v>20</v>
      </c>
      <c r="D205" s="105">
        <v>0</v>
      </c>
      <c r="E205" s="124">
        <f ca="1">OFFSET(INDEX(Composições!A:J,MATCH(Orçamentária!A205,Composições!A:A,0),8),2,0)</f>
        <v>180.09882449999998</v>
      </c>
      <c r="F205" s="125">
        <f t="shared" ca="1" si="9"/>
        <v>0</v>
      </c>
      <c r="G205" s="126" t="e">
        <f>IF(A205&lt;&gt;"",IF(AND(#REF!="Padrão",$H$4=#REF!),BDI!$B$17,IF(AND(#REF!="Padrão",$H$4=#REF!),BDI!#REF!,IF(AND(#REF!="Diferenciado",$H$4=#REF!),BDI!$E$17,IF(AND(#REF!="Diferenciado",$H$4=#REF!),BDI!#REF!,IF(#REF!="ZERO",0))))),"")</f>
        <v>#REF!</v>
      </c>
      <c r="H205" s="127" t="e">
        <f t="shared" ca="1" si="10"/>
        <v>#REF!</v>
      </c>
      <c r="I205" s="125" t="e">
        <f t="shared" ca="1" si="11"/>
        <v>#REF!</v>
      </c>
    </row>
    <row r="206" spans="1:9" hidden="1" x14ac:dyDescent="0.25">
      <c r="A206" s="103" t="s">
        <v>365</v>
      </c>
      <c r="B206" s="104" t="s">
        <v>1675</v>
      </c>
      <c r="C206" s="105" t="s">
        <v>20</v>
      </c>
      <c r="D206" s="105">
        <v>0</v>
      </c>
      <c r="E206" s="124">
        <f ca="1">OFFSET(INDEX(Composições!A:J,MATCH(Orçamentária!A206,Composições!A:A,0),8),2,0)</f>
        <v>5.1098229499999999</v>
      </c>
      <c r="F206" s="125">
        <f t="shared" ca="1" si="9"/>
        <v>0</v>
      </c>
      <c r="G206" s="126" t="e">
        <f>IF(A206&lt;&gt;"",IF(AND(#REF!="Padrão",$H$4=#REF!),BDI!$B$17,IF(AND(#REF!="Padrão",$H$4=#REF!),BDI!#REF!,IF(AND(#REF!="Diferenciado",$H$4=#REF!),BDI!$E$17,IF(AND(#REF!="Diferenciado",$H$4=#REF!),BDI!#REF!,IF(#REF!="ZERO",0))))),"")</f>
        <v>#REF!</v>
      </c>
      <c r="H206" s="127" t="e">
        <f t="shared" ca="1" si="10"/>
        <v>#REF!</v>
      </c>
      <c r="I206" s="125" t="e">
        <f t="shared" ca="1" si="11"/>
        <v>#REF!</v>
      </c>
    </row>
    <row r="207" spans="1:9" hidden="1" x14ac:dyDescent="0.25">
      <c r="A207" s="103" t="s">
        <v>367</v>
      </c>
      <c r="B207" s="104" t="s">
        <v>6285</v>
      </c>
      <c r="C207" s="105" t="s">
        <v>20</v>
      </c>
      <c r="D207" s="105">
        <v>0</v>
      </c>
      <c r="E207" s="124">
        <f ca="1">OFFSET(INDEX(Composições!A:J,MATCH(Orçamentária!A207,Composições!A:A,0),8),2,0)</f>
        <v>5.1098229499999999</v>
      </c>
      <c r="F207" s="125">
        <f t="shared" ca="1" si="9"/>
        <v>0</v>
      </c>
      <c r="G207" s="126" t="e">
        <f>IF(A207&lt;&gt;"",IF(AND(#REF!="Padrão",$H$4=#REF!),BDI!$B$17,IF(AND(#REF!="Padrão",$H$4=#REF!),BDI!#REF!,IF(AND(#REF!="Diferenciado",$H$4=#REF!),BDI!$E$17,IF(AND(#REF!="Diferenciado",$H$4=#REF!),BDI!#REF!,IF(#REF!="ZERO",0))))),"")</f>
        <v>#REF!</v>
      </c>
      <c r="H207" s="127" t="e">
        <f t="shared" ca="1" si="10"/>
        <v>#REF!</v>
      </c>
      <c r="I207" s="125" t="e">
        <f t="shared" ca="1" si="11"/>
        <v>#REF!</v>
      </c>
    </row>
    <row r="208" spans="1:9" hidden="1" x14ac:dyDescent="0.25">
      <c r="A208" s="103" t="s">
        <v>369</v>
      </c>
      <c r="B208" s="104" t="s">
        <v>1676</v>
      </c>
      <c r="C208" s="105" t="s">
        <v>20</v>
      </c>
      <c r="D208" s="105">
        <v>0</v>
      </c>
      <c r="E208" s="124">
        <f ca="1">OFFSET(INDEX(Composições!A:J,MATCH(Orçamentária!A208,Composições!A:A,0),8),2,0)</f>
        <v>2.9828071499999997</v>
      </c>
      <c r="F208" s="125">
        <f t="shared" ca="1" si="9"/>
        <v>0</v>
      </c>
      <c r="G208" s="126" t="e">
        <f>IF(A208&lt;&gt;"",IF(AND(#REF!="Padrão",$H$4=#REF!),BDI!$B$17,IF(AND(#REF!="Padrão",$H$4=#REF!),BDI!#REF!,IF(AND(#REF!="Diferenciado",$H$4=#REF!),BDI!$E$17,IF(AND(#REF!="Diferenciado",$H$4=#REF!),BDI!#REF!,IF(#REF!="ZERO",0))))),"")</f>
        <v>#REF!</v>
      </c>
      <c r="H208" s="127" t="e">
        <f t="shared" ca="1" si="10"/>
        <v>#REF!</v>
      </c>
      <c r="I208" s="125" t="e">
        <f t="shared" ca="1" si="11"/>
        <v>#REF!</v>
      </c>
    </row>
    <row r="209" spans="1:9" hidden="1" x14ac:dyDescent="0.25">
      <c r="A209" s="103" t="s">
        <v>371</v>
      </c>
      <c r="B209" s="104" t="s">
        <v>6286</v>
      </c>
      <c r="C209" s="105" t="s">
        <v>20</v>
      </c>
      <c r="D209" s="105">
        <v>0</v>
      </c>
      <c r="E209" s="124">
        <f ca="1">OFFSET(INDEX(Composições!A:J,MATCH(Orçamentária!A209,Composições!A:A,0),8),2,0)</f>
        <v>2.9828071499999997</v>
      </c>
      <c r="F209" s="125">
        <f t="shared" ca="1" si="9"/>
        <v>0</v>
      </c>
      <c r="G209" s="126" t="e">
        <f>IF(A209&lt;&gt;"",IF(AND(#REF!="Padrão",$H$4=#REF!),BDI!$B$17,IF(AND(#REF!="Padrão",$H$4=#REF!),BDI!#REF!,IF(AND(#REF!="Diferenciado",$H$4=#REF!),BDI!$E$17,IF(AND(#REF!="Diferenciado",$H$4=#REF!),BDI!#REF!,IF(#REF!="ZERO",0))))),"")</f>
        <v>#REF!</v>
      </c>
      <c r="H209" s="127" t="e">
        <f t="shared" ca="1" si="10"/>
        <v>#REF!</v>
      </c>
      <c r="I209" s="125" t="e">
        <f t="shared" ca="1" si="11"/>
        <v>#REF!</v>
      </c>
    </row>
    <row r="210" spans="1:9" hidden="1" x14ac:dyDescent="0.25">
      <c r="A210" s="103" t="s">
        <v>373</v>
      </c>
      <c r="B210" s="104" t="s">
        <v>6287</v>
      </c>
      <c r="C210" s="105" t="s">
        <v>20</v>
      </c>
      <c r="D210" s="105">
        <v>0</v>
      </c>
      <c r="E210" s="124">
        <f ca="1">OFFSET(INDEX(Composições!A:J,MATCH(Orçamentária!A210,Composições!A:A,0),8),2,0)</f>
        <v>2.9828071499999997</v>
      </c>
      <c r="F210" s="125">
        <f t="shared" ca="1" si="9"/>
        <v>0</v>
      </c>
      <c r="G210" s="126" t="e">
        <f>IF(A210&lt;&gt;"",IF(AND(#REF!="Padrão",$H$4=#REF!),BDI!$B$17,IF(AND(#REF!="Padrão",$H$4=#REF!),BDI!#REF!,IF(AND(#REF!="Diferenciado",$H$4=#REF!),BDI!$E$17,IF(AND(#REF!="Diferenciado",$H$4=#REF!),BDI!#REF!,IF(#REF!="ZERO",0))))),"")</f>
        <v>#REF!</v>
      </c>
      <c r="H210" s="127" t="e">
        <f t="shared" ca="1" si="10"/>
        <v>#REF!</v>
      </c>
      <c r="I210" s="125" t="e">
        <f t="shared" ca="1" si="11"/>
        <v>#REF!</v>
      </c>
    </row>
    <row r="211" spans="1:9" hidden="1" x14ac:dyDescent="0.25">
      <c r="A211" s="103" t="s">
        <v>375</v>
      </c>
      <c r="B211" s="104" t="s">
        <v>1677</v>
      </c>
      <c r="C211" s="105" t="s">
        <v>20</v>
      </c>
      <c r="D211" s="105">
        <v>0</v>
      </c>
      <c r="E211" s="124">
        <f ca="1">OFFSET(INDEX(Composições!A:J,MATCH(Orçamentária!A211,Composições!A:A,0),8),2,0)</f>
        <v>111.59630714999999</v>
      </c>
      <c r="F211" s="125">
        <f t="shared" ca="1" si="9"/>
        <v>0</v>
      </c>
      <c r="G211" s="126" t="e">
        <f>IF(A211&lt;&gt;"",IF(AND(#REF!="Padrão",$H$4=#REF!),BDI!$B$17,IF(AND(#REF!="Padrão",$H$4=#REF!),BDI!#REF!,IF(AND(#REF!="Diferenciado",$H$4=#REF!),BDI!$E$17,IF(AND(#REF!="Diferenciado",$H$4=#REF!),BDI!#REF!,IF(#REF!="ZERO",0))))),"")</f>
        <v>#REF!</v>
      </c>
      <c r="H211" s="127" t="e">
        <f t="shared" ca="1" si="10"/>
        <v>#REF!</v>
      </c>
      <c r="I211" s="125" t="e">
        <f t="shared" ca="1" si="11"/>
        <v>#REF!</v>
      </c>
    </row>
    <row r="212" spans="1:9" hidden="1" x14ac:dyDescent="0.25">
      <c r="A212" s="103" t="s">
        <v>376</v>
      </c>
      <c r="B212" s="104" t="s">
        <v>6288</v>
      </c>
      <c r="C212" s="105" t="s">
        <v>20</v>
      </c>
      <c r="D212" s="105">
        <v>0</v>
      </c>
      <c r="E212" s="124">
        <f ca="1">OFFSET(INDEX(Composições!A:J,MATCH(Orçamentária!A212,Composições!A:A,0),8),2,0)</f>
        <v>3.5964387499999999</v>
      </c>
      <c r="F212" s="125">
        <f t="shared" ca="1" si="9"/>
        <v>0</v>
      </c>
      <c r="G212" s="126" t="e">
        <f>IF(A212&lt;&gt;"",IF(AND(#REF!="Padrão",$H$4=#REF!),BDI!$B$17,IF(AND(#REF!="Padrão",$H$4=#REF!),BDI!#REF!,IF(AND(#REF!="Diferenciado",$H$4=#REF!),BDI!$E$17,IF(AND(#REF!="Diferenciado",$H$4=#REF!),BDI!#REF!,IF(#REF!="ZERO",0))))),"")</f>
        <v>#REF!</v>
      </c>
      <c r="H212" s="127" t="e">
        <f t="shared" ca="1" si="10"/>
        <v>#REF!</v>
      </c>
      <c r="I212" s="125" t="e">
        <f t="shared" ca="1" si="11"/>
        <v>#REF!</v>
      </c>
    </row>
    <row r="213" spans="1:9" hidden="1" x14ac:dyDescent="0.25">
      <c r="A213" s="103" t="s">
        <v>378</v>
      </c>
      <c r="B213" s="104" t="s">
        <v>6289</v>
      </c>
      <c r="C213" s="105" t="s">
        <v>20</v>
      </c>
      <c r="D213" s="105">
        <v>0</v>
      </c>
      <c r="E213" s="124">
        <f ca="1">OFFSET(INDEX(Composições!A:J,MATCH(Orçamentária!A213,Composições!A:A,0),8),2,0)</f>
        <v>48.127198549999996</v>
      </c>
      <c r="F213" s="125">
        <f t="shared" ca="1" si="9"/>
        <v>0</v>
      </c>
      <c r="G213" s="126" t="e">
        <f>IF(A213&lt;&gt;"",IF(AND(#REF!="Padrão",$H$4=#REF!),BDI!$B$17,IF(AND(#REF!="Padrão",$H$4=#REF!),BDI!#REF!,IF(AND(#REF!="Diferenciado",$H$4=#REF!),BDI!$E$17,IF(AND(#REF!="Diferenciado",$H$4=#REF!),BDI!#REF!,IF(#REF!="ZERO",0))))),"")</f>
        <v>#REF!</v>
      </c>
      <c r="H213" s="127" t="e">
        <f t="shared" ca="1" si="10"/>
        <v>#REF!</v>
      </c>
      <c r="I213" s="125" t="e">
        <f t="shared" ca="1" si="11"/>
        <v>#REF!</v>
      </c>
    </row>
    <row r="214" spans="1:9" hidden="1" x14ac:dyDescent="0.25">
      <c r="A214" s="103" t="s">
        <v>379</v>
      </c>
      <c r="B214" s="104" t="s">
        <v>6354</v>
      </c>
      <c r="C214" s="105" t="s">
        <v>20</v>
      </c>
      <c r="D214" s="105">
        <v>0</v>
      </c>
      <c r="E214" s="124">
        <f ca="1">OFFSET(INDEX(Composições!A:J,MATCH(Orçamentária!A214,Composições!A:A,0),8),2,0)</f>
        <v>21.698</v>
      </c>
      <c r="F214" s="125">
        <f t="shared" ca="1" si="9"/>
        <v>0</v>
      </c>
      <c r="G214" s="126" t="e">
        <f>IF(A214&lt;&gt;"",IF(AND(#REF!="Padrão",$H$4=#REF!),BDI!$B$17,IF(AND(#REF!="Padrão",$H$4=#REF!),BDI!#REF!,IF(AND(#REF!="Diferenciado",$H$4=#REF!),BDI!$E$17,IF(AND(#REF!="Diferenciado",$H$4=#REF!),BDI!#REF!,IF(#REF!="ZERO",0))))),"")</f>
        <v>#REF!</v>
      </c>
      <c r="H214" s="127" t="e">
        <f t="shared" ca="1" si="10"/>
        <v>#REF!</v>
      </c>
      <c r="I214" s="125" t="e">
        <f t="shared" ca="1" si="11"/>
        <v>#REF!</v>
      </c>
    </row>
    <row r="215" spans="1:9" hidden="1" x14ac:dyDescent="0.25">
      <c r="A215" s="103" t="s">
        <v>381</v>
      </c>
      <c r="B215" s="104" t="s">
        <v>6355</v>
      </c>
      <c r="C215" s="105" t="s">
        <v>20</v>
      </c>
      <c r="D215" s="105">
        <v>0</v>
      </c>
      <c r="E215" s="124">
        <f ca="1">OFFSET(INDEX(Composições!A:J,MATCH(Orçamentária!A215,Composições!A:A,0),8),2,0)</f>
        <v>21.698</v>
      </c>
      <c r="F215" s="125">
        <f t="shared" ca="1" si="9"/>
        <v>0</v>
      </c>
      <c r="G215" s="126" t="e">
        <f>IF(A215&lt;&gt;"",IF(AND(#REF!="Padrão",$H$4=#REF!),BDI!$B$17,IF(AND(#REF!="Padrão",$H$4=#REF!),BDI!#REF!,IF(AND(#REF!="Diferenciado",$H$4=#REF!),BDI!$E$17,IF(AND(#REF!="Diferenciado",$H$4=#REF!),BDI!#REF!,IF(#REF!="ZERO",0))))),"")</f>
        <v>#REF!</v>
      </c>
      <c r="H215" s="127" t="e">
        <f t="shared" ca="1" si="10"/>
        <v>#REF!</v>
      </c>
      <c r="I215" s="125" t="e">
        <f t="shared" ca="1" si="11"/>
        <v>#REF!</v>
      </c>
    </row>
    <row r="216" spans="1:9" hidden="1" x14ac:dyDescent="0.25">
      <c r="A216" s="103" t="s">
        <v>382</v>
      </c>
      <c r="B216" s="104" t="s">
        <v>6356</v>
      </c>
      <c r="C216" s="105" t="s">
        <v>20</v>
      </c>
      <c r="D216" s="105">
        <v>0</v>
      </c>
      <c r="E216" s="124">
        <f ca="1">OFFSET(INDEX(Composições!A:J,MATCH(Orçamentária!A216,Composições!A:A,0),8),2,0)</f>
        <v>21.698</v>
      </c>
      <c r="F216" s="125">
        <f t="shared" ca="1" si="9"/>
        <v>0</v>
      </c>
      <c r="G216" s="126" t="e">
        <f>IF(A216&lt;&gt;"",IF(AND(#REF!="Padrão",$H$4=#REF!),BDI!$B$17,IF(AND(#REF!="Padrão",$H$4=#REF!),BDI!#REF!,IF(AND(#REF!="Diferenciado",$H$4=#REF!),BDI!$E$17,IF(AND(#REF!="Diferenciado",$H$4=#REF!),BDI!#REF!,IF(#REF!="ZERO",0))))),"")</f>
        <v>#REF!</v>
      </c>
      <c r="H216" s="127" t="e">
        <f t="shared" ca="1" si="10"/>
        <v>#REF!</v>
      </c>
      <c r="I216" s="125" t="e">
        <f t="shared" ca="1" si="11"/>
        <v>#REF!</v>
      </c>
    </row>
    <row r="217" spans="1:9" hidden="1" x14ac:dyDescent="0.25">
      <c r="A217" s="103" t="s">
        <v>383</v>
      </c>
      <c r="B217" s="104" t="s">
        <v>6357</v>
      </c>
      <c r="C217" s="105" t="s">
        <v>20</v>
      </c>
      <c r="D217" s="105">
        <v>0</v>
      </c>
      <c r="E217" s="124">
        <f ca="1">OFFSET(INDEX(Composições!A:J,MATCH(Orçamentária!A217,Composições!A:A,0),8),2,0)</f>
        <v>21.698</v>
      </c>
      <c r="F217" s="125">
        <f t="shared" ca="1" si="9"/>
        <v>0</v>
      </c>
      <c r="G217" s="126" t="e">
        <f>IF(A217&lt;&gt;"",IF(AND(#REF!="Padrão",$H$4=#REF!),BDI!$B$17,IF(AND(#REF!="Padrão",$H$4=#REF!),BDI!#REF!,IF(AND(#REF!="Diferenciado",$H$4=#REF!),BDI!$E$17,IF(AND(#REF!="Diferenciado",$H$4=#REF!),BDI!#REF!,IF(#REF!="ZERO",0))))),"")</f>
        <v>#REF!</v>
      </c>
      <c r="H217" s="127" t="e">
        <f t="shared" ca="1" si="10"/>
        <v>#REF!</v>
      </c>
      <c r="I217" s="125" t="e">
        <f t="shared" ca="1" si="11"/>
        <v>#REF!</v>
      </c>
    </row>
    <row r="218" spans="1:9" hidden="1" x14ac:dyDescent="0.25">
      <c r="A218" s="103" t="s">
        <v>384</v>
      </c>
      <c r="B218" s="104" t="s">
        <v>6358</v>
      </c>
      <c r="C218" s="105" t="s">
        <v>20</v>
      </c>
      <c r="D218" s="105">
        <v>0</v>
      </c>
      <c r="E218" s="124">
        <f ca="1">OFFSET(INDEX(Composições!A:J,MATCH(Orçamentária!A218,Composições!A:A,0),8),2,0)</f>
        <v>45.984077400000004</v>
      </c>
      <c r="F218" s="125">
        <f t="shared" ca="1" si="9"/>
        <v>0</v>
      </c>
      <c r="G218" s="126" t="e">
        <f>IF(A218&lt;&gt;"",IF(AND(#REF!="Padrão",$H$4=#REF!),BDI!$B$17,IF(AND(#REF!="Padrão",$H$4=#REF!),BDI!#REF!,IF(AND(#REF!="Diferenciado",$H$4=#REF!),BDI!$E$17,IF(AND(#REF!="Diferenciado",$H$4=#REF!),BDI!#REF!,IF(#REF!="ZERO",0))))),"")</f>
        <v>#REF!</v>
      </c>
      <c r="H218" s="127" t="e">
        <f t="shared" ca="1" si="10"/>
        <v>#REF!</v>
      </c>
      <c r="I218" s="125" t="e">
        <f t="shared" ca="1" si="11"/>
        <v>#REF!</v>
      </c>
    </row>
    <row r="219" spans="1:9" hidden="1" x14ac:dyDescent="0.25">
      <c r="A219" s="103" t="s">
        <v>386</v>
      </c>
      <c r="B219" s="104" t="s">
        <v>6290</v>
      </c>
      <c r="C219" s="105" t="s">
        <v>20</v>
      </c>
      <c r="D219" s="105">
        <v>0</v>
      </c>
      <c r="E219" s="124">
        <f ca="1">OFFSET(INDEX(Composições!A:J,MATCH(Orçamentária!A219,Composições!A:A,0),8),2,0)</f>
        <v>54.859182599999997</v>
      </c>
      <c r="F219" s="125">
        <f t="shared" ca="1" si="9"/>
        <v>0</v>
      </c>
      <c r="G219" s="126" t="e">
        <f>IF(A219&lt;&gt;"",IF(AND(#REF!="Padrão",$H$4=#REF!),BDI!$B$17,IF(AND(#REF!="Padrão",$H$4=#REF!),BDI!#REF!,IF(AND(#REF!="Diferenciado",$H$4=#REF!),BDI!$E$17,IF(AND(#REF!="Diferenciado",$H$4=#REF!),BDI!#REF!,IF(#REF!="ZERO",0))))),"")</f>
        <v>#REF!</v>
      </c>
      <c r="H219" s="127" t="e">
        <f t="shared" ca="1" si="10"/>
        <v>#REF!</v>
      </c>
      <c r="I219" s="125" t="e">
        <f t="shared" ca="1" si="11"/>
        <v>#REF!</v>
      </c>
    </row>
    <row r="220" spans="1:9" hidden="1" x14ac:dyDescent="0.25">
      <c r="A220" s="103" t="s">
        <v>387</v>
      </c>
      <c r="B220" s="104" t="s">
        <v>1678</v>
      </c>
      <c r="C220" s="105" t="s">
        <v>20</v>
      </c>
      <c r="D220" s="105">
        <v>0</v>
      </c>
      <c r="E220" s="124">
        <f ca="1">OFFSET(INDEX(Composições!A:J,MATCH(Orçamentária!A220,Composições!A:A,0),8),2,0)</f>
        <v>264.99781080000002</v>
      </c>
      <c r="F220" s="125">
        <f t="shared" ca="1" si="9"/>
        <v>0</v>
      </c>
      <c r="G220" s="126" t="e">
        <f>IF(A220&lt;&gt;"",IF(AND(#REF!="Padrão",$H$4=#REF!),BDI!$B$17,IF(AND(#REF!="Padrão",$H$4=#REF!),BDI!#REF!,IF(AND(#REF!="Diferenciado",$H$4=#REF!),BDI!$E$17,IF(AND(#REF!="Diferenciado",$H$4=#REF!),BDI!#REF!,IF(#REF!="ZERO",0))))),"")</f>
        <v>#REF!</v>
      </c>
      <c r="H220" s="127" t="e">
        <f t="shared" ca="1" si="10"/>
        <v>#REF!</v>
      </c>
      <c r="I220" s="125" t="e">
        <f t="shared" ca="1" si="11"/>
        <v>#REF!</v>
      </c>
    </row>
    <row r="221" spans="1:9" hidden="1" x14ac:dyDescent="0.25">
      <c r="A221" s="103" t="s">
        <v>389</v>
      </c>
      <c r="B221" s="104" t="s">
        <v>1679</v>
      </c>
      <c r="C221" s="105" t="s">
        <v>20</v>
      </c>
      <c r="D221" s="105">
        <v>0</v>
      </c>
      <c r="E221" s="124">
        <f ca="1">OFFSET(INDEX(Composições!A:J,MATCH(Orçamentária!A221,Composições!A:A,0),8),2,0)</f>
        <v>12.920949999999998</v>
      </c>
      <c r="F221" s="125">
        <f t="shared" ca="1" si="9"/>
        <v>0</v>
      </c>
      <c r="G221" s="126" t="e">
        <f>IF(A221&lt;&gt;"",IF(AND(#REF!="Padrão",$H$4=#REF!),BDI!$B$17,IF(AND(#REF!="Padrão",$H$4=#REF!),BDI!#REF!,IF(AND(#REF!="Diferenciado",$H$4=#REF!),BDI!$E$17,IF(AND(#REF!="Diferenciado",$H$4=#REF!),BDI!#REF!,IF(#REF!="ZERO",0))))),"")</f>
        <v>#REF!</v>
      </c>
      <c r="H221" s="127" t="e">
        <f t="shared" ca="1" si="10"/>
        <v>#REF!</v>
      </c>
      <c r="I221" s="125" t="e">
        <f t="shared" ca="1" si="11"/>
        <v>#REF!</v>
      </c>
    </row>
    <row r="222" spans="1:9" hidden="1" x14ac:dyDescent="0.25">
      <c r="A222" s="103" t="s">
        <v>391</v>
      </c>
      <c r="B222" s="104" t="s">
        <v>1680</v>
      </c>
      <c r="C222" s="105" t="s">
        <v>20</v>
      </c>
      <c r="D222" s="105">
        <v>0</v>
      </c>
      <c r="E222" s="124">
        <f ca="1">OFFSET(INDEX(Composições!A:J,MATCH(Orçamentária!A222,Composições!A:A,0),8),2,0)</f>
        <v>46.844499999999996</v>
      </c>
      <c r="F222" s="125">
        <f t="shared" ca="1" si="9"/>
        <v>0</v>
      </c>
      <c r="G222" s="126" t="e">
        <f>IF(A222&lt;&gt;"",IF(AND(#REF!="Padrão",$H$4=#REF!),BDI!$B$17,IF(AND(#REF!="Padrão",$H$4=#REF!),BDI!#REF!,IF(AND(#REF!="Diferenciado",$H$4=#REF!),BDI!$E$17,IF(AND(#REF!="Diferenciado",$H$4=#REF!),BDI!#REF!,IF(#REF!="ZERO",0))))),"")</f>
        <v>#REF!</v>
      </c>
      <c r="H222" s="127" t="e">
        <f t="shared" ca="1" si="10"/>
        <v>#REF!</v>
      </c>
      <c r="I222" s="125" t="e">
        <f t="shared" ca="1" si="11"/>
        <v>#REF!</v>
      </c>
    </row>
    <row r="223" spans="1:9" hidden="1" x14ac:dyDescent="0.25">
      <c r="A223" s="103" t="s">
        <v>394</v>
      </c>
      <c r="B223" s="104" t="s">
        <v>1681</v>
      </c>
      <c r="C223" s="105" t="s">
        <v>20</v>
      </c>
      <c r="D223" s="105">
        <v>0</v>
      </c>
      <c r="E223" s="124">
        <f ca="1">OFFSET(INDEX(Composições!A:J,MATCH(Orçamentária!A223,Composições!A:A,0),8),2,0)</f>
        <v>46.844499999999996</v>
      </c>
      <c r="F223" s="125">
        <f t="shared" ca="1" si="9"/>
        <v>0</v>
      </c>
      <c r="G223" s="126" t="e">
        <f>IF(A223&lt;&gt;"",IF(AND(#REF!="Padrão",$H$4=#REF!),BDI!$B$17,IF(AND(#REF!="Padrão",$H$4=#REF!),BDI!#REF!,IF(AND(#REF!="Diferenciado",$H$4=#REF!),BDI!$E$17,IF(AND(#REF!="Diferenciado",$H$4=#REF!),BDI!#REF!,IF(#REF!="ZERO",0))))),"")</f>
        <v>#REF!</v>
      </c>
      <c r="H223" s="127" t="e">
        <f t="shared" ca="1" si="10"/>
        <v>#REF!</v>
      </c>
      <c r="I223" s="125" t="e">
        <f t="shared" ca="1" si="11"/>
        <v>#REF!</v>
      </c>
    </row>
    <row r="224" spans="1:9" hidden="1" x14ac:dyDescent="0.25">
      <c r="A224" s="103" t="s">
        <v>396</v>
      </c>
      <c r="B224" s="104" t="s">
        <v>1682</v>
      </c>
      <c r="C224" s="105" t="s">
        <v>20</v>
      </c>
      <c r="D224" s="105">
        <v>0</v>
      </c>
      <c r="E224" s="124">
        <f ca="1">OFFSET(INDEX(Composições!A:J,MATCH(Orçamentária!A224,Composições!A:A,0),8),2,0)</f>
        <v>46.844499999999996</v>
      </c>
      <c r="F224" s="125">
        <f t="shared" ca="1" si="9"/>
        <v>0</v>
      </c>
      <c r="G224" s="126" t="e">
        <f>IF(A224&lt;&gt;"",IF(AND(#REF!="Padrão",$H$4=#REF!),BDI!$B$17,IF(AND(#REF!="Padrão",$H$4=#REF!),BDI!#REF!,IF(AND(#REF!="Diferenciado",$H$4=#REF!),BDI!$E$17,IF(AND(#REF!="Diferenciado",$H$4=#REF!),BDI!#REF!,IF(#REF!="ZERO",0))))),"")</f>
        <v>#REF!</v>
      </c>
      <c r="H224" s="127" t="e">
        <f t="shared" ca="1" si="10"/>
        <v>#REF!</v>
      </c>
      <c r="I224" s="125" t="e">
        <f t="shared" ca="1" si="11"/>
        <v>#REF!</v>
      </c>
    </row>
    <row r="225" spans="1:9" hidden="1" x14ac:dyDescent="0.25">
      <c r="A225" s="103" t="s">
        <v>398</v>
      </c>
      <c r="B225" s="104" t="s">
        <v>1683</v>
      </c>
      <c r="C225" s="105" t="s">
        <v>20</v>
      </c>
      <c r="D225" s="105">
        <v>0</v>
      </c>
      <c r="E225" s="124">
        <f ca="1">OFFSET(INDEX(Composições!A:J,MATCH(Orçamentária!A225,Composições!A:A,0),8),2,0)</f>
        <v>46.844499999999996</v>
      </c>
      <c r="F225" s="125">
        <f t="shared" ca="1" si="9"/>
        <v>0</v>
      </c>
      <c r="G225" s="126" t="e">
        <f>IF(A225&lt;&gt;"",IF(AND(#REF!="Padrão",$H$4=#REF!),BDI!$B$17,IF(AND(#REF!="Padrão",$H$4=#REF!),BDI!#REF!,IF(AND(#REF!="Diferenciado",$H$4=#REF!),BDI!$E$17,IF(AND(#REF!="Diferenciado",$H$4=#REF!),BDI!#REF!,IF(#REF!="ZERO",0))))),"")</f>
        <v>#REF!</v>
      </c>
      <c r="H225" s="127" t="e">
        <f t="shared" ca="1" si="10"/>
        <v>#REF!</v>
      </c>
      <c r="I225" s="125" t="e">
        <f t="shared" ca="1" si="11"/>
        <v>#REF!</v>
      </c>
    </row>
    <row r="226" spans="1:9" hidden="1" x14ac:dyDescent="0.25">
      <c r="A226" s="103" t="s">
        <v>400</v>
      </c>
      <c r="B226" s="104" t="s">
        <v>1684</v>
      </c>
      <c r="C226" s="105" t="s">
        <v>20</v>
      </c>
      <c r="D226" s="105">
        <v>0</v>
      </c>
      <c r="E226" s="124">
        <f ca="1">OFFSET(INDEX(Composições!A:J,MATCH(Orçamentária!A226,Composições!A:A,0),8),2,0)</f>
        <v>45.566010900000009</v>
      </c>
      <c r="F226" s="125">
        <f t="shared" ca="1" si="9"/>
        <v>0</v>
      </c>
      <c r="G226" s="126" t="e">
        <f>IF(A226&lt;&gt;"",IF(AND(#REF!="Padrão",$H$4=#REF!),BDI!$B$17,IF(AND(#REF!="Padrão",$H$4=#REF!),BDI!#REF!,IF(AND(#REF!="Diferenciado",$H$4=#REF!),BDI!$E$17,IF(AND(#REF!="Diferenciado",$H$4=#REF!),BDI!#REF!,IF(#REF!="ZERO",0))))),"")</f>
        <v>#REF!</v>
      </c>
      <c r="H226" s="127" t="e">
        <f t="shared" ca="1" si="10"/>
        <v>#REF!</v>
      </c>
      <c r="I226" s="125" t="e">
        <f t="shared" ca="1" si="11"/>
        <v>#REF!</v>
      </c>
    </row>
    <row r="227" spans="1:9" hidden="1" x14ac:dyDescent="0.25">
      <c r="A227" s="103" t="s">
        <v>402</v>
      </c>
      <c r="B227" s="104" t="s">
        <v>1685</v>
      </c>
      <c r="C227" s="105" t="s">
        <v>20</v>
      </c>
      <c r="D227" s="105">
        <v>0</v>
      </c>
      <c r="E227" s="124">
        <f ca="1">OFFSET(INDEX(Composições!A:J,MATCH(Orçamentária!A227,Composições!A:A,0),8),2,0)</f>
        <v>145.41192194999999</v>
      </c>
      <c r="F227" s="125">
        <f t="shared" ca="1" si="9"/>
        <v>0</v>
      </c>
      <c r="G227" s="126" t="e">
        <f>IF(A227&lt;&gt;"",IF(AND(#REF!="Padrão",$H$4=#REF!),BDI!$B$17,IF(AND(#REF!="Padrão",$H$4=#REF!),BDI!#REF!,IF(AND(#REF!="Diferenciado",$H$4=#REF!),BDI!$E$17,IF(AND(#REF!="Diferenciado",$H$4=#REF!),BDI!#REF!,IF(#REF!="ZERO",0))))),"")</f>
        <v>#REF!</v>
      </c>
      <c r="H227" s="127" t="e">
        <f t="shared" ca="1" si="10"/>
        <v>#REF!</v>
      </c>
      <c r="I227" s="125" t="e">
        <f t="shared" ca="1" si="11"/>
        <v>#REF!</v>
      </c>
    </row>
    <row r="228" spans="1:9" hidden="1" x14ac:dyDescent="0.25">
      <c r="A228" s="103" t="s">
        <v>404</v>
      </c>
      <c r="B228" s="104" t="s">
        <v>6291</v>
      </c>
      <c r="C228" s="105" t="s">
        <v>20</v>
      </c>
      <c r="D228" s="105">
        <v>0</v>
      </c>
      <c r="E228" s="124">
        <f ca="1">OFFSET(INDEX(Composições!A:J,MATCH(Orçamentária!A228,Composições!A:A,0),8),2,0)</f>
        <v>9.5186579999999985</v>
      </c>
      <c r="F228" s="125">
        <f t="shared" ca="1" si="9"/>
        <v>0</v>
      </c>
      <c r="G228" s="126" t="e">
        <f>IF(A228&lt;&gt;"",IF(AND(#REF!="Padrão",$H$4=#REF!),BDI!$B$17,IF(AND(#REF!="Padrão",$H$4=#REF!),BDI!#REF!,IF(AND(#REF!="Diferenciado",$H$4=#REF!),BDI!$E$17,IF(AND(#REF!="Diferenciado",$H$4=#REF!),BDI!#REF!,IF(#REF!="ZERO",0))))),"")</f>
        <v>#REF!</v>
      </c>
      <c r="H228" s="127" t="e">
        <f t="shared" ca="1" si="10"/>
        <v>#REF!</v>
      </c>
      <c r="I228" s="125" t="e">
        <f t="shared" ca="1" si="11"/>
        <v>#REF!</v>
      </c>
    </row>
    <row r="229" spans="1:9" hidden="1" x14ac:dyDescent="0.25">
      <c r="A229" s="103" t="s">
        <v>406</v>
      </c>
      <c r="B229" s="104" t="s">
        <v>6292</v>
      </c>
      <c r="C229" s="105" t="s">
        <v>20</v>
      </c>
      <c r="D229" s="105">
        <v>0</v>
      </c>
      <c r="E229" s="124">
        <f ca="1">OFFSET(INDEX(Composições!A:J,MATCH(Orçamentária!A229,Composições!A:A,0),8),2,0)</f>
        <v>9.5186579999999985</v>
      </c>
      <c r="F229" s="125">
        <f t="shared" ca="1" si="9"/>
        <v>0</v>
      </c>
      <c r="G229" s="126" t="e">
        <f>IF(A229&lt;&gt;"",IF(AND(#REF!="Padrão",$H$4=#REF!),BDI!$B$17,IF(AND(#REF!="Padrão",$H$4=#REF!),BDI!#REF!,IF(AND(#REF!="Diferenciado",$H$4=#REF!),BDI!$E$17,IF(AND(#REF!="Diferenciado",$H$4=#REF!),BDI!#REF!,IF(#REF!="ZERO",0))))),"")</f>
        <v>#REF!</v>
      </c>
      <c r="H229" s="127" t="e">
        <f t="shared" ca="1" si="10"/>
        <v>#REF!</v>
      </c>
      <c r="I229" s="125" t="e">
        <f t="shared" ca="1" si="11"/>
        <v>#REF!</v>
      </c>
    </row>
    <row r="230" spans="1:9" hidden="1" x14ac:dyDescent="0.25">
      <c r="A230" s="103" t="s">
        <v>408</v>
      </c>
      <c r="B230" s="104" t="s">
        <v>6293</v>
      </c>
      <c r="C230" s="105" t="s">
        <v>20</v>
      </c>
      <c r="D230" s="105">
        <v>0</v>
      </c>
      <c r="E230" s="124">
        <f ca="1">OFFSET(INDEX(Composições!A:J,MATCH(Orçamentária!A230,Composições!A:A,0),8),2,0)</f>
        <v>9.5186579999999985</v>
      </c>
      <c r="F230" s="125">
        <f t="shared" ca="1" si="9"/>
        <v>0</v>
      </c>
      <c r="G230" s="126" t="e">
        <f>IF(A230&lt;&gt;"",IF(AND(#REF!="Padrão",$H$4=#REF!),BDI!$B$17,IF(AND(#REF!="Padrão",$H$4=#REF!),BDI!#REF!,IF(AND(#REF!="Diferenciado",$H$4=#REF!),BDI!$E$17,IF(AND(#REF!="Diferenciado",$H$4=#REF!),BDI!#REF!,IF(#REF!="ZERO",0))))),"")</f>
        <v>#REF!</v>
      </c>
      <c r="H230" s="127" t="e">
        <f t="shared" ca="1" si="10"/>
        <v>#REF!</v>
      </c>
      <c r="I230" s="125" t="e">
        <f t="shared" ca="1" si="11"/>
        <v>#REF!</v>
      </c>
    </row>
    <row r="231" spans="1:9" hidden="1" x14ac:dyDescent="0.25">
      <c r="A231" s="103" t="s">
        <v>410</v>
      </c>
      <c r="B231" s="104" t="s">
        <v>6294</v>
      </c>
      <c r="C231" s="105" t="s">
        <v>20</v>
      </c>
      <c r="D231" s="105">
        <v>0</v>
      </c>
      <c r="E231" s="124">
        <f ca="1">OFFSET(INDEX(Composições!A:J,MATCH(Orçamentária!A231,Composições!A:A,0),8),2,0)</f>
        <v>19.034885899999999</v>
      </c>
      <c r="F231" s="125">
        <f t="shared" ca="1" si="9"/>
        <v>0</v>
      </c>
      <c r="G231" s="126" t="e">
        <f>IF(A231&lt;&gt;"",IF(AND(#REF!="Padrão",$H$4=#REF!),BDI!$B$17,IF(AND(#REF!="Padrão",$H$4=#REF!),BDI!#REF!,IF(AND(#REF!="Diferenciado",$H$4=#REF!),BDI!$E$17,IF(AND(#REF!="Diferenciado",$H$4=#REF!),BDI!#REF!,IF(#REF!="ZERO",0))))),"")</f>
        <v>#REF!</v>
      </c>
      <c r="H231" s="127" t="e">
        <f t="shared" ca="1" si="10"/>
        <v>#REF!</v>
      </c>
      <c r="I231" s="125" t="e">
        <f t="shared" ca="1" si="11"/>
        <v>#REF!</v>
      </c>
    </row>
    <row r="232" spans="1:9" hidden="1" x14ac:dyDescent="0.25">
      <c r="A232" s="103" t="s">
        <v>412</v>
      </c>
      <c r="B232" s="104" t="s">
        <v>1686</v>
      </c>
      <c r="C232" s="105" t="s">
        <v>20</v>
      </c>
      <c r="D232" s="105">
        <v>0</v>
      </c>
      <c r="E232" s="124">
        <f ca="1">OFFSET(INDEX(Composições!A:J,MATCH(Orçamentária!A232,Composições!A:A,0),8),2,0)</f>
        <v>10.496925414530498</v>
      </c>
      <c r="F232" s="125">
        <f t="shared" ca="1" si="9"/>
        <v>0</v>
      </c>
      <c r="G232" s="126" t="e">
        <f>IF(A232&lt;&gt;"",IF(AND(#REF!="Padrão",$H$4=#REF!),BDI!$B$17,IF(AND(#REF!="Padrão",$H$4=#REF!),BDI!#REF!,IF(AND(#REF!="Diferenciado",$H$4=#REF!),BDI!$E$17,IF(AND(#REF!="Diferenciado",$H$4=#REF!),BDI!#REF!,IF(#REF!="ZERO",0))))),"")</f>
        <v>#REF!</v>
      </c>
      <c r="H232" s="127" t="e">
        <f t="shared" ca="1" si="10"/>
        <v>#REF!</v>
      </c>
      <c r="I232" s="125" t="e">
        <f t="shared" ca="1" si="11"/>
        <v>#REF!</v>
      </c>
    </row>
    <row r="233" spans="1:9" hidden="1" x14ac:dyDescent="0.25">
      <c r="A233" s="103" t="s">
        <v>414</v>
      </c>
      <c r="B233" s="104" t="s">
        <v>415</v>
      </c>
      <c r="C233" s="105" t="s">
        <v>20</v>
      </c>
      <c r="D233" s="105">
        <v>0</v>
      </c>
      <c r="E233" s="124">
        <f ca="1">OFFSET(INDEX(Composições!A:J,MATCH(Orçamentária!A233,Composições!A:A,0),8),2,0)</f>
        <v>6.4604749999999989</v>
      </c>
      <c r="F233" s="125">
        <f t="shared" ca="1" si="9"/>
        <v>0</v>
      </c>
      <c r="G233" s="126" t="e">
        <f>IF(A233&lt;&gt;"",IF(AND(#REF!="Padrão",$H$4=#REF!),BDI!$B$17,IF(AND(#REF!="Padrão",$H$4=#REF!),BDI!#REF!,IF(AND(#REF!="Diferenciado",$H$4=#REF!),BDI!$E$17,IF(AND(#REF!="Diferenciado",$H$4=#REF!),BDI!#REF!,IF(#REF!="ZERO",0))))),"")</f>
        <v>#REF!</v>
      </c>
      <c r="H233" s="127" t="e">
        <f t="shared" ca="1" si="10"/>
        <v>#REF!</v>
      </c>
      <c r="I233" s="125" t="e">
        <f t="shared" ca="1" si="11"/>
        <v>#REF!</v>
      </c>
    </row>
    <row r="234" spans="1:9" hidden="1" x14ac:dyDescent="0.25">
      <c r="A234" s="103" t="s">
        <v>416</v>
      </c>
      <c r="B234" s="104" t="s">
        <v>1687</v>
      </c>
      <c r="C234" s="105" t="s">
        <v>20</v>
      </c>
      <c r="D234" s="105">
        <v>0</v>
      </c>
      <c r="E234" s="124">
        <f ca="1">OFFSET(INDEX(Composições!A:J,MATCH(Orçamentária!A234,Composições!A:A,0),8),2,0)</f>
        <v>14.997897219374</v>
      </c>
      <c r="F234" s="125">
        <f t="shared" ca="1" si="9"/>
        <v>0</v>
      </c>
      <c r="G234" s="126" t="e">
        <f>IF(A234&lt;&gt;"",IF(AND(#REF!="Padrão",$H$4=#REF!),BDI!$B$17,IF(AND(#REF!="Padrão",$H$4=#REF!),BDI!#REF!,IF(AND(#REF!="Diferenciado",$H$4=#REF!),BDI!$E$17,IF(AND(#REF!="Diferenciado",$H$4=#REF!),BDI!#REF!,IF(#REF!="ZERO",0))))),"")</f>
        <v>#REF!</v>
      </c>
      <c r="H234" s="127" t="e">
        <f t="shared" ca="1" si="10"/>
        <v>#REF!</v>
      </c>
      <c r="I234" s="125" t="e">
        <f t="shared" ca="1" si="11"/>
        <v>#REF!</v>
      </c>
    </row>
    <row r="235" spans="1:9" hidden="1" x14ac:dyDescent="0.25">
      <c r="A235" s="103" t="s">
        <v>418</v>
      </c>
      <c r="B235" s="104" t="s">
        <v>419</v>
      </c>
      <c r="C235" s="105" t="s">
        <v>20</v>
      </c>
      <c r="D235" s="105">
        <v>0</v>
      </c>
      <c r="E235" s="124">
        <f ca="1">OFFSET(INDEX(Composições!A:J,MATCH(Orçamentária!A235,Composições!A:A,0),8),2,0)</f>
        <v>7.3961299999999994</v>
      </c>
      <c r="F235" s="125">
        <f t="shared" ca="1" si="9"/>
        <v>0</v>
      </c>
      <c r="G235" s="126" t="e">
        <f>IF(A235&lt;&gt;"",IF(AND(#REF!="Padrão",$H$4=#REF!),BDI!$B$17,IF(AND(#REF!="Padrão",$H$4=#REF!),BDI!#REF!,IF(AND(#REF!="Diferenciado",$H$4=#REF!),BDI!$E$17,IF(AND(#REF!="Diferenciado",$H$4=#REF!),BDI!#REF!,IF(#REF!="ZERO",0))))),"")</f>
        <v>#REF!</v>
      </c>
      <c r="H235" s="127" t="e">
        <f t="shared" ca="1" si="10"/>
        <v>#REF!</v>
      </c>
      <c r="I235" s="125" t="e">
        <f t="shared" ca="1" si="11"/>
        <v>#REF!</v>
      </c>
    </row>
    <row r="236" spans="1:9" hidden="1" x14ac:dyDescent="0.25">
      <c r="A236" s="103" t="s">
        <v>420</v>
      </c>
      <c r="B236" s="104" t="s">
        <v>1688</v>
      </c>
      <c r="C236" s="105" t="s">
        <v>20</v>
      </c>
      <c r="D236" s="105">
        <v>0</v>
      </c>
      <c r="E236" s="124">
        <f ca="1">OFFSET(INDEX(Composições!A:J,MATCH(Orçamentária!A236,Composições!A:A,0),8),2,0)</f>
        <v>15.416029999999999</v>
      </c>
      <c r="F236" s="125">
        <f t="shared" ca="1" si="9"/>
        <v>0</v>
      </c>
      <c r="G236" s="126" t="e">
        <f>IF(A236&lt;&gt;"",IF(AND(#REF!="Padrão",$H$4=#REF!),BDI!$B$17,IF(AND(#REF!="Padrão",$H$4=#REF!),BDI!#REF!,IF(AND(#REF!="Diferenciado",$H$4=#REF!),BDI!$E$17,IF(AND(#REF!="Diferenciado",$H$4=#REF!),BDI!#REF!,IF(#REF!="ZERO",0))))),"")</f>
        <v>#REF!</v>
      </c>
      <c r="H236" s="127" t="e">
        <f t="shared" ca="1" si="10"/>
        <v>#REF!</v>
      </c>
      <c r="I236" s="125" t="e">
        <f t="shared" ca="1" si="11"/>
        <v>#REF!</v>
      </c>
    </row>
    <row r="237" spans="1:9" hidden="1" x14ac:dyDescent="0.25">
      <c r="A237" s="103" t="s">
        <v>422</v>
      </c>
      <c r="B237" s="104" t="s">
        <v>1689</v>
      </c>
      <c r="C237" s="105" t="s">
        <v>20</v>
      </c>
      <c r="D237" s="105">
        <v>0</v>
      </c>
      <c r="E237" s="124">
        <f ca="1">OFFSET(INDEX(Composições!A:J,MATCH(Orçamentária!A237,Composições!A:A,0),8),2,0)</f>
        <v>15.416029999999999</v>
      </c>
      <c r="F237" s="125">
        <f t="shared" ca="1" si="9"/>
        <v>0</v>
      </c>
      <c r="G237" s="126" t="e">
        <f>IF(A237&lt;&gt;"",IF(AND(#REF!="Padrão",$H$4=#REF!),BDI!$B$17,IF(AND(#REF!="Padrão",$H$4=#REF!),BDI!#REF!,IF(AND(#REF!="Diferenciado",$H$4=#REF!),BDI!$E$17,IF(AND(#REF!="Diferenciado",$H$4=#REF!),BDI!#REF!,IF(#REF!="ZERO",0))))),"")</f>
        <v>#REF!</v>
      </c>
      <c r="H237" s="127" t="e">
        <f t="shared" ca="1" si="10"/>
        <v>#REF!</v>
      </c>
      <c r="I237" s="125" t="e">
        <f t="shared" ca="1" si="11"/>
        <v>#REF!</v>
      </c>
    </row>
    <row r="238" spans="1:9" hidden="1" x14ac:dyDescent="0.25">
      <c r="A238" s="103" t="s">
        <v>424</v>
      </c>
      <c r="B238" s="104" t="s">
        <v>1690</v>
      </c>
      <c r="C238" s="105" t="s">
        <v>20</v>
      </c>
      <c r="D238" s="105">
        <v>0</v>
      </c>
      <c r="E238" s="124">
        <f ca="1">OFFSET(INDEX(Composições!A:J,MATCH(Orçamentária!A238,Composições!A:A,0),8),2,0)</f>
        <v>61.253681999999998</v>
      </c>
      <c r="F238" s="125">
        <f t="shared" ca="1" si="9"/>
        <v>0</v>
      </c>
      <c r="G238" s="126" t="e">
        <f>IF(A238&lt;&gt;"",IF(AND(#REF!="Padrão",$H$4=#REF!),BDI!$B$17,IF(AND(#REF!="Padrão",$H$4=#REF!),BDI!#REF!,IF(AND(#REF!="Diferenciado",$H$4=#REF!),BDI!$E$17,IF(AND(#REF!="Diferenciado",$H$4=#REF!),BDI!#REF!,IF(#REF!="ZERO",0))))),"")</f>
        <v>#REF!</v>
      </c>
      <c r="H238" s="127" t="e">
        <f t="shared" ca="1" si="10"/>
        <v>#REF!</v>
      </c>
      <c r="I238" s="125" t="e">
        <f t="shared" ca="1" si="11"/>
        <v>#REF!</v>
      </c>
    </row>
    <row r="239" spans="1:9" hidden="1" x14ac:dyDescent="0.25">
      <c r="A239" s="103" t="s">
        <v>426</v>
      </c>
      <c r="B239" s="104" t="s">
        <v>1691</v>
      </c>
      <c r="C239" s="105" t="s">
        <v>20</v>
      </c>
      <c r="D239" s="105">
        <v>0</v>
      </c>
      <c r="E239" s="124">
        <f ca="1">OFFSET(INDEX(Composições!A:J,MATCH(Orçamentária!A239,Composições!A:A,0),8),2,0)</f>
        <v>15.416029999999999</v>
      </c>
      <c r="F239" s="125">
        <f t="shared" ca="1" si="9"/>
        <v>0</v>
      </c>
      <c r="G239" s="126" t="e">
        <f>IF(A239&lt;&gt;"",IF(AND(#REF!="Padrão",$H$4=#REF!),BDI!$B$17,IF(AND(#REF!="Padrão",$H$4=#REF!),BDI!#REF!,IF(AND(#REF!="Diferenciado",$H$4=#REF!),BDI!$E$17,IF(AND(#REF!="Diferenciado",$H$4=#REF!),BDI!#REF!,IF(#REF!="ZERO",0))))),"")</f>
        <v>#REF!</v>
      </c>
      <c r="H239" s="127" t="e">
        <f t="shared" ca="1" si="10"/>
        <v>#REF!</v>
      </c>
      <c r="I239" s="125" t="e">
        <f t="shared" ca="1" si="11"/>
        <v>#REF!</v>
      </c>
    </row>
    <row r="240" spans="1:9" hidden="1" x14ac:dyDescent="0.25">
      <c r="A240" s="103" t="s">
        <v>428</v>
      </c>
      <c r="B240" s="104" t="s">
        <v>1692</v>
      </c>
      <c r="C240" s="105" t="s">
        <v>93</v>
      </c>
      <c r="D240" s="105">
        <v>0</v>
      </c>
      <c r="E240" s="124">
        <f ca="1">OFFSET(INDEX(Composições!A:J,MATCH(Orçamentária!A240,Composições!A:A,0),8),2,0)</f>
        <v>8.0198999999999998</v>
      </c>
      <c r="F240" s="125">
        <f t="shared" ca="1" si="9"/>
        <v>0</v>
      </c>
      <c r="G240" s="126" t="e">
        <f>IF(A240&lt;&gt;"",IF(AND(#REF!="Padrão",$H$4=#REF!),BDI!$B$17,IF(AND(#REF!="Padrão",$H$4=#REF!),BDI!#REF!,IF(AND(#REF!="Diferenciado",$H$4=#REF!),BDI!$E$17,IF(AND(#REF!="Diferenciado",$H$4=#REF!),BDI!#REF!,IF(#REF!="ZERO",0))))),"")</f>
        <v>#REF!</v>
      </c>
      <c r="H240" s="127" t="e">
        <f t="shared" ca="1" si="10"/>
        <v>#REF!</v>
      </c>
      <c r="I240" s="125" t="e">
        <f t="shared" ca="1" si="11"/>
        <v>#REF!</v>
      </c>
    </row>
    <row r="241" spans="1:9" s="184" customFormat="1" x14ac:dyDescent="0.25">
      <c r="A241" s="185" t="s">
        <v>430</v>
      </c>
      <c r="B241" s="186" t="s">
        <v>6359</v>
      </c>
      <c r="C241" s="187" t="s">
        <v>20</v>
      </c>
      <c r="D241" s="187">
        <v>831</v>
      </c>
      <c r="E241" s="124">
        <f ca="1">OFFSET(INDEX(Composições!A:J,MATCH(Orçamentária!A241,Composições!A:A,0),8),2,0)</f>
        <v>44.417867499999993</v>
      </c>
      <c r="F241" s="125">
        <f t="shared" ca="1" si="9"/>
        <v>36911.247892499996</v>
      </c>
      <c r="G241" s="126">
        <f>BDI!$B$17</f>
        <v>0.191</v>
      </c>
      <c r="H241" s="127">
        <f t="shared" ca="1" si="10"/>
        <v>52.9</v>
      </c>
      <c r="I241" s="204">
        <f t="shared" ca="1" si="11"/>
        <v>43959.9</v>
      </c>
    </row>
    <row r="242" spans="1:9" hidden="1" x14ac:dyDescent="0.25">
      <c r="A242" s="103" t="s">
        <v>433</v>
      </c>
      <c r="B242" s="104" t="s">
        <v>1693</v>
      </c>
      <c r="C242" s="105" t="s">
        <v>93</v>
      </c>
      <c r="D242" s="105">
        <v>0</v>
      </c>
      <c r="E242" s="124">
        <f ca="1">OFFSET(INDEX(Composições!A:J,MATCH(Orçamentária!A242,Composições!A:A,0),8),2,0)</f>
        <v>21.152659149999995</v>
      </c>
      <c r="F242" s="125">
        <f t="shared" ca="1" si="9"/>
        <v>0</v>
      </c>
      <c r="G242" s="126" t="e">
        <f>IF(A242&lt;&gt;"",IF(AND(#REF!="Padrão",$H$4=#REF!),BDI!$B$17,IF(AND(#REF!="Padrão",$H$4=#REF!),BDI!#REF!,IF(AND(#REF!="Diferenciado",$H$4=#REF!),BDI!$E$17,IF(AND(#REF!="Diferenciado",$H$4=#REF!),BDI!#REF!,IF(#REF!="ZERO",0))))),"")</f>
        <v>#REF!</v>
      </c>
      <c r="H242" s="127" t="e">
        <f t="shared" ca="1" si="10"/>
        <v>#REF!</v>
      </c>
      <c r="I242" s="125" t="e">
        <f t="shared" ca="1" si="11"/>
        <v>#REF!</v>
      </c>
    </row>
    <row r="243" spans="1:9" hidden="1" x14ac:dyDescent="0.25">
      <c r="A243" s="103" t="s">
        <v>444</v>
      </c>
      <c r="B243" s="104" t="s">
        <v>1694</v>
      </c>
      <c r="C243" s="105" t="s">
        <v>93</v>
      </c>
      <c r="D243" s="105">
        <v>0</v>
      </c>
      <c r="E243" s="124">
        <f ca="1">OFFSET(INDEX(Composições!A:J,MATCH(Orçamentária!A243,Composições!A:A,0),8),2,0)</f>
        <v>28.203260849999996</v>
      </c>
      <c r="F243" s="125">
        <f t="shared" ca="1" si="9"/>
        <v>0</v>
      </c>
      <c r="G243" s="126" t="e">
        <f>IF(A243&lt;&gt;"",IF(AND(#REF!="Padrão",$H$4=#REF!),BDI!$B$17,IF(AND(#REF!="Padrão",$H$4=#REF!),BDI!#REF!,IF(AND(#REF!="Diferenciado",$H$4=#REF!),BDI!$E$17,IF(AND(#REF!="Diferenciado",$H$4=#REF!),BDI!#REF!,IF(#REF!="ZERO",0))))),"")</f>
        <v>#REF!</v>
      </c>
      <c r="H243" s="127" t="e">
        <f t="shared" ca="1" si="10"/>
        <v>#REF!</v>
      </c>
      <c r="I243" s="125" t="e">
        <f t="shared" ca="1" si="11"/>
        <v>#REF!</v>
      </c>
    </row>
    <row r="244" spans="1:9" hidden="1" x14ac:dyDescent="0.25">
      <c r="A244" s="103" t="s">
        <v>449</v>
      </c>
      <c r="B244" s="104" t="s">
        <v>1695</v>
      </c>
      <c r="C244" s="105" t="s">
        <v>93</v>
      </c>
      <c r="D244" s="105">
        <v>0</v>
      </c>
      <c r="E244" s="124">
        <f ca="1">OFFSET(INDEX(Composições!A:J,MATCH(Orçamentária!A244,Composições!A:A,0),8),2,0)</f>
        <v>23.747760849999995</v>
      </c>
      <c r="F244" s="125">
        <f t="shared" ca="1" si="9"/>
        <v>0</v>
      </c>
      <c r="G244" s="126" t="e">
        <f>IF(A244&lt;&gt;"",IF(AND(#REF!="Padrão",$H$4=#REF!),BDI!$B$17,IF(AND(#REF!="Padrão",$H$4=#REF!),BDI!#REF!,IF(AND(#REF!="Diferenciado",$H$4=#REF!),BDI!$E$17,IF(AND(#REF!="Diferenciado",$H$4=#REF!),BDI!#REF!,IF(#REF!="ZERO",0))))),"")</f>
        <v>#REF!</v>
      </c>
      <c r="H244" s="127" t="e">
        <f t="shared" ca="1" si="10"/>
        <v>#REF!</v>
      </c>
      <c r="I244" s="125" t="e">
        <f t="shared" ca="1" si="11"/>
        <v>#REF!</v>
      </c>
    </row>
    <row r="245" spans="1:9" hidden="1" x14ac:dyDescent="0.25">
      <c r="A245" s="103" t="s">
        <v>452</v>
      </c>
      <c r="B245" s="104" t="s">
        <v>1696</v>
      </c>
      <c r="C245" s="105" t="s">
        <v>93</v>
      </c>
      <c r="D245" s="105">
        <v>0</v>
      </c>
      <c r="E245" s="124">
        <f ca="1">OFFSET(INDEX(Composições!A:J,MATCH(Orçamentária!A245,Composições!A:A,0),8),2,0)</f>
        <v>30.431010849999996</v>
      </c>
      <c r="F245" s="125">
        <f t="shared" ca="1" si="9"/>
        <v>0</v>
      </c>
      <c r="G245" s="126" t="e">
        <f>IF(A245&lt;&gt;"",IF(AND(#REF!="Padrão",$H$4=#REF!),BDI!$B$17,IF(AND(#REF!="Padrão",$H$4=#REF!),BDI!#REF!,IF(AND(#REF!="Diferenciado",$H$4=#REF!),BDI!$E$17,IF(AND(#REF!="Diferenciado",$H$4=#REF!),BDI!#REF!,IF(#REF!="ZERO",0))))),"")</f>
        <v>#REF!</v>
      </c>
      <c r="H245" s="127" t="e">
        <f t="shared" ca="1" si="10"/>
        <v>#REF!</v>
      </c>
      <c r="I245" s="125" t="e">
        <f t="shared" ca="1" si="11"/>
        <v>#REF!</v>
      </c>
    </row>
    <row r="246" spans="1:9" hidden="1" x14ac:dyDescent="0.25">
      <c r="A246" s="103" t="s">
        <v>456</v>
      </c>
      <c r="B246" s="104" t="s">
        <v>1697</v>
      </c>
      <c r="C246" s="105" t="s">
        <v>93</v>
      </c>
      <c r="D246" s="105">
        <v>0</v>
      </c>
      <c r="E246" s="124">
        <f ca="1">OFFSET(INDEX(Composições!A:J,MATCH(Orçamentária!A246,Composições!A:A,0),8),2,0)</f>
        <v>25.975510849999999</v>
      </c>
      <c r="F246" s="125">
        <f t="shared" ca="1" si="9"/>
        <v>0</v>
      </c>
      <c r="G246" s="126" t="e">
        <f>IF(A246&lt;&gt;"",IF(AND(#REF!="Padrão",$H$4=#REF!),BDI!$B$17,IF(AND(#REF!="Padrão",$H$4=#REF!),BDI!#REF!,IF(AND(#REF!="Diferenciado",$H$4=#REF!),BDI!$E$17,IF(AND(#REF!="Diferenciado",$H$4=#REF!),BDI!#REF!,IF(#REF!="ZERO",0))))),"")</f>
        <v>#REF!</v>
      </c>
      <c r="H246" s="127" t="e">
        <f t="shared" ca="1" si="10"/>
        <v>#REF!</v>
      </c>
      <c r="I246" s="125" t="e">
        <f t="shared" ca="1" si="11"/>
        <v>#REF!</v>
      </c>
    </row>
    <row r="247" spans="1:9" hidden="1" x14ac:dyDescent="0.25">
      <c r="A247" s="103" t="s">
        <v>459</v>
      </c>
      <c r="B247" s="104" t="s">
        <v>1698</v>
      </c>
      <c r="C247" s="105" t="s">
        <v>93</v>
      </c>
      <c r="D247" s="105">
        <v>0</v>
      </c>
      <c r="E247" s="124">
        <f ca="1">OFFSET(INDEX(Composições!A:J,MATCH(Orçamentária!A247,Composições!A:A,0),8),2,0)</f>
        <v>25.975510849999999</v>
      </c>
      <c r="F247" s="125">
        <f t="shared" ca="1" si="9"/>
        <v>0</v>
      </c>
      <c r="G247" s="126" t="e">
        <f>IF(A247&lt;&gt;"",IF(AND(#REF!="Padrão",$H$4=#REF!),BDI!$B$17,IF(AND(#REF!="Padrão",$H$4=#REF!),BDI!#REF!,IF(AND(#REF!="Diferenciado",$H$4=#REF!),BDI!$E$17,IF(AND(#REF!="Diferenciado",$H$4=#REF!),BDI!#REF!,IF(#REF!="ZERO",0))))),"")</f>
        <v>#REF!</v>
      </c>
      <c r="H247" s="127" t="e">
        <f t="shared" ca="1" si="10"/>
        <v>#REF!</v>
      </c>
      <c r="I247" s="125" t="e">
        <f t="shared" ca="1" si="11"/>
        <v>#REF!</v>
      </c>
    </row>
    <row r="248" spans="1:9" hidden="1" x14ac:dyDescent="0.25">
      <c r="A248" s="103" t="s">
        <v>463</v>
      </c>
      <c r="B248" s="104" t="s">
        <v>1699</v>
      </c>
      <c r="C248" s="105" t="s">
        <v>93</v>
      </c>
      <c r="D248" s="105">
        <v>0</v>
      </c>
      <c r="E248" s="124">
        <f ca="1">OFFSET(INDEX(Composições!A:J,MATCH(Orçamentária!A248,Composições!A:A,0),8),2,0)</f>
        <v>21.152659149999995</v>
      </c>
      <c r="F248" s="125">
        <f t="shared" ca="1" si="9"/>
        <v>0</v>
      </c>
      <c r="G248" s="126" t="e">
        <f>IF(A248&lt;&gt;"",IF(AND(#REF!="Padrão",$H$4=#REF!),BDI!$B$17,IF(AND(#REF!="Padrão",$H$4=#REF!),BDI!#REF!,IF(AND(#REF!="Diferenciado",$H$4=#REF!),BDI!$E$17,IF(AND(#REF!="Diferenciado",$H$4=#REF!),BDI!#REF!,IF(#REF!="ZERO",0))))),"")</f>
        <v>#REF!</v>
      </c>
      <c r="H248" s="127" t="e">
        <f t="shared" ca="1" si="10"/>
        <v>#REF!</v>
      </c>
      <c r="I248" s="125" t="e">
        <f t="shared" ca="1" si="11"/>
        <v>#REF!</v>
      </c>
    </row>
    <row r="249" spans="1:9" s="184" customFormat="1" x14ac:dyDescent="0.25">
      <c r="A249" s="185" t="s">
        <v>467</v>
      </c>
      <c r="B249" s="186" t="s">
        <v>1700</v>
      </c>
      <c r="C249" s="187" t="s">
        <v>93</v>
      </c>
      <c r="D249" s="187">
        <v>1769.3</v>
      </c>
      <c r="E249" s="124">
        <f ca="1">OFFSET(INDEX(Composições!A:J,MATCH(Orçamentária!A249,Composições!A:A,0),8),2,0)</f>
        <v>54.91990301565</v>
      </c>
      <c r="F249" s="125">
        <f t="shared" ca="1" si="9"/>
        <v>97169.78440558954</v>
      </c>
      <c r="G249" s="126">
        <f>BDI!$B$17</f>
        <v>0.191</v>
      </c>
      <c r="H249" s="127">
        <f t="shared" ca="1" si="10"/>
        <v>65.41</v>
      </c>
      <c r="I249" s="204">
        <f t="shared" ca="1" si="11"/>
        <v>115729.91</v>
      </c>
    </row>
    <row r="250" spans="1:9" hidden="1" x14ac:dyDescent="0.25">
      <c r="A250" s="103" t="s">
        <v>471</v>
      </c>
      <c r="B250" s="104" t="s">
        <v>1701</v>
      </c>
      <c r="C250" s="105" t="s">
        <v>93</v>
      </c>
      <c r="D250" s="105">
        <v>0</v>
      </c>
      <c r="E250" s="124">
        <f ca="1">OFFSET(INDEX(Composições!A:J,MATCH(Orçamentária!A250,Composições!A:A,0),8),2,0)</f>
        <v>19.023142944299998</v>
      </c>
      <c r="F250" s="125">
        <f t="shared" ca="1" si="9"/>
        <v>0</v>
      </c>
      <c r="G250" s="126" t="e">
        <f>IF(A250&lt;&gt;"",IF(AND(#REF!="Padrão",$H$4=#REF!),BDI!$B$17,IF(AND(#REF!="Padrão",$H$4=#REF!),BDI!#REF!,IF(AND(#REF!="Diferenciado",$H$4=#REF!),BDI!$E$17,IF(AND(#REF!="Diferenciado",$H$4=#REF!),BDI!#REF!,IF(#REF!="ZERO",0))))),"")</f>
        <v>#REF!</v>
      </c>
      <c r="H250" s="127" t="e">
        <f t="shared" ca="1" si="10"/>
        <v>#REF!</v>
      </c>
      <c r="I250" s="125" t="e">
        <f t="shared" ca="1" si="11"/>
        <v>#REF!</v>
      </c>
    </row>
    <row r="251" spans="1:9" s="184" customFormat="1" x14ac:dyDescent="0.25">
      <c r="A251" s="185" t="s">
        <v>474</v>
      </c>
      <c r="B251" s="186" t="s">
        <v>1702</v>
      </c>
      <c r="C251" s="187" t="s">
        <v>93</v>
      </c>
      <c r="D251" s="187">
        <v>1244.7</v>
      </c>
      <c r="E251" s="124">
        <f ca="1">OFFSET(INDEX(Composições!A:J,MATCH(Orçamentária!A251,Composições!A:A,0),8),2,0)</f>
        <v>33.425448698949992</v>
      </c>
      <c r="F251" s="125">
        <f t="shared" ca="1" si="9"/>
        <v>41604.65599558306</v>
      </c>
      <c r="G251" s="126">
        <f>BDI!$B$17</f>
        <v>0.191</v>
      </c>
      <c r="H251" s="127">
        <f t="shared" ca="1" si="10"/>
        <v>39.81</v>
      </c>
      <c r="I251" s="204">
        <f t="shared" ca="1" si="11"/>
        <v>49551.51</v>
      </c>
    </row>
    <row r="252" spans="1:9" hidden="1" x14ac:dyDescent="0.25">
      <c r="A252" s="103" t="s">
        <v>477</v>
      </c>
      <c r="B252" s="104" t="s">
        <v>1703</v>
      </c>
      <c r="C252" s="105" t="s">
        <v>93</v>
      </c>
      <c r="D252" s="105">
        <v>0</v>
      </c>
      <c r="E252" s="124">
        <f ca="1">OFFSET(INDEX(Composições!A:J,MATCH(Orçamentária!A252,Composições!A:A,0),8),2,0)</f>
        <v>25.774656365649999</v>
      </c>
      <c r="F252" s="125">
        <f t="shared" ca="1" si="9"/>
        <v>0</v>
      </c>
      <c r="G252" s="126" t="e">
        <f>IF(A252&lt;&gt;"",IF(AND(#REF!="Padrão",$H$4=#REF!),BDI!$B$17,IF(AND(#REF!="Padrão",$H$4=#REF!),BDI!#REF!,IF(AND(#REF!="Diferenciado",$H$4=#REF!),BDI!$E$17,IF(AND(#REF!="Diferenciado",$H$4=#REF!),BDI!#REF!,IF(#REF!="ZERO",0))))),"")</f>
        <v>#REF!</v>
      </c>
      <c r="H252" s="127" t="e">
        <f t="shared" ca="1" si="10"/>
        <v>#REF!</v>
      </c>
      <c r="I252" s="125" t="e">
        <f t="shared" ca="1" si="11"/>
        <v>#REF!</v>
      </c>
    </row>
    <row r="253" spans="1:9" hidden="1" x14ac:dyDescent="0.25">
      <c r="A253" s="103" t="s">
        <v>482</v>
      </c>
      <c r="B253" s="104" t="s">
        <v>1704</v>
      </c>
      <c r="C253" s="105" t="s">
        <v>93</v>
      </c>
      <c r="D253" s="105">
        <v>0</v>
      </c>
      <c r="E253" s="124">
        <f ca="1">OFFSET(INDEX(Composições!A:J,MATCH(Orçamentária!A253,Composições!A:A,0),8),2,0)</f>
        <v>15.08321876005</v>
      </c>
      <c r="F253" s="125">
        <f t="shared" ca="1" si="9"/>
        <v>0</v>
      </c>
      <c r="G253" s="126" t="e">
        <f>IF(A253&lt;&gt;"",IF(AND(#REF!="Padrão",$H$4=#REF!),BDI!$B$17,IF(AND(#REF!="Padrão",$H$4=#REF!),BDI!#REF!,IF(AND(#REF!="Diferenciado",$H$4=#REF!),BDI!$E$17,IF(AND(#REF!="Diferenciado",$H$4=#REF!),BDI!#REF!,IF(#REF!="ZERO",0))))),"")</f>
        <v>#REF!</v>
      </c>
      <c r="H253" s="127" t="e">
        <f t="shared" ca="1" si="10"/>
        <v>#REF!</v>
      </c>
      <c r="I253" s="125" t="e">
        <f t="shared" ca="1" si="11"/>
        <v>#REF!</v>
      </c>
    </row>
    <row r="254" spans="1:9" hidden="1" x14ac:dyDescent="0.25">
      <c r="A254" s="103" t="s">
        <v>485</v>
      </c>
      <c r="B254" s="104" t="s">
        <v>1705</v>
      </c>
      <c r="C254" s="105" t="s">
        <v>93</v>
      </c>
      <c r="D254" s="105">
        <v>0</v>
      </c>
      <c r="E254" s="124">
        <f ca="1">OFFSET(INDEX(Composições!A:J,MATCH(Orçamentária!A254,Composições!A:A,0),8),2,0)</f>
        <v>15.627044000000001</v>
      </c>
      <c r="F254" s="125">
        <f t="shared" ca="1" si="9"/>
        <v>0</v>
      </c>
      <c r="G254" s="126" t="e">
        <f>IF(A254&lt;&gt;"",IF(AND(#REF!="Padrão",$H$4=#REF!),BDI!$B$17,IF(AND(#REF!="Padrão",$H$4=#REF!),BDI!#REF!,IF(AND(#REF!="Diferenciado",$H$4=#REF!),BDI!$E$17,IF(AND(#REF!="Diferenciado",$H$4=#REF!),BDI!#REF!,IF(#REF!="ZERO",0))))),"")</f>
        <v>#REF!</v>
      </c>
      <c r="H254" s="127" t="e">
        <f t="shared" ca="1" si="10"/>
        <v>#REF!</v>
      </c>
      <c r="I254" s="125" t="e">
        <f t="shared" ca="1" si="11"/>
        <v>#REF!</v>
      </c>
    </row>
    <row r="255" spans="1:9" hidden="1" x14ac:dyDescent="0.25">
      <c r="A255" s="103" t="s">
        <v>488</v>
      </c>
      <c r="B255" s="104" t="s">
        <v>1706</v>
      </c>
      <c r="C255" s="105" t="s">
        <v>93</v>
      </c>
      <c r="D255" s="105">
        <v>0</v>
      </c>
      <c r="E255" s="124">
        <f ca="1">OFFSET(INDEX(Composições!A:J,MATCH(Orçamentária!A255,Composições!A:A,0),8),2,0)</f>
        <v>10.524594</v>
      </c>
      <c r="F255" s="125">
        <f t="shared" ca="1" si="9"/>
        <v>0</v>
      </c>
      <c r="G255" s="126" t="e">
        <f>IF(A255&lt;&gt;"",IF(AND(#REF!="Padrão",$H$4=#REF!),BDI!$B$17,IF(AND(#REF!="Padrão",$H$4=#REF!),BDI!#REF!,IF(AND(#REF!="Diferenciado",$H$4=#REF!),BDI!$E$17,IF(AND(#REF!="Diferenciado",$H$4=#REF!),BDI!#REF!,IF(#REF!="ZERO",0))))),"")</f>
        <v>#REF!</v>
      </c>
      <c r="H255" s="127" t="e">
        <f t="shared" ca="1" si="10"/>
        <v>#REF!</v>
      </c>
      <c r="I255" s="125" t="e">
        <f t="shared" ca="1" si="11"/>
        <v>#REF!</v>
      </c>
    </row>
    <row r="256" spans="1:9" s="184" customFormat="1" x14ac:dyDescent="0.25">
      <c r="A256" s="185" t="s">
        <v>490</v>
      </c>
      <c r="B256" s="186" t="s">
        <v>1707</v>
      </c>
      <c r="C256" s="187" t="s">
        <v>93</v>
      </c>
      <c r="D256" s="187">
        <v>100.5</v>
      </c>
      <c r="E256" s="124">
        <f ca="1">OFFSET(INDEX(Composições!A:J,MATCH(Orçamentária!A256,Composições!A:A,0),8),2,0)</f>
        <v>25.952955000000003</v>
      </c>
      <c r="F256" s="125">
        <f t="shared" ca="1" si="9"/>
        <v>2608.2719775000005</v>
      </c>
      <c r="G256" s="126">
        <f>BDI!$B$17</f>
        <v>0.191</v>
      </c>
      <c r="H256" s="127">
        <f t="shared" ca="1" si="10"/>
        <v>30.91</v>
      </c>
      <c r="I256" s="204">
        <f t="shared" ca="1" si="11"/>
        <v>3106.46</v>
      </c>
    </row>
    <row r="257" spans="1:9" hidden="1" x14ac:dyDescent="0.25">
      <c r="A257" s="103" t="s">
        <v>492</v>
      </c>
      <c r="B257" s="104" t="s">
        <v>1708</v>
      </c>
      <c r="C257" s="105" t="s">
        <v>93</v>
      </c>
      <c r="D257" s="105">
        <v>0</v>
      </c>
      <c r="E257" s="124">
        <f ca="1">OFFSET(INDEX(Composições!A:J,MATCH(Orçamentária!A257,Composições!A:A,0),8),2,0)</f>
        <v>20.030882999999999</v>
      </c>
      <c r="F257" s="125">
        <f t="shared" ca="1" si="9"/>
        <v>0</v>
      </c>
      <c r="G257" s="126" t="e">
        <f>IF(A257&lt;&gt;"",IF(AND(#REF!="Padrão",$H$4=#REF!),BDI!$B$17,IF(AND(#REF!="Padrão",$H$4=#REF!),BDI!#REF!,IF(AND(#REF!="Diferenciado",$H$4=#REF!),BDI!$E$17,IF(AND(#REF!="Diferenciado",$H$4=#REF!),BDI!#REF!,IF(#REF!="ZERO",0))))),"")</f>
        <v>#REF!</v>
      </c>
      <c r="H257" s="127" t="e">
        <f t="shared" ca="1" si="10"/>
        <v>#REF!</v>
      </c>
      <c r="I257" s="125" t="e">
        <f t="shared" ca="1" si="11"/>
        <v>#REF!</v>
      </c>
    </row>
    <row r="258" spans="1:9" hidden="1" x14ac:dyDescent="0.25">
      <c r="A258" s="103" t="s">
        <v>494</v>
      </c>
      <c r="B258" s="104" t="s">
        <v>1709</v>
      </c>
      <c r="C258" s="105" t="s">
        <v>93</v>
      </c>
      <c r="D258" s="105">
        <v>0</v>
      </c>
      <c r="E258" s="124">
        <f ca="1">OFFSET(INDEX(Composições!A:J,MATCH(Orçamentária!A258,Composições!A:A,0),8),2,0)</f>
        <v>20.783489149999994</v>
      </c>
      <c r="F258" s="125">
        <f t="shared" ca="1" si="9"/>
        <v>0</v>
      </c>
      <c r="G258" s="126" t="e">
        <f>IF(A258&lt;&gt;"",IF(AND(#REF!="Padrão",$H$4=#REF!),BDI!$B$17,IF(AND(#REF!="Padrão",$H$4=#REF!),BDI!#REF!,IF(AND(#REF!="Diferenciado",$H$4=#REF!),BDI!$E$17,IF(AND(#REF!="Diferenciado",$H$4=#REF!),BDI!#REF!,IF(#REF!="ZERO",0))))),"")</f>
        <v>#REF!</v>
      </c>
      <c r="H258" s="127" t="e">
        <f t="shared" ca="1" si="10"/>
        <v>#REF!</v>
      </c>
      <c r="I258" s="125" t="e">
        <f t="shared" ca="1" si="11"/>
        <v>#REF!</v>
      </c>
    </row>
    <row r="259" spans="1:9" hidden="1" x14ac:dyDescent="0.25">
      <c r="A259" s="103" t="s">
        <v>499</v>
      </c>
      <c r="B259" s="104" t="s">
        <v>1710</v>
      </c>
      <c r="C259" s="105" t="s">
        <v>20</v>
      </c>
      <c r="D259" s="105">
        <v>0</v>
      </c>
      <c r="E259" s="124">
        <f ca="1">OFFSET(INDEX(Composições!A:J,MATCH(Orçamentária!A259,Composições!A:A,0),8),2,0)</f>
        <v>7.6563919999999985</v>
      </c>
      <c r="F259" s="125">
        <f t="shared" ca="1" si="9"/>
        <v>0</v>
      </c>
      <c r="G259" s="126" t="e">
        <f>IF(A259&lt;&gt;"",IF(AND(#REF!="Padrão",$H$4=#REF!),BDI!$B$17,IF(AND(#REF!="Padrão",$H$4=#REF!),BDI!#REF!,IF(AND(#REF!="Diferenciado",$H$4=#REF!),BDI!$E$17,IF(AND(#REF!="Diferenciado",$H$4=#REF!),BDI!#REF!,IF(#REF!="ZERO",0))))),"")</f>
        <v>#REF!</v>
      </c>
      <c r="H259" s="127" t="e">
        <f t="shared" ca="1" si="10"/>
        <v>#REF!</v>
      </c>
      <c r="I259" s="125" t="e">
        <f t="shared" ca="1" si="11"/>
        <v>#REF!</v>
      </c>
    </row>
    <row r="260" spans="1:9" hidden="1" x14ac:dyDescent="0.25">
      <c r="A260" s="103" t="s">
        <v>502</v>
      </c>
      <c r="B260" s="104" t="s">
        <v>1711</v>
      </c>
      <c r="C260" s="105" t="s">
        <v>20</v>
      </c>
      <c r="D260" s="105">
        <v>0</v>
      </c>
      <c r="E260" s="124">
        <f ca="1">OFFSET(INDEX(Composições!A:J,MATCH(Orçamentária!A260,Composições!A:A,0),8),2,0)</f>
        <v>12.932236</v>
      </c>
      <c r="F260" s="125">
        <f t="shared" ca="1" si="9"/>
        <v>0</v>
      </c>
      <c r="G260" s="126" t="e">
        <f>IF(A260&lt;&gt;"",IF(AND(#REF!="Padrão",$H$4=#REF!),BDI!$B$17,IF(AND(#REF!="Padrão",$H$4=#REF!),BDI!#REF!,IF(AND(#REF!="Diferenciado",$H$4=#REF!),BDI!$E$17,IF(AND(#REF!="Diferenciado",$H$4=#REF!),BDI!#REF!,IF(#REF!="ZERO",0))))),"")</f>
        <v>#REF!</v>
      </c>
      <c r="H260" s="127" t="e">
        <f t="shared" ca="1" si="10"/>
        <v>#REF!</v>
      </c>
      <c r="I260" s="125" t="e">
        <f t="shared" ca="1" si="11"/>
        <v>#REF!</v>
      </c>
    </row>
    <row r="261" spans="1:9" hidden="1" x14ac:dyDescent="0.25">
      <c r="A261" s="103" t="s">
        <v>505</v>
      </c>
      <c r="B261" s="104" t="s">
        <v>506</v>
      </c>
      <c r="C261" s="105" t="s">
        <v>20</v>
      </c>
      <c r="D261" s="105">
        <v>0</v>
      </c>
      <c r="E261" s="124">
        <f ca="1">OFFSET(INDEX(Composições!A:J,MATCH(Orçamentária!A261,Composições!A:A,0),8),2,0)</f>
        <v>5.6552359999999995</v>
      </c>
      <c r="F261" s="125">
        <f t="shared" ca="1" si="9"/>
        <v>0</v>
      </c>
      <c r="G261" s="126" t="e">
        <f>IF(A261&lt;&gt;"",IF(AND(#REF!="Padrão",$H$4=#REF!),BDI!$B$17,IF(AND(#REF!="Padrão",$H$4=#REF!),BDI!#REF!,IF(AND(#REF!="Diferenciado",$H$4=#REF!),BDI!$E$17,IF(AND(#REF!="Diferenciado",$H$4=#REF!),BDI!#REF!,IF(#REF!="ZERO",0))))),"")</f>
        <v>#REF!</v>
      </c>
      <c r="H261" s="127" t="e">
        <f t="shared" ca="1" si="10"/>
        <v>#REF!</v>
      </c>
      <c r="I261" s="125" t="e">
        <f t="shared" ca="1" si="11"/>
        <v>#REF!</v>
      </c>
    </row>
    <row r="262" spans="1:9" s="184" customFormat="1" x14ac:dyDescent="0.25">
      <c r="A262" s="185" t="s">
        <v>507</v>
      </c>
      <c r="B262" s="186" t="s">
        <v>1712</v>
      </c>
      <c r="C262" s="187" t="s">
        <v>20</v>
      </c>
      <c r="D262" s="187">
        <v>67</v>
      </c>
      <c r="E262" s="124">
        <f ca="1">OFFSET(INDEX(Composições!A:J,MATCH(Orçamentária!A262,Composições!A:A,0),8),2,0)</f>
        <v>26.923249999999999</v>
      </c>
      <c r="F262" s="125">
        <f t="shared" ca="1" si="9"/>
        <v>1803.8577499999999</v>
      </c>
      <c r="G262" s="126">
        <f>BDI!$B$17</f>
        <v>0.191</v>
      </c>
      <c r="H262" s="127">
        <f t="shared" ca="1" si="10"/>
        <v>32.07</v>
      </c>
      <c r="I262" s="204">
        <f t="shared" ca="1" si="11"/>
        <v>2148.69</v>
      </c>
    </row>
    <row r="263" spans="1:9" hidden="1" x14ac:dyDescent="0.25">
      <c r="A263" s="103" t="s">
        <v>510</v>
      </c>
      <c r="B263" s="104" t="s">
        <v>511</v>
      </c>
      <c r="C263" s="105" t="s">
        <v>20</v>
      </c>
      <c r="D263" s="105">
        <v>0</v>
      </c>
      <c r="E263" s="124">
        <f ca="1">OFFSET(INDEX(Composições!A:J,MATCH(Orçamentária!A263,Composições!A:A,0),8),2,0)</f>
        <v>2.5146499999999996</v>
      </c>
      <c r="F263" s="125">
        <f t="shared" ref="F263:F326" ca="1" si="12">IF(ISNUMBER(E263),D263*E263,"")</f>
        <v>0</v>
      </c>
      <c r="G263" s="126" t="e">
        <f>IF(A263&lt;&gt;"",IF(AND(#REF!="Padrão",$H$4=#REF!),BDI!$B$17,IF(AND(#REF!="Padrão",$H$4=#REF!),BDI!#REF!,IF(AND(#REF!="Diferenciado",$H$4=#REF!),BDI!$E$17,IF(AND(#REF!="Diferenciado",$H$4=#REF!),BDI!#REF!,IF(#REF!="ZERO",0))))),"")</f>
        <v>#REF!</v>
      </c>
      <c r="H263" s="127" t="e">
        <f t="shared" ref="H263:H326" ca="1" si="13">IF(ISNUMBER(E263),ROUND(E263*(1+G263),2),"")</f>
        <v>#REF!</v>
      </c>
      <c r="I263" s="125" t="e">
        <f t="shared" ref="I263:I326" ca="1" si="14">IF(ISNUMBER(E263),ROUND(H263*D263,2),"")</f>
        <v>#REF!</v>
      </c>
    </row>
    <row r="264" spans="1:9" hidden="1" x14ac:dyDescent="0.25">
      <c r="A264" s="103" t="s">
        <v>512</v>
      </c>
      <c r="B264" s="104" t="s">
        <v>1713</v>
      </c>
      <c r="C264" s="105" t="s">
        <v>20</v>
      </c>
      <c r="D264" s="105">
        <v>0</v>
      </c>
      <c r="E264" s="124">
        <f ca="1">OFFSET(INDEX(Composições!A:J,MATCH(Orçamentária!A264,Composições!A:A,0),8),2,0)</f>
        <v>24.733439999999998</v>
      </c>
      <c r="F264" s="125">
        <f t="shared" ca="1" si="12"/>
        <v>0</v>
      </c>
      <c r="G264" s="126" t="e">
        <f>IF(A264&lt;&gt;"",IF(AND(#REF!="Padrão",$H$4=#REF!),BDI!$B$17,IF(AND(#REF!="Padrão",$H$4=#REF!),BDI!#REF!,IF(AND(#REF!="Diferenciado",$H$4=#REF!),BDI!$E$17,IF(AND(#REF!="Diferenciado",$H$4=#REF!),BDI!#REF!,IF(#REF!="ZERO",0))))),"")</f>
        <v>#REF!</v>
      </c>
      <c r="H264" s="127" t="e">
        <f t="shared" ca="1" si="13"/>
        <v>#REF!</v>
      </c>
      <c r="I264" s="125" t="e">
        <f t="shared" ca="1" si="14"/>
        <v>#REF!</v>
      </c>
    </row>
    <row r="265" spans="1:9" hidden="1" x14ac:dyDescent="0.25">
      <c r="A265" s="103" t="s">
        <v>514</v>
      </c>
      <c r="B265" s="104" t="s">
        <v>1714</v>
      </c>
      <c r="C265" s="105" t="s">
        <v>20</v>
      </c>
      <c r="D265" s="105">
        <v>0</v>
      </c>
      <c r="E265" s="124">
        <f ca="1">OFFSET(INDEX(Composições!A:J,MATCH(Orçamentária!A265,Composições!A:A,0),8),2,0)</f>
        <v>18.479875</v>
      </c>
      <c r="F265" s="125">
        <f t="shared" ca="1" si="12"/>
        <v>0</v>
      </c>
      <c r="G265" s="126" t="e">
        <f>IF(A265&lt;&gt;"",IF(AND(#REF!="Padrão",$H$4=#REF!),BDI!$B$17,IF(AND(#REF!="Padrão",$H$4=#REF!),BDI!#REF!,IF(AND(#REF!="Diferenciado",$H$4=#REF!),BDI!$E$17,IF(AND(#REF!="Diferenciado",$H$4=#REF!),BDI!#REF!,IF(#REF!="ZERO",0))))),"")</f>
        <v>#REF!</v>
      </c>
      <c r="H265" s="127" t="e">
        <f t="shared" ca="1" si="13"/>
        <v>#REF!</v>
      </c>
      <c r="I265" s="125" t="e">
        <f t="shared" ca="1" si="14"/>
        <v>#REF!</v>
      </c>
    </row>
    <row r="266" spans="1:9" hidden="1" x14ac:dyDescent="0.25">
      <c r="A266" s="103" t="s">
        <v>516</v>
      </c>
      <c r="B266" s="104" t="s">
        <v>517</v>
      </c>
      <c r="C266" s="105" t="s">
        <v>20</v>
      </c>
      <c r="D266" s="105">
        <v>0</v>
      </c>
      <c r="E266" s="124">
        <f ca="1">OFFSET(INDEX(Composições!A:J,MATCH(Orçamentária!A266,Composições!A:A,0),8),2,0)</f>
        <v>2.5146499999999996</v>
      </c>
      <c r="F266" s="125">
        <f t="shared" ca="1" si="12"/>
        <v>0</v>
      </c>
      <c r="G266" s="126" t="e">
        <f>IF(A266&lt;&gt;"",IF(AND(#REF!="Padrão",$H$4=#REF!),BDI!$B$17,IF(AND(#REF!="Padrão",$H$4=#REF!),BDI!#REF!,IF(AND(#REF!="Diferenciado",$H$4=#REF!),BDI!$E$17,IF(AND(#REF!="Diferenciado",$H$4=#REF!),BDI!#REF!,IF(#REF!="ZERO",0))))),"")</f>
        <v>#REF!</v>
      </c>
      <c r="H266" s="127" t="e">
        <f t="shared" ca="1" si="13"/>
        <v>#REF!</v>
      </c>
      <c r="I266" s="125" t="e">
        <f t="shared" ca="1" si="14"/>
        <v>#REF!</v>
      </c>
    </row>
    <row r="267" spans="1:9" hidden="1" x14ac:dyDescent="0.25">
      <c r="A267" s="103" t="s">
        <v>518</v>
      </c>
      <c r="B267" s="104" t="s">
        <v>519</v>
      </c>
      <c r="C267" s="105" t="s">
        <v>20</v>
      </c>
      <c r="D267" s="105">
        <v>0</v>
      </c>
      <c r="E267" s="124">
        <f ca="1">OFFSET(INDEX(Composições!A:J,MATCH(Orçamentária!A267,Composições!A:A,0),8),2,0)</f>
        <v>13.722939999999998</v>
      </c>
      <c r="F267" s="125">
        <f t="shared" ca="1" si="12"/>
        <v>0</v>
      </c>
      <c r="G267" s="126" t="e">
        <f>IF(A267&lt;&gt;"",IF(AND(#REF!="Padrão",$H$4=#REF!),BDI!$B$17,IF(AND(#REF!="Padrão",$H$4=#REF!),BDI!#REF!,IF(AND(#REF!="Diferenciado",$H$4=#REF!),BDI!$E$17,IF(AND(#REF!="Diferenciado",$H$4=#REF!),BDI!#REF!,IF(#REF!="ZERO",0))))),"")</f>
        <v>#REF!</v>
      </c>
      <c r="H267" s="127" t="e">
        <f t="shared" ca="1" si="13"/>
        <v>#REF!</v>
      </c>
      <c r="I267" s="125" t="e">
        <f t="shared" ca="1" si="14"/>
        <v>#REF!</v>
      </c>
    </row>
    <row r="268" spans="1:9" hidden="1" x14ac:dyDescent="0.25">
      <c r="A268" s="103" t="s">
        <v>520</v>
      </c>
      <c r="B268" s="104" t="s">
        <v>1715</v>
      </c>
      <c r="C268" s="105" t="s">
        <v>20</v>
      </c>
      <c r="D268" s="105">
        <v>0</v>
      </c>
      <c r="E268" s="124">
        <f ca="1">OFFSET(INDEX(Composições!A:J,MATCH(Orçamentária!A268,Composições!A:A,0),8),2,0)</f>
        <v>20.093924999999999</v>
      </c>
      <c r="F268" s="125">
        <f t="shared" ca="1" si="12"/>
        <v>0</v>
      </c>
      <c r="G268" s="126" t="e">
        <f>IF(A268&lt;&gt;"",IF(AND(#REF!="Padrão",$H$4=#REF!),BDI!$B$17,IF(AND(#REF!="Padrão",$H$4=#REF!),BDI!#REF!,IF(AND(#REF!="Diferenciado",$H$4=#REF!),BDI!$E$17,IF(AND(#REF!="Diferenciado",$H$4=#REF!),BDI!#REF!,IF(#REF!="ZERO",0))))),"")</f>
        <v>#REF!</v>
      </c>
      <c r="H268" s="127" t="e">
        <f t="shared" ca="1" si="13"/>
        <v>#REF!</v>
      </c>
      <c r="I268" s="125" t="e">
        <f t="shared" ca="1" si="14"/>
        <v>#REF!</v>
      </c>
    </row>
    <row r="269" spans="1:9" hidden="1" x14ac:dyDescent="0.25">
      <c r="A269" s="103" t="s">
        <v>521</v>
      </c>
      <c r="B269" s="104" t="s">
        <v>1716</v>
      </c>
      <c r="C269" s="105" t="s">
        <v>20</v>
      </c>
      <c r="D269" s="105">
        <v>0</v>
      </c>
      <c r="E269" s="124">
        <f ca="1">OFFSET(INDEX(Composições!A:J,MATCH(Orçamentária!A269,Composições!A:A,0),8),2,0)</f>
        <v>22.772924999999997</v>
      </c>
      <c r="F269" s="125">
        <f t="shared" ca="1" si="12"/>
        <v>0</v>
      </c>
      <c r="G269" s="126" t="e">
        <f>IF(A269&lt;&gt;"",IF(AND(#REF!="Padrão",$H$4=#REF!),BDI!$B$17,IF(AND(#REF!="Padrão",$H$4=#REF!),BDI!#REF!,IF(AND(#REF!="Diferenciado",$H$4=#REF!),BDI!$E$17,IF(AND(#REF!="Diferenciado",$H$4=#REF!),BDI!#REF!,IF(#REF!="ZERO",0))))),"")</f>
        <v>#REF!</v>
      </c>
      <c r="H269" s="127" t="e">
        <f t="shared" ca="1" si="13"/>
        <v>#REF!</v>
      </c>
      <c r="I269" s="125" t="e">
        <f t="shared" ca="1" si="14"/>
        <v>#REF!</v>
      </c>
    </row>
    <row r="270" spans="1:9" hidden="1" x14ac:dyDescent="0.25">
      <c r="A270" s="103" t="s">
        <v>522</v>
      </c>
      <c r="B270" s="104" t="s">
        <v>524</v>
      </c>
      <c r="C270" s="105" t="s">
        <v>20</v>
      </c>
      <c r="D270" s="105">
        <v>0</v>
      </c>
      <c r="E270" s="124">
        <f ca="1">OFFSET(INDEX(Composições!A:J,MATCH(Orçamentária!A270,Composições!A:A,0),8),2,0)</f>
        <v>7.7971249999999994</v>
      </c>
      <c r="F270" s="125">
        <f t="shared" ca="1" si="12"/>
        <v>0</v>
      </c>
      <c r="G270" s="126" t="e">
        <f>IF(A270&lt;&gt;"",IF(AND(#REF!="Padrão",$H$4=#REF!),BDI!$B$17,IF(AND(#REF!="Padrão",$H$4=#REF!),BDI!#REF!,IF(AND(#REF!="Diferenciado",$H$4=#REF!),BDI!$E$17,IF(AND(#REF!="Diferenciado",$H$4=#REF!),BDI!#REF!,IF(#REF!="ZERO",0))))),"")</f>
        <v>#REF!</v>
      </c>
      <c r="H270" s="127" t="e">
        <f t="shared" ca="1" si="13"/>
        <v>#REF!</v>
      </c>
      <c r="I270" s="125" t="e">
        <f t="shared" ca="1" si="14"/>
        <v>#REF!</v>
      </c>
    </row>
    <row r="271" spans="1:9" hidden="1" x14ac:dyDescent="0.25">
      <c r="A271" s="103" t="s">
        <v>525</v>
      </c>
      <c r="B271" s="104" t="s">
        <v>1717</v>
      </c>
      <c r="C271" s="105" t="s">
        <v>20</v>
      </c>
      <c r="D271" s="105">
        <v>0</v>
      </c>
      <c r="E271" s="124">
        <f ca="1">OFFSET(INDEX(Composições!A:J,MATCH(Orçamentária!A271,Composições!A:A,0),8),2,0)</f>
        <v>1.9408500000000002</v>
      </c>
      <c r="F271" s="125">
        <f t="shared" ca="1" si="12"/>
        <v>0</v>
      </c>
      <c r="G271" s="126" t="e">
        <f>IF(A271&lt;&gt;"",IF(AND(#REF!="Padrão",$H$4=#REF!),BDI!$B$17,IF(AND(#REF!="Padrão",$H$4=#REF!),BDI!#REF!,IF(AND(#REF!="Diferenciado",$H$4=#REF!),BDI!$E$17,IF(AND(#REF!="Diferenciado",$H$4=#REF!),BDI!#REF!,IF(#REF!="ZERO",0))))),"")</f>
        <v>#REF!</v>
      </c>
      <c r="H271" s="127" t="e">
        <f t="shared" ca="1" si="13"/>
        <v>#REF!</v>
      </c>
      <c r="I271" s="125" t="e">
        <f t="shared" ca="1" si="14"/>
        <v>#REF!</v>
      </c>
    </row>
    <row r="272" spans="1:9" hidden="1" x14ac:dyDescent="0.25">
      <c r="A272" s="103" t="s">
        <v>527</v>
      </c>
      <c r="B272" s="104" t="s">
        <v>1718</v>
      </c>
      <c r="C272" s="105" t="s">
        <v>20</v>
      </c>
      <c r="D272" s="105">
        <v>0</v>
      </c>
      <c r="E272" s="124">
        <f ca="1">OFFSET(INDEX(Composições!A:J,MATCH(Orçamentária!A272,Composições!A:A,0),8),2,0)</f>
        <v>1.9408500000000002</v>
      </c>
      <c r="F272" s="125">
        <f t="shared" ca="1" si="12"/>
        <v>0</v>
      </c>
      <c r="G272" s="126" t="e">
        <f>IF(A272&lt;&gt;"",IF(AND(#REF!="Padrão",$H$4=#REF!),BDI!$B$17,IF(AND(#REF!="Padrão",$H$4=#REF!),BDI!#REF!,IF(AND(#REF!="Diferenciado",$H$4=#REF!),BDI!$E$17,IF(AND(#REF!="Diferenciado",$H$4=#REF!),BDI!#REF!,IF(#REF!="ZERO",0))))),"")</f>
        <v>#REF!</v>
      </c>
      <c r="H272" s="127" t="e">
        <f t="shared" ca="1" si="13"/>
        <v>#REF!</v>
      </c>
      <c r="I272" s="125" t="e">
        <f t="shared" ca="1" si="14"/>
        <v>#REF!</v>
      </c>
    </row>
    <row r="273" spans="1:9" hidden="1" x14ac:dyDescent="0.25">
      <c r="A273" s="103" t="s">
        <v>529</v>
      </c>
      <c r="B273" s="104" t="s">
        <v>1719</v>
      </c>
      <c r="C273" s="105" t="s">
        <v>20</v>
      </c>
      <c r="D273" s="105">
        <v>0</v>
      </c>
      <c r="E273" s="124">
        <f ca="1">OFFSET(INDEX(Composições!A:J,MATCH(Orçamentária!A273,Composições!A:A,0),8),2,0)</f>
        <v>2.9112749999999998</v>
      </c>
      <c r="F273" s="125">
        <f t="shared" ca="1" si="12"/>
        <v>0</v>
      </c>
      <c r="G273" s="126" t="e">
        <f>IF(A273&lt;&gt;"",IF(AND(#REF!="Padrão",$H$4=#REF!),BDI!$B$17,IF(AND(#REF!="Padrão",$H$4=#REF!),BDI!#REF!,IF(AND(#REF!="Diferenciado",$H$4=#REF!),BDI!$E$17,IF(AND(#REF!="Diferenciado",$H$4=#REF!),BDI!#REF!,IF(#REF!="ZERO",0))))),"")</f>
        <v>#REF!</v>
      </c>
      <c r="H273" s="127" t="e">
        <f t="shared" ca="1" si="13"/>
        <v>#REF!</v>
      </c>
      <c r="I273" s="125" t="e">
        <f t="shared" ca="1" si="14"/>
        <v>#REF!</v>
      </c>
    </row>
    <row r="274" spans="1:9" hidden="1" x14ac:dyDescent="0.25">
      <c r="A274" s="103" t="s">
        <v>531</v>
      </c>
      <c r="B274" s="104" t="s">
        <v>1720</v>
      </c>
      <c r="C274" s="105" t="s">
        <v>20</v>
      </c>
      <c r="D274" s="105">
        <v>0</v>
      </c>
      <c r="E274" s="124">
        <f ca="1">OFFSET(INDEX(Composições!A:J,MATCH(Orçamentária!A274,Composições!A:A,0),8),2,0)</f>
        <v>6.6832499999999992</v>
      </c>
      <c r="F274" s="125">
        <f t="shared" ca="1" si="12"/>
        <v>0</v>
      </c>
      <c r="G274" s="126" t="e">
        <f>IF(A274&lt;&gt;"",IF(AND(#REF!="Padrão",$H$4=#REF!),BDI!$B$17,IF(AND(#REF!="Padrão",$H$4=#REF!),BDI!#REF!,IF(AND(#REF!="Diferenciado",$H$4=#REF!),BDI!$E$17,IF(AND(#REF!="Diferenciado",$H$4=#REF!),BDI!#REF!,IF(#REF!="ZERO",0))))),"")</f>
        <v>#REF!</v>
      </c>
      <c r="H274" s="127" t="e">
        <f t="shared" ca="1" si="13"/>
        <v>#REF!</v>
      </c>
      <c r="I274" s="125" t="e">
        <f t="shared" ca="1" si="14"/>
        <v>#REF!</v>
      </c>
    </row>
    <row r="275" spans="1:9" s="184" customFormat="1" x14ac:dyDescent="0.25">
      <c r="A275" s="185" t="s">
        <v>533</v>
      </c>
      <c r="B275" s="186" t="s">
        <v>1721</v>
      </c>
      <c r="C275" s="187" t="s">
        <v>20</v>
      </c>
      <c r="D275" s="187">
        <v>404</v>
      </c>
      <c r="E275" s="124">
        <f ca="1">OFFSET(INDEX(Composições!A:J,MATCH(Orçamentária!A275,Composições!A:A,0),8),2,0)</f>
        <v>34.042940000000002</v>
      </c>
      <c r="F275" s="125">
        <f t="shared" ca="1" si="12"/>
        <v>13753.347760000001</v>
      </c>
      <c r="G275" s="126">
        <f>BDI!$B$17</f>
        <v>0.191</v>
      </c>
      <c r="H275" s="127">
        <f t="shared" ca="1" si="13"/>
        <v>40.549999999999997</v>
      </c>
      <c r="I275" s="204">
        <f t="shared" ca="1" si="14"/>
        <v>16382.2</v>
      </c>
    </row>
    <row r="276" spans="1:9" hidden="1" x14ac:dyDescent="0.25">
      <c r="A276" s="103" t="s">
        <v>534</v>
      </c>
      <c r="B276" s="104" t="s">
        <v>1722</v>
      </c>
      <c r="C276" s="105" t="s">
        <v>20</v>
      </c>
      <c r="D276" s="105">
        <v>0</v>
      </c>
      <c r="E276" s="124">
        <f ca="1">OFFSET(INDEX(Composições!A:J,MATCH(Orçamentária!A276,Composições!A:A,0),8),2,0)</f>
        <v>28.960749999999997</v>
      </c>
      <c r="F276" s="125">
        <f t="shared" ca="1" si="12"/>
        <v>0</v>
      </c>
      <c r="G276" s="126" t="e">
        <f>IF(A276&lt;&gt;"",IF(AND(#REF!="Padrão",$H$4=#REF!),BDI!$B$17,IF(AND(#REF!="Padrão",$H$4=#REF!),BDI!#REF!,IF(AND(#REF!="Diferenciado",$H$4=#REF!),BDI!$E$17,IF(AND(#REF!="Diferenciado",$H$4=#REF!),BDI!#REF!,IF(#REF!="ZERO",0))))),"")</f>
        <v>#REF!</v>
      </c>
      <c r="H276" s="127" t="e">
        <f t="shared" ca="1" si="13"/>
        <v>#REF!</v>
      </c>
      <c r="I276" s="125" t="e">
        <f t="shared" ca="1" si="14"/>
        <v>#REF!</v>
      </c>
    </row>
    <row r="277" spans="1:9" hidden="1" x14ac:dyDescent="0.25">
      <c r="A277" s="103" t="s">
        <v>537</v>
      </c>
      <c r="B277" s="104" t="s">
        <v>1723</v>
      </c>
      <c r="C277" s="105" t="s">
        <v>20</v>
      </c>
      <c r="D277" s="105">
        <v>0</v>
      </c>
      <c r="E277" s="124">
        <f ca="1">OFFSET(INDEX(Composições!A:J,MATCH(Orçamentária!A277,Composições!A:A,0),8),2,0)</f>
        <v>5.9655525499999991</v>
      </c>
      <c r="F277" s="125">
        <f t="shared" ca="1" si="12"/>
        <v>0</v>
      </c>
      <c r="G277" s="126" t="e">
        <f>IF(A277&lt;&gt;"",IF(AND(#REF!="Padrão",$H$4=#REF!),BDI!$B$17,IF(AND(#REF!="Padrão",$H$4=#REF!),BDI!#REF!,IF(AND(#REF!="Diferenciado",$H$4=#REF!),BDI!$E$17,IF(AND(#REF!="Diferenciado",$H$4=#REF!),BDI!#REF!,IF(#REF!="ZERO",0))))),"")</f>
        <v>#REF!</v>
      </c>
      <c r="H277" s="127" t="e">
        <f t="shared" ca="1" si="13"/>
        <v>#REF!</v>
      </c>
      <c r="I277" s="125" t="e">
        <f t="shared" ca="1" si="14"/>
        <v>#REF!</v>
      </c>
    </row>
    <row r="278" spans="1:9" hidden="1" x14ac:dyDescent="0.25">
      <c r="A278" s="103" t="s">
        <v>539</v>
      </c>
      <c r="B278" s="104" t="s">
        <v>1724</v>
      </c>
      <c r="C278" s="105" t="s">
        <v>20</v>
      </c>
      <c r="D278" s="105">
        <v>0</v>
      </c>
      <c r="E278" s="124">
        <f ca="1">OFFSET(INDEX(Composições!A:J,MATCH(Orçamentária!A278,Composições!A:A,0),8),2,0)</f>
        <v>36.601980149999996</v>
      </c>
      <c r="F278" s="125">
        <f t="shared" ca="1" si="12"/>
        <v>0</v>
      </c>
      <c r="G278" s="126" t="e">
        <f>IF(A278&lt;&gt;"",IF(AND(#REF!="Padrão",$H$4=#REF!),BDI!$B$17,IF(AND(#REF!="Padrão",$H$4=#REF!),BDI!#REF!,IF(AND(#REF!="Diferenciado",$H$4=#REF!),BDI!$E$17,IF(AND(#REF!="Diferenciado",$H$4=#REF!),BDI!#REF!,IF(#REF!="ZERO",0))))),"")</f>
        <v>#REF!</v>
      </c>
      <c r="H278" s="127" t="e">
        <f t="shared" ca="1" si="13"/>
        <v>#REF!</v>
      </c>
      <c r="I278" s="125" t="e">
        <f t="shared" ca="1" si="14"/>
        <v>#REF!</v>
      </c>
    </row>
    <row r="279" spans="1:9" s="184" customFormat="1" x14ac:dyDescent="0.25">
      <c r="A279" s="185" t="s">
        <v>543</v>
      </c>
      <c r="B279" s="186" t="s">
        <v>1725</v>
      </c>
      <c r="C279" s="187" t="s">
        <v>20</v>
      </c>
      <c r="D279" s="187">
        <v>25</v>
      </c>
      <c r="E279" s="124">
        <f ca="1">OFFSET(INDEX(Composições!A:J,MATCH(Orçamentária!A279,Composições!A:A,0),8),2,0)</f>
        <v>243.40198015000001</v>
      </c>
      <c r="F279" s="125">
        <f t="shared" ca="1" si="12"/>
        <v>6085.0495037500004</v>
      </c>
      <c r="G279" s="126">
        <f>BDI!$B$17</f>
        <v>0.191</v>
      </c>
      <c r="H279" s="127">
        <f t="shared" ca="1" si="13"/>
        <v>289.89</v>
      </c>
      <c r="I279" s="204">
        <f t="shared" ca="1" si="14"/>
        <v>7247.25</v>
      </c>
    </row>
    <row r="280" spans="1:9" hidden="1" x14ac:dyDescent="0.25">
      <c r="A280" s="103" t="s">
        <v>546</v>
      </c>
      <c r="B280" s="104" t="s">
        <v>1726</v>
      </c>
      <c r="C280" s="105" t="s">
        <v>20</v>
      </c>
      <c r="D280" s="105">
        <v>0</v>
      </c>
      <c r="E280" s="124">
        <f ca="1">OFFSET(INDEX(Composições!A:J,MATCH(Orçamentária!A280,Composições!A:A,0),8),2,0)</f>
        <v>151.45255754999999</v>
      </c>
      <c r="F280" s="125">
        <f t="shared" ca="1" si="12"/>
        <v>0</v>
      </c>
      <c r="G280" s="126" t="e">
        <f>IF(A280&lt;&gt;"",IF(AND(#REF!="Padrão",$H$4=#REF!),BDI!$B$17,IF(AND(#REF!="Padrão",$H$4=#REF!),BDI!#REF!,IF(AND(#REF!="Diferenciado",$H$4=#REF!),BDI!$E$17,IF(AND(#REF!="Diferenciado",$H$4=#REF!),BDI!#REF!,IF(#REF!="ZERO",0))))),"")</f>
        <v>#REF!</v>
      </c>
      <c r="H280" s="127" t="e">
        <f t="shared" ca="1" si="13"/>
        <v>#REF!</v>
      </c>
      <c r="I280" s="125" t="e">
        <f t="shared" ca="1" si="14"/>
        <v>#REF!</v>
      </c>
    </row>
    <row r="281" spans="1:9" hidden="1" x14ac:dyDescent="0.25">
      <c r="A281" s="103" t="s">
        <v>548</v>
      </c>
      <c r="B281" s="104" t="s">
        <v>1727</v>
      </c>
      <c r="C281" s="105" t="s">
        <v>20</v>
      </c>
      <c r="D281" s="105">
        <v>0</v>
      </c>
      <c r="E281" s="124">
        <f ca="1">OFFSET(INDEX(Composições!A:J,MATCH(Orçamentária!A281,Composições!A:A,0),8),2,0)</f>
        <v>124.01198014999999</v>
      </c>
      <c r="F281" s="125">
        <f t="shared" ca="1" si="12"/>
        <v>0</v>
      </c>
      <c r="G281" s="126" t="e">
        <f>IF(A281&lt;&gt;"",IF(AND(#REF!="Padrão",$H$4=#REF!),BDI!$B$17,IF(AND(#REF!="Padrão",$H$4=#REF!),BDI!#REF!,IF(AND(#REF!="Diferenciado",$H$4=#REF!),BDI!$E$17,IF(AND(#REF!="Diferenciado",$H$4=#REF!),BDI!#REF!,IF(#REF!="ZERO",0))))),"")</f>
        <v>#REF!</v>
      </c>
      <c r="H281" s="127" t="e">
        <f t="shared" ca="1" si="13"/>
        <v>#REF!</v>
      </c>
      <c r="I281" s="125" t="e">
        <f t="shared" ca="1" si="14"/>
        <v>#REF!</v>
      </c>
    </row>
    <row r="282" spans="1:9" hidden="1" x14ac:dyDescent="0.25">
      <c r="A282" s="103" t="s">
        <v>551</v>
      </c>
      <c r="B282" s="104" t="s">
        <v>1728</v>
      </c>
      <c r="C282" s="105" t="s">
        <v>20</v>
      </c>
      <c r="D282" s="105">
        <v>0</v>
      </c>
      <c r="E282" s="124">
        <f ca="1">OFFSET(INDEX(Composições!A:J,MATCH(Orçamentária!A282,Composições!A:A,0),8),2,0)</f>
        <v>125.98255754999998</v>
      </c>
      <c r="F282" s="125">
        <f t="shared" ca="1" si="12"/>
        <v>0</v>
      </c>
      <c r="G282" s="126" t="e">
        <f>IF(A282&lt;&gt;"",IF(AND(#REF!="Padrão",$H$4=#REF!),BDI!$B$17,IF(AND(#REF!="Padrão",$H$4=#REF!),BDI!#REF!,IF(AND(#REF!="Diferenciado",$H$4=#REF!),BDI!$E$17,IF(AND(#REF!="Diferenciado",$H$4=#REF!),BDI!#REF!,IF(#REF!="ZERO",0))))),"")</f>
        <v>#REF!</v>
      </c>
      <c r="H282" s="127" t="e">
        <f t="shared" ca="1" si="13"/>
        <v>#REF!</v>
      </c>
      <c r="I282" s="125" t="e">
        <f t="shared" ca="1" si="14"/>
        <v>#REF!</v>
      </c>
    </row>
    <row r="283" spans="1:9" s="184" customFormat="1" x14ac:dyDescent="0.25">
      <c r="A283" s="185" t="s">
        <v>553</v>
      </c>
      <c r="B283" s="186" t="s">
        <v>4028</v>
      </c>
      <c r="C283" s="187" t="s">
        <v>93</v>
      </c>
      <c r="D283" s="187">
        <v>8998.5</v>
      </c>
      <c r="E283" s="124">
        <f ca="1">OFFSET(INDEX(Composições!A:J,MATCH(Orçamentária!A283,Composições!A:A,0),8),2,0)</f>
        <v>17.221314999999997</v>
      </c>
      <c r="F283" s="125">
        <f t="shared" ca="1" si="12"/>
        <v>154966.00302749997</v>
      </c>
      <c r="G283" s="126">
        <f>BDI!$B$17</f>
        <v>0.191</v>
      </c>
      <c r="H283" s="127">
        <f t="shared" ca="1" si="13"/>
        <v>20.51</v>
      </c>
      <c r="I283" s="204">
        <f t="shared" ca="1" si="14"/>
        <v>184559.24</v>
      </c>
    </row>
    <row r="284" spans="1:9" s="184" customFormat="1" x14ac:dyDescent="0.25">
      <c r="A284" s="185" t="s">
        <v>556</v>
      </c>
      <c r="B284" s="186" t="s">
        <v>4029</v>
      </c>
      <c r="C284" s="187" t="s">
        <v>93</v>
      </c>
      <c r="D284" s="187">
        <v>70.400000000000006</v>
      </c>
      <c r="E284" s="124">
        <f ca="1">OFFSET(INDEX(Composições!A:J,MATCH(Orçamentária!A284,Composições!A:A,0),8),2,0)</f>
        <v>25.575481999999997</v>
      </c>
      <c r="F284" s="125">
        <f t="shared" ca="1" si="12"/>
        <v>1800.5139328</v>
      </c>
      <c r="G284" s="126">
        <f>BDI!$B$17</f>
        <v>0.191</v>
      </c>
      <c r="H284" s="127">
        <f t="shared" ca="1" si="13"/>
        <v>30.46</v>
      </c>
      <c r="I284" s="204">
        <f t="shared" ca="1" si="14"/>
        <v>2144.38</v>
      </c>
    </row>
    <row r="285" spans="1:9" s="184" customFormat="1" x14ac:dyDescent="0.25">
      <c r="A285" s="185" t="s">
        <v>558</v>
      </c>
      <c r="B285" s="186" t="s">
        <v>1729</v>
      </c>
      <c r="C285" s="187" t="s">
        <v>93</v>
      </c>
      <c r="D285" s="187">
        <v>4354</v>
      </c>
      <c r="E285" s="124">
        <f ca="1">OFFSET(INDEX(Composições!A:J,MATCH(Orçamentária!A285,Composições!A:A,0),8),2,0)</f>
        <v>4.7871759999999988</v>
      </c>
      <c r="F285" s="125">
        <f t="shared" ca="1" si="12"/>
        <v>20843.364303999995</v>
      </c>
      <c r="G285" s="126">
        <f>BDI!$B$17</f>
        <v>0.191</v>
      </c>
      <c r="H285" s="127">
        <f t="shared" ca="1" si="13"/>
        <v>5.7</v>
      </c>
      <c r="I285" s="204">
        <f t="shared" ca="1" si="14"/>
        <v>24817.8</v>
      </c>
    </row>
    <row r="286" spans="1:9" hidden="1" x14ac:dyDescent="0.25">
      <c r="A286" s="103" t="s">
        <v>560</v>
      </c>
      <c r="B286" s="104" t="s">
        <v>1730</v>
      </c>
      <c r="C286" s="105" t="s">
        <v>93</v>
      </c>
      <c r="D286" s="105">
        <v>0</v>
      </c>
      <c r="E286" s="124">
        <f ca="1">OFFSET(INDEX(Composições!A:J,MATCH(Orçamentária!A286,Composições!A:A,0),8),2,0)</f>
        <v>2.3520859999999999</v>
      </c>
      <c r="F286" s="125">
        <f t="shared" ca="1" si="12"/>
        <v>0</v>
      </c>
      <c r="G286" s="126" t="e">
        <f>IF(A286&lt;&gt;"",IF(AND(#REF!="Padrão",$H$4=#REF!),BDI!$B$17,IF(AND(#REF!="Padrão",$H$4=#REF!),BDI!#REF!,IF(AND(#REF!="Diferenciado",$H$4=#REF!),BDI!$E$17,IF(AND(#REF!="Diferenciado",$H$4=#REF!),BDI!#REF!,IF(#REF!="ZERO",0))))),"")</f>
        <v>#REF!</v>
      </c>
      <c r="H286" s="127" t="e">
        <f t="shared" ca="1" si="13"/>
        <v>#REF!</v>
      </c>
      <c r="I286" s="125" t="e">
        <f t="shared" ca="1" si="14"/>
        <v>#REF!</v>
      </c>
    </row>
    <row r="287" spans="1:9" hidden="1" x14ac:dyDescent="0.25">
      <c r="A287" s="103" t="s">
        <v>562</v>
      </c>
      <c r="B287" s="104" t="s">
        <v>1731</v>
      </c>
      <c r="C287" s="105" t="s">
        <v>93</v>
      </c>
      <c r="D287" s="105">
        <v>0</v>
      </c>
      <c r="E287" s="124">
        <f ca="1">OFFSET(INDEX(Composições!A:J,MATCH(Orçamentária!A287,Composições!A:A,0),8),2,0)</f>
        <v>1.8174259999999998</v>
      </c>
      <c r="F287" s="125">
        <f t="shared" ca="1" si="12"/>
        <v>0</v>
      </c>
      <c r="G287" s="126" t="e">
        <f>IF(A287&lt;&gt;"",IF(AND(#REF!="Padrão",$H$4=#REF!),BDI!$B$17,IF(AND(#REF!="Padrão",$H$4=#REF!),BDI!#REF!,IF(AND(#REF!="Diferenciado",$H$4=#REF!),BDI!$E$17,IF(AND(#REF!="Diferenciado",$H$4=#REF!),BDI!#REF!,IF(#REF!="ZERO",0))))),"")</f>
        <v>#REF!</v>
      </c>
      <c r="H287" s="127" t="e">
        <f t="shared" ca="1" si="13"/>
        <v>#REF!</v>
      </c>
      <c r="I287" s="125" t="e">
        <f t="shared" ca="1" si="14"/>
        <v>#REF!</v>
      </c>
    </row>
    <row r="288" spans="1:9" s="184" customFormat="1" x14ac:dyDescent="0.25">
      <c r="A288" s="185" t="s">
        <v>564</v>
      </c>
      <c r="B288" s="186" t="s">
        <v>1732</v>
      </c>
      <c r="C288" s="187" t="s">
        <v>93</v>
      </c>
      <c r="D288" s="187">
        <v>200</v>
      </c>
      <c r="E288" s="124">
        <f ca="1">OFFSET(INDEX(Composições!A:J,MATCH(Orçamentária!A288,Composições!A:A,0),8),2,0)</f>
        <v>13.267364999999998</v>
      </c>
      <c r="F288" s="125">
        <f t="shared" ca="1" si="12"/>
        <v>2653.4729999999995</v>
      </c>
      <c r="G288" s="126">
        <f>BDI!$B$17</f>
        <v>0.191</v>
      </c>
      <c r="H288" s="127">
        <f t="shared" ca="1" si="13"/>
        <v>15.8</v>
      </c>
      <c r="I288" s="204">
        <f t="shared" ca="1" si="14"/>
        <v>3160</v>
      </c>
    </row>
    <row r="289" spans="1:9" s="184" customFormat="1" x14ac:dyDescent="0.25">
      <c r="A289" s="185" t="s">
        <v>566</v>
      </c>
      <c r="B289" s="186" t="s">
        <v>1733</v>
      </c>
      <c r="C289" s="187" t="s">
        <v>93</v>
      </c>
      <c r="D289" s="187">
        <v>324</v>
      </c>
      <c r="E289" s="124">
        <f ca="1">OFFSET(INDEX(Composições!A:J,MATCH(Orçamentária!A289,Composições!A:A,0),8),2,0)</f>
        <v>9.9680859999999996</v>
      </c>
      <c r="F289" s="125">
        <f t="shared" ca="1" si="12"/>
        <v>3229.6598639999997</v>
      </c>
      <c r="G289" s="126">
        <f>BDI!$B$17</f>
        <v>0.191</v>
      </c>
      <c r="H289" s="127">
        <f t="shared" ca="1" si="13"/>
        <v>11.87</v>
      </c>
      <c r="I289" s="204">
        <f t="shared" ca="1" si="14"/>
        <v>3845.88</v>
      </c>
    </row>
    <row r="290" spans="1:9" hidden="1" x14ac:dyDescent="0.25">
      <c r="A290" s="103" t="s">
        <v>568</v>
      </c>
      <c r="B290" s="104" t="s">
        <v>1734</v>
      </c>
      <c r="C290" s="105" t="s">
        <v>20</v>
      </c>
      <c r="D290" s="105">
        <v>0</v>
      </c>
      <c r="E290" s="124">
        <f ca="1">OFFSET(INDEX(Composições!A:J,MATCH(Orçamentária!A290,Composições!A:A,0),8),2,0)</f>
        <v>42.706477200991998</v>
      </c>
      <c r="F290" s="125">
        <f t="shared" ca="1" si="12"/>
        <v>0</v>
      </c>
      <c r="G290" s="126" t="e">
        <f>IF(A290&lt;&gt;"",IF(AND(#REF!="Padrão",$H$4=#REF!),BDI!$B$17,IF(AND(#REF!="Padrão",$H$4=#REF!),BDI!#REF!,IF(AND(#REF!="Diferenciado",$H$4=#REF!),BDI!$E$17,IF(AND(#REF!="Diferenciado",$H$4=#REF!),BDI!#REF!,IF(#REF!="ZERO",0))))),"")</f>
        <v>#REF!</v>
      </c>
      <c r="H290" s="127" t="e">
        <f t="shared" ca="1" si="13"/>
        <v>#REF!</v>
      </c>
      <c r="I290" s="125" t="e">
        <f t="shared" ca="1" si="14"/>
        <v>#REF!</v>
      </c>
    </row>
    <row r="291" spans="1:9" hidden="1" x14ac:dyDescent="0.25">
      <c r="A291" s="103" t="s">
        <v>1735</v>
      </c>
      <c r="B291" s="104" t="s">
        <v>6360</v>
      </c>
      <c r="C291" s="105" t="s">
        <v>20</v>
      </c>
      <c r="D291" s="105">
        <v>0</v>
      </c>
      <c r="E291" s="124" t="s">
        <v>523</v>
      </c>
      <c r="F291" s="125" t="str">
        <f t="shared" si="12"/>
        <v/>
      </c>
      <c r="G291" s="126" t="e">
        <f>IF(A291&lt;&gt;"",IF(AND(#REF!="Padrão",$H$4=#REF!),BDI!$B$17,IF(AND(#REF!="Padrão",$H$4=#REF!),BDI!#REF!,IF(AND(#REF!="Diferenciado",$H$4=#REF!),BDI!$E$17,IF(AND(#REF!="Diferenciado",$H$4=#REF!),BDI!#REF!,IF(#REF!="ZERO",0))))),"")</f>
        <v>#REF!</v>
      </c>
      <c r="H291" s="127" t="str">
        <f t="shared" si="13"/>
        <v/>
      </c>
      <c r="I291" s="125" t="str">
        <f t="shared" si="14"/>
        <v/>
      </c>
    </row>
    <row r="292" spans="1:9" hidden="1" x14ac:dyDescent="0.25">
      <c r="A292" s="103" t="s">
        <v>1736</v>
      </c>
      <c r="B292" s="104" t="s">
        <v>1737</v>
      </c>
      <c r="C292" s="105" t="s">
        <v>20</v>
      </c>
      <c r="D292" s="105">
        <v>0</v>
      </c>
      <c r="E292" s="124" t="s">
        <v>523</v>
      </c>
      <c r="F292" s="125" t="str">
        <f t="shared" si="12"/>
        <v/>
      </c>
      <c r="G292" s="126" t="e">
        <f>IF(A292&lt;&gt;"",IF(AND(#REF!="Padrão",$H$4=#REF!),BDI!$B$17,IF(AND(#REF!="Padrão",$H$4=#REF!),BDI!#REF!,IF(AND(#REF!="Diferenciado",$H$4=#REF!),BDI!$E$17,IF(AND(#REF!="Diferenciado",$H$4=#REF!),BDI!#REF!,IF(#REF!="ZERO",0))))),"")</f>
        <v>#REF!</v>
      </c>
      <c r="H292" s="127" t="str">
        <f t="shared" si="13"/>
        <v/>
      </c>
      <c r="I292" s="125" t="str">
        <f t="shared" si="14"/>
        <v/>
      </c>
    </row>
    <row r="293" spans="1:9" hidden="1" x14ac:dyDescent="0.25">
      <c r="A293" s="103" t="s">
        <v>1738</v>
      </c>
      <c r="B293" s="104" t="s">
        <v>1739</v>
      </c>
      <c r="C293" s="105" t="s">
        <v>20</v>
      </c>
      <c r="D293" s="105">
        <v>0</v>
      </c>
      <c r="E293" s="124" t="s">
        <v>523</v>
      </c>
      <c r="F293" s="125" t="str">
        <f t="shared" si="12"/>
        <v/>
      </c>
      <c r="G293" s="126" t="e">
        <f>IF(A293&lt;&gt;"",IF(AND(#REF!="Padrão",$H$4=#REF!),BDI!$B$17,IF(AND(#REF!="Padrão",$H$4=#REF!),BDI!#REF!,IF(AND(#REF!="Diferenciado",$H$4=#REF!),BDI!$E$17,IF(AND(#REF!="Diferenciado",$H$4=#REF!),BDI!#REF!,IF(#REF!="ZERO",0))))),"")</f>
        <v>#REF!</v>
      </c>
      <c r="H293" s="127" t="str">
        <f t="shared" si="13"/>
        <v/>
      </c>
      <c r="I293" s="125" t="str">
        <f t="shared" si="14"/>
        <v/>
      </c>
    </row>
    <row r="294" spans="1:9" hidden="1" x14ac:dyDescent="0.25">
      <c r="A294" s="103" t="s">
        <v>1740</v>
      </c>
      <c r="B294" s="104" t="s">
        <v>1741</v>
      </c>
      <c r="C294" s="105" t="s">
        <v>20</v>
      </c>
      <c r="D294" s="105">
        <v>0</v>
      </c>
      <c r="E294" s="124" t="s">
        <v>523</v>
      </c>
      <c r="F294" s="125" t="str">
        <f t="shared" si="12"/>
        <v/>
      </c>
      <c r="G294" s="126" t="e">
        <f>IF(A294&lt;&gt;"",IF(AND(#REF!="Padrão",$H$4=#REF!),BDI!$B$17,IF(AND(#REF!="Padrão",$H$4=#REF!),BDI!#REF!,IF(AND(#REF!="Diferenciado",$H$4=#REF!),BDI!$E$17,IF(AND(#REF!="Diferenciado",$H$4=#REF!),BDI!#REF!,IF(#REF!="ZERO",0))))),"")</f>
        <v>#REF!</v>
      </c>
      <c r="H294" s="127" t="str">
        <f t="shared" si="13"/>
        <v/>
      </c>
      <c r="I294" s="125" t="str">
        <f t="shared" si="14"/>
        <v/>
      </c>
    </row>
    <row r="295" spans="1:9" hidden="1" x14ac:dyDescent="0.25">
      <c r="A295" s="103" t="s">
        <v>1742</v>
      </c>
      <c r="B295" s="104" t="s">
        <v>1743</v>
      </c>
      <c r="C295" s="105" t="s">
        <v>20</v>
      </c>
      <c r="D295" s="105">
        <v>0</v>
      </c>
      <c r="E295" s="124" t="s">
        <v>523</v>
      </c>
      <c r="F295" s="125" t="str">
        <f t="shared" si="12"/>
        <v/>
      </c>
      <c r="G295" s="126" t="e">
        <f>IF(A295&lt;&gt;"",IF(AND(#REF!="Padrão",$H$4=#REF!),BDI!$B$17,IF(AND(#REF!="Padrão",$H$4=#REF!),BDI!#REF!,IF(AND(#REF!="Diferenciado",$H$4=#REF!),BDI!$E$17,IF(AND(#REF!="Diferenciado",$H$4=#REF!),BDI!#REF!,IF(#REF!="ZERO",0))))),"")</f>
        <v>#REF!</v>
      </c>
      <c r="H295" s="127" t="str">
        <f t="shared" si="13"/>
        <v/>
      </c>
      <c r="I295" s="125" t="str">
        <f t="shared" si="14"/>
        <v/>
      </c>
    </row>
    <row r="296" spans="1:9" s="184" customFormat="1" x14ac:dyDescent="0.25">
      <c r="A296" s="185" t="s">
        <v>1744</v>
      </c>
      <c r="B296" s="186" t="s">
        <v>1745</v>
      </c>
      <c r="C296" s="187" t="s">
        <v>20</v>
      </c>
      <c r="D296" s="187">
        <v>14</v>
      </c>
      <c r="E296" s="202">
        <v>2204.2399999999998</v>
      </c>
      <c r="F296" s="125">
        <f t="shared" si="12"/>
        <v>30859.359999999997</v>
      </c>
      <c r="G296" s="126">
        <f>BDI!$E$17</f>
        <v>0.11260000000000001</v>
      </c>
      <c r="H296" s="127">
        <f t="shared" si="13"/>
        <v>2452.44</v>
      </c>
      <c r="I296" s="204">
        <f t="shared" si="14"/>
        <v>34334.160000000003</v>
      </c>
    </row>
    <row r="297" spans="1:9" s="184" customFormat="1" x14ac:dyDescent="0.25">
      <c r="A297" s="185" t="s">
        <v>1746</v>
      </c>
      <c r="B297" s="186" t="s">
        <v>1747</v>
      </c>
      <c r="C297" s="187" t="s">
        <v>20</v>
      </c>
      <c r="D297" s="187">
        <v>6</v>
      </c>
      <c r="E297" s="202">
        <v>3867.26</v>
      </c>
      <c r="F297" s="125">
        <f t="shared" si="12"/>
        <v>23203.56</v>
      </c>
      <c r="G297" s="126">
        <f>BDI!$E$17</f>
        <v>0.11260000000000001</v>
      </c>
      <c r="H297" s="127">
        <f t="shared" si="13"/>
        <v>4302.71</v>
      </c>
      <c r="I297" s="204">
        <f t="shared" si="14"/>
        <v>25816.26</v>
      </c>
    </row>
    <row r="298" spans="1:9" hidden="1" x14ac:dyDescent="0.25">
      <c r="A298" s="103" t="s">
        <v>570</v>
      </c>
      <c r="B298" s="104" t="s">
        <v>1748</v>
      </c>
      <c r="C298" s="105" t="s">
        <v>20</v>
      </c>
      <c r="D298" s="105">
        <v>0</v>
      </c>
      <c r="E298" s="124">
        <f ca="1">OFFSET(INDEX(Composições!A:J,MATCH(Orçamentária!A298,Composições!A:A,0),8),2,0)</f>
        <v>95.209000000000003</v>
      </c>
      <c r="F298" s="125">
        <f t="shared" ca="1" si="12"/>
        <v>0</v>
      </c>
      <c r="G298" s="126" t="e">
        <f>IF(A298&lt;&gt;"",IF(AND(#REF!="Padrão",$H$4=#REF!),BDI!$B$17,IF(AND(#REF!="Padrão",$H$4=#REF!),BDI!#REF!,IF(AND(#REF!="Diferenciado",$H$4=#REF!),BDI!$E$17,IF(AND(#REF!="Diferenciado",$H$4=#REF!),BDI!#REF!,IF(#REF!="ZERO",0))))),"")</f>
        <v>#REF!</v>
      </c>
      <c r="H298" s="127" t="e">
        <f t="shared" ca="1" si="13"/>
        <v>#REF!</v>
      </c>
      <c r="I298" s="125" t="e">
        <f t="shared" ca="1" si="14"/>
        <v>#REF!</v>
      </c>
    </row>
    <row r="299" spans="1:9" hidden="1" x14ac:dyDescent="0.25">
      <c r="A299" s="103" t="s">
        <v>572</v>
      </c>
      <c r="B299" s="104" t="s">
        <v>1749</v>
      </c>
      <c r="C299" s="105" t="s">
        <v>20</v>
      </c>
      <c r="D299" s="105">
        <v>0</v>
      </c>
      <c r="E299" s="124">
        <f ca="1">OFFSET(INDEX(Composições!A:J,MATCH(Orçamentária!A299,Composições!A:A,0),8),2,0)</f>
        <v>142.81349999999998</v>
      </c>
      <c r="F299" s="125">
        <f t="shared" ca="1" si="12"/>
        <v>0</v>
      </c>
      <c r="G299" s="126" t="e">
        <f>IF(A299&lt;&gt;"",IF(AND(#REF!="Padrão",$H$4=#REF!),BDI!$B$17,IF(AND(#REF!="Padrão",$H$4=#REF!),BDI!#REF!,IF(AND(#REF!="Diferenciado",$H$4=#REF!),BDI!$E$17,IF(AND(#REF!="Diferenciado",$H$4=#REF!),BDI!#REF!,IF(#REF!="ZERO",0))))),"")</f>
        <v>#REF!</v>
      </c>
      <c r="H299" s="127" t="e">
        <f t="shared" ca="1" si="13"/>
        <v>#REF!</v>
      </c>
      <c r="I299" s="125" t="e">
        <f t="shared" ca="1" si="14"/>
        <v>#REF!</v>
      </c>
    </row>
    <row r="300" spans="1:9" hidden="1" x14ac:dyDescent="0.25">
      <c r="A300" s="103" t="s">
        <v>573</v>
      </c>
      <c r="B300" s="104" t="s">
        <v>1750</v>
      </c>
      <c r="C300" s="105" t="s">
        <v>20</v>
      </c>
      <c r="D300" s="105">
        <v>0</v>
      </c>
      <c r="E300" s="124">
        <f ca="1">OFFSET(INDEX(Composições!A:J,MATCH(Orçamentária!A300,Composições!A:A,0),8),2,0)</f>
        <v>44.554999999999993</v>
      </c>
      <c r="F300" s="125">
        <f t="shared" ca="1" si="12"/>
        <v>0</v>
      </c>
      <c r="G300" s="126" t="e">
        <f>IF(A300&lt;&gt;"",IF(AND(#REF!="Padrão",$H$4=#REF!),BDI!$B$17,IF(AND(#REF!="Padrão",$H$4=#REF!),BDI!#REF!,IF(AND(#REF!="Diferenciado",$H$4=#REF!),BDI!$E$17,IF(AND(#REF!="Diferenciado",$H$4=#REF!),BDI!#REF!,IF(#REF!="ZERO",0))))),"")</f>
        <v>#REF!</v>
      </c>
      <c r="H300" s="127" t="e">
        <f t="shared" ca="1" si="13"/>
        <v>#REF!</v>
      </c>
      <c r="I300" s="125" t="e">
        <f t="shared" ca="1" si="14"/>
        <v>#REF!</v>
      </c>
    </row>
    <row r="301" spans="1:9" hidden="1" x14ac:dyDescent="0.25">
      <c r="A301" s="103" t="s">
        <v>575</v>
      </c>
      <c r="B301" s="104" t="s">
        <v>1751</v>
      </c>
      <c r="C301" s="105" t="s">
        <v>20</v>
      </c>
      <c r="D301" s="105">
        <v>0</v>
      </c>
      <c r="E301" s="124">
        <f ca="1">OFFSET(INDEX(Composições!A:J,MATCH(Orçamentária!A301,Composições!A:A,0),8),2,0)</f>
        <v>44.554999999999993</v>
      </c>
      <c r="F301" s="125">
        <f t="shared" ca="1" si="12"/>
        <v>0</v>
      </c>
      <c r="G301" s="126" t="e">
        <f>IF(A301&lt;&gt;"",IF(AND(#REF!="Padrão",$H$4=#REF!),BDI!$B$17,IF(AND(#REF!="Padrão",$H$4=#REF!),BDI!#REF!,IF(AND(#REF!="Diferenciado",$H$4=#REF!),BDI!$E$17,IF(AND(#REF!="Diferenciado",$H$4=#REF!),BDI!#REF!,IF(#REF!="ZERO",0))))),"")</f>
        <v>#REF!</v>
      </c>
      <c r="H301" s="127" t="e">
        <f t="shared" ca="1" si="13"/>
        <v>#REF!</v>
      </c>
      <c r="I301" s="125" t="e">
        <f t="shared" ca="1" si="14"/>
        <v>#REF!</v>
      </c>
    </row>
    <row r="302" spans="1:9" s="184" customFormat="1" x14ac:dyDescent="0.25">
      <c r="A302" s="185" t="s">
        <v>577</v>
      </c>
      <c r="B302" s="186" t="s">
        <v>1752</v>
      </c>
      <c r="C302" s="187" t="s">
        <v>95</v>
      </c>
      <c r="D302" s="187">
        <v>5</v>
      </c>
      <c r="E302" s="124">
        <f ca="1">OFFSET(INDEX(Composições!A:J,MATCH(Orçamentária!A302,Composições!A:A,0),8),2,0)</f>
        <v>283.24690799999996</v>
      </c>
      <c r="F302" s="125">
        <f t="shared" ca="1" si="12"/>
        <v>1416.2345399999999</v>
      </c>
      <c r="G302" s="126">
        <f>BDI!$B$17</f>
        <v>0.191</v>
      </c>
      <c r="H302" s="127">
        <f t="shared" ca="1" si="13"/>
        <v>337.35</v>
      </c>
      <c r="I302" s="204">
        <f t="shared" ca="1" si="14"/>
        <v>1686.75</v>
      </c>
    </row>
    <row r="303" spans="1:9" hidden="1" x14ac:dyDescent="0.25">
      <c r="A303" s="103" t="s">
        <v>581</v>
      </c>
      <c r="B303" s="104" t="s">
        <v>1753</v>
      </c>
      <c r="C303" s="105" t="s">
        <v>93</v>
      </c>
      <c r="D303" s="105">
        <v>0</v>
      </c>
      <c r="E303" s="124">
        <f ca="1">OFFSET(INDEX(Composições!A:J,MATCH(Orçamentária!A303,Composições!A:A,0),8),2,0)</f>
        <v>17.936</v>
      </c>
      <c r="F303" s="125">
        <f t="shared" ca="1" si="12"/>
        <v>0</v>
      </c>
      <c r="G303" s="126" t="e">
        <f>IF(A303&lt;&gt;"",IF(AND(#REF!="Padrão",$H$4=#REF!),BDI!$B$17,IF(AND(#REF!="Padrão",$H$4=#REF!),BDI!#REF!,IF(AND(#REF!="Diferenciado",$H$4=#REF!),BDI!$E$17,IF(AND(#REF!="Diferenciado",$H$4=#REF!),BDI!#REF!,IF(#REF!="ZERO",0))))),"")</f>
        <v>#REF!</v>
      </c>
      <c r="H303" s="127" t="e">
        <f t="shared" ca="1" si="13"/>
        <v>#REF!</v>
      </c>
      <c r="I303" s="125" t="e">
        <f t="shared" ca="1" si="14"/>
        <v>#REF!</v>
      </c>
    </row>
    <row r="304" spans="1:9" hidden="1" x14ac:dyDescent="0.25">
      <c r="A304" s="103" t="s">
        <v>583</v>
      </c>
      <c r="B304" s="104" t="s">
        <v>1754</v>
      </c>
      <c r="C304" s="105" t="s">
        <v>93</v>
      </c>
      <c r="D304" s="105">
        <v>0</v>
      </c>
      <c r="E304" s="124">
        <f ca="1">OFFSET(INDEX(Composições!A:J,MATCH(Orçamentária!A304,Composições!A:A,0),8),2,0)</f>
        <v>17.936</v>
      </c>
      <c r="F304" s="125">
        <f t="shared" ca="1" si="12"/>
        <v>0</v>
      </c>
      <c r="G304" s="126" t="e">
        <f>IF(A304&lt;&gt;"",IF(AND(#REF!="Padrão",$H$4=#REF!),BDI!$B$17,IF(AND(#REF!="Padrão",$H$4=#REF!),BDI!#REF!,IF(AND(#REF!="Diferenciado",$H$4=#REF!),BDI!$E$17,IF(AND(#REF!="Diferenciado",$H$4=#REF!),BDI!#REF!,IF(#REF!="ZERO",0))))),"")</f>
        <v>#REF!</v>
      </c>
      <c r="H304" s="127" t="e">
        <f t="shared" ca="1" si="13"/>
        <v>#REF!</v>
      </c>
      <c r="I304" s="125" t="e">
        <f t="shared" ca="1" si="14"/>
        <v>#REF!</v>
      </c>
    </row>
    <row r="305" spans="1:9" hidden="1" x14ac:dyDescent="0.25">
      <c r="A305" s="103" t="s">
        <v>585</v>
      </c>
      <c r="B305" s="104" t="s">
        <v>1755</v>
      </c>
      <c r="C305" s="105" t="s">
        <v>20</v>
      </c>
      <c r="D305" s="105">
        <v>0</v>
      </c>
      <c r="E305" s="124">
        <f ca="1">OFFSET(INDEX(Composições!A:J,MATCH(Orçamentária!A305,Composições!A:A,0),8),2,0)</f>
        <v>119.01124999999999</v>
      </c>
      <c r="F305" s="125">
        <f t="shared" ca="1" si="12"/>
        <v>0</v>
      </c>
      <c r="G305" s="126" t="e">
        <f>IF(A305&lt;&gt;"",IF(AND(#REF!="Padrão",$H$4=#REF!),BDI!$B$17,IF(AND(#REF!="Padrão",$H$4=#REF!),BDI!#REF!,IF(AND(#REF!="Diferenciado",$H$4=#REF!),BDI!$E$17,IF(AND(#REF!="Diferenciado",$H$4=#REF!),BDI!#REF!,IF(#REF!="ZERO",0))))),"")</f>
        <v>#REF!</v>
      </c>
      <c r="H305" s="127" t="e">
        <f t="shared" ca="1" si="13"/>
        <v>#REF!</v>
      </c>
      <c r="I305" s="125" t="e">
        <f t="shared" ca="1" si="14"/>
        <v>#REF!</v>
      </c>
    </row>
    <row r="306" spans="1:9" hidden="1" x14ac:dyDescent="0.25">
      <c r="A306" s="103" t="s">
        <v>587</v>
      </c>
      <c r="B306" s="104" t="s">
        <v>1756</v>
      </c>
      <c r="C306" s="105" t="s">
        <v>20</v>
      </c>
      <c r="D306" s="105">
        <v>0</v>
      </c>
      <c r="E306" s="124">
        <f ca="1">OFFSET(INDEX(Composições!A:J,MATCH(Orçamentária!A306,Composições!A:A,0),8),2,0)</f>
        <v>119.01124999999999</v>
      </c>
      <c r="F306" s="125">
        <f t="shared" ca="1" si="12"/>
        <v>0</v>
      </c>
      <c r="G306" s="126" t="e">
        <f>IF(A306&lt;&gt;"",IF(AND(#REF!="Padrão",$H$4=#REF!),BDI!$B$17,IF(AND(#REF!="Padrão",$H$4=#REF!),BDI!#REF!,IF(AND(#REF!="Diferenciado",$H$4=#REF!),BDI!$E$17,IF(AND(#REF!="Diferenciado",$H$4=#REF!),BDI!#REF!,IF(#REF!="ZERO",0))))),"")</f>
        <v>#REF!</v>
      </c>
      <c r="H306" s="127" t="e">
        <f t="shared" ca="1" si="13"/>
        <v>#REF!</v>
      </c>
      <c r="I306" s="125" t="e">
        <f t="shared" ca="1" si="14"/>
        <v>#REF!</v>
      </c>
    </row>
    <row r="307" spans="1:9" s="184" customFormat="1" x14ac:dyDescent="0.25">
      <c r="A307" s="185" t="s">
        <v>589</v>
      </c>
      <c r="B307" s="186" t="s">
        <v>1757</v>
      </c>
      <c r="C307" s="187" t="s">
        <v>20</v>
      </c>
      <c r="D307" s="187">
        <v>2</v>
      </c>
      <c r="E307" s="124">
        <f ca="1">OFFSET(INDEX(Composições!A:J,MATCH(Orçamentária!A307,Composições!A:A,0),8),2,0)</f>
        <v>336.81124999999997</v>
      </c>
      <c r="F307" s="125">
        <f t="shared" ca="1" si="12"/>
        <v>673.62249999999995</v>
      </c>
      <c r="G307" s="126">
        <f>BDI!$B$17</f>
        <v>0.191</v>
      </c>
      <c r="H307" s="127">
        <f t="shared" ca="1" si="13"/>
        <v>401.14</v>
      </c>
      <c r="I307" s="204">
        <f t="shared" ca="1" si="14"/>
        <v>802.28</v>
      </c>
    </row>
    <row r="308" spans="1:9" hidden="1" x14ac:dyDescent="0.25">
      <c r="A308" s="103" t="s">
        <v>591</v>
      </c>
      <c r="B308" s="104" t="s">
        <v>1758</v>
      </c>
      <c r="C308" s="105" t="s">
        <v>20</v>
      </c>
      <c r="D308" s="105">
        <v>0</v>
      </c>
      <c r="E308" s="124">
        <f ca="1">OFFSET(INDEX(Composições!A:J,MATCH(Orçamentária!A308,Composições!A:A,0),8),2,0)</f>
        <v>119.01124999999999</v>
      </c>
      <c r="F308" s="125">
        <f t="shared" ca="1" si="12"/>
        <v>0</v>
      </c>
      <c r="G308" s="126" t="e">
        <f>IF(A308&lt;&gt;"",IF(AND(#REF!="Padrão",$H$4=#REF!),BDI!$B$17,IF(AND(#REF!="Padrão",$H$4=#REF!),BDI!#REF!,IF(AND(#REF!="Diferenciado",$H$4=#REF!),BDI!$E$17,IF(AND(#REF!="Diferenciado",$H$4=#REF!),BDI!#REF!,IF(#REF!="ZERO",0))))),"")</f>
        <v>#REF!</v>
      </c>
      <c r="H308" s="127" t="e">
        <f t="shared" ca="1" si="13"/>
        <v>#REF!</v>
      </c>
      <c r="I308" s="125" t="e">
        <f t="shared" ca="1" si="14"/>
        <v>#REF!</v>
      </c>
    </row>
    <row r="309" spans="1:9" hidden="1" x14ac:dyDescent="0.25">
      <c r="A309" s="103" t="s">
        <v>593</v>
      </c>
      <c r="B309" s="104" t="s">
        <v>1759</v>
      </c>
      <c r="C309" s="105" t="s">
        <v>20</v>
      </c>
      <c r="D309" s="105">
        <v>0</v>
      </c>
      <c r="E309" s="124">
        <f ca="1">OFFSET(INDEX(Composições!A:J,MATCH(Orçamentária!A309,Composições!A:A,0),8),2,0)</f>
        <v>119.01124999999999</v>
      </c>
      <c r="F309" s="125">
        <f t="shared" ca="1" si="12"/>
        <v>0</v>
      </c>
      <c r="G309" s="126" t="e">
        <f>IF(A309&lt;&gt;"",IF(AND(#REF!="Padrão",$H$4=#REF!),BDI!$B$17,IF(AND(#REF!="Padrão",$H$4=#REF!),BDI!#REF!,IF(AND(#REF!="Diferenciado",$H$4=#REF!),BDI!$E$17,IF(AND(#REF!="Diferenciado",$H$4=#REF!),BDI!#REF!,IF(#REF!="ZERO",0))))),"")</f>
        <v>#REF!</v>
      </c>
      <c r="H309" s="127" t="e">
        <f t="shared" ca="1" si="13"/>
        <v>#REF!</v>
      </c>
      <c r="I309" s="125" t="e">
        <f t="shared" ca="1" si="14"/>
        <v>#REF!</v>
      </c>
    </row>
    <row r="310" spans="1:9" hidden="1" x14ac:dyDescent="0.25">
      <c r="A310" s="103" t="s">
        <v>595</v>
      </c>
      <c r="B310" s="104" t="s">
        <v>1760</v>
      </c>
      <c r="C310" s="105" t="s">
        <v>20</v>
      </c>
      <c r="D310" s="105">
        <v>0</v>
      </c>
      <c r="E310" s="124">
        <f ca="1">OFFSET(INDEX(Composições!A:J,MATCH(Orçamentária!A310,Composições!A:A,0),8),2,0)</f>
        <v>119.01124999999999</v>
      </c>
      <c r="F310" s="125">
        <f t="shared" ca="1" si="12"/>
        <v>0</v>
      </c>
      <c r="G310" s="126" t="e">
        <f>IF(A310&lt;&gt;"",IF(AND(#REF!="Padrão",$H$4=#REF!),BDI!$B$17,IF(AND(#REF!="Padrão",$H$4=#REF!),BDI!#REF!,IF(AND(#REF!="Diferenciado",$H$4=#REF!),BDI!$E$17,IF(AND(#REF!="Diferenciado",$H$4=#REF!),BDI!#REF!,IF(#REF!="ZERO",0))))),"")</f>
        <v>#REF!</v>
      </c>
      <c r="H310" s="127" t="e">
        <f t="shared" ca="1" si="13"/>
        <v>#REF!</v>
      </c>
      <c r="I310" s="125" t="e">
        <f t="shared" ca="1" si="14"/>
        <v>#REF!</v>
      </c>
    </row>
    <row r="311" spans="1:9" hidden="1" x14ac:dyDescent="0.25">
      <c r="A311" s="103" t="s">
        <v>597</v>
      </c>
      <c r="B311" s="104" t="s">
        <v>1761</v>
      </c>
      <c r="C311" s="105" t="s">
        <v>20</v>
      </c>
      <c r="D311" s="105">
        <v>0</v>
      </c>
      <c r="E311" s="124">
        <f ca="1">OFFSET(INDEX(Composições!A:J,MATCH(Orçamentária!A311,Composições!A:A,0),8),2,0)</f>
        <v>119.01124999999999</v>
      </c>
      <c r="F311" s="125">
        <f t="shared" ca="1" si="12"/>
        <v>0</v>
      </c>
      <c r="G311" s="126" t="e">
        <f>IF(A311&lt;&gt;"",IF(AND(#REF!="Padrão",$H$4=#REF!),BDI!$B$17,IF(AND(#REF!="Padrão",$H$4=#REF!),BDI!#REF!,IF(AND(#REF!="Diferenciado",$H$4=#REF!),BDI!$E$17,IF(AND(#REF!="Diferenciado",$H$4=#REF!),BDI!#REF!,IF(#REF!="ZERO",0))))),"")</f>
        <v>#REF!</v>
      </c>
      <c r="H311" s="127" t="e">
        <f t="shared" ca="1" si="13"/>
        <v>#REF!</v>
      </c>
      <c r="I311" s="125" t="e">
        <f t="shared" ca="1" si="14"/>
        <v>#REF!</v>
      </c>
    </row>
    <row r="312" spans="1:9" hidden="1" x14ac:dyDescent="0.25">
      <c r="A312" s="103" t="s">
        <v>599</v>
      </c>
      <c r="B312" s="104" t="s">
        <v>1762</v>
      </c>
      <c r="C312" s="105" t="s">
        <v>20</v>
      </c>
      <c r="D312" s="105">
        <v>0</v>
      </c>
      <c r="E312" s="124">
        <f ca="1">OFFSET(INDEX(Composições!A:J,MATCH(Orçamentária!A312,Composições!A:A,0),8),2,0)</f>
        <v>119.01124999999999</v>
      </c>
      <c r="F312" s="125">
        <f t="shared" ca="1" si="12"/>
        <v>0</v>
      </c>
      <c r="G312" s="126" t="e">
        <f>IF(A312&lt;&gt;"",IF(AND(#REF!="Padrão",$H$4=#REF!),BDI!$B$17,IF(AND(#REF!="Padrão",$H$4=#REF!),BDI!#REF!,IF(AND(#REF!="Diferenciado",$H$4=#REF!),BDI!$E$17,IF(AND(#REF!="Diferenciado",$H$4=#REF!),BDI!#REF!,IF(#REF!="ZERO",0))))),"")</f>
        <v>#REF!</v>
      </c>
      <c r="H312" s="127" t="e">
        <f t="shared" ca="1" si="13"/>
        <v>#REF!</v>
      </c>
      <c r="I312" s="125" t="e">
        <f t="shared" ca="1" si="14"/>
        <v>#REF!</v>
      </c>
    </row>
    <row r="313" spans="1:9" s="184" customFormat="1" x14ac:dyDescent="0.25">
      <c r="A313" s="185" t="s">
        <v>601</v>
      </c>
      <c r="B313" s="186" t="s">
        <v>1763</v>
      </c>
      <c r="C313" s="187" t="s">
        <v>20</v>
      </c>
      <c r="D313" s="187">
        <v>1</v>
      </c>
      <c r="E313" s="124">
        <f ca="1">OFFSET(INDEX(Composições!A:J,MATCH(Orçamentária!A313,Composições!A:A,0),8),2,0)</f>
        <v>212.07324999999997</v>
      </c>
      <c r="F313" s="125">
        <f t="shared" ca="1" si="12"/>
        <v>212.07324999999997</v>
      </c>
      <c r="G313" s="126">
        <f>BDI!$B$17</f>
        <v>0.191</v>
      </c>
      <c r="H313" s="127">
        <f t="shared" ca="1" si="13"/>
        <v>252.58</v>
      </c>
      <c r="I313" s="204">
        <f t="shared" ca="1" si="14"/>
        <v>252.58</v>
      </c>
    </row>
    <row r="314" spans="1:9" s="184" customFormat="1" x14ac:dyDescent="0.25">
      <c r="A314" s="185" t="s">
        <v>603</v>
      </c>
      <c r="B314" s="186" t="s">
        <v>1764</v>
      </c>
      <c r="C314" s="187" t="s">
        <v>20</v>
      </c>
      <c r="D314" s="187">
        <v>2</v>
      </c>
      <c r="E314" s="124">
        <f ca="1">OFFSET(INDEX(Composições!A:J,MATCH(Orçamentária!A314,Composições!A:A,0),8),2,0)</f>
        <v>233.76175000000001</v>
      </c>
      <c r="F314" s="125">
        <f t="shared" ca="1" si="12"/>
        <v>467.52350000000001</v>
      </c>
      <c r="G314" s="126">
        <f>BDI!$B$17</f>
        <v>0.191</v>
      </c>
      <c r="H314" s="127">
        <f t="shared" ca="1" si="13"/>
        <v>278.41000000000003</v>
      </c>
      <c r="I314" s="204">
        <f t="shared" ca="1" si="14"/>
        <v>556.82000000000005</v>
      </c>
    </row>
    <row r="315" spans="1:9" s="184" customFormat="1" x14ac:dyDescent="0.25">
      <c r="A315" s="185" t="s">
        <v>605</v>
      </c>
      <c r="B315" s="186" t="s">
        <v>1765</v>
      </c>
      <c r="C315" s="187" t="s">
        <v>20</v>
      </c>
      <c r="D315" s="187">
        <v>31</v>
      </c>
      <c r="E315" s="124">
        <f ca="1">OFFSET(INDEX(Composições!A:J,MATCH(Orçamentária!A315,Composições!A:A,0),8),2,0)</f>
        <v>119.01124999999999</v>
      </c>
      <c r="F315" s="125">
        <f t="shared" ca="1" si="12"/>
        <v>3689.3487499999997</v>
      </c>
      <c r="G315" s="126">
        <f>BDI!$B$17</f>
        <v>0.191</v>
      </c>
      <c r="H315" s="127">
        <f t="shared" ca="1" si="13"/>
        <v>141.74</v>
      </c>
      <c r="I315" s="204">
        <f t="shared" ca="1" si="14"/>
        <v>4393.9399999999996</v>
      </c>
    </row>
    <row r="316" spans="1:9" hidden="1" x14ac:dyDescent="0.25">
      <c r="A316" s="103" t="s">
        <v>606</v>
      </c>
      <c r="B316" s="104" t="s">
        <v>1766</v>
      </c>
      <c r="C316" s="105" t="s">
        <v>20</v>
      </c>
      <c r="D316" s="105">
        <v>0</v>
      </c>
      <c r="E316" s="124">
        <f ca="1">OFFSET(INDEX(Composições!A:J,MATCH(Orçamentária!A316,Composições!A:A,0),8),2,0)</f>
        <v>44.554999999999993</v>
      </c>
      <c r="F316" s="125">
        <f t="shared" ca="1" si="12"/>
        <v>0</v>
      </c>
      <c r="G316" s="126" t="e">
        <f>IF(A316&lt;&gt;"",IF(AND(#REF!="Padrão",$H$4=#REF!),BDI!$B$17,IF(AND(#REF!="Padrão",$H$4=#REF!),BDI!#REF!,IF(AND(#REF!="Diferenciado",$H$4=#REF!),BDI!$E$17,IF(AND(#REF!="Diferenciado",$H$4=#REF!),BDI!#REF!,IF(#REF!="ZERO",0))))),"")</f>
        <v>#REF!</v>
      </c>
      <c r="H316" s="127" t="e">
        <f t="shared" ca="1" si="13"/>
        <v>#REF!</v>
      </c>
      <c r="I316" s="125" t="e">
        <f t="shared" ca="1" si="14"/>
        <v>#REF!</v>
      </c>
    </row>
    <row r="317" spans="1:9" s="184" customFormat="1" x14ac:dyDescent="0.25">
      <c r="A317" s="185" t="s">
        <v>607</v>
      </c>
      <c r="B317" s="186" t="s">
        <v>1767</v>
      </c>
      <c r="C317" s="187" t="s">
        <v>20</v>
      </c>
      <c r="D317" s="187">
        <v>1</v>
      </c>
      <c r="E317" s="124">
        <f ca="1">OFFSET(INDEX(Composições!A:J,MATCH(Orçamentária!A317,Composições!A:A,0),8),2,0)</f>
        <v>32.119500000000002</v>
      </c>
      <c r="F317" s="125">
        <f t="shared" ca="1" si="12"/>
        <v>32.119500000000002</v>
      </c>
      <c r="G317" s="126">
        <f>BDI!$B$17</f>
        <v>0.191</v>
      </c>
      <c r="H317" s="127">
        <f t="shared" ca="1" si="13"/>
        <v>38.25</v>
      </c>
      <c r="I317" s="204">
        <f t="shared" ca="1" si="14"/>
        <v>38.25</v>
      </c>
    </row>
    <row r="318" spans="1:9" s="184" customFormat="1" x14ac:dyDescent="0.25">
      <c r="A318" s="185" t="s">
        <v>609</v>
      </c>
      <c r="B318" s="186" t="s">
        <v>1768</v>
      </c>
      <c r="C318" s="187" t="s">
        <v>20</v>
      </c>
      <c r="D318" s="187">
        <v>1</v>
      </c>
      <c r="E318" s="124">
        <f ca="1">OFFSET(INDEX(Composições!A:J,MATCH(Orçamentária!A318,Composições!A:A,0),8),2,0)</f>
        <v>574.58799999999997</v>
      </c>
      <c r="F318" s="125">
        <f t="shared" ca="1" si="12"/>
        <v>574.58799999999997</v>
      </c>
      <c r="G318" s="126">
        <f>BDI!$B$17</f>
        <v>0.191</v>
      </c>
      <c r="H318" s="127">
        <f t="shared" ca="1" si="13"/>
        <v>684.33</v>
      </c>
      <c r="I318" s="204">
        <f t="shared" ca="1" si="14"/>
        <v>684.33</v>
      </c>
    </row>
    <row r="319" spans="1:9" hidden="1" x14ac:dyDescent="0.25">
      <c r="A319" s="103" t="s">
        <v>611</v>
      </c>
      <c r="B319" s="104" t="s">
        <v>1769</v>
      </c>
      <c r="C319" s="105" t="s">
        <v>93</v>
      </c>
      <c r="D319" s="105">
        <v>0</v>
      </c>
      <c r="E319" s="124">
        <f ca="1">OFFSET(INDEX(Composições!A:J,MATCH(Orçamentária!A319,Composições!A:A,0),8),2,0)</f>
        <v>1.05925</v>
      </c>
      <c r="F319" s="125">
        <f t="shared" ca="1" si="12"/>
        <v>0</v>
      </c>
      <c r="G319" s="126" t="e">
        <f>IF(A319&lt;&gt;"",IF(AND(#REF!="Padrão",$H$4=#REF!),BDI!$B$17,IF(AND(#REF!="Padrão",$H$4=#REF!),BDI!#REF!,IF(AND(#REF!="Diferenciado",$H$4=#REF!),BDI!$E$17,IF(AND(#REF!="Diferenciado",$H$4=#REF!),BDI!#REF!,IF(#REF!="ZERO",0))))),"")</f>
        <v>#REF!</v>
      </c>
      <c r="H319" s="127" t="e">
        <f t="shared" ca="1" si="13"/>
        <v>#REF!</v>
      </c>
      <c r="I319" s="125" t="e">
        <f t="shared" ca="1" si="14"/>
        <v>#REF!</v>
      </c>
    </row>
    <row r="320" spans="1:9" s="184" customFormat="1" x14ac:dyDescent="0.25">
      <c r="A320" s="185" t="s">
        <v>613</v>
      </c>
      <c r="B320" s="186" t="s">
        <v>1770</v>
      </c>
      <c r="C320" s="187" t="s">
        <v>93</v>
      </c>
      <c r="D320" s="187">
        <v>800</v>
      </c>
      <c r="E320" s="124">
        <f ca="1">OFFSET(INDEX(Composições!A:J,MATCH(Orçamentária!A320,Composições!A:A,0),8),2,0)</f>
        <v>1.6692499999999999</v>
      </c>
      <c r="F320" s="125">
        <f t="shared" ca="1" si="12"/>
        <v>1335.3999999999999</v>
      </c>
      <c r="G320" s="126">
        <f>BDI!$B$17</f>
        <v>0.191</v>
      </c>
      <c r="H320" s="127">
        <f t="shared" ca="1" si="13"/>
        <v>1.99</v>
      </c>
      <c r="I320" s="204">
        <f t="shared" ca="1" si="14"/>
        <v>1592</v>
      </c>
    </row>
    <row r="321" spans="1:9" s="184" customFormat="1" x14ac:dyDescent="0.25">
      <c r="A321" s="185" t="s">
        <v>615</v>
      </c>
      <c r="B321" s="186" t="s">
        <v>1771</v>
      </c>
      <c r="C321" s="187" t="s">
        <v>93</v>
      </c>
      <c r="D321" s="187">
        <v>125</v>
      </c>
      <c r="E321" s="124">
        <f ca="1">OFFSET(INDEX(Composições!A:J,MATCH(Orçamentária!A321,Composições!A:A,0),8),2,0)</f>
        <v>149.68925000000002</v>
      </c>
      <c r="F321" s="125">
        <f t="shared" ca="1" si="12"/>
        <v>18711.156250000004</v>
      </c>
      <c r="G321" s="126">
        <f>BDI!$B$17</f>
        <v>0.191</v>
      </c>
      <c r="H321" s="127">
        <f t="shared" ca="1" si="13"/>
        <v>178.28</v>
      </c>
      <c r="I321" s="204">
        <f t="shared" ca="1" si="14"/>
        <v>22285</v>
      </c>
    </row>
    <row r="322" spans="1:9" s="184" customFormat="1" x14ac:dyDescent="0.25">
      <c r="A322" s="185" t="s">
        <v>617</v>
      </c>
      <c r="B322" s="186" t="s">
        <v>1772</v>
      </c>
      <c r="C322" s="187" t="s">
        <v>20</v>
      </c>
      <c r="D322" s="187">
        <v>20</v>
      </c>
      <c r="E322" s="124">
        <f ca="1">OFFSET(INDEX(Composições!A:J,MATCH(Orçamentária!A322,Composições!A:A,0),8),2,0)</f>
        <v>69.587999999999994</v>
      </c>
      <c r="F322" s="125">
        <f t="shared" ca="1" si="12"/>
        <v>1391.7599999999998</v>
      </c>
      <c r="G322" s="126">
        <f>BDI!$B$17</f>
        <v>0.191</v>
      </c>
      <c r="H322" s="127">
        <f t="shared" ca="1" si="13"/>
        <v>82.88</v>
      </c>
      <c r="I322" s="204">
        <f t="shared" ca="1" si="14"/>
        <v>1657.6</v>
      </c>
    </row>
    <row r="323" spans="1:9" s="184" customFormat="1" x14ac:dyDescent="0.25">
      <c r="A323" s="185" t="s">
        <v>621</v>
      </c>
      <c r="B323" s="186" t="s">
        <v>622</v>
      </c>
      <c r="C323" s="187" t="s">
        <v>20</v>
      </c>
      <c r="D323" s="187">
        <v>20</v>
      </c>
      <c r="E323" s="124">
        <f ca="1">OFFSET(INDEX(Composições!A:J,MATCH(Orçamentária!A323,Composições!A:A,0),8),2,0)</f>
        <v>103.28800000000001</v>
      </c>
      <c r="F323" s="125">
        <f t="shared" ca="1" si="12"/>
        <v>2065.7600000000002</v>
      </c>
      <c r="G323" s="126">
        <f>BDI!$B$17</f>
        <v>0.191</v>
      </c>
      <c r="H323" s="127">
        <f t="shared" ca="1" si="13"/>
        <v>123.02</v>
      </c>
      <c r="I323" s="204">
        <f t="shared" ca="1" si="14"/>
        <v>2460.4</v>
      </c>
    </row>
    <row r="324" spans="1:9" hidden="1" x14ac:dyDescent="0.25">
      <c r="A324" s="103" t="s">
        <v>623</v>
      </c>
      <c r="B324" s="104" t="s">
        <v>1773</v>
      </c>
      <c r="C324" s="105" t="s">
        <v>20</v>
      </c>
      <c r="D324" s="105">
        <v>0</v>
      </c>
      <c r="E324" s="124">
        <f ca="1">OFFSET(INDEX(Composições!A:J,MATCH(Orçamentária!A324,Composições!A:A,0),8),2,0)</f>
        <v>6.6569843999999989</v>
      </c>
      <c r="F324" s="125">
        <f t="shared" ca="1" si="12"/>
        <v>0</v>
      </c>
      <c r="G324" s="126" t="e">
        <f>IF(A324&lt;&gt;"",IF(AND(#REF!="Padrão",$H$4=#REF!),BDI!$B$17,IF(AND(#REF!="Padrão",$H$4=#REF!),BDI!#REF!,IF(AND(#REF!="Diferenciado",$H$4=#REF!),BDI!$E$17,IF(AND(#REF!="Diferenciado",$H$4=#REF!),BDI!#REF!,IF(#REF!="ZERO",0))))),"")</f>
        <v>#REF!</v>
      </c>
      <c r="H324" s="127" t="e">
        <f t="shared" ca="1" si="13"/>
        <v>#REF!</v>
      </c>
      <c r="I324" s="125" t="e">
        <f t="shared" ca="1" si="14"/>
        <v>#REF!</v>
      </c>
    </row>
    <row r="325" spans="1:9" s="184" customFormat="1" x14ac:dyDescent="0.25">
      <c r="A325" s="185" t="s">
        <v>625</v>
      </c>
      <c r="B325" s="186" t="s">
        <v>1774</v>
      </c>
      <c r="C325" s="187" t="s">
        <v>20</v>
      </c>
      <c r="D325" s="187">
        <v>54</v>
      </c>
      <c r="E325" s="124">
        <f ca="1">OFFSET(INDEX(Composições!A:J,MATCH(Orçamentária!A325,Composições!A:A,0),8),2,0)</f>
        <v>86.853026400000005</v>
      </c>
      <c r="F325" s="125">
        <f t="shared" ca="1" si="12"/>
        <v>4690.0634256000003</v>
      </c>
      <c r="G325" s="126">
        <f>BDI!$B$17</f>
        <v>0.191</v>
      </c>
      <c r="H325" s="127">
        <f t="shared" ca="1" si="13"/>
        <v>103.44</v>
      </c>
      <c r="I325" s="204">
        <f t="shared" ca="1" si="14"/>
        <v>5585.76</v>
      </c>
    </row>
    <row r="326" spans="1:9" hidden="1" x14ac:dyDescent="0.25">
      <c r="A326" s="103" t="s">
        <v>627</v>
      </c>
      <c r="B326" s="104" t="s">
        <v>1775</v>
      </c>
      <c r="C326" s="105" t="s">
        <v>20</v>
      </c>
      <c r="D326" s="105">
        <v>0</v>
      </c>
      <c r="E326" s="124">
        <f ca="1">OFFSET(INDEX(Composições!A:J,MATCH(Orçamentária!A326,Composições!A:A,0),8),2,0)</f>
        <v>183.97698439999999</v>
      </c>
      <c r="F326" s="125">
        <f t="shared" ca="1" si="12"/>
        <v>0</v>
      </c>
      <c r="G326" s="126" t="e">
        <f>IF(A326&lt;&gt;"",IF(AND(#REF!="Padrão",$H$4=#REF!),BDI!$B$17,IF(AND(#REF!="Padrão",$H$4=#REF!),BDI!#REF!,IF(AND(#REF!="Diferenciado",$H$4=#REF!),BDI!$E$17,IF(AND(#REF!="Diferenciado",$H$4=#REF!),BDI!#REF!,IF(#REF!="ZERO",0))))),"")</f>
        <v>#REF!</v>
      </c>
      <c r="H326" s="127" t="e">
        <f t="shared" ca="1" si="13"/>
        <v>#REF!</v>
      </c>
      <c r="I326" s="125" t="e">
        <f t="shared" ca="1" si="14"/>
        <v>#REF!</v>
      </c>
    </row>
    <row r="327" spans="1:9" s="184" customFormat="1" x14ac:dyDescent="0.25">
      <c r="A327" s="185" t="s">
        <v>630</v>
      </c>
      <c r="B327" s="186" t="s">
        <v>1776</v>
      </c>
      <c r="C327" s="187" t="s">
        <v>20</v>
      </c>
      <c r="D327" s="187">
        <v>54</v>
      </c>
      <c r="E327" s="124">
        <f ca="1">OFFSET(INDEX(Composições!A:J,MATCH(Orçamentária!A327,Composições!A:A,0),8),2,0)</f>
        <v>790.27302639999994</v>
      </c>
      <c r="F327" s="125">
        <f t="shared" ref="F327:F390" ca="1" si="15">IF(ISNUMBER(E327),D327*E327,"")</f>
        <v>42674.743425599998</v>
      </c>
      <c r="G327" s="126">
        <f>BDI!$B$17</f>
        <v>0.191</v>
      </c>
      <c r="H327" s="127">
        <f t="shared" ref="H327:H390" ca="1" si="16">IF(ISNUMBER(E327),ROUND(E327*(1+G327),2),"")</f>
        <v>941.22</v>
      </c>
      <c r="I327" s="204">
        <f t="shared" ref="I327:I390" ca="1" si="17">IF(ISNUMBER(E327),ROUND(H327*D327,2),"")</f>
        <v>50825.88</v>
      </c>
    </row>
    <row r="328" spans="1:9" hidden="1" x14ac:dyDescent="0.25">
      <c r="A328" s="103" t="s">
        <v>632</v>
      </c>
      <c r="B328" s="104" t="s">
        <v>1777</v>
      </c>
      <c r="C328" s="105" t="s">
        <v>20</v>
      </c>
      <c r="D328" s="105">
        <v>0</v>
      </c>
      <c r="E328" s="124">
        <f ca="1">OFFSET(INDEX(Composições!A:J,MATCH(Orçamentária!A328,Composições!A:A,0),8),2,0)</f>
        <v>142.5282948</v>
      </c>
      <c r="F328" s="125">
        <f t="shared" ca="1" si="15"/>
        <v>0</v>
      </c>
      <c r="G328" s="126" t="e">
        <f>IF(A328&lt;&gt;"",IF(AND(#REF!="Padrão",$H$4=#REF!),BDI!$B$17,IF(AND(#REF!="Padrão",$H$4=#REF!),BDI!#REF!,IF(AND(#REF!="Diferenciado",$H$4=#REF!),BDI!$E$17,IF(AND(#REF!="Diferenciado",$H$4=#REF!),BDI!#REF!,IF(#REF!="ZERO",0))))),"")</f>
        <v>#REF!</v>
      </c>
      <c r="H328" s="127" t="e">
        <f t="shared" ca="1" si="16"/>
        <v>#REF!</v>
      </c>
      <c r="I328" s="125" t="e">
        <f t="shared" ca="1" si="17"/>
        <v>#REF!</v>
      </c>
    </row>
    <row r="329" spans="1:9" hidden="1" x14ac:dyDescent="0.25">
      <c r="A329" s="103" t="s">
        <v>634</v>
      </c>
      <c r="B329" s="104" t="s">
        <v>1778</v>
      </c>
      <c r="C329" s="105" t="s">
        <v>20</v>
      </c>
      <c r="D329" s="105">
        <v>0</v>
      </c>
      <c r="E329" s="124">
        <f ca="1">OFFSET(INDEX(Composições!A:J,MATCH(Orçamentária!A329,Composições!A:A,0),8),2,0)</f>
        <v>117.58801320000001</v>
      </c>
      <c r="F329" s="125">
        <f t="shared" ca="1" si="15"/>
        <v>0</v>
      </c>
      <c r="G329" s="126" t="e">
        <f>IF(A329&lt;&gt;"",IF(AND(#REF!="Padrão",$H$4=#REF!),BDI!$B$17,IF(AND(#REF!="Padrão",$H$4=#REF!),BDI!#REF!,IF(AND(#REF!="Diferenciado",$H$4=#REF!),BDI!$E$17,IF(AND(#REF!="Diferenciado",$H$4=#REF!),BDI!#REF!,IF(#REF!="ZERO",0))))),"")</f>
        <v>#REF!</v>
      </c>
      <c r="H329" s="127" t="e">
        <f t="shared" ca="1" si="16"/>
        <v>#REF!</v>
      </c>
      <c r="I329" s="125" t="e">
        <f t="shared" ca="1" si="17"/>
        <v>#REF!</v>
      </c>
    </row>
    <row r="330" spans="1:9" hidden="1" x14ac:dyDescent="0.25">
      <c r="A330" s="103" t="s">
        <v>636</v>
      </c>
      <c r="B330" s="104" t="s">
        <v>1779</v>
      </c>
      <c r="C330" s="105" t="s">
        <v>20</v>
      </c>
      <c r="D330" s="105">
        <v>0</v>
      </c>
      <c r="E330" s="124">
        <f ca="1">OFFSET(INDEX(Composições!A:J,MATCH(Orçamentária!A330,Composições!A:A,0),8),2,0)</f>
        <v>79.483984399999997</v>
      </c>
      <c r="F330" s="125">
        <f t="shared" ca="1" si="15"/>
        <v>0</v>
      </c>
      <c r="G330" s="126" t="e">
        <f>IF(A330&lt;&gt;"",IF(AND(#REF!="Padrão",$H$4=#REF!),BDI!$B$17,IF(AND(#REF!="Padrão",$H$4=#REF!),BDI!#REF!,IF(AND(#REF!="Diferenciado",$H$4=#REF!),BDI!$E$17,IF(AND(#REF!="Diferenciado",$H$4=#REF!),BDI!#REF!,IF(#REF!="ZERO",0))))),"")</f>
        <v>#REF!</v>
      </c>
      <c r="H330" s="127" t="e">
        <f t="shared" ca="1" si="16"/>
        <v>#REF!</v>
      </c>
      <c r="I330" s="125" t="e">
        <f t="shared" ca="1" si="17"/>
        <v>#REF!</v>
      </c>
    </row>
    <row r="331" spans="1:9" s="184" customFormat="1" x14ac:dyDescent="0.25">
      <c r="A331" s="185" t="s">
        <v>638</v>
      </c>
      <c r="B331" s="186" t="s">
        <v>1780</v>
      </c>
      <c r="C331" s="187" t="s">
        <v>20</v>
      </c>
      <c r="D331" s="187">
        <v>108</v>
      </c>
      <c r="E331" s="124">
        <f ca="1">OFFSET(INDEX(Composições!A:J,MATCH(Orçamentária!A331,Composições!A:A,0),8),2,0)</f>
        <v>58.894026399999994</v>
      </c>
      <c r="F331" s="125">
        <f t="shared" ca="1" si="15"/>
        <v>6360.5548511999996</v>
      </c>
      <c r="G331" s="126">
        <f>BDI!$B$17</f>
        <v>0.191</v>
      </c>
      <c r="H331" s="127">
        <f t="shared" ca="1" si="16"/>
        <v>70.14</v>
      </c>
      <c r="I331" s="204">
        <f t="shared" ca="1" si="17"/>
        <v>7575.12</v>
      </c>
    </row>
    <row r="332" spans="1:9" hidden="1" x14ac:dyDescent="0.25">
      <c r="A332" s="103" t="s">
        <v>640</v>
      </c>
      <c r="B332" s="104" t="s">
        <v>1781</v>
      </c>
      <c r="C332" s="105" t="s">
        <v>95</v>
      </c>
      <c r="D332" s="105">
        <v>0</v>
      </c>
      <c r="E332" s="124">
        <f ca="1">OFFSET(INDEX(Composições!A:J,MATCH(Orçamentária!A332,Composições!A:A,0),8),2,0)</f>
        <v>4.3395999999999999</v>
      </c>
      <c r="F332" s="125">
        <f t="shared" ca="1" si="15"/>
        <v>0</v>
      </c>
      <c r="G332" s="126" t="e">
        <f>IF(A332&lt;&gt;"",IF(AND(#REF!="Padrão",$H$4=#REF!),BDI!$B$17,IF(AND(#REF!="Padrão",$H$4=#REF!),BDI!#REF!,IF(AND(#REF!="Diferenciado",$H$4=#REF!),BDI!$E$17,IF(AND(#REF!="Diferenciado",$H$4=#REF!),BDI!#REF!,IF(#REF!="ZERO",0))))),"")</f>
        <v>#REF!</v>
      </c>
      <c r="H332" s="127" t="e">
        <f t="shared" ca="1" si="16"/>
        <v>#REF!</v>
      </c>
      <c r="I332" s="125" t="e">
        <f t="shared" ca="1" si="17"/>
        <v>#REF!</v>
      </c>
    </row>
    <row r="333" spans="1:9" s="184" customFormat="1" x14ac:dyDescent="0.25">
      <c r="A333" s="185" t="s">
        <v>642</v>
      </c>
      <c r="B333" s="186" t="s">
        <v>1782</v>
      </c>
      <c r="C333" s="187" t="s">
        <v>93</v>
      </c>
      <c r="D333" s="187">
        <v>125</v>
      </c>
      <c r="E333" s="124">
        <f ca="1">OFFSET(INDEX(Composições!A:J,MATCH(Orçamentária!A333,Composições!A:A,0),8),2,0)</f>
        <v>27.728977199999996</v>
      </c>
      <c r="F333" s="125">
        <f t="shared" ca="1" si="15"/>
        <v>3466.1221499999992</v>
      </c>
      <c r="G333" s="126">
        <f>BDI!$B$17</f>
        <v>0.191</v>
      </c>
      <c r="H333" s="127">
        <f t="shared" ca="1" si="16"/>
        <v>33.03</v>
      </c>
      <c r="I333" s="204">
        <f t="shared" ca="1" si="17"/>
        <v>4128.75</v>
      </c>
    </row>
    <row r="334" spans="1:9" s="184" customFormat="1" x14ac:dyDescent="0.25">
      <c r="A334" s="185" t="s">
        <v>645</v>
      </c>
      <c r="B334" s="186" t="s">
        <v>1783</v>
      </c>
      <c r="C334" s="187" t="s">
        <v>93</v>
      </c>
      <c r="D334" s="187">
        <v>115</v>
      </c>
      <c r="E334" s="124">
        <f ca="1">OFFSET(INDEX(Composições!A:J,MATCH(Orçamentária!A334,Composições!A:A,0),8),2,0)</f>
        <v>14.8138498</v>
      </c>
      <c r="F334" s="125">
        <f t="shared" ca="1" si="15"/>
        <v>1703.592727</v>
      </c>
      <c r="G334" s="126">
        <f>BDI!$B$17</f>
        <v>0.191</v>
      </c>
      <c r="H334" s="127">
        <f t="shared" ca="1" si="16"/>
        <v>17.64</v>
      </c>
      <c r="I334" s="204">
        <f t="shared" ca="1" si="17"/>
        <v>2028.6</v>
      </c>
    </row>
    <row r="335" spans="1:9" s="184" customFormat="1" x14ac:dyDescent="0.25">
      <c r="A335" s="185" t="s">
        <v>647</v>
      </c>
      <c r="B335" s="186" t="s">
        <v>1784</v>
      </c>
      <c r="C335" s="187" t="s">
        <v>93</v>
      </c>
      <c r="D335" s="187">
        <v>115</v>
      </c>
      <c r="E335" s="124">
        <f ca="1">OFFSET(INDEX(Composições!A:J,MATCH(Orçamentária!A335,Composições!A:A,0),8),2,0)</f>
        <v>12.246040599999997</v>
      </c>
      <c r="F335" s="125">
        <f t="shared" ca="1" si="15"/>
        <v>1408.2946689999997</v>
      </c>
      <c r="G335" s="126">
        <f>BDI!$B$17</f>
        <v>0.191</v>
      </c>
      <c r="H335" s="127">
        <f t="shared" ca="1" si="16"/>
        <v>14.59</v>
      </c>
      <c r="I335" s="204">
        <f t="shared" ca="1" si="17"/>
        <v>1677.85</v>
      </c>
    </row>
    <row r="336" spans="1:9" hidden="1" x14ac:dyDescent="0.25">
      <c r="A336" s="103" t="s">
        <v>649</v>
      </c>
      <c r="B336" s="104" t="s">
        <v>1785</v>
      </c>
      <c r="C336" s="105" t="s">
        <v>93</v>
      </c>
      <c r="D336" s="105">
        <v>0</v>
      </c>
      <c r="E336" s="124">
        <f ca="1">OFFSET(INDEX(Composições!A:J,MATCH(Orçamentária!A336,Composições!A:A,0),8),2,0)</f>
        <v>0.83320319999999981</v>
      </c>
      <c r="F336" s="125">
        <f t="shared" ca="1" si="15"/>
        <v>0</v>
      </c>
      <c r="G336" s="126" t="e">
        <f>IF(A336&lt;&gt;"",IF(AND(#REF!="Padrão",$H$4=#REF!),BDI!$B$17,IF(AND(#REF!="Padrão",$H$4=#REF!),BDI!#REF!,IF(AND(#REF!="Diferenciado",$H$4=#REF!),BDI!$E$17,IF(AND(#REF!="Diferenciado",$H$4=#REF!),BDI!#REF!,IF(#REF!="ZERO",0))))),"")</f>
        <v>#REF!</v>
      </c>
      <c r="H336" s="127" t="e">
        <f t="shared" ca="1" si="16"/>
        <v>#REF!</v>
      </c>
      <c r="I336" s="125" t="e">
        <f t="shared" ca="1" si="17"/>
        <v>#REF!</v>
      </c>
    </row>
    <row r="337" spans="1:9" s="184" customFormat="1" x14ac:dyDescent="0.25">
      <c r="A337" s="185" t="s">
        <v>651</v>
      </c>
      <c r="B337" s="186" t="s">
        <v>1786</v>
      </c>
      <c r="C337" s="187" t="s">
        <v>93</v>
      </c>
      <c r="D337" s="187">
        <v>90</v>
      </c>
      <c r="E337" s="124">
        <f ca="1">OFFSET(INDEX(Composições!A:J,MATCH(Orçamentária!A337,Composições!A:A,0),8),2,0)</f>
        <v>13.209702599999998</v>
      </c>
      <c r="F337" s="125">
        <f t="shared" ca="1" si="15"/>
        <v>1188.8732339999999</v>
      </c>
      <c r="G337" s="126">
        <f>BDI!$B$17</f>
        <v>0.191</v>
      </c>
      <c r="H337" s="127">
        <f t="shared" ca="1" si="16"/>
        <v>15.73</v>
      </c>
      <c r="I337" s="204">
        <f t="shared" ca="1" si="17"/>
        <v>1415.7</v>
      </c>
    </row>
    <row r="338" spans="1:9" s="184" customFormat="1" x14ac:dyDescent="0.25">
      <c r="A338" s="185" t="s">
        <v>653</v>
      </c>
      <c r="B338" s="186" t="s">
        <v>1787</v>
      </c>
      <c r="C338" s="187" t="s">
        <v>93</v>
      </c>
      <c r="D338" s="187">
        <v>90</v>
      </c>
      <c r="E338" s="124">
        <f ca="1">OFFSET(INDEX(Composições!A:J,MATCH(Orçamentária!A338,Composições!A:A,0),8),2,0)</f>
        <v>20.203470199999998</v>
      </c>
      <c r="F338" s="125">
        <f t="shared" ca="1" si="15"/>
        <v>1818.3123179999998</v>
      </c>
      <c r="G338" s="126">
        <f>BDI!$B$17</f>
        <v>0.191</v>
      </c>
      <c r="H338" s="127">
        <f t="shared" ca="1" si="16"/>
        <v>24.06</v>
      </c>
      <c r="I338" s="204">
        <f t="shared" ca="1" si="17"/>
        <v>2165.4</v>
      </c>
    </row>
    <row r="339" spans="1:9" hidden="1" x14ac:dyDescent="0.25">
      <c r="A339" s="103" t="s">
        <v>655</v>
      </c>
      <c r="B339" s="104" t="s">
        <v>1788</v>
      </c>
      <c r="C339" s="105" t="s">
        <v>93</v>
      </c>
      <c r="D339" s="105">
        <v>0</v>
      </c>
      <c r="E339" s="124">
        <f ca="1">OFFSET(INDEX(Composições!A:J,MATCH(Orçamentária!A339,Composições!A:A,0),8),2,0)</f>
        <v>0.83320319999999981</v>
      </c>
      <c r="F339" s="125">
        <f t="shared" ca="1" si="15"/>
        <v>0</v>
      </c>
      <c r="G339" s="126" t="e">
        <f>IF(A339&lt;&gt;"",IF(AND(#REF!="Padrão",$H$4=#REF!),BDI!$B$17,IF(AND(#REF!="Padrão",$H$4=#REF!),BDI!#REF!,IF(AND(#REF!="Diferenciado",$H$4=#REF!),BDI!$E$17,IF(AND(#REF!="Diferenciado",$H$4=#REF!),BDI!#REF!,IF(#REF!="ZERO",0))))),"")</f>
        <v>#REF!</v>
      </c>
      <c r="H339" s="127" t="e">
        <f t="shared" ca="1" si="16"/>
        <v>#REF!</v>
      </c>
      <c r="I339" s="125" t="e">
        <f t="shared" ca="1" si="17"/>
        <v>#REF!</v>
      </c>
    </row>
    <row r="340" spans="1:9" hidden="1" x14ac:dyDescent="0.25">
      <c r="A340" s="103" t="s">
        <v>657</v>
      </c>
      <c r="B340" s="104" t="s">
        <v>1789</v>
      </c>
      <c r="C340" s="105" t="s">
        <v>93</v>
      </c>
      <c r="D340" s="105">
        <v>0</v>
      </c>
      <c r="E340" s="124">
        <f ca="1">OFFSET(INDEX(Composições!A:J,MATCH(Orçamentária!A340,Composições!A:A,0),8),2,0)</f>
        <v>0.83320319999999981</v>
      </c>
      <c r="F340" s="125">
        <f t="shared" ca="1" si="15"/>
        <v>0</v>
      </c>
      <c r="G340" s="126" t="e">
        <f>IF(A340&lt;&gt;"",IF(AND(#REF!="Padrão",$H$4=#REF!),BDI!$B$17,IF(AND(#REF!="Padrão",$H$4=#REF!),BDI!#REF!,IF(AND(#REF!="Diferenciado",$H$4=#REF!),BDI!$E$17,IF(AND(#REF!="Diferenciado",$H$4=#REF!),BDI!#REF!,IF(#REF!="ZERO",0))))),"")</f>
        <v>#REF!</v>
      </c>
      <c r="H340" s="127" t="e">
        <f t="shared" ca="1" si="16"/>
        <v>#REF!</v>
      </c>
      <c r="I340" s="125" t="e">
        <f t="shared" ca="1" si="17"/>
        <v>#REF!</v>
      </c>
    </row>
    <row r="341" spans="1:9" hidden="1" x14ac:dyDescent="0.25">
      <c r="A341" s="103" t="s">
        <v>659</v>
      </c>
      <c r="B341" s="104" t="s">
        <v>1790</v>
      </c>
      <c r="C341" s="105" t="s">
        <v>93</v>
      </c>
      <c r="D341" s="105">
        <v>0</v>
      </c>
      <c r="E341" s="124">
        <f ca="1">OFFSET(INDEX(Composições!A:J,MATCH(Orçamentária!A341,Composições!A:A,0),8),2,0)</f>
        <v>0.83320319999999981</v>
      </c>
      <c r="F341" s="125">
        <f t="shared" ca="1" si="15"/>
        <v>0</v>
      </c>
      <c r="G341" s="126" t="e">
        <f>IF(A341&lt;&gt;"",IF(AND(#REF!="Padrão",$H$4=#REF!),BDI!$B$17,IF(AND(#REF!="Padrão",$H$4=#REF!),BDI!#REF!,IF(AND(#REF!="Diferenciado",$H$4=#REF!),BDI!$E$17,IF(AND(#REF!="Diferenciado",$H$4=#REF!),BDI!#REF!,IF(#REF!="ZERO",0))))),"")</f>
        <v>#REF!</v>
      </c>
      <c r="H341" s="127" t="e">
        <f t="shared" ca="1" si="16"/>
        <v>#REF!</v>
      </c>
      <c r="I341" s="125" t="e">
        <f t="shared" ca="1" si="17"/>
        <v>#REF!</v>
      </c>
    </row>
    <row r="342" spans="1:9" hidden="1" x14ac:dyDescent="0.25">
      <c r="A342" s="103" t="s">
        <v>661</v>
      </c>
      <c r="B342" s="104" t="s">
        <v>6361</v>
      </c>
      <c r="C342" s="105" t="s">
        <v>93</v>
      </c>
      <c r="D342" s="105">
        <v>0</v>
      </c>
      <c r="E342" s="124">
        <f ca="1">OFFSET(INDEX(Composições!A:J,MATCH(Orçamentária!A342,Composições!A:A,0),8),2,0)</f>
        <v>0.83320319999999981</v>
      </c>
      <c r="F342" s="125">
        <f t="shared" ca="1" si="15"/>
        <v>0</v>
      </c>
      <c r="G342" s="126" t="e">
        <f>IF(A342&lt;&gt;"",IF(AND(#REF!="Padrão",$H$4=#REF!),BDI!$B$17,IF(AND(#REF!="Padrão",$H$4=#REF!),BDI!#REF!,IF(AND(#REF!="Diferenciado",$H$4=#REF!),BDI!$E$17,IF(AND(#REF!="Diferenciado",$H$4=#REF!),BDI!#REF!,IF(#REF!="ZERO",0))))),"")</f>
        <v>#REF!</v>
      </c>
      <c r="H342" s="127" t="e">
        <f t="shared" ca="1" si="16"/>
        <v>#REF!</v>
      </c>
      <c r="I342" s="125" t="e">
        <f t="shared" ca="1" si="17"/>
        <v>#REF!</v>
      </c>
    </row>
    <row r="343" spans="1:9" hidden="1" x14ac:dyDescent="0.25">
      <c r="A343" s="103" t="s">
        <v>663</v>
      </c>
      <c r="B343" s="104" t="s">
        <v>6362</v>
      </c>
      <c r="C343" s="105" t="s">
        <v>93</v>
      </c>
      <c r="D343" s="105">
        <v>0</v>
      </c>
      <c r="E343" s="124">
        <f ca="1">OFFSET(INDEX(Composições!A:J,MATCH(Orçamentária!A343,Composições!A:A,0),8),2,0)</f>
        <v>0.83320319999999981</v>
      </c>
      <c r="F343" s="125">
        <f t="shared" ca="1" si="15"/>
        <v>0</v>
      </c>
      <c r="G343" s="126" t="e">
        <f>IF(A343&lt;&gt;"",IF(AND(#REF!="Padrão",$H$4=#REF!),BDI!$B$17,IF(AND(#REF!="Padrão",$H$4=#REF!),BDI!#REF!,IF(AND(#REF!="Diferenciado",$H$4=#REF!),BDI!$E$17,IF(AND(#REF!="Diferenciado",$H$4=#REF!),BDI!#REF!,IF(#REF!="ZERO",0))))),"")</f>
        <v>#REF!</v>
      </c>
      <c r="H343" s="127" t="e">
        <f t="shared" ca="1" si="16"/>
        <v>#REF!</v>
      </c>
      <c r="I343" s="125" t="e">
        <f t="shared" ca="1" si="17"/>
        <v>#REF!</v>
      </c>
    </row>
    <row r="344" spans="1:9" hidden="1" x14ac:dyDescent="0.25">
      <c r="A344" s="103" t="s">
        <v>665</v>
      </c>
      <c r="B344" s="104" t="s">
        <v>1791</v>
      </c>
      <c r="C344" s="105" t="s">
        <v>95</v>
      </c>
      <c r="D344" s="105">
        <v>0</v>
      </c>
      <c r="E344" s="124">
        <f ca="1">OFFSET(INDEX(Composições!A:J,MATCH(Orçamentária!A344,Composições!A:A,0),8),2,0)</f>
        <v>8.6791999999999998</v>
      </c>
      <c r="F344" s="125">
        <f t="shared" ca="1" si="15"/>
        <v>0</v>
      </c>
      <c r="G344" s="126" t="e">
        <f>IF(A344&lt;&gt;"",IF(AND(#REF!="Padrão",$H$4=#REF!),BDI!$B$17,IF(AND(#REF!="Padrão",$H$4=#REF!),BDI!#REF!,IF(AND(#REF!="Diferenciado",$H$4=#REF!),BDI!$E$17,IF(AND(#REF!="Diferenciado",$H$4=#REF!),BDI!#REF!,IF(#REF!="ZERO",0))))),"")</f>
        <v>#REF!</v>
      </c>
      <c r="H344" s="127" t="e">
        <f t="shared" ca="1" si="16"/>
        <v>#REF!</v>
      </c>
      <c r="I344" s="125" t="e">
        <f t="shared" ca="1" si="17"/>
        <v>#REF!</v>
      </c>
    </row>
    <row r="345" spans="1:9" hidden="1" x14ac:dyDescent="0.25">
      <c r="A345" s="103" t="s">
        <v>667</v>
      </c>
      <c r="B345" s="104" t="s">
        <v>1792</v>
      </c>
      <c r="C345" s="105" t="s">
        <v>93</v>
      </c>
      <c r="D345" s="105">
        <v>0</v>
      </c>
      <c r="E345" s="124">
        <f ca="1">OFFSET(INDEX(Composições!A:J,MATCH(Orçamentária!A345,Composições!A:A,0),8),2,0)</f>
        <v>94.78432149999999</v>
      </c>
      <c r="F345" s="125">
        <f t="shared" ca="1" si="15"/>
        <v>0</v>
      </c>
      <c r="G345" s="126" t="e">
        <f>IF(A345&lt;&gt;"",IF(AND(#REF!="Padrão",$H$4=#REF!),BDI!$B$17,IF(AND(#REF!="Padrão",$H$4=#REF!),BDI!#REF!,IF(AND(#REF!="Diferenciado",$H$4=#REF!),BDI!$E$17,IF(AND(#REF!="Diferenciado",$H$4=#REF!),BDI!#REF!,IF(#REF!="ZERO",0))))),"")</f>
        <v>#REF!</v>
      </c>
      <c r="H345" s="127" t="e">
        <f t="shared" ca="1" si="16"/>
        <v>#REF!</v>
      </c>
      <c r="I345" s="125" t="e">
        <f t="shared" ca="1" si="17"/>
        <v>#REF!</v>
      </c>
    </row>
    <row r="346" spans="1:9" hidden="1" x14ac:dyDescent="0.25">
      <c r="A346" s="103" t="s">
        <v>669</v>
      </c>
      <c r="B346" s="104" t="s">
        <v>1793</v>
      </c>
      <c r="C346" s="105" t="s">
        <v>93</v>
      </c>
      <c r="D346" s="105">
        <v>0</v>
      </c>
      <c r="E346" s="124">
        <f ca="1">OFFSET(INDEX(Composições!A:J,MATCH(Orçamentária!A346,Composições!A:A,0),8),2,0)</f>
        <v>87.27542649999998</v>
      </c>
      <c r="F346" s="125">
        <f t="shared" ca="1" si="15"/>
        <v>0</v>
      </c>
      <c r="G346" s="126" t="e">
        <f>IF(A346&lt;&gt;"",IF(AND(#REF!="Padrão",$H$4=#REF!),BDI!$B$17,IF(AND(#REF!="Padrão",$H$4=#REF!),BDI!#REF!,IF(AND(#REF!="Diferenciado",$H$4=#REF!),BDI!$E$17,IF(AND(#REF!="Diferenciado",$H$4=#REF!),BDI!#REF!,IF(#REF!="ZERO",0))))),"")</f>
        <v>#REF!</v>
      </c>
      <c r="H346" s="127" t="e">
        <f t="shared" ca="1" si="16"/>
        <v>#REF!</v>
      </c>
      <c r="I346" s="125" t="e">
        <f t="shared" ca="1" si="17"/>
        <v>#REF!</v>
      </c>
    </row>
    <row r="347" spans="1:9" hidden="1" x14ac:dyDescent="0.25">
      <c r="A347" s="103" t="s">
        <v>670</v>
      </c>
      <c r="B347" s="104" t="s">
        <v>1794</v>
      </c>
      <c r="C347" s="105" t="s">
        <v>93</v>
      </c>
      <c r="D347" s="105">
        <v>0</v>
      </c>
      <c r="E347" s="124">
        <f ca="1">OFFSET(INDEX(Composições!A:J,MATCH(Orçamentária!A347,Composições!A:A,0),8),2,0)</f>
        <v>69.110979999999984</v>
      </c>
      <c r="F347" s="125">
        <f t="shared" ca="1" si="15"/>
        <v>0</v>
      </c>
      <c r="G347" s="126" t="e">
        <f>IF(A347&lt;&gt;"",IF(AND(#REF!="Padrão",$H$4=#REF!),BDI!$B$17,IF(AND(#REF!="Padrão",$H$4=#REF!),BDI!#REF!,IF(AND(#REF!="Diferenciado",$H$4=#REF!),BDI!$E$17,IF(AND(#REF!="Diferenciado",$H$4=#REF!),BDI!#REF!,IF(#REF!="ZERO",0))))),"")</f>
        <v>#REF!</v>
      </c>
      <c r="H347" s="127" t="e">
        <f t="shared" ca="1" si="16"/>
        <v>#REF!</v>
      </c>
      <c r="I347" s="125" t="e">
        <f t="shared" ca="1" si="17"/>
        <v>#REF!</v>
      </c>
    </row>
    <row r="348" spans="1:9" hidden="1" x14ac:dyDescent="0.25">
      <c r="A348" s="103" t="s">
        <v>671</v>
      </c>
      <c r="B348" s="104" t="s">
        <v>1795</v>
      </c>
      <c r="C348" s="105" t="s">
        <v>93</v>
      </c>
      <c r="D348" s="105">
        <v>0</v>
      </c>
      <c r="E348" s="124">
        <f ca="1">OFFSET(INDEX(Composições!A:J,MATCH(Orçamentária!A348,Composições!A:A,0),8),2,0)</f>
        <v>62.843212499999993</v>
      </c>
      <c r="F348" s="125">
        <f t="shared" ca="1" si="15"/>
        <v>0</v>
      </c>
      <c r="G348" s="126" t="e">
        <f>IF(A348&lt;&gt;"",IF(AND(#REF!="Padrão",$H$4=#REF!),BDI!$B$17,IF(AND(#REF!="Padrão",$H$4=#REF!),BDI!#REF!,IF(AND(#REF!="Diferenciado",$H$4=#REF!),BDI!$E$17,IF(AND(#REF!="Diferenciado",$H$4=#REF!),BDI!#REF!,IF(#REF!="ZERO",0))))),"")</f>
        <v>#REF!</v>
      </c>
      <c r="H348" s="127" t="e">
        <f t="shared" ca="1" si="16"/>
        <v>#REF!</v>
      </c>
      <c r="I348" s="125" t="e">
        <f t="shared" ca="1" si="17"/>
        <v>#REF!</v>
      </c>
    </row>
    <row r="349" spans="1:9" s="184" customFormat="1" x14ac:dyDescent="0.25">
      <c r="A349" s="185" t="s">
        <v>673</v>
      </c>
      <c r="B349" s="186" t="s">
        <v>1796</v>
      </c>
      <c r="C349" s="187" t="s">
        <v>93</v>
      </c>
      <c r="D349" s="187">
        <v>115</v>
      </c>
      <c r="E349" s="124">
        <f ca="1">OFFSET(INDEX(Composições!A:J,MATCH(Orçamentária!A349,Composições!A:A,0),8),2,0)</f>
        <v>43.904459949999996</v>
      </c>
      <c r="F349" s="125">
        <f t="shared" ca="1" si="15"/>
        <v>5049.0128942499996</v>
      </c>
      <c r="G349" s="126">
        <f>BDI!$B$17</f>
        <v>0.191</v>
      </c>
      <c r="H349" s="127">
        <f t="shared" ca="1" si="16"/>
        <v>52.29</v>
      </c>
      <c r="I349" s="204">
        <f t="shared" ca="1" si="17"/>
        <v>6013.35</v>
      </c>
    </row>
    <row r="350" spans="1:9" s="184" customFormat="1" x14ac:dyDescent="0.25">
      <c r="A350" s="185" t="s">
        <v>675</v>
      </c>
      <c r="B350" s="186" t="s">
        <v>1797</v>
      </c>
      <c r="C350" s="187" t="s">
        <v>93</v>
      </c>
      <c r="D350" s="187">
        <v>115</v>
      </c>
      <c r="E350" s="124">
        <f ca="1">OFFSET(INDEX(Composições!A:J,MATCH(Orçamentária!A350,Composições!A:A,0),8),2,0)</f>
        <v>21.727449049999997</v>
      </c>
      <c r="F350" s="125">
        <f t="shared" ca="1" si="15"/>
        <v>2498.6566407499995</v>
      </c>
      <c r="G350" s="126">
        <f>BDI!$B$17</f>
        <v>0.191</v>
      </c>
      <c r="H350" s="127">
        <f t="shared" ca="1" si="16"/>
        <v>25.88</v>
      </c>
      <c r="I350" s="204">
        <f t="shared" ca="1" si="17"/>
        <v>2976.2</v>
      </c>
    </row>
    <row r="351" spans="1:9" hidden="1" x14ac:dyDescent="0.25">
      <c r="A351" s="103" t="s">
        <v>677</v>
      </c>
      <c r="B351" s="104" t="s">
        <v>1798</v>
      </c>
      <c r="C351" s="105" t="s">
        <v>93</v>
      </c>
      <c r="D351" s="105">
        <v>0</v>
      </c>
      <c r="E351" s="124">
        <f ca="1">OFFSET(INDEX(Composições!A:J,MATCH(Orçamentária!A351,Composições!A:A,0),8),2,0)</f>
        <v>65.200775249999978</v>
      </c>
      <c r="F351" s="125">
        <f t="shared" ca="1" si="15"/>
        <v>0</v>
      </c>
      <c r="G351" s="126" t="e">
        <f>IF(A351&lt;&gt;"",IF(AND(#REF!="Padrão",$H$4=#REF!),BDI!$B$17,IF(AND(#REF!="Padrão",$H$4=#REF!),BDI!#REF!,IF(AND(#REF!="Diferenciado",$H$4=#REF!),BDI!$E$17,IF(AND(#REF!="Diferenciado",$H$4=#REF!),BDI!#REF!,IF(#REF!="ZERO",0))))),"")</f>
        <v>#REF!</v>
      </c>
      <c r="H351" s="127" t="e">
        <f t="shared" ca="1" si="16"/>
        <v>#REF!</v>
      </c>
      <c r="I351" s="125" t="e">
        <f t="shared" ca="1" si="17"/>
        <v>#REF!</v>
      </c>
    </row>
    <row r="352" spans="1:9" s="184" customFormat="1" x14ac:dyDescent="0.25">
      <c r="A352" s="185" t="s">
        <v>679</v>
      </c>
      <c r="B352" s="186" t="s">
        <v>1799</v>
      </c>
      <c r="C352" s="187" t="s">
        <v>93</v>
      </c>
      <c r="D352" s="187">
        <v>115</v>
      </c>
      <c r="E352" s="124">
        <f ca="1">OFFSET(INDEX(Composições!A:J,MATCH(Orçamentária!A352,Composições!A:A,0),8),2,0)</f>
        <v>32.734138599999994</v>
      </c>
      <c r="F352" s="125">
        <f t="shared" ca="1" si="15"/>
        <v>3764.4259389999993</v>
      </c>
      <c r="G352" s="126">
        <f>BDI!$B$17</f>
        <v>0.191</v>
      </c>
      <c r="H352" s="127">
        <f t="shared" ca="1" si="16"/>
        <v>38.99</v>
      </c>
      <c r="I352" s="204">
        <f t="shared" ca="1" si="17"/>
        <v>4483.8500000000004</v>
      </c>
    </row>
    <row r="353" spans="1:9" s="184" customFormat="1" x14ac:dyDescent="0.25">
      <c r="A353" s="185" t="s">
        <v>681</v>
      </c>
      <c r="B353" s="186" t="s">
        <v>1800</v>
      </c>
      <c r="C353" s="187" t="s">
        <v>93</v>
      </c>
      <c r="D353" s="187">
        <v>115</v>
      </c>
      <c r="E353" s="124">
        <f ca="1">OFFSET(INDEX(Composições!A:J,MATCH(Orçamentária!A353,Composições!A:A,0),8),2,0)</f>
        <v>54.248967199999989</v>
      </c>
      <c r="F353" s="125">
        <f t="shared" ca="1" si="15"/>
        <v>6238.6312279999984</v>
      </c>
      <c r="G353" s="126">
        <f>BDI!$B$17</f>
        <v>0.191</v>
      </c>
      <c r="H353" s="127">
        <f t="shared" ca="1" si="16"/>
        <v>64.61</v>
      </c>
      <c r="I353" s="204">
        <f t="shared" ca="1" si="17"/>
        <v>7430.15</v>
      </c>
    </row>
    <row r="354" spans="1:9" hidden="1" x14ac:dyDescent="0.25">
      <c r="A354" s="103" t="s">
        <v>683</v>
      </c>
      <c r="B354" s="104" t="s">
        <v>1801</v>
      </c>
      <c r="C354" s="105" t="s">
        <v>93</v>
      </c>
      <c r="D354" s="105">
        <v>0</v>
      </c>
      <c r="E354" s="124">
        <f ca="1">OFFSET(INDEX(Composições!A:J,MATCH(Orçamentária!A354,Composições!A:A,0),8),2,0)</f>
        <v>1.9441408</v>
      </c>
      <c r="F354" s="125">
        <f t="shared" ca="1" si="15"/>
        <v>0</v>
      </c>
      <c r="G354" s="126" t="e">
        <f>IF(A354&lt;&gt;"",IF(AND(#REF!="Padrão",$H$4=#REF!),BDI!$B$17,IF(AND(#REF!="Padrão",$H$4=#REF!),BDI!#REF!,IF(AND(#REF!="Diferenciado",$H$4=#REF!),BDI!$E$17,IF(AND(#REF!="Diferenciado",$H$4=#REF!),BDI!#REF!,IF(#REF!="ZERO",0))))),"")</f>
        <v>#REF!</v>
      </c>
      <c r="H354" s="127" t="e">
        <f t="shared" ca="1" si="16"/>
        <v>#REF!</v>
      </c>
      <c r="I354" s="125" t="e">
        <f t="shared" ca="1" si="17"/>
        <v>#REF!</v>
      </c>
    </row>
    <row r="355" spans="1:9" hidden="1" x14ac:dyDescent="0.25">
      <c r="A355" s="103" t="s">
        <v>685</v>
      </c>
      <c r="B355" s="104" t="s">
        <v>1802</v>
      </c>
      <c r="C355" s="105" t="s">
        <v>93</v>
      </c>
      <c r="D355" s="105">
        <v>0</v>
      </c>
      <c r="E355" s="124">
        <f ca="1">OFFSET(INDEX(Composições!A:J,MATCH(Orçamentária!A355,Composições!A:A,0),8),2,0)</f>
        <v>1.9441408</v>
      </c>
      <c r="F355" s="125">
        <f t="shared" ca="1" si="15"/>
        <v>0</v>
      </c>
      <c r="G355" s="126" t="e">
        <f>IF(A355&lt;&gt;"",IF(AND(#REF!="Padrão",$H$4=#REF!),BDI!$B$17,IF(AND(#REF!="Padrão",$H$4=#REF!),BDI!#REF!,IF(AND(#REF!="Diferenciado",$H$4=#REF!),BDI!$E$17,IF(AND(#REF!="Diferenciado",$H$4=#REF!),BDI!#REF!,IF(#REF!="ZERO",0))))),"")</f>
        <v>#REF!</v>
      </c>
      <c r="H355" s="127" t="e">
        <f t="shared" ca="1" si="16"/>
        <v>#REF!</v>
      </c>
      <c r="I355" s="125" t="e">
        <f t="shared" ca="1" si="17"/>
        <v>#REF!</v>
      </c>
    </row>
    <row r="356" spans="1:9" hidden="1" x14ac:dyDescent="0.25">
      <c r="A356" s="103" t="s">
        <v>687</v>
      </c>
      <c r="B356" s="104" t="s">
        <v>1803</v>
      </c>
      <c r="C356" s="105" t="s">
        <v>93</v>
      </c>
      <c r="D356" s="105">
        <v>0</v>
      </c>
      <c r="E356" s="124">
        <f ca="1">OFFSET(INDEX(Composições!A:J,MATCH(Orçamentária!A356,Composições!A:A,0),8),2,0)</f>
        <v>1.9441408</v>
      </c>
      <c r="F356" s="125">
        <f t="shared" ca="1" si="15"/>
        <v>0</v>
      </c>
      <c r="G356" s="126" t="e">
        <f>IF(A356&lt;&gt;"",IF(AND(#REF!="Padrão",$H$4=#REF!),BDI!$B$17,IF(AND(#REF!="Padrão",$H$4=#REF!),BDI!#REF!,IF(AND(#REF!="Diferenciado",$H$4=#REF!),BDI!$E$17,IF(AND(#REF!="Diferenciado",$H$4=#REF!),BDI!#REF!,IF(#REF!="ZERO",0))))),"")</f>
        <v>#REF!</v>
      </c>
      <c r="H356" s="127" t="e">
        <f t="shared" ca="1" si="16"/>
        <v>#REF!</v>
      </c>
      <c r="I356" s="125" t="e">
        <f t="shared" ca="1" si="17"/>
        <v>#REF!</v>
      </c>
    </row>
    <row r="357" spans="1:9" hidden="1" x14ac:dyDescent="0.25">
      <c r="A357" s="103" t="s">
        <v>1804</v>
      </c>
      <c r="B357" s="104" t="s">
        <v>1805</v>
      </c>
      <c r="C357" s="105" t="s">
        <v>95</v>
      </c>
      <c r="D357" s="105">
        <v>0</v>
      </c>
      <c r="E357" s="124" t="s">
        <v>523</v>
      </c>
      <c r="F357" s="125" t="str">
        <f t="shared" si="15"/>
        <v/>
      </c>
      <c r="G357" s="126" t="e">
        <f>IF(A357&lt;&gt;"",IF(AND(#REF!="Padrão",$H$4=#REF!),BDI!$B$17,IF(AND(#REF!="Padrão",$H$4=#REF!),BDI!#REF!,IF(AND(#REF!="Diferenciado",$H$4=#REF!),BDI!$E$17,IF(AND(#REF!="Diferenciado",$H$4=#REF!),BDI!#REF!,IF(#REF!="ZERO",0))))),"")</f>
        <v>#REF!</v>
      </c>
      <c r="H357" s="127" t="str">
        <f t="shared" si="16"/>
        <v/>
      </c>
      <c r="I357" s="125" t="str">
        <f t="shared" si="17"/>
        <v/>
      </c>
    </row>
    <row r="358" spans="1:9" hidden="1" x14ac:dyDescent="0.25">
      <c r="A358" s="103" t="s">
        <v>1806</v>
      </c>
      <c r="B358" s="104" t="s">
        <v>6295</v>
      </c>
      <c r="C358" s="105" t="s">
        <v>95</v>
      </c>
      <c r="D358" s="105">
        <v>0</v>
      </c>
      <c r="E358" s="124" t="s">
        <v>523</v>
      </c>
      <c r="F358" s="125" t="str">
        <f t="shared" si="15"/>
        <v/>
      </c>
      <c r="G358" s="126" t="e">
        <f>IF(A358&lt;&gt;"",IF(AND(#REF!="Padrão",$H$4=#REF!),BDI!$B$17,IF(AND(#REF!="Padrão",$H$4=#REF!),BDI!#REF!,IF(AND(#REF!="Diferenciado",$H$4=#REF!),BDI!$E$17,IF(AND(#REF!="Diferenciado",$H$4=#REF!),BDI!#REF!,IF(#REF!="ZERO",0))))),"")</f>
        <v>#REF!</v>
      </c>
      <c r="H358" s="127" t="str">
        <f t="shared" si="16"/>
        <v/>
      </c>
      <c r="I358" s="125" t="str">
        <f t="shared" si="17"/>
        <v/>
      </c>
    </row>
    <row r="359" spans="1:9" hidden="1" x14ac:dyDescent="0.25">
      <c r="A359" s="103" t="s">
        <v>689</v>
      </c>
      <c r="B359" s="104" t="s">
        <v>1807</v>
      </c>
      <c r="C359" s="105" t="s">
        <v>95</v>
      </c>
      <c r="D359" s="105">
        <v>0</v>
      </c>
      <c r="E359" s="124">
        <f ca="1">OFFSET(INDEX(Composições!A:J,MATCH(Orçamentária!A359,Composições!A:A,0),8),2,0)</f>
        <v>103.40369999999999</v>
      </c>
      <c r="F359" s="125">
        <f t="shared" ca="1" si="15"/>
        <v>0</v>
      </c>
      <c r="G359" s="126" t="e">
        <f>IF(A359&lt;&gt;"",IF(AND(#REF!="Padrão",$H$4=#REF!),BDI!$B$17,IF(AND(#REF!="Padrão",$H$4=#REF!),BDI!#REF!,IF(AND(#REF!="Diferenciado",$H$4=#REF!),BDI!$E$17,IF(AND(#REF!="Diferenciado",$H$4=#REF!),BDI!#REF!,IF(#REF!="ZERO",0))))),"")</f>
        <v>#REF!</v>
      </c>
      <c r="H359" s="127" t="e">
        <f t="shared" ca="1" si="16"/>
        <v>#REF!</v>
      </c>
      <c r="I359" s="125" t="e">
        <f t="shared" ca="1" si="17"/>
        <v>#REF!</v>
      </c>
    </row>
    <row r="360" spans="1:9" hidden="1" x14ac:dyDescent="0.25">
      <c r="A360" s="103" t="s">
        <v>690</v>
      </c>
      <c r="B360" s="104" t="s">
        <v>1808</v>
      </c>
      <c r="C360" s="105" t="s">
        <v>95</v>
      </c>
      <c r="D360" s="105">
        <v>0</v>
      </c>
      <c r="E360" s="124">
        <f ca="1">OFFSET(INDEX(Composições!A:J,MATCH(Orçamentária!A360,Composições!A:A,0),8),2,0)</f>
        <v>228.65264999999999</v>
      </c>
      <c r="F360" s="125">
        <f t="shared" ca="1" si="15"/>
        <v>0</v>
      </c>
      <c r="G360" s="126" t="e">
        <f>IF(A360&lt;&gt;"",IF(AND(#REF!="Padrão",$H$4=#REF!),BDI!$B$17,IF(AND(#REF!="Padrão",$H$4=#REF!),BDI!#REF!,IF(AND(#REF!="Diferenciado",$H$4=#REF!),BDI!$E$17,IF(AND(#REF!="Diferenciado",$H$4=#REF!),BDI!#REF!,IF(#REF!="ZERO",0))))),"")</f>
        <v>#REF!</v>
      </c>
      <c r="H360" s="127" t="e">
        <f t="shared" ca="1" si="16"/>
        <v>#REF!</v>
      </c>
      <c r="I360" s="125" t="e">
        <f t="shared" ca="1" si="17"/>
        <v>#REF!</v>
      </c>
    </row>
    <row r="361" spans="1:9" hidden="1" x14ac:dyDescent="0.25">
      <c r="A361" s="103" t="s">
        <v>693</v>
      </c>
      <c r="B361" s="104" t="s">
        <v>6666</v>
      </c>
      <c r="C361" s="105" t="s">
        <v>95</v>
      </c>
      <c r="D361" s="105">
        <v>0</v>
      </c>
      <c r="E361" s="124">
        <f ca="1">OFFSET(INDEX(Composições!A:J,MATCH(Orçamentária!A361,Composições!A:A,0),8),2,0)</f>
        <v>236.72479999999999</v>
      </c>
      <c r="F361" s="125">
        <f t="shared" ca="1" si="15"/>
        <v>0</v>
      </c>
      <c r="G361" s="126" t="e">
        <f>IF(A361&lt;&gt;"",IF(AND(#REF!="Padrão",$H$4=#REF!),BDI!$B$17,IF(AND(#REF!="Padrão",$H$4=#REF!),BDI!#REF!,IF(AND(#REF!="Diferenciado",$H$4=#REF!),BDI!$E$17,IF(AND(#REF!="Diferenciado",$H$4=#REF!),BDI!#REF!,IF(#REF!="ZERO",0))))),"")</f>
        <v>#REF!</v>
      </c>
      <c r="H361" s="127" t="e">
        <f t="shared" ca="1" si="16"/>
        <v>#REF!</v>
      </c>
      <c r="I361" s="125" t="e">
        <f t="shared" ca="1" si="17"/>
        <v>#REF!</v>
      </c>
    </row>
    <row r="362" spans="1:9" hidden="1" x14ac:dyDescent="0.25">
      <c r="A362" s="103" t="s">
        <v>694</v>
      </c>
      <c r="B362" s="104" t="s">
        <v>6263</v>
      </c>
      <c r="C362" s="105" t="s">
        <v>95</v>
      </c>
      <c r="D362" s="105">
        <v>0</v>
      </c>
      <c r="E362" s="124">
        <f ca="1">OFFSET(INDEX(Composições!A:J,MATCH(Orçamentária!A362,Composições!A:A,0),8),2,0)</f>
        <v>160.98319999999998</v>
      </c>
      <c r="F362" s="125">
        <f t="shared" ca="1" si="15"/>
        <v>0</v>
      </c>
      <c r="G362" s="126" t="e">
        <f>IF(A362&lt;&gt;"",IF(AND(#REF!="Padrão",$H$4=#REF!),BDI!$B$17,IF(AND(#REF!="Padrão",$H$4=#REF!),BDI!#REF!,IF(AND(#REF!="Diferenciado",$H$4=#REF!),BDI!$E$17,IF(AND(#REF!="Diferenciado",$H$4=#REF!),BDI!#REF!,IF(#REF!="ZERO",0))))),"")</f>
        <v>#REF!</v>
      </c>
      <c r="H362" s="127" t="e">
        <f t="shared" ca="1" si="16"/>
        <v>#REF!</v>
      </c>
      <c r="I362" s="125" t="e">
        <f t="shared" ca="1" si="17"/>
        <v>#REF!</v>
      </c>
    </row>
    <row r="363" spans="1:9" hidden="1" x14ac:dyDescent="0.25">
      <c r="A363" s="103" t="s">
        <v>695</v>
      </c>
      <c r="B363" s="104" t="s">
        <v>1809</v>
      </c>
      <c r="C363" s="105" t="s">
        <v>20</v>
      </c>
      <c r="D363" s="105">
        <v>0</v>
      </c>
      <c r="E363" s="124">
        <f ca="1">OFFSET(INDEX(Composições!A:J,MATCH(Orçamentária!A363,Composições!A:A,0),8),2,0)</f>
        <v>42.825999999999993</v>
      </c>
      <c r="F363" s="125">
        <f t="shared" ca="1" si="15"/>
        <v>0</v>
      </c>
      <c r="G363" s="126" t="e">
        <f>IF(A363&lt;&gt;"",IF(AND(#REF!="Padrão",$H$4=#REF!),BDI!$B$17,IF(AND(#REF!="Padrão",$H$4=#REF!),BDI!#REF!,IF(AND(#REF!="Diferenciado",$H$4=#REF!),BDI!$E$17,IF(AND(#REF!="Diferenciado",$H$4=#REF!),BDI!#REF!,IF(#REF!="ZERO",0))))),"")</f>
        <v>#REF!</v>
      </c>
      <c r="H363" s="127" t="e">
        <f t="shared" ca="1" si="16"/>
        <v>#REF!</v>
      </c>
      <c r="I363" s="125" t="e">
        <f t="shared" ca="1" si="17"/>
        <v>#REF!</v>
      </c>
    </row>
    <row r="364" spans="1:9" hidden="1" x14ac:dyDescent="0.25">
      <c r="A364" s="103" t="s">
        <v>697</v>
      </c>
      <c r="B364" s="104" t="s">
        <v>3558</v>
      </c>
      <c r="C364" s="105" t="s">
        <v>20</v>
      </c>
      <c r="D364" s="105">
        <v>0</v>
      </c>
      <c r="E364" s="124">
        <f ca="1">OFFSET(INDEX(Composições!A:J,MATCH(Orçamentária!A364,Composições!A:A,0),8),2,0)</f>
        <v>331.77981225000008</v>
      </c>
      <c r="F364" s="125">
        <f t="shared" ca="1" si="15"/>
        <v>0</v>
      </c>
      <c r="G364" s="126" t="e">
        <f>IF(A364&lt;&gt;"",IF(AND(#REF!="Padrão",$H$4=#REF!),BDI!$B$17,IF(AND(#REF!="Padrão",$H$4=#REF!),BDI!#REF!,IF(AND(#REF!="Diferenciado",$H$4=#REF!),BDI!$E$17,IF(AND(#REF!="Diferenciado",$H$4=#REF!),BDI!#REF!,IF(#REF!="ZERO",0))))),"")</f>
        <v>#REF!</v>
      </c>
      <c r="H364" s="127" t="e">
        <f t="shared" ca="1" si="16"/>
        <v>#REF!</v>
      </c>
      <c r="I364" s="125" t="e">
        <f t="shared" ca="1" si="17"/>
        <v>#REF!</v>
      </c>
    </row>
    <row r="365" spans="1:9" hidden="1" x14ac:dyDescent="0.25">
      <c r="A365" s="103" t="s">
        <v>699</v>
      </c>
      <c r="B365" s="104" t="s">
        <v>1810</v>
      </c>
      <c r="C365" s="105" t="s">
        <v>95</v>
      </c>
      <c r="D365" s="105">
        <v>0</v>
      </c>
      <c r="E365" s="124">
        <f ca="1">OFFSET(INDEX(Composições!A:J,MATCH(Orçamentária!A365,Composições!A:A,0),8),2,0)</f>
        <v>12.525749999999999</v>
      </c>
      <c r="F365" s="125">
        <f t="shared" ca="1" si="15"/>
        <v>0</v>
      </c>
      <c r="G365" s="126" t="e">
        <f>IF(A365&lt;&gt;"",IF(AND(#REF!="Padrão",$H$4=#REF!),BDI!$B$17,IF(AND(#REF!="Padrão",$H$4=#REF!),BDI!#REF!,IF(AND(#REF!="Diferenciado",$H$4=#REF!),BDI!$E$17,IF(AND(#REF!="Diferenciado",$H$4=#REF!),BDI!#REF!,IF(#REF!="ZERO",0))))),"")</f>
        <v>#REF!</v>
      </c>
      <c r="H365" s="127" t="e">
        <f t="shared" ca="1" si="16"/>
        <v>#REF!</v>
      </c>
      <c r="I365" s="125" t="e">
        <f t="shared" ca="1" si="17"/>
        <v>#REF!</v>
      </c>
    </row>
    <row r="366" spans="1:9" hidden="1" x14ac:dyDescent="0.25">
      <c r="A366" s="103" t="s">
        <v>701</v>
      </c>
      <c r="B366" s="104" t="s">
        <v>3549</v>
      </c>
      <c r="C366" s="105" t="s">
        <v>20</v>
      </c>
      <c r="D366" s="105">
        <v>0</v>
      </c>
      <c r="E366" s="124">
        <f ca="1">OFFSET(INDEX(Composições!A:J,MATCH(Orçamentária!A366,Composições!A:A,0),8),2,0)</f>
        <v>326.51734959999999</v>
      </c>
      <c r="F366" s="125">
        <f t="shared" ca="1" si="15"/>
        <v>0</v>
      </c>
      <c r="G366" s="126" t="e">
        <f>IF(A366&lt;&gt;"",IF(AND(#REF!="Padrão",$H$4=#REF!),BDI!$B$17,IF(AND(#REF!="Padrão",$H$4=#REF!),BDI!#REF!,IF(AND(#REF!="Diferenciado",$H$4=#REF!),BDI!$E$17,IF(AND(#REF!="Diferenciado",$H$4=#REF!),BDI!#REF!,IF(#REF!="ZERO",0))))),"")</f>
        <v>#REF!</v>
      </c>
      <c r="H366" s="127" t="e">
        <f t="shared" ca="1" si="16"/>
        <v>#REF!</v>
      </c>
      <c r="I366" s="125" t="e">
        <f t="shared" ca="1" si="17"/>
        <v>#REF!</v>
      </c>
    </row>
    <row r="367" spans="1:9" hidden="1" x14ac:dyDescent="0.25">
      <c r="A367" s="103" t="s">
        <v>707</v>
      </c>
      <c r="B367" s="104" t="s">
        <v>3550</v>
      </c>
      <c r="C367" s="105" t="s">
        <v>20</v>
      </c>
      <c r="D367" s="105">
        <v>0</v>
      </c>
      <c r="E367" s="124">
        <f ca="1">OFFSET(INDEX(Composições!A:J,MATCH(Orçamentária!A367,Composições!A:A,0),8),2,0)</f>
        <v>342.32075144999999</v>
      </c>
      <c r="F367" s="125">
        <f t="shared" ca="1" si="15"/>
        <v>0</v>
      </c>
      <c r="G367" s="126" t="e">
        <f>IF(A367&lt;&gt;"",IF(AND(#REF!="Padrão",$H$4=#REF!),BDI!$B$17,IF(AND(#REF!="Padrão",$H$4=#REF!),BDI!#REF!,IF(AND(#REF!="Diferenciado",$H$4=#REF!),BDI!$E$17,IF(AND(#REF!="Diferenciado",$H$4=#REF!),BDI!#REF!,IF(#REF!="ZERO",0))))),"")</f>
        <v>#REF!</v>
      </c>
      <c r="H367" s="127" t="e">
        <f t="shared" ca="1" si="16"/>
        <v>#REF!</v>
      </c>
      <c r="I367" s="125" t="e">
        <f t="shared" ca="1" si="17"/>
        <v>#REF!</v>
      </c>
    </row>
    <row r="368" spans="1:9" hidden="1" x14ac:dyDescent="0.25">
      <c r="A368" s="103" t="s">
        <v>708</v>
      </c>
      <c r="B368" s="104" t="s">
        <v>3551</v>
      </c>
      <c r="C368" s="105" t="s">
        <v>20</v>
      </c>
      <c r="D368" s="105">
        <v>0</v>
      </c>
      <c r="E368" s="124">
        <f ca="1">OFFSET(INDEX(Composições!A:J,MATCH(Orçamentária!A368,Composições!A:A,0),8),2,0)</f>
        <v>412.17689804999998</v>
      </c>
      <c r="F368" s="125">
        <f t="shared" ca="1" si="15"/>
        <v>0</v>
      </c>
      <c r="G368" s="126" t="e">
        <f>IF(A368&lt;&gt;"",IF(AND(#REF!="Padrão",$H$4=#REF!),BDI!$B$17,IF(AND(#REF!="Padrão",$H$4=#REF!),BDI!#REF!,IF(AND(#REF!="Diferenciado",$H$4=#REF!),BDI!$E$17,IF(AND(#REF!="Diferenciado",$H$4=#REF!),BDI!#REF!,IF(#REF!="ZERO",0))))),"")</f>
        <v>#REF!</v>
      </c>
      <c r="H368" s="127" t="e">
        <f t="shared" ca="1" si="16"/>
        <v>#REF!</v>
      </c>
      <c r="I368" s="125" t="e">
        <f t="shared" ca="1" si="17"/>
        <v>#REF!</v>
      </c>
    </row>
    <row r="369" spans="1:9" hidden="1" x14ac:dyDescent="0.25">
      <c r="A369" s="103" t="s">
        <v>709</v>
      </c>
      <c r="B369" s="104" t="s">
        <v>3552</v>
      </c>
      <c r="C369" s="105" t="s">
        <v>20</v>
      </c>
      <c r="D369" s="105">
        <v>0</v>
      </c>
      <c r="E369" s="124">
        <f ca="1">OFFSET(INDEX(Composições!A:J,MATCH(Orçamentária!A369,Composições!A:A,0),8),2,0)</f>
        <v>467.68338864999998</v>
      </c>
      <c r="F369" s="125">
        <f t="shared" ca="1" si="15"/>
        <v>0</v>
      </c>
      <c r="G369" s="126" t="e">
        <f>IF(A369&lt;&gt;"",IF(AND(#REF!="Padrão",$H$4=#REF!),BDI!$B$17,IF(AND(#REF!="Padrão",$H$4=#REF!),BDI!#REF!,IF(AND(#REF!="Diferenciado",$H$4=#REF!),BDI!$E$17,IF(AND(#REF!="Diferenciado",$H$4=#REF!),BDI!#REF!,IF(#REF!="ZERO",0))))),"")</f>
        <v>#REF!</v>
      </c>
      <c r="H369" s="127" t="e">
        <f t="shared" ca="1" si="16"/>
        <v>#REF!</v>
      </c>
      <c r="I369" s="125" t="e">
        <f t="shared" ca="1" si="17"/>
        <v>#REF!</v>
      </c>
    </row>
    <row r="370" spans="1:9" hidden="1" x14ac:dyDescent="0.25">
      <c r="A370" s="103" t="s">
        <v>710</v>
      </c>
      <c r="B370" s="104" t="s">
        <v>3553</v>
      </c>
      <c r="C370" s="105" t="s">
        <v>20</v>
      </c>
      <c r="D370" s="105">
        <v>0</v>
      </c>
      <c r="E370" s="124">
        <f ca="1">OFFSET(INDEX(Composições!A:J,MATCH(Orçamentária!A370,Composições!A:A,0),8),2,0)</f>
        <v>501.33597765000002</v>
      </c>
      <c r="F370" s="125">
        <f t="shared" ca="1" si="15"/>
        <v>0</v>
      </c>
      <c r="G370" s="126" t="e">
        <f>IF(A370&lt;&gt;"",IF(AND(#REF!="Padrão",$H$4=#REF!),BDI!$B$17,IF(AND(#REF!="Padrão",$H$4=#REF!),BDI!#REF!,IF(AND(#REF!="Diferenciado",$H$4=#REF!),BDI!$E$17,IF(AND(#REF!="Diferenciado",$H$4=#REF!),BDI!#REF!,IF(#REF!="ZERO",0))))),"")</f>
        <v>#REF!</v>
      </c>
      <c r="H370" s="127" t="e">
        <f t="shared" ca="1" si="16"/>
        <v>#REF!</v>
      </c>
      <c r="I370" s="125" t="e">
        <f t="shared" ca="1" si="17"/>
        <v>#REF!</v>
      </c>
    </row>
    <row r="371" spans="1:9" hidden="1" x14ac:dyDescent="0.25">
      <c r="A371" s="103" t="s">
        <v>711</v>
      </c>
      <c r="B371" s="104" t="s">
        <v>1811</v>
      </c>
      <c r="C371" s="105" t="s">
        <v>20</v>
      </c>
      <c r="D371" s="105">
        <v>0</v>
      </c>
      <c r="E371" s="124">
        <f ca="1">OFFSET(INDEX(Composições!A:J,MATCH(Orçamentária!A371,Composições!A:A,0),8),2,0)</f>
        <v>90.580770999999984</v>
      </c>
      <c r="F371" s="125">
        <f t="shared" ca="1" si="15"/>
        <v>0</v>
      </c>
      <c r="G371" s="126" t="e">
        <f>IF(A371&lt;&gt;"",IF(AND(#REF!="Padrão",$H$4=#REF!),BDI!$B$17,IF(AND(#REF!="Padrão",$H$4=#REF!),BDI!#REF!,IF(AND(#REF!="Diferenciado",$H$4=#REF!),BDI!$E$17,IF(AND(#REF!="Diferenciado",$H$4=#REF!),BDI!#REF!,IF(#REF!="ZERO",0))))),"")</f>
        <v>#REF!</v>
      </c>
      <c r="H371" s="127" t="e">
        <f t="shared" ca="1" si="16"/>
        <v>#REF!</v>
      </c>
      <c r="I371" s="125" t="e">
        <f t="shared" ca="1" si="17"/>
        <v>#REF!</v>
      </c>
    </row>
    <row r="372" spans="1:9" hidden="1" x14ac:dyDescent="0.25">
      <c r="A372" s="103" t="s">
        <v>712</v>
      </c>
      <c r="B372" s="104" t="s">
        <v>1812</v>
      </c>
      <c r="C372" s="105" t="s">
        <v>20</v>
      </c>
      <c r="D372" s="105">
        <v>0</v>
      </c>
      <c r="E372" s="124">
        <f ca="1">OFFSET(INDEX(Composições!A:J,MATCH(Orçamentária!A372,Composições!A:A,0),8),2,0)</f>
        <v>66.127115500000002</v>
      </c>
      <c r="F372" s="125">
        <f t="shared" ca="1" si="15"/>
        <v>0</v>
      </c>
      <c r="G372" s="126" t="e">
        <f>IF(A372&lt;&gt;"",IF(AND(#REF!="Padrão",$H$4=#REF!),BDI!$B$17,IF(AND(#REF!="Padrão",$H$4=#REF!),BDI!#REF!,IF(AND(#REF!="Diferenciado",$H$4=#REF!),BDI!$E$17,IF(AND(#REF!="Diferenciado",$H$4=#REF!),BDI!#REF!,IF(#REF!="ZERO",0))))),"")</f>
        <v>#REF!</v>
      </c>
      <c r="H372" s="127" t="e">
        <f t="shared" ca="1" si="16"/>
        <v>#REF!</v>
      </c>
      <c r="I372" s="125" t="e">
        <f t="shared" ca="1" si="17"/>
        <v>#REF!</v>
      </c>
    </row>
    <row r="373" spans="1:9" hidden="1" x14ac:dyDescent="0.25">
      <c r="A373" s="103" t="s">
        <v>714</v>
      </c>
      <c r="B373" s="104" t="s">
        <v>1813</v>
      </c>
      <c r="C373" s="105" t="s">
        <v>20</v>
      </c>
      <c r="D373" s="105">
        <v>0</v>
      </c>
      <c r="E373" s="124">
        <f ca="1">OFFSET(INDEX(Composições!A:J,MATCH(Orçamentária!A373,Composições!A:A,0),8),2,0)</f>
        <v>49.611260999999999</v>
      </c>
      <c r="F373" s="125">
        <f t="shared" ca="1" si="15"/>
        <v>0</v>
      </c>
      <c r="G373" s="126" t="e">
        <f>IF(A373&lt;&gt;"",IF(AND(#REF!="Padrão",$H$4=#REF!),BDI!$B$17,IF(AND(#REF!="Padrão",$H$4=#REF!),BDI!#REF!,IF(AND(#REF!="Diferenciado",$H$4=#REF!),BDI!$E$17,IF(AND(#REF!="Diferenciado",$H$4=#REF!),BDI!#REF!,IF(#REF!="ZERO",0))))),"")</f>
        <v>#REF!</v>
      </c>
      <c r="H373" s="127" t="e">
        <f t="shared" ca="1" si="16"/>
        <v>#REF!</v>
      </c>
      <c r="I373" s="125" t="e">
        <f t="shared" ca="1" si="17"/>
        <v>#REF!</v>
      </c>
    </row>
    <row r="374" spans="1:9" hidden="1" x14ac:dyDescent="0.25">
      <c r="A374" s="103" t="s">
        <v>715</v>
      </c>
      <c r="B374" s="104" t="s">
        <v>1814</v>
      </c>
      <c r="C374" s="105" t="s">
        <v>20</v>
      </c>
      <c r="D374" s="105">
        <v>0</v>
      </c>
      <c r="E374" s="124">
        <f ca="1">OFFSET(INDEX(Composições!A:J,MATCH(Orçamentária!A374,Composições!A:A,0),8),2,0)</f>
        <v>25.187711</v>
      </c>
      <c r="F374" s="125">
        <f t="shared" ca="1" si="15"/>
        <v>0</v>
      </c>
      <c r="G374" s="126" t="e">
        <f>IF(A374&lt;&gt;"",IF(AND(#REF!="Padrão",$H$4=#REF!),BDI!$B$17,IF(AND(#REF!="Padrão",$H$4=#REF!),BDI!#REF!,IF(AND(#REF!="Diferenciado",$H$4=#REF!),BDI!$E$17,IF(AND(#REF!="Diferenciado",$H$4=#REF!),BDI!#REF!,IF(#REF!="ZERO",0))))),"")</f>
        <v>#REF!</v>
      </c>
      <c r="H374" s="127" t="e">
        <f t="shared" ca="1" si="16"/>
        <v>#REF!</v>
      </c>
      <c r="I374" s="125" t="e">
        <f t="shared" ca="1" si="17"/>
        <v>#REF!</v>
      </c>
    </row>
    <row r="375" spans="1:9" hidden="1" x14ac:dyDescent="0.25">
      <c r="A375" s="103" t="s">
        <v>717</v>
      </c>
      <c r="B375" s="104" t="s">
        <v>1815</v>
      </c>
      <c r="C375" s="105" t="s">
        <v>20</v>
      </c>
      <c r="D375" s="105">
        <v>0</v>
      </c>
      <c r="E375" s="124">
        <f ca="1">OFFSET(INDEX(Composições!A:J,MATCH(Orçamentária!A375,Composições!A:A,0),8),2,0)</f>
        <v>32.8929045</v>
      </c>
      <c r="F375" s="125">
        <f t="shared" ca="1" si="15"/>
        <v>0</v>
      </c>
      <c r="G375" s="126" t="e">
        <f>IF(A375&lt;&gt;"",IF(AND(#REF!="Padrão",$H$4=#REF!),BDI!$B$17,IF(AND(#REF!="Padrão",$H$4=#REF!),BDI!#REF!,IF(AND(#REF!="Diferenciado",$H$4=#REF!),BDI!$E$17,IF(AND(#REF!="Diferenciado",$H$4=#REF!),BDI!#REF!,IF(#REF!="ZERO",0))))),"")</f>
        <v>#REF!</v>
      </c>
      <c r="H375" s="127" t="e">
        <f t="shared" ca="1" si="16"/>
        <v>#REF!</v>
      </c>
      <c r="I375" s="125" t="e">
        <f t="shared" ca="1" si="17"/>
        <v>#REF!</v>
      </c>
    </row>
    <row r="376" spans="1:9" hidden="1" x14ac:dyDescent="0.25">
      <c r="A376" s="103" t="s">
        <v>719</v>
      </c>
      <c r="B376" s="104" t="s">
        <v>1816</v>
      </c>
      <c r="C376" s="105" t="s">
        <v>20</v>
      </c>
      <c r="D376" s="105">
        <v>0</v>
      </c>
      <c r="E376" s="124">
        <f ca="1">OFFSET(INDEX(Composições!A:J,MATCH(Orçamentária!A376,Composições!A:A,0),8),2,0)</f>
        <v>32.8929045</v>
      </c>
      <c r="F376" s="125">
        <f t="shared" ca="1" si="15"/>
        <v>0</v>
      </c>
      <c r="G376" s="126" t="e">
        <f>IF(A376&lt;&gt;"",IF(AND(#REF!="Padrão",$H$4=#REF!),BDI!$B$17,IF(AND(#REF!="Padrão",$H$4=#REF!),BDI!#REF!,IF(AND(#REF!="Diferenciado",$H$4=#REF!),BDI!$E$17,IF(AND(#REF!="Diferenciado",$H$4=#REF!),BDI!#REF!,IF(#REF!="ZERO",0))))),"")</f>
        <v>#REF!</v>
      </c>
      <c r="H376" s="127" t="e">
        <f t="shared" ca="1" si="16"/>
        <v>#REF!</v>
      </c>
      <c r="I376" s="125" t="e">
        <f t="shared" ca="1" si="17"/>
        <v>#REF!</v>
      </c>
    </row>
    <row r="377" spans="1:9" hidden="1" x14ac:dyDescent="0.25">
      <c r="A377" s="103" t="s">
        <v>721</v>
      </c>
      <c r="B377" s="104" t="s">
        <v>1817</v>
      </c>
      <c r="C377" s="105" t="s">
        <v>20</v>
      </c>
      <c r="D377" s="105">
        <v>0</v>
      </c>
      <c r="E377" s="124">
        <f ca="1">OFFSET(INDEX(Composições!A:J,MATCH(Orçamentária!A377,Composições!A:A,0),8),2,0)</f>
        <v>32.8929045</v>
      </c>
      <c r="F377" s="125">
        <f t="shared" ca="1" si="15"/>
        <v>0</v>
      </c>
      <c r="G377" s="126" t="e">
        <f>IF(A377&lt;&gt;"",IF(AND(#REF!="Padrão",$H$4=#REF!),BDI!$B$17,IF(AND(#REF!="Padrão",$H$4=#REF!),BDI!#REF!,IF(AND(#REF!="Diferenciado",$H$4=#REF!),BDI!$E$17,IF(AND(#REF!="Diferenciado",$H$4=#REF!),BDI!#REF!,IF(#REF!="ZERO",0))))),"")</f>
        <v>#REF!</v>
      </c>
      <c r="H377" s="127" t="e">
        <f t="shared" ca="1" si="16"/>
        <v>#REF!</v>
      </c>
      <c r="I377" s="125" t="e">
        <f t="shared" ca="1" si="17"/>
        <v>#REF!</v>
      </c>
    </row>
    <row r="378" spans="1:9" hidden="1" x14ac:dyDescent="0.25">
      <c r="A378" s="103" t="s">
        <v>722</v>
      </c>
      <c r="B378" s="104" t="s">
        <v>1818</v>
      </c>
      <c r="C378" s="105" t="s">
        <v>20</v>
      </c>
      <c r="D378" s="105">
        <v>0</v>
      </c>
      <c r="E378" s="124">
        <f ca="1">OFFSET(INDEX(Composições!A:J,MATCH(Orçamentária!A378,Composições!A:A,0),8),2,0)</f>
        <v>23.331999999999997</v>
      </c>
      <c r="F378" s="125">
        <f t="shared" ca="1" si="15"/>
        <v>0</v>
      </c>
      <c r="G378" s="126" t="e">
        <f>IF(A378&lt;&gt;"",IF(AND(#REF!="Padrão",$H$4=#REF!),BDI!$B$17,IF(AND(#REF!="Padrão",$H$4=#REF!),BDI!#REF!,IF(AND(#REF!="Diferenciado",$H$4=#REF!),BDI!$E$17,IF(AND(#REF!="Diferenciado",$H$4=#REF!),BDI!#REF!,IF(#REF!="ZERO",0))))),"")</f>
        <v>#REF!</v>
      </c>
      <c r="H378" s="127" t="e">
        <f t="shared" ca="1" si="16"/>
        <v>#REF!</v>
      </c>
      <c r="I378" s="125" t="e">
        <f t="shared" ca="1" si="17"/>
        <v>#REF!</v>
      </c>
    </row>
    <row r="379" spans="1:9" hidden="1" x14ac:dyDescent="0.25">
      <c r="A379" s="103" t="s">
        <v>724</v>
      </c>
      <c r="B379" s="104" t="s">
        <v>1819</v>
      </c>
      <c r="C379" s="105" t="s">
        <v>20</v>
      </c>
      <c r="D379" s="105">
        <v>0</v>
      </c>
      <c r="E379" s="124">
        <f ca="1">OFFSET(INDEX(Composições!A:J,MATCH(Orçamentária!A379,Composições!A:A,0),8),2,0)</f>
        <v>11.665999999999999</v>
      </c>
      <c r="F379" s="125">
        <f t="shared" ca="1" si="15"/>
        <v>0</v>
      </c>
      <c r="G379" s="126" t="e">
        <f>IF(A379&lt;&gt;"",IF(AND(#REF!="Padrão",$H$4=#REF!),BDI!$B$17,IF(AND(#REF!="Padrão",$H$4=#REF!),BDI!#REF!,IF(AND(#REF!="Diferenciado",$H$4=#REF!),BDI!$E$17,IF(AND(#REF!="Diferenciado",$H$4=#REF!),BDI!#REF!,IF(#REF!="ZERO",0))))),"")</f>
        <v>#REF!</v>
      </c>
      <c r="H379" s="127" t="e">
        <f t="shared" ca="1" si="16"/>
        <v>#REF!</v>
      </c>
      <c r="I379" s="125" t="e">
        <f t="shared" ca="1" si="17"/>
        <v>#REF!</v>
      </c>
    </row>
    <row r="380" spans="1:9" hidden="1" x14ac:dyDescent="0.25">
      <c r="A380" s="103" t="s">
        <v>726</v>
      </c>
      <c r="B380" s="104" t="s">
        <v>1820</v>
      </c>
      <c r="C380" s="105" t="s">
        <v>93</v>
      </c>
      <c r="D380" s="105">
        <v>0</v>
      </c>
      <c r="E380" s="124">
        <f ca="1">OFFSET(INDEX(Composições!A:J,MATCH(Orçamentária!A380,Composições!A:A,0),8),2,0)</f>
        <v>0.12475399999999999</v>
      </c>
      <c r="F380" s="125">
        <f t="shared" ca="1" si="15"/>
        <v>0</v>
      </c>
      <c r="G380" s="126" t="e">
        <f>IF(A380&lt;&gt;"",IF(AND(#REF!="Padrão",$H$4=#REF!),BDI!$B$17,IF(AND(#REF!="Padrão",$H$4=#REF!),BDI!#REF!,IF(AND(#REF!="Diferenciado",$H$4=#REF!),BDI!$E$17,IF(AND(#REF!="Diferenciado",$H$4=#REF!),BDI!#REF!,IF(#REF!="ZERO",0))))),"")</f>
        <v>#REF!</v>
      </c>
      <c r="H380" s="127" t="e">
        <f t="shared" ca="1" si="16"/>
        <v>#REF!</v>
      </c>
      <c r="I380" s="125" t="e">
        <f t="shared" ca="1" si="17"/>
        <v>#REF!</v>
      </c>
    </row>
    <row r="381" spans="1:9" hidden="1" x14ac:dyDescent="0.25">
      <c r="A381" s="103" t="s">
        <v>728</v>
      </c>
      <c r="B381" s="104" t="s">
        <v>1821</v>
      </c>
      <c r="C381" s="105" t="s">
        <v>20</v>
      </c>
      <c r="D381" s="105">
        <v>0</v>
      </c>
      <c r="E381" s="124">
        <f ca="1">OFFSET(INDEX(Composições!A:J,MATCH(Orçamentária!A381,Composições!A:A,0),8),2,0)</f>
        <v>18.374482</v>
      </c>
      <c r="F381" s="125">
        <f t="shared" ca="1" si="15"/>
        <v>0</v>
      </c>
      <c r="G381" s="126" t="e">
        <f>IF(A381&lt;&gt;"",IF(AND(#REF!="Padrão",$H$4=#REF!),BDI!$B$17,IF(AND(#REF!="Padrão",$H$4=#REF!),BDI!#REF!,IF(AND(#REF!="Diferenciado",$H$4=#REF!),BDI!$E$17,IF(AND(#REF!="Diferenciado",$H$4=#REF!),BDI!#REF!,IF(#REF!="ZERO",0))))),"")</f>
        <v>#REF!</v>
      </c>
      <c r="H381" s="127" t="e">
        <f t="shared" ca="1" si="16"/>
        <v>#REF!</v>
      </c>
      <c r="I381" s="125" t="e">
        <f t="shared" ca="1" si="17"/>
        <v>#REF!</v>
      </c>
    </row>
    <row r="382" spans="1:9" hidden="1" x14ac:dyDescent="0.25">
      <c r="A382" s="103" t="s">
        <v>732</v>
      </c>
      <c r="B382" s="104" t="s">
        <v>1822</v>
      </c>
      <c r="C382" s="105" t="s">
        <v>20</v>
      </c>
      <c r="D382" s="105">
        <v>0</v>
      </c>
      <c r="E382" s="124">
        <f ca="1">OFFSET(INDEX(Composições!A:J,MATCH(Orçamentária!A382,Composições!A:A,0),8),2,0)</f>
        <v>276.27218849999997</v>
      </c>
      <c r="F382" s="125">
        <f t="shared" ca="1" si="15"/>
        <v>0</v>
      </c>
      <c r="G382" s="126" t="e">
        <f>IF(A382&lt;&gt;"",IF(AND(#REF!="Padrão",$H$4=#REF!),BDI!$B$17,IF(AND(#REF!="Padrão",$H$4=#REF!),BDI!#REF!,IF(AND(#REF!="Diferenciado",$H$4=#REF!),BDI!$E$17,IF(AND(#REF!="Diferenciado",$H$4=#REF!),BDI!#REF!,IF(#REF!="ZERO",0))))),"")</f>
        <v>#REF!</v>
      </c>
      <c r="H382" s="127" t="e">
        <f t="shared" ca="1" si="16"/>
        <v>#REF!</v>
      </c>
      <c r="I382" s="125" t="e">
        <f t="shared" ca="1" si="17"/>
        <v>#REF!</v>
      </c>
    </row>
    <row r="383" spans="1:9" hidden="1" x14ac:dyDescent="0.25">
      <c r="A383" s="103" t="s">
        <v>734</v>
      </c>
      <c r="B383" s="104" t="s">
        <v>1823</v>
      </c>
      <c r="C383" s="105" t="s">
        <v>93</v>
      </c>
      <c r="D383" s="105">
        <v>0</v>
      </c>
      <c r="E383" s="124">
        <f ca="1">OFFSET(INDEX(Composições!A:J,MATCH(Orçamentária!A383,Composições!A:A,0),8),2,0)</f>
        <v>4.1427505</v>
      </c>
      <c r="F383" s="125">
        <f t="shared" ca="1" si="15"/>
        <v>0</v>
      </c>
      <c r="G383" s="126" t="e">
        <f>IF(A383&lt;&gt;"",IF(AND(#REF!="Padrão",$H$4=#REF!),BDI!$B$17,IF(AND(#REF!="Padrão",$H$4=#REF!),BDI!#REF!,IF(AND(#REF!="Diferenciado",$H$4=#REF!),BDI!$E$17,IF(AND(#REF!="Diferenciado",$H$4=#REF!),BDI!#REF!,IF(#REF!="ZERO",0))))),"")</f>
        <v>#REF!</v>
      </c>
      <c r="H383" s="127" t="e">
        <f t="shared" ca="1" si="16"/>
        <v>#REF!</v>
      </c>
      <c r="I383" s="125" t="e">
        <f t="shared" ca="1" si="17"/>
        <v>#REF!</v>
      </c>
    </row>
    <row r="384" spans="1:9" hidden="1" x14ac:dyDescent="0.25">
      <c r="A384" s="103" t="s">
        <v>736</v>
      </c>
      <c r="B384" s="104" t="s">
        <v>1824</v>
      </c>
      <c r="C384" s="105" t="s">
        <v>20</v>
      </c>
      <c r="D384" s="105">
        <v>0</v>
      </c>
      <c r="E384" s="124">
        <f ca="1">OFFSET(INDEX(Composições!A:J,MATCH(Orçamentária!A384,Composições!A:A,0),8),2,0)</f>
        <v>48.792740999999999</v>
      </c>
      <c r="F384" s="125">
        <f t="shared" ca="1" si="15"/>
        <v>0</v>
      </c>
      <c r="G384" s="126" t="e">
        <f>IF(A384&lt;&gt;"",IF(AND(#REF!="Padrão",$H$4=#REF!),BDI!$B$17,IF(AND(#REF!="Padrão",$H$4=#REF!),BDI!#REF!,IF(AND(#REF!="Diferenciado",$H$4=#REF!),BDI!$E$17,IF(AND(#REF!="Diferenciado",$H$4=#REF!),BDI!#REF!,IF(#REF!="ZERO",0))))),"")</f>
        <v>#REF!</v>
      </c>
      <c r="H384" s="127" t="e">
        <f t="shared" ca="1" si="16"/>
        <v>#REF!</v>
      </c>
      <c r="I384" s="125" t="e">
        <f t="shared" ca="1" si="17"/>
        <v>#REF!</v>
      </c>
    </row>
    <row r="385" spans="1:9" hidden="1" x14ac:dyDescent="0.25">
      <c r="A385" s="103" t="s">
        <v>739</v>
      </c>
      <c r="B385" s="104" t="s">
        <v>1825</v>
      </c>
      <c r="C385" s="105" t="s">
        <v>20</v>
      </c>
      <c r="D385" s="105">
        <v>0</v>
      </c>
      <c r="E385" s="124">
        <f ca="1">OFFSET(INDEX(Composições!A:J,MATCH(Orçamentária!A385,Composições!A:A,0),8),2,0)</f>
        <v>166.61574999999999</v>
      </c>
      <c r="F385" s="125">
        <f t="shared" ca="1" si="15"/>
        <v>0</v>
      </c>
      <c r="G385" s="126" t="e">
        <f>IF(A385&lt;&gt;"",IF(AND(#REF!="Padrão",$H$4=#REF!),BDI!$B$17,IF(AND(#REF!="Padrão",$H$4=#REF!),BDI!#REF!,IF(AND(#REF!="Diferenciado",$H$4=#REF!),BDI!$E$17,IF(AND(#REF!="Diferenciado",$H$4=#REF!),BDI!#REF!,IF(#REF!="ZERO",0))))),"")</f>
        <v>#REF!</v>
      </c>
      <c r="H385" s="127" t="e">
        <f t="shared" ca="1" si="16"/>
        <v>#REF!</v>
      </c>
      <c r="I385" s="125" t="e">
        <f t="shared" ca="1" si="17"/>
        <v>#REF!</v>
      </c>
    </row>
    <row r="386" spans="1:9" hidden="1" x14ac:dyDescent="0.25">
      <c r="A386" s="103" t="s">
        <v>1826</v>
      </c>
      <c r="B386" s="104" t="s">
        <v>1827</v>
      </c>
      <c r="C386" s="105" t="s">
        <v>6265</v>
      </c>
      <c r="D386" s="105">
        <v>0</v>
      </c>
      <c r="E386" s="124" t="s">
        <v>523</v>
      </c>
      <c r="F386" s="125" t="str">
        <f t="shared" si="15"/>
        <v/>
      </c>
      <c r="G386" s="126" t="e">
        <f>IF(A386&lt;&gt;"",IF(AND(#REF!="Padrão",$H$4=#REF!),BDI!$B$17,IF(AND(#REF!="Padrão",$H$4=#REF!),BDI!#REF!,IF(AND(#REF!="Diferenciado",$H$4=#REF!),BDI!$E$17,IF(AND(#REF!="Diferenciado",$H$4=#REF!),BDI!#REF!,IF(#REF!="ZERO",0))))),"")</f>
        <v>#REF!</v>
      </c>
      <c r="H386" s="127" t="str">
        <f t="shared" si="16"/>
        <v/>
      </c>
      <c r="I386" s="125" t="str">
        <f t="shared" si="17"/>
        <v/>
      </c>
    </row>
    <row r="387" spans="1:9" hidden="1" x14ac:dyDescent="0.25">
      <c r="A387" s="103" t="s">
        <v>1828</v>
      </c>
      <c r="B387" s="104" t="s">
        <v>1829</v>
      </c>
      <c r="C387" s="105" t="s">
        <v>102</v>
      </c>
      <c r="D387" s="105">
        <v>0</v>
      </c>
      <c r="E387" s="124" t="s">
        <v>523</v>
      </c>
      <c r="F387" s="125" t="str">
        <f t="shared" si="15"/>
        <v/>
      </c>
      <c r="G387" s="126" t="e">
        <f>IF(A387&lt;&gt;"",IF(AND(#REF!="Padrão",$H$4=#REF!),BDI!$B$17,IF(AND(#REF!="Padrão",$H$4=#REF!),BDI!#REF!,IF(AND(#REF!="Diferenciado",$H$4=#REF!),BDI!$E$17,IF(AND(#REF!="Diferenciado",$H$4=#REF!),BDI!#REF!,IF(#REF!="ZERO",0))))),"")</f>
        <v>#REF!</v>
      </c>
      <c r="H387" s="127" t="str">
        <f t="shared" si="16"/>
        <v/>
      </c>
      <c r="I387" s="125" t="str">
        <f t="shared" si="17"/>
        <v/>
      </c>
    </row>
    <row r="388" spans="1:9" hidden="1" x14ac:dyDescent="0.25">
      <c r="A388" s="103" t="s">
        <v>1830</v>
      </c>
      <c r="B388" s="104" t="s">
        <v>1831</v>
      </c>
      <c r="C388" s="105" t="s">
        <v>6264</v>
      </c>
      <c r="D388" s="105">
        <v>0</v>
      </c>
      <c r="E388" s="124" t="s">
        <v>523</v>
      </c>
      <c r="F388" s="125" t="str">
        <f t="shared" si="15"/>
        <v/>
      </c>
      <c r="G388" s="126" t="e">
        <f>IF(A388&lt;&gt;"",IF(AND(#REF!="Padrão",$H$4=#REF!),BDI!$B$17,IF(AND(#REF!="Padrão",$H$4=#REF!),BDI!#REF!,IF(AND(#REF!="Diferenciado",$H$4=#REF!),BDI!$E$17,IF(AND(#REF!="Diferenciado",$H$4=#REF!),BDI!#REF!,IF(#REF!="ZERO",0))))),"")</f>
        <v>#REF!</v>
      </c>
      <c r="H388" s="127" t="str">
        <f t="shared" si="16"/>
        <v/>
      </c>
      <c r="I388" s="125" t="str">
        <f t="shared" si="17"/>
        <v/>
      </c>
    </row>
    <row r="389" spans="1:9" hidden="1" x14ac:dyDescent="0.25">
      <c r="A389" s="103" t="s">
        <v>1832</v>
      </c>
      <c r="B389" s="104" t="s">
        <v>1833</v>
      </c>
      <c r="C389" s="105" t="s">
        <v>42</v>
      </c>
      <c r="D389" s="105">
        <v>0</v>
      </c>
      <c r="E389" s="124" t="s">
        <v>523</v>
      </c>
      <c r="F389" s="125" t="str">
        <f t="shared" si="15"/>
        <v/>
      </c>
      <c r="G389" s="126" t="e">
        <f>IF(A389&lt;&gt;"",IF(AND(#REF!="Padrão",$H$4=#REF!),BDI!$B$17,IF(AND(#REF!="Padrão",$H$4=#REF!),BDI!#REF!,IF(AND(#REF!="Diferenciado",$H$4=#REF!),BDI!$E$17,IF(AND(#REF!="Diferenciado",$H$4=#REF!),BDI!#REF!,IF(#REF!="ZERO",0))))),"")</f>
        <v>#REF!</v>
      </c>
      <c r="H389" s="127" t="str">
        <f t="shared" si="16"/>
        <v/>
      </c>
      <c r="I389" s="125" t="str">
        <f t="shared" si="17"/>
        <v/>
      </c>
    </row>
    <row r="390" spans="1:9" hidden="1" x14ac:dyDescent="0.25">
      <c r="A390" s="103" t="s">
        <v>1834</v>
      </c>
      <c r="B390" s="104" t="s">
        <v>1835</v>
      </c>
      <c r="C390" s="105" t="s">
        <v>42</v>
      </c>
      <c r="D390" s="105">
        <v>0</v>
      </c>
      <c r="E390" s="124" t="s">
        <v>523</v>
      </c>
      <c r="F390" s="125" t="str">
        <f t="shared" si="15"/>
        <v/>
      </c>
      <c r="G390" s="126" t="e">
        <f>IF(A390&lt;&gt;"",IF(AND(#REF!="Padrão",$H$4=#REF!),BDI!$B$17,IF(AND(#REF!="Padrão",$H$4=#REF!),BDI!#REF!,IF(AND(#REF!="Diferenciado",$H$4=#REF!),BDI!$E$17,IF(AND(#REF!="Diferenciado",$H$4=#REF!),BDI!#REF!,IF(#REF!="ZERO",0))))),"")</f>
        <v>#REF!</v>
      </c>
      <c r="H390" s="127" t="str">
        <f t="shared" si="16"/>
        <v/>
      </c>
      <c r="I390" s="125" t="str">
        <f t="shared" si="17"/>
        <v/>
      </c>
    </row>
    <row r="391" spans="1:9" hidden="1" x14ac:dyDescent="0.25">
      <c r="A391" s="103" t="s">
        <v>1836</v>
      </c>
      <c r="B391" s="104" t="s">
        <v>1837</v>
      </c>
      <c r="C391" s="105" t="s">
        <v>1838</v>
      </c>
      <c r="D391" s="105">
        <v>0</v>
      </c>
      <c r="E391" s="124" t="s">
        <v>523</v>
      </c>
      <c r="F391" s="125" t="str">
        <f t="shared" ref="F391:F454" si="18">IF(ISNUMBER(E391),D391*E391,"")</f>
        <v/>
      </c>
      <c r="G391" s="126" t="e">
        <f>IF(A391&lt;&gt;"",IF(AND(#REF!="Padrão",$H$4=#REF!),BDI!$B$17,IF(AND(#REF!="Padrão",$H$4=#REF!),BDI!#REF!,IF(AND(#REF!="Diferenciado",$H$4=#REF!),BDI!$E$17,IF(AND(#REF!="Diferenciado",$H$4=#REF!),BDI!#REF!,IF(#REF!="ZERO",0))))),"")</f>
        <v>#REF!</v>
      </c>
      <c r="H391" s="127" t="str">
        <f t="shared" ref="H391:H454" si="19">IF(ISNUMBER(E391),ROUND(E391*(1+G391),2),"")</f>
        <v/>
      </c>
      <c r="I391" s="125" t="str">
        <f t="shared" ref="I391:I454" si="20">IF(ISNUMBER(E391),ROUND(H391*D391,2),"")</f>
        <v/>
      </c>
    </row>
    <row r="392" spans="1:9" hidden="1" x14ac:dyDescent="0.25">
      <c r="A392" s="103" t="s">
        <v>1839</v>
      </c>
      <c r="B392" s="104" t="s">
        <v>1840</v>
      </c>
      <c r="C392" s="105" t="s">
        <v>102</v>
      </c>
      <c r="D392" s="105">
        <v>0</v>
      </c>
      <c r="E392" s="124" t="s">
        <v>523</v>
      </c>
      <c r="F392" s="125" t="str">
        <f t="shared" si="18"/>
        <v/>
      </c>
      <c r="G392" s="126" t="e">
        <f>IF(A392&lt;&gt;"",IF(AND(#REF!="Padrão",$H$4=#REF!),BDI!$B$17,IF(AND(#REF!="Padrão",$H$4=#REF!),BDI!#REF!,IF(AND(#REF!="Diferenciado",$H$4=#REF!),BDI!$E$17,IF(AND(#REF!="Diferenciado",$H$4=#REF!),BDI!#REF!,IF(#REF!="ZERO",0))))),"")</f>
        <v>#REF!</v>
      </c>
      <c r="H392" s="127" t="str">
        <f t="shared" si="19"/>
        <v/>
      </c>
      <c r="I392" s="125" t="str">
        <f t="shared" si="20"/>
        <v/>
      </c>
    </row>
    <row r="393" spans="1:9" hidden="1" x14ac:dyDescent="0.25">
      <c r="A393" s="103" t="s">
        <v>1841</v>
      </c>
      <c r="B393" s="104" t="s">
        <v>1842</v>
      </c>
      <c r="C393" s="105" t="s">
        <v>797</v>
      </c>
      <c r="D393" s="105">
        <v>0</v>
      </c>
      <c r="E393" s="124" t="s">
        <v>523</v>
      </c>
      <c r="F393" s="125" t="str">
        <f t="shared" si="18"/>
        <v/>
      </c>
      <c r="G393" s="126" t="e">
        <f>IF(A393&lt;&gt;"",IF(AND(#REF!="Padrão",$H$4=#REF!),BDI!$B$17,IF(AND(#REF!="Padrão",$H$4=#REF!),BDI!#REF!,IF(AND(#REF!="Diferenciado",$H$4=#REF!),BDI!$E$17,IF(AND(#REF!="Diferenciado",$H$4=#REF!),BDI!#REF!,IF(#REF!="ZERO",0))))),"")</f>
        <v>#REF!</v>
      </c>
      <c r="H393" s="127" t="str">
        <f t="shared" si="19"/>
        <v/>
      </c>
      <c r="I393" s="125" t="str">
        <f t="shared" si="20"/>
        <v/>
      </c>
    </row>
    <row r="394" spans="1:9" hidden="1" x14ac:dyDescent="0.25">
      <c r="A394" s="103" t="s">
        <v>1843</v>
      </c>
      <c r="B394" s="104" t="s">
        <v>1844</v>
      </c>
      <c r="C394" s="105" t="s">
        <v>42</v>
      </c>
      <c r="D394" s="105">
        <v>0</v>
      </c>
      <c r="E394" s="124" t="s">
        <v>523</v>
      </c>
      <c r="F394" s="125" t="str">
        <f t="shared" si="18"/>
        <v/>
      </c>
      <c r="G394" s="126" t="e">
        <f>IF(A394&lt;&gt;"",IF(AND(#REF!="Padrão",$H$4=#REF!),BDI!$B$17,IF(AND(#REF!="Padrão",$H$4=#REF!),BDI!#REF!,IF(AND(#REF!="Diferenciado",$H$4=#REF!),BDI!$E$17,IF(AND(#REF!="Diferenciado",$H$4=#REF!),BDI!#REF!,IF(#REF!="ZERO",0))))),"")</f>
        <v>#REF!</v>
      </c>
      <c r="H394" s="127" t="str">
        <f t="shared" si="19"/>
        <v/>
      </c>
      <c r="I394" s="125" t="str">
        <f t="shared" si="20"/>
        <v/>
      </c>
    </row>
    <row r="395" spans="1:9" hidden="1" x14ac:dyDescent="0.25">
      <c r="A395" s="103" t="s">
        <v>1845</v>
      </c>
      <c r="B395" s="104" t="s">
        <v>1846</v>
      </c>
      <c r="C395" s="105" t="s">
        <v>93</v>
      </c>
      <c r="D395" s="105">
        <v>0</v>
      </c>
      <c r="E395" s="124" t="s">
        <v>523</v>
      </c>
      <c r="F395" s="125" t="str">
        <f t="shared" si="18"/>
        <v/>
      </c>
      <c r="G395" s="126" t="e">
        <f>IF(A395&lt;&gt;"",IF(AND(#REF!="Padrão",$H$4=#REF!),BDI!$B$17,IF(AND(#REF!="Padrão",$H$4=#REF!),BDI!#REF!,IF(AND(#REF!="Diferenciado",$H$4=#REF!),BDI!$E$17,IF(AND(#REF!="Diferenciado",$H$4=#REF!),BDI!#REF!,IF(#REF!="ZERO",0))))),"")</f>
        <v>#REF!</v>
      </c>
      <c r="H395" s="127" t="str">
        <f t="shared" si="19"/>
        <v/>
      </c>
      <c r="I395" s="125" t="str">
        <f t="shared" si="20"/>
        <v/>
      </c>
    </row>
    <row r="396" spans="1:9" hidden="1" x14ac:dyDescent="0.25">
      <c r="A396" s="103" t="s">
        <v>1847</v>
      </c>
      <c r="B396" s="104" t="s">
        <v>1848</v>
      </c>
      <c r="C396" s="105" t="s">
        <v>93</v>
      </c>
      <c r="D396" s="105">
        <v>0</v>
      </c>
      <c r="E396" s="124" t="s">
        <v>523</v>
      </c>
      <c r="F396" s="125" t="str">
        <f t="shared" si="18"/>
        <v/>
      </c>
      <c r="G396" s="126" t="e">
        <f>IF(A396&lt;&gt;"",IF(AND(#REF!="Padrão",$H$4=#REF!),BDI!$B$17,IF(AND(#REF!="Padrão",$H$4=#REF!),BDI!#REF!,IF(AND(#REF!="Diferenciado",$H$4=#REF!),BDI!$E$17,IF(AND(#REF!="Diferenciado",$H$4=#REF!),BDI!#REF!,IF(#REF!="ZERO",0))))),"")</f>
        <v>#REF!</v>
      </c>
      <c r="H396" s="127" t="str">
        <f t="shared" si="19"/>
        <v/>
      </c>
      <c r="I396" s="125" t="str">
        <f t="shared" si="20"/>
        <v/>
      </c>
    </row>
    <row r="397" spans="1:9" hidden="1" x14ac:dyDescent="0.25">
      <c r="A397" s="103" t="s">
        <v>1849</v>
      </c>
      <c r="B397" s="104" t="s">
        <v>1850</v>
      </c>
      <c r="C397" s="105" t="s">
        <v>93</v>
      </c>
      <c r="D397" s="105">
        <v>0</v>
      </c>
      <c r="E397" s="124" t="s">
        <v>523</v>
      </c>
      <c r="F397" s="125" t="str">
        <f t="shared" si="18"/>
        <v/>
      </c>
      <c r="G397" s="126" t="e">
        <f>IF(A397&lt;&gt;"",IF(AND(#REF!="Padrão",$H$4=#REF!),BDI!$B$17,IF(AND(#REF!="Padrão",$H$4=#REF!),BDI!#REF!,IF(AND(#REF!="Diferenciado",$H$4=#REF!),BDI!$E$17,IF(AND(#REF!="Diferenciado",$H$4=#REF!),BDI!#REF!,IF(#REF!="ZERO",0))))),"")</f>
        <v>#REF!</v>
      </c>
      <c r="H397" s="127" t="str">
        <f t="shared" si="19"/>
        <v/>
      </c>
      <c r="I397" s="125" t="str">
        <f t="shared" si="20"/>
        <v/>
      </c>
    </row>
    <row r="398" spans="1:9" hidden="1" x14ac:dyDescent="0.25">
      <c r="A398" s="103" t="s">
        <v>1851</v>
      </c>
      <c r="B398" s="104" t="s">
        <v>1852</v>
      </c>
      <c r="C398" s="105" t="s">
        <v>93</v>
      </c>
      <c r="D398" s="105">
        <v>0</v>
      </c>
      <c r="E398" s="124" t="s">
        <v>523</v>
      </c>
      <c r="F398" s="125" t="str">
        <f t="shared" si="18"/>
        <v/>
      </c>
      <c r="G398" s="126" t="e">
        <f>IF(A398&lt;&gt;"",IF(AND(#REF!="Padrão",$H$4=#REF!),BDI!$B$17,IF(AND(#REF!="Padrão",$H$4=#REF!),BDI!#REF!,IF(AND(#REF!="Diferenciado",$H$4=#REF!),BDI!$E$17,IF(AND(#REF!="Diferenciado",$H$4=#REF!),BDI!#REF!,IF(#REF!="ZERO",0))))),"")</f>
        <v>#REF!</v>
      </c>
      <c r="H398" s="127" t="str">
        <f t="shared" si="19"/>
        <v/>
      </c>
      <c r="I398" s="125" t="str">
        <f t="shared" si="20"/>
        <v/>
      </c>
    </row>
    <row r="399" spans="1:9" hidden="1" x14ac:dyDescent="0.25">
      <c r="A399" s="103" t="s">
        <v>1853</v>
      </c>
      <c r="B399" s="104" t="s">
        <v>1854</v>
      </c>
      <c r="C399" s="105" t="s">
        <v>20</v>
      </c>
      <c r="D399" s="105">
        <v>0</v>
      </c>
      <c r="E399" s="124" t="s">
        <v>523</v>
      </c>
      <c r="F399" s="125" t="str">
        <f t="shared" si="18"/>
        <v/>
      </c>
      <c r="G399" s="126" t="e">
        <f>IF(A399&lt;&gt;"",IF(AND(#REF!="Padrão",$H$4=#REF!),BDI!$B$17,IF(AND(#REF!="Padrão",$H$4=#REF!),BDI!#REF!,IF(AND(#REF!="Diferenciado",$H$4=#REF!),BDI!$E$17,IF(AND(#REF!="Diferenciado",$H$4=#REF!),BDI!#REF!,IF(#REF!="ZERO",0))))),"")</f>
        <v>#REF!</v>
      </c>
      <c r="H399" s="127" t="str">
        <f t="shared" si="19"/>
        <v/>
      </c>
      <c r="I399" s="125" t="str">
        <f t="shared" si="20"/>
        <v/>
      </c>
    </row>
    <row r="400" spans="1:9" hidden="1" x14ac:dyDescent="0.25">
      <c r="A400" s="103" t="s">
        <v>1855</v>
      </c>
      <c r="B400" s="104" t="s">
        <v>1856</v>
      </c>
      <c r="C400" s="105" t="s">
        <v>20</v>
      </c>
      <c r="D400" s="105">
        <v>0</v>
      </c>
      <c r="E400" s="124" t="s">
        <v>523</v>
      </c>
      <c r="F400" s="125" t="str">
        <f t="shared" si="18"/>
        <v/>
      </c>
      <c r="G400" s="126" t="e">
        <f>IF(A400&lt;&gt;"",IF(AND(#REF!="Padrão",$H$4=#REF!),BDI!$B$17,IF(AND(#REF!="Padrão",$H$4=#REF!),BDI!#REF!,IF(AND(#REF!="Diferenciado",$H$4=#REF!),BDI!$E$17,IF(AND(#REF!="Diferenciado",$H$4=#REF!),BDI!#REF!,IF(#REF!="ZERO",0))))),"")</f>
        <v>#REF!</v>
      </c>
      <c r="H400" s="127" t="str">
        <f t="shared" si="19"/>
        <v/>
      </c>
      <c r="I400" s="125" t="str">
        <f t="shared" si="20"/>
        <v/>
      </c>
    </row>
    <row r="401" spans="1:9" hidden="1" x14ac:dyDescent="0.25">
      <c r="A401" s="103" t="s">
        <v>1857</v>
      </c>
      <c r="B401" s="104" t="s">
        <v>1858</v>
      </c>
      <c r="C401" s="105" t="s">
        <v>20</v>
      </c>
      <c r="D401" s="105">
        <v>0</v>
      </c>
      <c r="E401" s="124" t="s">
        <v>523</v>
      </c>
      <c r="F401" s="125" t="str">
        <f t="shared" si="18"/>
        <v/>
      </c>
      <c r="G401" s="126" t="e">
        <f>IF(A401&lt;&gt;"",IF(AND(#REF!="Padrão",$H$4=#REF!),BDI!$B$17,IF(AND(#REF!="Padrão",$H$4=#REF!),BDI!#REF!,IF(AND(#REF!="Diferenciado",$H$4=#REF!),BDI!$E$17,IF(AND(#REF!="Diferenciado",$H$4=#REF!),BDI!#REF!,IF(#REF!="ZERO",0))))),"")</f>
        <v>#REF!</v>
      </c>
      <c r="H401" s="127" t="str">
        <f t="shared" si="19"/>
        <v/>
      </c>
      <c r="I401" s="125" t="str">
        <f t="shared" si="20"/>
        <v/>
      </c>
    </row>
    <row r="402" spans="1:9" hidden="1" x14ac:dyDescent="0.25">
      <c r="A402" s="103" t="s">
        <v>1859</v>
      </c>
      <c r="B402" s="104" t="s">
        <v>1860</v>
      </c>
      <c r="C402" s="105" t="s">
        <v>20</v>
      </c>
      <c r="D402" s="105">
        <v>0</v>
      </c>
      <c r="E402" s="124" t="s">
        <v>523</v>
      </c>
      <c r="F402" s="125" t="str">
        <f t="shared" si="18"/>
        <v/>
      </c>
      <c r="G402" s="126" t="e">
        <f>IF(A402&lt;&gt;"",IF(AND(#REF!="Padrão",$H$4=#REF!),BDI!$B$17,IF(AND(#REF!="Padrão",$H$4=#REF!),BDI!#REF!,IF(AND(#REF!="Diferenciado",$H$4=#REF!),BDI!$E$17,IF(AND(#REF!="Diferenciado",$H$4=#REF!),BDI!#REF!,IF(#REF!="ZERO",0))))),"")</f>
        <v>#REF!</v>
      </c>
      <c r="H402" s="127" t="str">
        <f t="shared" si="19"/>
        <v/>
      </c>
      <c r="I402" s="125" t="str">
        <f t="shared" si="20"/>
        <v/>
      </c>
    </row>
    <row r="403" spans="1:9" hidden="1" x14ac:dyDescent="0.25">
      <c r="A403" s="103" t="s">
        <v>1861</v>
      </c>
      <c r="B403" s="104" t="s">
        <v>1862</v>
      </c>
      <c r="C403" s="105" t="s">
        <v>93</v>
      </c>
      <c r="D403" s="105">
        <v>0</v>
      </c>
      <c r="E403" s="124" t="s">
        <v>523</v>
      </c>
      <c r="F403" s="125" t="str">
        <f t="shared" si="18"/>
        <v/>
      </c>
      <c r="G403" s="126" t="e">
        <f>IF(A403&lt;&gt;"",IF(AND(#REF!="Padrão",$H$4=#REF!),BDI!$B$17,IF(AND(#REF!="Padrão",$H$4=#REF!),BDI!#REF!,IF(AND(#REF!="Diferenciado",$H$4=#REF!),BDI!$E$17,IF(AND(#REF!="Diferenciado",$H$4=#REF!),BDI!#REF!,IF(#REF!="ZERO",0))))),"")</f>
        <v>#REF!</v>
      </c>
      <c r="H403" s="127" t="str">
        <f t="shared" si="19"/>
        <v/>
      </c>
      <c r="I403" s="125" t="str">
        <f t="shared" si="20"/>
        <v/>
      </c>
    </row>
    <row r="404" spans="1:9" hidden="1" x14ac:dyDescent="0.25">
      <c r="A404" s="103" t="s">
        <v>1863</v>
      </c>
      <c r="B404" s="104" t="s">
        <v>1864</v>
      </c>
      <c r="C404" s="105" t="s">
        <v>93</v>
      </c>
      <c r="D404" s="105">
        <v>0</v>
      </c>
      <c r="E404" s="124" t="s">
        <v>523</v>
      </c>
      <c r="F404" s="125" t="str">
        <f t="shared" si="18"/>
        <v/>
      </c>
      <c r="G404" s="126" t="e">
        <f>IF(A404&lt;&gt;"",IF(AND(#REF!="Padrão",$H$4=#REF!),BDI!$B$17,IF(AND(#REF!="Padrão",$H$4=#REF!),BDI!#REF!,IF(AND(#REF!="Diferenciado",$H$4=#REF!),BDI!$E$17,IF(AND(#REF!="Diferenciado",$H$4=#REF!),BDI!#REF!,IF(#REF!="ZERO",0))))),"")</f>
        <v>#REF!</v>
      </c>
      <c r="H404" s="127" t="str">
        <f t="shared" si="19"/>
        <v/>
      </c>
      <c r="I404" s="125" t="str">
        <f t="shared" si="20"/>
        <v/>
      </c>
    </row>
    <row r="405" spans="1:9" hidden="1" x14ac:dyDescent="0.25">
      <c r="A405" s="103" t="s">
        <v>1865</v>
      </c>
      <c r="B405" s="104" t="s">
        <v>1866</v>
      </c>
      <c r="C405" s="105" t="s">
        <v>20</v>
      </c>
      <c r="D405" s="105">
        <v>0</v>
      </c>
      <c r="E405" s="124" t="s">
        <v>523</v>
      </c>
      <c r="F405" s="125" t="str">
        <f t="shared" si="18"/>
        <v/>
      </c>
      <c r="G405" s="126" t="e">
        <f>IF(A405&lt;&gt;"",IF(AND(#REF!="Padrão",$H$4=#REF!),BDI!$B$17,IF(AND(#REF!="Padrão",$H$4=#REF!),BDI!#REF!,IF(AND(#REF!="Diferenciado",$H$4=#REF!),BDI!$E$17,IF(AND(#REF!="Diferenciado",$H$4=#REF!),BDI!#REF!,IF(#REF!="ZERO",0))))),"")</f>
        <v>#REF!</v>
      </c>
      <c r="H405" s="127" t="str">
        <f t="shared" si="19"/>
        <v/>
      </c>
      <c r="I405" s="125" t="str">
        <f t="shared" si="20"/>
        <v/>
      </c>
    </row>
    <row r="406" spans="1:9" hidden="1" x14ac:dyDescent="0.25">
      <c r="A406" s="103" t="s">
        <v>1867</v>
      </c>
      <c r="B406" s="104" t="s">
        <v>1868</v>
      </c>
      <c r="C406" s="105" t="s">
        <v>93</v>
      </c>
      <c r="D406" s="105">
        <v>0</v>
      </c>
      <c r="E406" s="124" t="s">
        <v>523</v>
      </c>
      <c r="F406" s="125" t="str">
        <f t="shared" si="18"/>
        <v/>
      </c>
      <c r="G406" s="126" t="e">
        <f>IF(A406&lt;&gt;"",IF(AND(#REF!="Padrão",$H$4=#REF!),BDI!$B$17,IF(AND(#REF!="Padrão",$H$4=#REF!),BDI!#REF!,IF(AND(#REF!="Diferenciado",$H$4=#REF!),BDI!$E$17,IF(AND(#REF!="Diferenciado",$H$4=#REF!),BDI!#REF!,IF(#REF!="ZERO",0))))),"")</f>
        <v>#REF!</v>
      </c>
      <c r="H406" s="127" t="str">
        <f t="shared" si="19"/>
        <v/>
      </c>
      <c r="I406" s="125" t="str">
        <f t="shared" si="20"/>
        <v/>
      </c>
    </row>
    <row r="407" spans="1:9" hidden="1" x14ac:dyDescent="0.25">
      <c r="A407" s="103" t="s">
        <v>1869</v>
      </c>
      <c r="B407" s="104" t="s">
        <v>1870</v>
      </c>
      <c r="C407" s="105" t="s">
        <v>20</v>
      </c>
      <c r="D407" s="105">
        <v>0</v>
      </c>
      <c r="E407" s="124" t="s">
        <v>523</v>
      </c>
      <c r="F407" s="125" t="str">
        <f t="shared" si="18"/>
        <v/>
      </c>
      <c r="G407" s="126" t="e">
        <f>IF(A407&lt;&gt;"",IF(AND(#REF!="Padrão",$H$4=#REF!),BDI!$B$17,IF(AND(#REF!="Padrão",$H$4=#REF!),BDI!#REF!,IF(AND(#REF!="Diferenciado",$H$4=#REF!),BDI!$E$17,IF(AND(#REF!="Diferenciado",$H$4=#REF!),BDI!#REF!,IF(#REF!="ZERO",0))))),"")</f>
        <v>#REF!</v>
      </c>
      <c r="H407" s="127" t="str">
        <f t="shared" si="19"/>
        <v/>
      </c>
      <c r="I407" s="125" t="str">
        <f t="shared" si="20"/>
        <v/>
      </c>
    </row>
    <row r="408" spans="1:9" hidden="1" x14ac:dyDescent="0.25">
      <c r="A408" s="103" t="s">
        <v>1871</v>
      </c>
      <c r="B408" s="104" t="s">
        <v>1872</v>
      </c>
      <c r="C408" s="105" t="s">
        <v>20</v>
      </c>
      <c r="D408" s="105">
        <v>0</v>
      </c>
      <c r="E408" s="124" t="s">
        <v>523</v>
      </c>
      <c r="F408" s="125" t="str">
        <f t="shared" si="18"/>
        <v/>
      </c>
      <c r="G408" s="126" t="e">
        <f>IF(A408&lt;&gt;"",IF(AND(#REF!="Padrão",$H$4=#REF!),BDI!$B$17,IF(AND(#REF!="Padrão",$H$4=#REF!),BDI!#REF!,IF(AND(#REF!="Diferenciado",$H$4=#REF!),BDI!$E$17,IF(AND(#REF!="Diferenciado",$H$4=#REF!),BDI!#REF!,IF(#REF!="ZERO",0))))),"")</f>
        <v>#REF!</v>
      </c>
      <c r="H408" s="127" t="str">
        <f t="shared" si="19"/>
        <v/>
      </c>
      <c r="I408" s="125" t="str">
        <f t="shared" si="20"/>
        <v/>
      </c>
    </row>
    <row r="409" spans="1:9" hidden="1" x14ac:dyDescent="0.25">
      <c r="A409" s="103" t="s">
        <v>1873</v>
      </c>
      <c r="B409" s="104" t="s">
        <v>1874</v>
      </c>
      <c r="C409" s="105" t="s">
        <v>20</v>
      </c>
      <c r="D409" s="105">
        <v>0</v>
      </c>
      <c r="E409" s="124" t="s">
        <v>523</v>
      </c>
      <c r="F409" s="125" t="str">
        <f t="shared" si="18"/>
        <v/>
      </c>
      <c r="G409" s="126" t="e">
        <f>IF(A409&lt;&gt;"",IF(AND(#REF!="Padrão",$H$4=#REF!),BDI!$B$17,IF(AND(#REF!="Padrão",$H$4=#REF!),BDI!#REF!,IF(AND(#REF!="Diferenciado",$H$4=#REF!),BDI!$E$17,IF(AND(#REF!="Diferenciado",$H$4=#REF!),BDI!#REF!,IF(#REF!="ZERO",0))))),"")</f>
        <v>#REF!</v>
      </c>
      <c r="H409" s="127" t="str">
        <f t="shared" si="19"/>
        <v/>
      </c>
      <c r="I409" s="125" t="str">
        <f t="shared" si="20"/>
        <v/>
      </c>
    </row>
    <row r="410" spans="1:9" hidden="1" x14ac:dyDescent="0.25">
      <c r="A410" s="103" t="s">
        <v>1875</v>
      </c>
      <c r="B410" s="104" t="s">
        <v>1876</v>
      </c>
      <c r="C410" s="105" t="s">
        <v>20</v>
      </c>
      <c r="D410" s="105">
        <v>0</v>
      </c>
      <c r="E410" s="124">
        <f ca="1">OFFSET(INDEX(Composições!A:J,MATCH(Orçamentária!A410,Composições!A:A,0),8),2,0)</f>
        <v>16.9955</v>
      </c>
      <c r="F410" s="125">
        <f t="shared" ca="1" si="18"/>
        <v>0</v>
      </c>
      <c r="G410" s="126" t="e">
        <f>IF(A410&lt;&gt;"",IF(AND(#REF!="Padrão",$H$4=#REF!),BDI!$B$17,IF(AND(#REF!="Padrão",$H$4=#REF!),BDI!#REF!,IF(AND(#REF!="Diferenciado",$H$4=#REF!),BDI!$E$17,IF(AND(#REF!="Diferenciado",$H$4=#REF!),BDI!#REF!,IF(#REF!="ZERO",0))))),"")</f>
        <v>#REF!</v>
      </c>
      <c r="H410" s="127" t="e">
        <f t="shared" ca="1" si="19"/>
        <v>#REF!</v>
      </c>
      <c r="I410" s="125" t="e">
        <f t="shared" ca="1" si="20"/>
        <v>#REF!</v>
      </c>
    </row>
    <row r="411" spans="1:9" hidden="1" x14ac:dyDescent="0.25">
      <c r="A411" s="103" t="s">
        <v>1877</v>
      </c>
      <c r="B411" s="104" t="s">
        <v>1878</v>
      </c>
      <c r="C411" s="105" t="s">
        <v>20</v>
      </c>
      <c r="D411" s="105">
        <v>0</v>
      </c>
      <c r="E411" s="124" t="s">
        <v>523</v>
      </c>
      <c r="F411" s="125" t="str">
        <f t="shared" si="18"/>
        <v/>
      </c>
      <c r="G411" s="126" t="e">
        <f>IF(A411&lt;&gt;"",IF(AND(#REF!="Padrão",$H$4=#REF!),BDI!$B$17,IF(AND(#REF!="Padrão",$H$4=#REF!),BDI!#REF!,IF(AND(#REF!="Diferenciado",$H$4=#REF!),BDI!$E$17,IF(AND(#REF!="Diferenciado",$H$4=#REF!),BDI!#REF!,IF(#REF!="ZERO",0))))),"")</f>
        <v>#REF!</v>
      </c>
      <c r="H411" s="127" t="str">
        <f t="shared" si="19"/>
        <v/>
      </c>
      <c r="I411" s="125" t="str">
        <f t="shared" si="20"/>
        <v/>
      </c>
    </row>
    <row r="412" spans="1:9" hidden="1" x14ac:dyDescent="0.25">
      <c r="A412" s="103" t="s">
        <v>1879</v>
      </c>
      <c r="B412" s="104" t="s">
        <v>1880</v>
      </c>
      <c r="C412" s="105" t="s">
        <v>20</v>
      </c>
      <c r="D412" s="105">
        <v>0</v>
      </c>
      <c r="E412" s="124">
        <f ca="1">OFFSET(INDEX(Composições!A:J,MATCH(Orçamentária!A412,Composições!A:A,0),8),2,0)</f>
        <v>74.099999999999994</v>
      </c>
      <c r="F412" s="125">
        <f t="shared" ca="1" si="18"/>
        <v>0</v>
      </c>
      <c r="G412" s="126" t="e">
        <f>IF(A412&lt;&gt;"",IF(AND(#REF!="Padrão",$H$4=#REF!),BDI!$B$17,IF(AND(#REF!="Padrão",$H$4=#REF!),BDI!#REF!,IF(AND(#REF!="Diferenciado",$H$4=#REF!),BDI!$E$17,IF(AND(#REF!="Diferenciado",$H$4=#REF!),BDI!#REF!,IF(#REF!="ZERO",0))))),"")</f>
        <v>#REF!</v>
      </c>
      <c r="H412" s="127" t="e">
        <f t="shared" ca="1" si="19"/>
        <v>#REF!</v>
      </c>
      <c r="I412" s="125" t="e">
        <f t="shared" ca="1" si="20"/>
        <v>#REF!</v>
      </c>
    </row>
    <row r="413" spans="1:9" hidden="1" x14ac:dyDescent="0.25">
      <c r="A413" s="103" t="s">
        <v>741</v>
      </c>
      <c r="B413" s="104" t="s">
        <v>1881</v>
      </c>
      <c r="C413" s="105" t="s">
        <v>20</v>
      </c>
      <c r="D413" s="105">
        <v>0</v>
      </c>
      <c r="E413" s="124">
        <f ca="1">OFFSET(INDEX(Composições!A:J,MATCH(Orçamentária!A413,Composições!A:A,0),8),2,0)</f>
        <v>96.310999999999993</v>
      </c>
      <c r="F413" s="125">
        <f t="shared" ca="1" si="18"/>
        <v>0</v>
      </c>
      <c r="G413" s="126" t="e">
        <f>IF(A413&lt;&gt;"",IF(AND(#REF!="Padrão",$H$4=#REF!),BDI!$B$17,IF(AND(#REF!="Padrão",$H$4=#REF!),BDI!#REF!,IF(AND(#REF!="Diferenciado",$H$4=#REF!),BDI!$E$17,IF(AND(#REF!="Diferenciado",$H$4=#REF!),BDI!#REF!,IF(#REF!="ZERO",0))))),"")</f>
        <v>#REF!</v>
      </c>
      <c r="H413" s="127" t="e">
        <f t="shared" ca="1" si="19"/>
        <v>#REF!</v>
      </c>
      <c r="I413" s="125" t="e">
        <f t="shared" ca="1" si="20"/>
        <v>#REF!</v>
      </c>
    </row>
    <row r="414" spans="1:9" hidden="1" x14ac:dyDescent="0.25">
      <c r="A414" s="103" t="s">
        <v>1882</v>
      </c>
      <c r="B414" s="104" t="s">
        <v>1883</v>
      </c>
      <c r="C414" s="105" t="s">
        <v>20</v>
      </c>
      <c r="D414" s="105">
        <v>0</v>
      </c>
      <c r="E414" s="124">
        <f ca="1">OFFSET(INDEX(Composições!A:J,MATCH(Orçamentária!A414,Composições!A:A,0),8),2,0)</f>
        <v>58.263499999999993</v>
      </c>
      <c r="F414" s="125">
        <f t="shared" ca="1" si="18"/>
        <v>0</v>
      </c>
      <c r="G414" s="126" t="e">
        <f>IF(A414&lt;&gt;"",IF(AND(#REF!="Padrão",$H$4=#REF!),BDI!$B$17,IF(AND(#REF!="Padrão",$H$4=#REF!),BDI!#REF!,IF(AND(#REF!="Diferenciado",$H$4=#REF!),BDI!$E$17,IF(AND(#REF!="Diferenciado",$H$4=#REF!),BDI!#REF!,IF(#REF!="ZERO",0))))),"")</f>
        <v>#REF!</v>
      </c>
      <c r="H414" s="127" t="e">
        <f t="shared" ca="1" si="19"/>
        <v>#REF!</v>
      </c>
      <c r="I414" s="125" t="e">
        <f t="shared" ca="1" si="20"/>
        <v>#REF!</v>
      </c>
    </row>
    <row r="415" spans="1:9" hidden="1" x14ac:dyDescent="0.25">
      <c r="A415" s="103" t="s">
        <v>1884</v>
      </c>
      <c r="B415" s="104" t="s">
        <v>1885</v>
      </c>
      <c r="C415" s="105" t="s">
        <v>20</v>
      </c>
      <c r="D415" s="105">
        <v>0</v>
      </c>
      <c r="E415" s="124" t="s">
        <v>523</v>
      </c>
      <c r="F415" s="125" t="str">
        <f t="shared" si="18"/>
        <v/>
      </c>
      <c r="G415" s="126" t="e">
        <f>IF(A415&lt;&gt;"",IF(AND(#REF!="Padrão",$H$4=#REF!),BDI!$B$17,IF(AND(#REF!="Padrão",$H$4=#REF!),BDI!#REF!,IF(AND(#REF!="Diferenciado",$H$4=#REF!),BDI!$E$17,IF(AND(#REF!="Diferenciado",$H$4=#REF!),BDI!#REF!,IF(#REF!="ZERO",0))))),"")</f>
        <v>#REF!</v>
      </c>
      <c r="H415" s="127" t="str">
        <f t="shared" si="19"/>
        <v/>
      </c>
      <c r="I415" s="125" t="str">
        <f t="shared" si="20"/>
        <v/>
      </c>
    </row>
    <row r="416" spans="1:9" hidden="1" x14ac:dyDescent="0.25">
      <c r="A416" s="103" t="s">
        <v>1886</v>
      </c>
      <c r="B416" s="104" t="s">
        <v>1887</v>
      </c>
      <c r="C416" s="105" t="s">
        <v>20</v>
      </c>
      <c r="D416" s="105">
        <v>0</v>
      </c>
      <c r="E416" s="124">
        <f ca="1">OFFSET(INDEX(Composições!A:J,MATCH(Orçamentária!A416,Composições!A:A,0),8),2,0)</f>
        <v>41.106500000000004</v>
      </c>
      <c r="F416" s="125">
        <f t="shared" ca="1" si="18"/>
        <v>0</v>
      </c>
      <c r="G416" s="126" t="e">
        <f>IF(A416&lt;&gt;"",IF(AND(#REF!="Padrão",$H$4=#REF!),BDI!$B$17,IF(AND(#REF!="Padrão",$H$4=#REF!),BDI!#REF!,IF(AND(#REF!="Diferenciado",$H$4=#REF!),BDI!$E$17,IF(AND(#REF!="Diferenciado",$H$4=#REF!),BDI!#REF!,IF(#REF!="ZERO",0))))),"")</f>
        <v>#REF!</v>
      </c>
      <c r="H416" s="127" t="e">
        <f t="shared" ca="1" si="19"/>
        <v>#REF!</v>
      </c>
      <c r="I416" s="125" t="e">
        <f t="shared" ca="1" si="20"/>
        <v>#REF!</v>
      </c>
    </row>
    <row r="417" spans="1:9" hidden="1" x14ac:dyDescent="0.25">
      <c r="A417" s="103" t="s">
        <v>1888</v>
      </c>
      <c r="B417" s="104" t="s">
        <v>1889</v>
      </c>
      <c r="C417" s="105" t="s">
        <v>20</v>
      </c>
      <c r="D417" s="105">
        <v>0</v>
      </c>
      <c r="E417" s="124" t="s">
        <v>523</v>
      </c>
      <c r="F417" s="125" t="str">
        <f t="shared" si="18"/>
        <v/>
      </c>
      <c r="G417" s="126" t="e">
        <f>IF(A417&lt;&gt;"",IF(AND(#REF!="Padrão",$H$4=#REF!),BDI!$B$17,IF(AND(#REF!="Padrão",$H$4=#REF!),BDI!#REF!,IF(AND(#REF!="Diferenciado",$H$4=#REF!),BDI!$E$17,IF(AND(#REF!="Diferenciado",$H$4=#REF!),BDI!#REF!,IF(#REF!="ZERO",0))))),"")</f>
        <v>#REF!</v>
      </c>
      <c r="H417" s="127" t="str">
        <f t="shared" si="19"/>
        <v/>
      </c>
      <c r="I417" s="125" t="str">
        <f t="shared" si="20"/>
        <v/>
      </c>
    </row>
    <row r="418" spans="1:9" hidden="1" x14ac:dyDescent="0.25">
      <c r="A418" s="103" t="s">
        <v>1890</v>
      </c>
      <c r="B418" s="104" t="s">
        <v>1891</v>
      </c>
      <c r="C418" s="105" t="s">
        <v>20</v>
      </c>
      <c r="D418" s="105">
        <v>0</v>
      </c>
      <c r="E418" s="124" t="s">
        <v>523</v>
      </c>
      <c r="F418" s="125" t="str">
        <f t="shared" si="18"/>
        <v/>
      </c>
      <c r="G418" s="126" t="e">
        <f>IF(A418&lt;&gt;"",IF(AND(#REF!="Padrão",$H$4=#REF!),BDI!$B$17,IF(AND(#REF!="Padrão",$H$4=#REF!),BDI!#REF!,IF(AND(#REF!="Diferenciado",$H$4=#REF!),BDI!$E$17,IF(AND(#REF!="Diferenciado",$H$4=#REF!),BDI!#REF!,IF(#REF!="ZERO",0))))),"")</f>
        <v>#REF!</v>
      </c>
      <c r="H418" s="127" t="str">
        <f t="shared" si="19"/>
        <v/>
      </c>
      <c r="I418" s="125" t="str">
        <f t="shared" si="20"/>
        <v/>
      </c>
    </row>
    <row r="419" spans="1:9" hidden="1" x14ac:dyDescent="0.25">
      <c r="A419" s="103" t="s">
        <v>1892</v>
      </c>
      <c r="B419" s="104" t="s">
        <v>1893</v>
      </c>
      <c r="C419" s="105" t="s">
        <v>20</v>
      </c>
      <c r="D419" s="105">
        <v>0</v>
      </c>
      <c r="E419" s="124">
        <f ca="1">OFFSET(INDEX(Composições!A:J,MATCH(Orçamentária!A419,Composições!A:A,0),8),2,0)</f>
        <v>14.6395</v>
      </c>
      <c r="F419" s="125">
        <f t="shared" ca="1" si="18"/>
        <v>0</v>
      </c>
      <c r="G419" s="126" t="e">
        <f>IF(A419&lt;&gt;"",IF(AND(#REF!="Padrão",$H$4=#REF!),BDI!$B$17,IF(AND(#REF!="Padrão",$H$4=#REF!),BDI!#REF!,IF(AND(#REF!="Diferenciado",$H$4=#REF!),BDI!$E$17,IF(AND(#REF!="Diferenciado",$H$4=#REF!),BDI!#REF!,IF(#REF!="ZERO",0))))),"")</f>
        <v>#REF!</v>
      </c>
      <c r="H419" s="127" t="e">
        <f t="shared" ca="1" si="19"/>
        <v>#REF!</v>
      </c>
      <c r="I419" s="125" t="e">
        <f t="shared" ca="1" si="20"/>
        <v>#REF!</v>
      </c>
    </row>
    <row r="420" spans="1:9" hidden="1" x14ac:dyDescent="0.25">
      <c r="A420" s="103" t="s">
        <v>1894</v>
      </c>
      <c r="B420" s="104" t="s">
        <v>1895</v>
      </c>
      <c r="C420" s="105" t="s">
        <v>20</v>
      </c>
      <c r="D420" s="105">
        <v>0</v>
      </c>
      <c r="E420" s="124">
        <f ca="1">OFFSET(INDEX(Composições!A:J,MATCH(Orçamentária!A420,Composições!A:A,0),8),2,0)</f>
        <v>14.629999999999999</v>
      </c>
      <c r="F420" s="125">
        <f t="shared" ca="1" si="18"/>
        <v>0</v>
      </c>
      <c r="G420" s="126" t="e">
        <f>IF(A420&lt;&gt;"",IF(AND(#REF!="Padrão",$H$4=#REF!),BDI!$B$17,IF(AND(#REF!="Padrão",$H$4=#REF!),BDI!#REF!,IF(AND(#REF!="Diferenciado",$H$4=#REF!),BDI!$E$17,IF(AND(#REF!="Diferenciado",$H$4=#REF!),BDI!#REF!,IF(#REF!="ZERO",0))))),"")</f>
        <v>#REF!</v>
      </c>
      <c r="H420" s="127" t="e">
        <f t="shared" ca="1" si="19"/>
        <v>#REF!</v>
      </c>
      <c r="I420" s="125" t="e">
        <f t="shared" ca="1" si="20"/>
        <v>#REF!</v>
      </c>
    </row>
    <row r="421" spans="1:9" hidden="1" x14ac:dyDescent="0.25">
      <c r="A421" s="103" t="s">
        <v>1896</v>
      </c>
      <c r="B421" s="104" t="s">
        <v>1897</v>
      </c>
      <c r="C421" s="105" t="s">
        <v>20</v>
      </c>
      <c r="D421" s="105">
        <v>0</v>
      </c>
      <c r="E421" s="124">
        <f ca="1">OFFSET(INDEX(Composições!A:J,MATCH(Orçamentária!A421,Composições!A:A,0),8),2,0)</f>
        <v>14.629999999999999</v>
      </c>
      <c r="F421" s="125">
        <f t="shared" ca="1" si="18"/>
        <v>0</v>
      </c>
      <c r="G421" s="126" t="e">
        <f>IF(A421&lt;&gt;"",IF(AND(#REF!="Padrão",$H$4=#REF!),BDI!$B$17,IF(AND(#REF!="Padrão",$H$4=#REF!),BDI!#REF!,IF(AND(#REF!="Diferenciado",$H$4=#REF!),BDI!$E$17,IF(AND(#REF!="Diferenciado",$H$4=#REF!),BDI!#REF!,IF(#REF!="ZERO",0))))),"")</f>
        <v>#REF!</v>
      </c>
      <c r="H421" s="127" t="e">
        <f t="shared" ca="1" si="19"/>
        <v>#REF!</v>
      </c>
      <c r="I421" s="125" t="e">
        <f t="shared" ca="1" si="20"/>
        <v>#REF!</v>
      </c>
    </row>
    <row r="422" spans="1:9" hidden="1" x14ac:dyDescent="0.25">
      <c r="A422" s="103" t="s">
        <v>1898</v>
      </c>
      <c r="B422" s="104" t="s">
        <v>1899</v>
      </c>
      <c r="C422" s="105" t="s">
        <v>20</v>
      </c>
      <c r="D422" s="105">
        <v>0</v>
      </c>
      <c r="E422" s="124" t="s">
        <v>523</v>
      </c>
      <c r="F422" s="125" t="str">
        <f t="shared" si="18"/>
        <v/>
      </c>
      <c r="G422" s="126" t="e">
        <f>IF(A422&lt;&gt;"",IF(AND(#REF!="Padrão",$H$4=#REF!),BDI!$B$17,IF(AND(#REF!="Padrão",$H$4=#REF!),BDI!#REF!,IF(AND(#REF!="Diferenciado",$H$4=#REF!),BDI!$E$17,IF(AND(#REF!="Diferenciado",$H$4=#REF!),BDI!#REF!,IF(#REF!="ZERO",0))))),"")</f>
        <v>#REF!</v>
      </c>
      <c r="H422" s="127" t="str">
        <f t="shared" si="19"/>
        <v/>
      </c>
      <c r="I422" s="125" t="str">
        <f t="shared" si="20"/>
        <v/>
      </c>
    </row>
    <row r="423" spans="1:9" hidden="1" x14ac:dyDescent="0.25">
      <c r="A423" s="103" t="s">
        <v>1900</v>
      </c>
      <c r="B423" s="104" t="s">
        <v>1901</v>
      </c>
      <c r="C423" s="105" t="s">
        <v>20</v>
      </c>
      <c r="D423" s="105">
        <v>0</v>
      </c>
      <c r="E423" s="124" t="s">
        <v>523</v>
      </c>
      <c r="F423" s="125" t="str">
        <f t="shared" si="18"/>
        <v/>
      </c>
      <c r="G423" s="126" t="e">
        <f>IF(A423&lt;&gt;"",IF(AND(#REF!="Padrão",$H$4=#REF!),BDI!$B$17,IF(AND(#REF!="Padrão",$H$4=#REF!),BDI!#REF!,IF(AND(#REF!="Diferenciado",$H$4=#REF!),BDI!$E$17,IF(AND(#REF!="Diferenciado",$H$4=#REF!),BDI!#REF!,IF(#REF!="ZERO",0))))),"")</f>
        <v>#REF!</v>
      </c>
      <c r="H423" s="127" t="str">
        <f t="shared" si="19"/>
        <v/>
      </c>
      <c r="I423" s="125" t="str">
        <f t="shared" si="20"/>
        <v/>
      </c>
    </row>
    <row r="424" spans="1:9" hidden="1" x14ac:dyDescent="0.25">
      <c r="A424" s="103" t="s">
        <v>1902</v>
      </c>
      <c r="B424" s="104" t="s">
        <v>1903</v>
      </c>
      <c r="C424" s="105" t="s">
        <v>20</v>
      </c>
      <c r="D424" s="105">
        <v>0</v>
      </c>
      <c r="E424" s="124" t="s">
        <v>523</v>
      </c>
      <c r="F424" s="125" t="str">
        <f t="shared" si="18"/>
        <v/>
      </c>
      <c r="G424" s="126" t="e">
        <f>IF(A424&lt;&gt;"",IF(AND(#REF!="Padrão",$H$4=#REF!),BDI!$B$17,IF(AND(#REF!="Padrão",$H$4=#REF!),BDI!#REF!,IF(AND(#REF!="Diferenciado",$H$4=#REF!),BDI!$E$17,IF(AND(#REF!="Diferenciado",$H$4=#REF!),BDI!#REF!,IF(#REF!="ZERO",0))))),"")</f>
        <v>#REF!</v>
      </c>
      <c r="H424" s="127" t="str">
        <f t="shared" si="19"/>
        <v/>
      </c>
      <c r="I424" s="125" t="str">
        <f t="shared" si="20"/>
        <v/>
      </c>
    </row>
    <row r="425" spans="1:9" hidden="1" x14ac:dyDescent="0.25">
      <c r="A425" s="103" t="s">
        <v>1904</v>
      </c>
      <c r="B425" s="104" t="s">
        <v>1905</v>
      </c>
      <c r="C425" s="105" t="s">
        <v>20</v>
      </c>
      <c r="D425" s="105">
        <v>0</v>
      </c>
      <c r="E425" s="124" t="s">
        <v>523</v>
      </c>
      <c r="F425" s="125" t="str">
        <f t="shared" si="18"/>
        <v/>
      </c>
      <c r="G425" s="126" t="e">
        <f>IF(A425&lt;&gt;"",IF(AND(#REF!="Padrão",$H$4=#REF!),BDI!$B$17,IF(AND(#REF!="Padrão",$H$4=#REF!),BDI!#REF!,IF(AND(#REF!="Diferenciado",$H$4=#REF!),BDI!$E$17,IF(AND(#REF!="Diferenciado",$H$4=#REF!),BDI!#REF!,IF(#REF!="ZERO",0))))),"")</f>
        <v>#REF!</v>
      </c>
      <c r="H425" s="127" t="str">
        <f t="shared" si="19"/>
        <v/>
      </c>
      <c r="I425" s="125" t="str">
        <f t="shared" si="20"/>
        <v/>
      </c>
    </row>
    <row r="426" spans="1:9" hidden="1" x14ac:dyDescent="0.25">
      <c r="A426" s="103" t="s">
        <v>1906</v>
      </c>
      <c r="B426" s="104" t="s">
        <v>1907</v>
      </c>
      <c r="C426" s="105" t="s">
        <v>20</v>
      </c>
      <c r="D426" s="105">
        <v>0</v>
      </c>
      <c r="E426" s="124" t="s">
        <v>523</v>
      </c>
      <c r="F426" s="125" t="str">
        <f t="shared" si="18"/>
        <v/>
      </c>
      <c r="G426" s="126" t="e">
        <f>IF(A426&lt;&gt;"",IF(AND(#REF!="Padrão",$H$4=#REF!),BDI!$B$17,IF(AND(#REF!="Padrão",$H$4=#REF!),BDI!#REF!,IF(AND(#REF!="Diferenciado",$H$4=#REF!),BDI!$E$17,IF(AND(#REF!="Diferenciado",$H$4=#REF!),BDI!#REF!,IF(#REF!="ZERO",0))))),"")</f>
        <v>#REF!</v>
      </c>
      <c r="H426" s="127" t="str">
        <f t="shared" si="19"/>
        <v/>
      </c>
      <c r="I426" s="125" t="str">
        <f t="shared" si="20"/>
        <v/>
      </c>
    </row>
    <row r="427" spans="1:9" hidden="1" x14ac:dyDescent="0.25">
      <c r="A427" s="103" t="s">
        <v>1908</v>
      </c>
      <c r="B427" s="104" t="s">
        <v>1909</v>
      </c>
      <c r="C427" s="105" t="s">
        <v>20</v>
      </c>
      <c r="D427" s="105">
        <v>0</v>
      </c>
      <c r="E427" s="124" t="s">
        <v>523</v>
      </c>
      <c r="F427" s="125" t="str">
        <f t="shared" si="18"/>
        <v/>
      </c>
      <c r="G427" s="126" t="e">
        <f>IF(A427&lt;&gt;"",IF(AND(#REF!="Padrão",$H$4=#REF!),BDI!$B$17,IF(AND(#REF!="Padrão",$H$4=#REF!),BDI!#REF!,IF(AND(#REF!="Diferenciado",$H$4=#REF!),BDI!$E$17,IF(AND(#REF!="Diferenciado",$H$4=#REF!),BDI!#REF!,IF(#REF!="ZERO",0))))),"")</f>
        <v>#REF!</v>
      </c>
      <c r="H427" s="127" t="str">
        <f t="shared" si="19"/>
        <v/>
      </c>
      <c r="I427" s="125" t="str">
        <f t="shared" si="20"/>
        <v/>
      </c>
    </row>
    <row r="428" spans="1:9" hidden="1" x14ac:dyDescent="0.25">
      <c r="A428" s="103" t="s">
        <v>1910</v>
      </c>
      <c r="B428" s="104" t="s">
        <v>1911</v>
      </c>
      <c r="C428" s="105" t="s">
        <v>20</v>
      </c>
      <c r="D428" s="105">
        <v>0</v>
      </c>
      <c r="E428" s="124" t="s">
        <v>523</v>
      </c>
      <c r="F428" s="125" t="str">
        <f t="shared" si="18"/>
        <v/>
      </c>
      <c r="G428" s="126" t="e">
        <f>IF(A428&lt;&gt;"",IF(AND(#REF!="Padrão",$H$4=#REF!),BDI!$B$17,IF(AND(#REF!="Padrão",$H$4=#REF!),BDI!#REF!,IF(AND(#REF!="Diferenciado",$H$4=#REF!),BDI!$E$17,IF(AND(#REF!="Diferenciado",$H$4=#REF!),BDI!#REF!,IF(#REF!="ZERO",0))))),"")</f>
        <v>#REF!</v>
      </c>
      <c r="H428" s="127" t="str">
        <f t="shared" si="19"/>
        <v/>
      </c>
      <c r="I428" s="125" t="str">
        <f t="shared" si="20"/>
        <v/>
      </c>
    </row>
    <row r="429" spans="1:9" hidden="1" x14ac:dyDescent="0.25">
      <c r="A429" s="103" t="s">
        <v>1912</v>
      </c>
      <c r="B429" s="104" t="s">
        <v>1913</v>
      </c>
      <c r="C429" s="105" t="s">
        <v>20</v>
      </c>
      <c r="D429" s="105">
        <v>0</v>
      </c>
      <c r="E429" s="124" t="s">
        <v>523</v>
      </c>
      <c r="F429" s="125" t="str">
        <f t="shared" si="18"/>
        <v/>
      </c>
      <c r="G429" s="126" t="e">
        <f>IF(A429&lt;&gt;"",IF(AND(#REF!="Padrão",$H$4=#REF!),BDI!$B$17,IF(AND(#REF!="Padrão",$H$4=#REF!),BDI!#REF!,IF(AND(#REF!="Diferenciado",$H$4=#REF!),BDI!$E$17,IF(AND(#REF!="Diferenciado",$H$4=#REF!),BDI!#REF!,IF(#REF!="ZERO",0))))),"")</f>
        <v>#REF!</v>
      </c>
      <c r="H429" s="127" t="str">
        <f t="shared" si="19"/>
        <v/>
      </c>
      <c r="I429" s="125" t="str">
        <f t="shared" si="20"/>
        <v/>
      </c>
    </row>
    <row r="430" spans="1:9" hidden="1" x14ac:dyDescent="0.25">
      <c r="A430" s="103" t="s">
        <v>1914</v>
      </c>
      <c r="B430" s="104" t="s">
        <v>1915</v>
      </c>
      <c r="C430" s="105" t="s">
        <v>20</v>
      </c>
      <c r="D430" s="105">
        <v>0</v>
      </c>
      <c r="E430" s="124" t="s">
        <v>523</v>
      </c>
      <c r="F430" s="125" t="str">
        <f t="shared" si="18"/>
        <v/>
      </c>
      <c r="G430" s="126" t="e">
        <f>IF(A430&lt;&gt;"",IF(AND(#REF!="Padrão",$H$4=#REF!),BDI!$B$17,IF(AND(#REF!="Padrão",$H$4=#REF!),BDI!#REF!,IF(AND(#REF!="Diferenciado",$H$4=#REF!),BDI!$E$17,IF(AND(#REF!="Diferenciado",$H$4=#REF!),BDI!#REF!,IF(#REF!="ZERO",0))))),"")</f>
        <v>#REF!</v>
      </c>
      <c r="H430" s="127" t="str">
        <f t="shared" si="19"/>
        <v/>
      </c>
      <c r="I430" s="125" t="str">
        <f t="shared" si="20"/>
        <v/>
      </c>
    </row>
    <row r="431" spans="1:9" hidden="1" x14ac:dyDescent="0.25">
      <c r="A431" s="103" t="s">
        <v>1916</v>
      </c>
      <c r="B431" s="104" t="s">
        <v>1917</v>
      </c>
      <c r="C431" s="105" t="s">
        <v>20</v>
      </c>
      <c r="D431" s="105">
        <v>0</v>
      </c>
      <c r="E431" s="124" t="s">
        <v>523</v>
      </c>
      <c r="F431" s="125" t="str">
        <f t="shared" si="18"/>
        <v/>
      </c>
      <c r="G431" s="126" t="e">
        <f>IF(A431&lt;&gt;"",IF(AND(#REF!="Padrão",$H$4=#REF!),BDI!$B$17,IF(AND(#REF!="Padrão",$H$4=#REF!),BDI!#REF!,IF(AND(#REF!="Diferenciado",$H$4=#REF!),BDI!$E$17,IF(AND(#REF!="Diferenciado",$H$4=#REF!),BDI!#REF!,IF(#REF!="ZERO",0))))),"")</f>
        <v>#REF!</v>
      </c>
      <c r="H431" s="127" t="str">
        <f t="shared" si="19"/>
        <v/>
      </c>
      <c r="I431" s="125" t="str">
        <f t="shared" si="20"/>
        <v/>
      </c>
    </row>
    <row r="432" spans="1:9" hidden="1" x14ac:dyDescent="0.25">
      <c r="A432" s="103" t="s">
        <v>1918</v>
      </c>
      <c r="B432" s="104" t="s">
        <v>1919</v>
      </c>
      <c r="C432" s="105" t="s">
        <v>20</v>
      </c>
      <c r="D432" s="105">
        <v>0</v>
      </c>
      <c r="E432" s="124" t="s">
        <v>523</v>
      </c>
      <c r="F432" s="125" t="str">
        <f t="shared" si="18"/>
        <v/>
      </c>
      <c r="G432" s="126" t="e">
        <f>IF(A432&lt;&gt;"",IF(AND(#REF!="Padrão",$H$4=#REF!),BDI!$B$17,IF(AND(#REF!="Padrão",$H$4=#REF!),BDI!#REF!,IF(AND(#REF!="Diferenciado",$H$4=#REF!),BDI!$E$17,IF(AND(#REF!="Diferenciado",$H$4=#REF!),BDI!#REF!,IF(#REF!="ZERO",0))))),"")</f>
        <v>#REF!</v>
      </c>
      <c r="H432" s="127" t="str">
        <f t="shared" si="19"/>
        <v/>
      </c>
      <c r="I432" s="125" t="str">
        <f t="shared" si="20"/>
        <v/>
      </c>
    </row>
    <row r="433" spans="1:9" hidden="1" x14ac:dyDescent="0.25">
      <c r="A433" s="103" t="s">
        <v>1920</v>
      </c>
      <c r="B433" s="104" t="s">
        <v>1921</v>
      </c>
      <c r="C433" s="105" t="s">
        <v>20</v>
      </c>
      <c r="D433" s="105">
        <v>0</v>
      </c>
      <c r="E433" s="124" t="s">
        <v>523</v>
      </c>
      <c r="F433" s="125" t="str">
        <f t="shared" si="18"/>
        <v/>
      </c>
      <c r="G433" s="126" t="e">
        <f>IF(A433&lt;&gt;"",IF(AND(#REF!="Padrão",$H$4=#REF!),BDI!$B$17,IF(AND(#REF!="Padrão",$H$4=#REF!),BDI!#REF!,IF(AND(#REF!="Diferenciado",$H$4=#REF!),BDI!$E$17,IF(AND(#REF!="Diferenciado",$H$4=#REF!),BDI!#REF!,IF(#REF!="ZERO",0))))),"")</f>
        <v>#REF!</v>
      </c>
      <c r="H433" s="127" t="str">
        <f t="shared" si="19"/>
        <v/>
      </c>
      <c r="I433" s="125" t="str">
        <f t="shared" si="20"/>
        <v/>
      </c>
    </row>
    <row r="434" spans="1:9" hidden="1" x14ac:dyDescent="0.25">
      <c r="A434" s="103" t="s">
        <v>1922</v>
      </c>
      <c r="B434" s="104" t="s">
        <v>1923</v>
      </c>
      <c r="C434" s="105" t="s">
        <v>1924</v>
      </c>
      <c r="D434" s="105">
        <v>0</v>
      </c>
      <c r="E434" s="124" t="s">
        <v>523</v>
      </c>
      <c r="F434" s="125" t="str">
        <f t="shared" si="18"/>
        <v/>
      </c>
      <c r="G434" s="126" t="e">
        <f>IF(A434&lt;&gt;"",IF(AND(#REF!="Padrão",$H$4=#REF!),BDI!$B$17,IF(AND(#REF!="Padrão",$H$4=#REF!),BDI!#REF!,IF(AND(#REF!="Diferenciado",$H$4=#REF!),BDI!$E$17,IF(AND(#REF!="Diferenciado",$H$4=#REF!),BDI!#REF!,IF(#REF!="ZERO",0))))),"")</f>
        <v>#REF!</v>
      </c>
      <c r="H434" s="127" t="str">
        <f t="shared" si="19"/>
        <v/>
      </c>
      <c r="I434" s="125" t="str">
        <f t="shared" si="20"/>
        <v/>
      </c>
    </row>
    <row r="435" spans="1:9" hidden="1" x14ac:dyDescent="0.25">
      <c r="A435" s="103" t="s">
        <v>1925</v>
      </c>
      <c r="B435" s="104" t="s">
        <v>1926</v>
      </c>
      <c r="C435" s="105" t="s">
        <v>1924</v>
      </c>
      <c r="D435" s="105">
        <v>0</v>
      </c>
      <c r="E435" s="124" t="s">
        <v>523</v>
      </c>
      <c r="F435" s="125" t="str">
        <f t="shared" si="18"/>
        <v/>
      </c>
      <c r="G435" s="126" t="e">
        <f>IF(A435&lt;&gt;"",IF(AND(#REF!="Padrão",$H$4=#REF!),BDI!$B$17,IF(AND(#REF!="Padrão",$H$4=#REF!),BDI!#REF!,IF(AND(#REF!="Diferenciado",$H$4=#REF!),BDI!$E$17,IF(AND(#REF!="Diferenciado",$H$4=#REF!),BDI!#REF!,IF(#REF!="ZERO",0))))),"")</f>
        <v>#REF!</v>
      </c>
      <c r="H435" s="127" t="str">
        <f t="shared" si="19"/>
        <v/>
      </c>
      <c r="I435" s="125" t="str">
        <f t="shared" si="20"/>
        <v/>
      </c>
    </row>
    <row r="436" spans="1:9" hidden="1" x14ac:dyDescent="0.25">
      <c r="A436" s="103" t="s">
        <v>1927</v>
      </c>
      <c r="B436" s="104" t="s">
        <v>1928</v>
      </c>
      <c r="C436" s="105" t="s">
        <v>1924</v>
      </c>
      <c r="D436" s="105">
        <v>0</v>
      </c>
      <c r="E436" s="124" t="s">
        <v>523</v>
      </c>
      <c r="F436" s="125" t="str">
        <f t="shared" si="18"/>
        <v/>
      </c>
      <c r="G436" s="126" t="e">
        <f>IF(A436&lt;&gt;"",IF(AND(#REF!="Padrão",$H$4=#REF!),BDI!$B$17,IF(AND(#REF!="Padrão",$H$4=#REF!),BDI!#REF!,IF(AND(#REF!="Diferenciado",$H$4=#REF!),BDI!$E$17,IF(AND(#REF!="Diferenciado",$H$4=#REF!),BDI!#REF!,IF(#REF!="ZERO",0))))),"")</f>
        <v>#REF!</v>
      </c>
      <c r="H436" s="127" t="str">
        <f t="shared" si="19"/>
        <v/>
      </c>
      <c r="I436" s="125" t="str">
        <f t="shared" si="20"/>
        <v/>
      </c>
    </row>
    <row r="437" spans="1:9" hidden="1" x14ac:dyDescent="0.25">
      <c r="A437" s="103" t="s">
        <v>1929</v>
      </c>
      <c r="B437" s="104" t="s">
        <v>1930</v>
      </c>
      <c r="C437" s="105" t="s">
        <v>1924</v>
      </c>
      <c r="D437" s="105">
        <v>0</v>
      </c>
      <c r="E437" s="124" t="s">
        <v>523</v>
      </c>
      <c r="F437" s="125" t="str">
        <f t="shared" si="18"/>
        <v/>
      </c>
      <c r="G437" s="126" t="e">
        <f>IF(A437&lt;&gt;"",IF(AND(#REF!="Padrão",$H$4=#REF!),BDI!$B$17,IF(AND(#REF!="Padrão",$H$4=#REF!),BDI!#REF!,IF(AND(#REF!="Diferenciado",$H$4=#REF!),BDI!$E$17,IF(AND(#REF!="Diferenciado",$H$4=#REF!),BDI!#REF!,IF(#REF!="ZERO",0))))),"")</f>
        <v>#REF!</v>
      </c>
      <c r="H437" s="127" t="str">
        <f t="shared" si="19"/>
        <v/>
      </c>
      <c r="I437" s="125" t="str">
        <f t="shared" si="20"/>
        <v/>
      </c>
    </row>
    <row r="438" spans="1:9" hidden="1" x14ac:dyDescent="0.25">
      <c r="A438" s="103" t="s">
        <v>1931</v>
      </c>
      <c r="B438" s="104" t="s">
        <v>1932</v>
      </c>
      <c r="C438" s="105" t="s">
        <v>1924</v>
      </c>
      <c r="D438" s="105">
        <v>0</v>
      </c>
      <c r="E438" s="124" t="s">
        <v>523</v>
      </c>
      <c r="F438" s="125" t="str">
        <f t="shared" si="18"/>
        <v/>
      </c>
      <c r="G438" s="126" t="e">
        <f>IF(A438&lt;&gt;"",IF(AND(#REF!="Padrão",$H$4=#REF!),BDI!$B$17,IF(AND(#REF!="Padrão",$H$4=#REF!),BDI!#REF!,IF(AND(#REF!="Diferenciado",$H$4=#REF!),BDI!$E$17,IF(AND(#REF!="Diferenciado",$H$4=#REF!),BDI!#REF!,IF(#REF!="ZERO",0))))),"")</f>
        <v>#REF!</v>
      </c>
      <c r="H438" s="127" t="str">
        <f t="shared" si="19"/>
        <v/>
      </c>
      <c r="I438" s="125" t="str">
        <f t="shared" si="20"/>
        <v/>
      </c>
    </row>
    <row r="439" spans="1:9" hidden="1" x14ac:dyDescent="0.25">
      <c r="A439" s="103" t="s">
        <v>1933</v>
      </c>
      <c r="B439" s="104" t="s">
        <v>1934</v>
      </c>
      <c r="C439" s="105" t="s">
        <v>1924</v>
      </c>
      <c r="D439" s="105">
        <v>0</v>
      </c>
      <c r="E439" s="124" t="s">
        <v>523</v>
      </c>
      <c r="F439" s="125" t="str">
        <f t="shared" si="18"/>
        <v/>
      </c>
      <c r="G439" s="126" t="e">
        <f>IF(A439&lt;&gt;"",IF(AND(#REF!="Padrão",$H$4=#REF!),BDI!$B$17,IF(AND(#REF!="Padrão",$H$4=#REF!),BDI!#REF!,IF(AND(#REF!="Diferenciado",$H$4=#REF!),BDI!$E$17,IF(AND(#REF!="Diferenciado",$H$4=#REF!),BDI!#REF!,IF(#REF!="ZERO",0))))),"")</f>
        <v>#REF!</v>
      </c>
      <c r="H439" s="127" t="str">
        <f t="shared" si="19"/>
        <v/>
      </c>
      <c r="I439" s="125" t="str">
        <f t="shared" si="20"/>
        <v/>
      </c>
    </row>
    <row r="440" spans="1:9" hidden="1" x14ac:dyDescent="0.25">
      <c r="A440" s="103" t="s">
        <v>1935</v>
      </c>
      <c r="B440" s="104" t="s">
        <v>1936</v>
      </c>
      <c r="C440" s="105" t="s">
        <v>20</v>
      </c>
      <c r="D440" s="105">
        <v>0</v>
      </c>
      <c r="E440" s="124" t="s">
        <v>523</v>
      </c>
      <c r="F440" s="125" t="str">
        <f t="shared" si="18"/>
        <v/>
      </c>
      <c r="G440" s="126" t="e">
        <f>IF(A440&lt;&gt;"",IF(AND(#REF!="Padrão",$H$4=#REF!),BDI!$B$17,IF(AND(#REF!="Padrão",$H$4=#REF!),BDI!#REF!,IF(AND(#REF!="Diferenciado",$H$4=#REF!),BDI!$E$17,IF(AND(#REF!="Diferenciado",$H$4=#REF!),BDI!#REF!,IF(#REF!="ZERO",0))))),"")</f>
        <v>#REF!</v>
      </c>
      <c r="H440" s="127" t="str">
        <f t="shared" si="19"/>
        <v/>
      </c>
      <c r="I440" s="125" t="str">
        <f t="shared" si="20"/>
        <v/>
      </c>
    </row>
    <row r="441" spans="1:9" hidden="1" x14ac:dyDescent="0.25">
      <c r="A441" s="103" t="s">
        <v>1937</v>
      </c>
      <c r="B441" s="104" t="s">
        <v>1938</v>
      </c>
      <c r="C441" s="105" t="s">
        <v>20</v>
      </c>
      <c r="D441" s="105">
        <v>0</v>
      </c>
      <c r="E441" s="124" t="s">
        <v>523</v>
      </c>
      <c r="F441" s="125" t="str">
        <f t="shared" si="18"/>
        <v/>
      </c>
      <c r="G441" s="126" t="e">
        <f>IF(A441&lt;&gt;"",IF(AND(#REF!="Padrão",$H$4=#REF!),BDI!$B$17,IF(AND(#REF!="Padrão",$H$4=#REF!),BDI!#REF!,IF(AND(#REF!="Diferenciado",$H$4=#REF!),BDI!$E$17,IF(AND(#REF!="Diferenciado",$H$4=#REF!),BDI!#REF!,IF(#REF!="ZERO",0))))),"")</f>
        <v>#REF!</v>
      </c>
      <c r="H441" s="127" t="str">
        <f t="shared" si="19"/>
        <v/>
      </c>
      <c r="I441" s="125" t="str">
        <f t="shared" si="20"/>
        <v/>
      </c>
    </row>
    <row r="442" spans="1:9" hidden="1" x14ac:dyDescent="0.25">
      <c r="A442" s="103" t="s">
        <v>1939</v>
      </c>
      <c r="B442" s="104" t="s">
        <v>1940</v>
      </c>
      <c r="C442" s="105" t="s">
        <v>20</v>
      </c>
      <c r="D442" s="105">
        <v>0</v>
      </c>
      <c r="E442" s="124" t="s">
        <v>523</v>
      </c>
      <c r="F442" s="125" t="str">
        <f t="shared" si="18"/>
        <v/>
      </c>
      <c r="G442" s="126" t="e">
        <f>IF(A442&lt;&gt;"",IF(AND(#REF!="Padrão",$H$4=#REF!),BDI!$B$17,IF(AND(#REF!="Padrão",$H$4=#REF!),BDI!#REF!,IF(AND(#REF!="Diferenciado",$H$4=#REF!),BDI!$E$17,IF(AND(#REF!="Diferenciado",$H$4=#REF!),BDI!#REF!,IF(#REF!="ZERO",0))))),"")</f>
        <v>#REF!</v>
      </c>
      <c r="H442" s="127" t="str">
        <f t="shared" si="19"/>
        <v/>
      </c>
      <c r="I442" s="125" t="str">
        <f t="shared" si="20"/>
        <v/>
      </c>
    </row>
    <row r="443" spans="1:9" hidden="1" x14ac:dyDescent="0.25">
      <c r="A443" s="103" t="s">
        <v>1941</v>
      </c>
      <c r="B443" s="104" t="s">
        <v>1942</v>
      </c>
      <c r="C443" s="105" t="s">
        <v>20</v>
      </c>
      <c r="D443" s="105">
        <v>0</v>
      </c>
      <c r="E443" s="124" t="s">
        <v>523</v>
      </c>
      <c r="F443" s="125" t="str">
        <f t="shared" si="18"/>
        <v/>
      </c>
      <c r="G443" s="126" t="e">
        <f>IF(A443&lt;&gt;"",IF(AND(#REF!="Padrão",$H$4=#REF!),BDI!$B$17,IF(AND(#REF!="Padrão",$H$4=#REF!),BDI!#REF!,IF(AND(#REF!="Diferenciado",$H$4=#REF!),BDI!$E$17,IF(AND(#REF!="Diferenciado",$H$4=#REF!),BDI!#REF!,IF(#REF!="ZERO",0))))),"")</f>
        <v>#REF!</v>
      </c>
      <c r="H443" s="127" t="str">
        <f t="shared" si="19"/>
        <v/>
      </c>
      <c r="I443" s="125" t="str">
        <f t="shared" si="20"/>
        <v/>
      </c>
    </row>
    <row r="444" spans="1:9" hidden="1" x14ac:dyDescent="0.25">
      <c r="A444" s="103" t="s">
        <v>1943</v>
      </c>
      <c r="B444" s="104" t="s">
        <v>1944</v>
      </c>
      <c r="C444" s="105" t="s">
        <v>20</v>
      </c>
      <c r="D444" s="105">
        <v>0</v>
      </c>
      <c r="E444" s="124" t="s">
        <v>523</v>
      </c>
      <c r="F444" s="125" t="str">
        <f t="shared" si="18"/>
        <v/>
      </c>
      <c r="G444" s="126" t="e">
        <f>IF(A444&lt;&gt;"",IF(AND(#REF!="Padrão",$H$4=#REF!),BDI!$B$17,IF(AND(#REF!="Padrão",$H$4=#REF!),BDI!#REF!,IF(AND(#REF!="Diferenciado",$H$4=#REF!),BDI!$E$17,IF(AND(#REF!="Diferenciado",$H$4=#REF!),BDI!#REF!,IF(#REF!="ZERO",0))))),"")</f>
        <v>#REF!</v>
      </c>
      <c r="H444" s="127" t="str">
        <f t="shared" si="19"/>
        <v/>
      </c>
      <c r="I444" s="125" t="str">
        <f t="shared" si="20"/>
        <v/>
      </c>
    </row>
    <row r="445" spans="1:9" hidden="1" x14ac:dyDescent="0.25">
      <c r="A445" s="103" t="s">
        <v>1945</v>
      </c>
      <c r="B445" s="104" t="s">
        <v>1946</v>
      </c>
      <c r="C445" s="105" t="s">
        <v>20</v>
      </c>
      <c r="D445" s="105">
        <v>0</v>
      </c>
      <c r="E445" s="124" t="s">
        <v>523</v>
      </c>
      <c r="F445" s="125" t="str">
        <f t="shared" si="18"/>
        <v/>
      </c>
      <c r="G445" s="126" t="e">
        <f>IF(A445&lt;&gt;"",IF(AND(#REF!="Padrão",$H$4=#REF!),BDI!$B$17,IF(AND(#REF!="Padrão",$H$4=#REF!),BDI!#REF!,IF(AND(#REF!="Diferenciado",$H$4=#REF!),BDI!$E$17,IF(AND(#REF!="Diferenciado",$H$4=#REF!),BDI!#REF!,IF(#REF!="ZERO",0))))),"")</f>
        <v>#REF!</v>
      </c>
      <c r="H445" s="127" t="str">
        <f t="shared" si="19"/>
        <v/>
      </c>
      <c r="I445" s="125" t="str">
        <f t="shared" si="20"/>
        <v/>
      </c>
    </row>
    <row r="446" spans="1:9" hidden="1" x14ac:dyDescent="0.25">
      <c r="A446" s="103" t="s">
        <v>1947</v>
      </c>
      <c r="B446" s="104" t="s">
        <v>1948</v>
      </c>
      <c r="C446" s="105" t="s">
        <v>20</v>
      </c>
      <c r="D446" s="105">
        <v>0</v>
      </c>
      <c r="E446" s="124" t="s">
        <v>523</v>
      </c>
      <c r="F446" s="125" t="str">
        <f t="shared" si="18"/>
        <v/>
      </c>
      <c r="G446" s="126" t="e">
        <f>IF(A446&lt;&gt;"",IF(AND(#REF!="Padrão",$H$4=#REF!),BDI!$B$17,IF(AND(#REF!="Padrão",$H$4=#REF!),BDI!#REF!,IF(AND(#REF!="Diferenciado",$H$4=#REF!),BDI!$E$17,IF(AND(#REF!="Diferenciado",$H$4=#REF!),BDI!#REF!,IF(#REF!="ZERO",0))))),"")</f>
        <v>#REF!</v>
      </c>
      <c r="H446" s="127" t="str">
        <f t="shared" si="19"/>
        <v/>
      </c>
      <c r="I446" s="125" t="str">
        <f t="shared" si="20"/>
        <v/>
      </c>
    </row>
    <row r="447" spans="1:9" hidden="1" x14ac:dyDescent="0.25">
      <c r="A447" s="103" t="s">
        <v>1949</v>
      </c>
      <c r="B447" s="104" t="s">
        <v>1950</v>
      </c>
      <c r="C447" s="105" t="s">
        <v>20</v>
      </c>
      <c r="D447" s="105">
        <v>0</v>
      </c>
      <c r="E447" s="124" t="s">
        <v>523</v>
      </c>
      <c r="F447" s="125" t="str">
        <f t="shared" si="18"/>
        <v/>
      </c>
      <c r="G447" s="126" t="e">
        <f>IF(A447&lt;&gt;"",IF(AND(#REF!="Padrão",$H$4=#REF!),BDI!$B$17,IF(AND(#REF!="Padrão",$H$4=#REF!),BDI!#REF!,IF(AND(#REF!="Diferenciado",$H$4=#REF!),BDI!$E$17,IF(AND(#REF!="Diferenciado",$H$4=#REF!),BDI!#REF!,IF(#REF!="ZERO",0))))),"")</f>
        <v>#REF!</v>
      </c>
      <c r="H447" s="127" t="str">
        <f t="shared" si="19"/>
        <v/>
      </c>
      <c r="I447" s="125" t="str">
        <f t="shared" si="20"/>
        <v/>
      </c>
    </row>
    <row r="448" spans="1:9" hidden="1" x14ac:dyDescent="0.25">
      <c r="A448" s="103" t="s">
        <v>1951</v>
      </c>
      <c r="B448" s="104" t="s">
        <v>1952</v>
      </c>
      <c r="C448" s="105" t="s">
        <v>20</v>
      </c>
      <c r="D448" s="105">
        <v>0</v>
      </c>
      <c r="E448" s="124">
        <f ca="1">OFFSET(INDEX(Composições!A:J,MATCH(Orçamentária!A448,Composições!A:A,0),8),2,0)</f>
        <v>18.211500000000001</v>
      </c>
      <c r="F448" s="125">
        <f t="shared" ca="1" si="18"/>
        <v>0</v>
      </c>
      <c r="G448" s="126" t="e">
        <f>IF(A448&lt;&gt;"",IF(AND(#REF!="Padrão",$H$4=#REF!),BDI!$B$17,IF(AND(#REF!="Padrão",$H$4=#REF!),BDI!#REF!,IF(AND(#REF!="Diferenciado",$H$4=#REF!),BDI!$E$17,IF(AND(#REF!="Diferenciado",$H$4=#REF!),BDI!#REF!,IF(#REF!="ZERO",0))))),"")</f>
        <v>#REF!</v>
      </c>
      <c r="H448" s="127" t="e">
        <f t="shared" ca="1" si="19"/>
        <v>#REF!</v>
      </c>
      <c r="I448" s="125" t="e">
        <f t="shared" ca="1" si="20"/>
        <v>#REF!</v>
      </c>
    </row>
    <row r="449" spans="1:9" hidden="1" x14ac:dyDescent="0.25">
      <c r="A449" s="103" t="s">
        <v>1953</v>
      </c>
      <c r="B449" s="104" t="s">
        <v>1954</v>
      </c>
      <c r="C449" s="105" t="s">
        <v>20</v>
      </c>
      <c r="D449" s="105">
        <v>0</v>
      </c>
      <c r="E449" s="124" t="s">
        <v>523</v>
      </c>
      <c r="F449" s="125" t="str">
        <f t="shared" si="18"/>
        <v/>
      </c>
      <c r="G449" s="126" t="e">
        <f>IF(A449&lt;&gt;"",IF(AND(#REF!="Padrão",$H$4=#REF!),BDI!$B$17,IF(AND(#REF!="Padrão",$H$4=#REF!),BDI!#REF!,IF(AND(#REF!="Diferenciado",$H$4=#REF!),BDI!$E$17,IF(AND(#REF!="Diferenciado",$H$4=#REF!),BDI!#REF!,IF(#REF!="ZERO",0))))),"")</f>
        <v>#REF!</v>
      </c>
      <c r="H449" s="127" t="str">
        <f t="shared" si="19"/>
        <v/>
      </c>
      <c r="I449" s="125" t="str">
        <f t="shared" si="20"/>
        <v/>
      </c>
    </row>
    <row r="450" spans="1:9" hidden="1" x14ac:dyDescent="0.25">
      <c r="A450" s="103" t="s">
        <v>1955</v>
      </c>
      <c r="B450" s="104" t="s">
        <v>1956</v>
      </c>
      <c r="C450" s="105" t="s">
        <v>20</v>
      </c>
      <c r="D450" s="105">
        <v>0</v>
      </c>
      <c r="E450" s="124" t="s">
        <v>523</v>
      </c>
      <c r="F450" s="125" t="str">
        <f t="shared" si="18"/>
        <v/>
      </c>
      <c r="G450" s="126" t="e">
        <f>IF(A450&lt;&gt;"",IF(AND(#REF!="Padrão",$H$4=#REF!),BDI!$B$17,IF(AND(#REF!="Padrão",$H$4=#REF!),BDI!#REF!,IF(AND(#REF!="Diferenciado",$H$4=#REF!),BDI!$E$17,IF(AND(#REF!="Diferenciado",$H$4=#REF!),BDI!#REF!,IF(#REF!="ZERO",0))))),"")</f>
        <v>#REF!</v>
      </c>
      <c r="H450" s="127" t="str">
        <f t="shared" si="19"/>
        <v/>
      </c>
      <c r="I450" s="125" t="str">
        <f t="shared" si="20"/>
        <v/>
      </c>
    </row>
    <row r="451" spans="1:9" hidden="1" x14ac:dyDescent="0.25">
      <c r="A451" s="103" t="s">
        <v>1957</v>
      </c>
      <c r="B451" s="104" t="s">
        <v>1958</v>
      </c>
      <c r="C451" s="105" t="s">
        <v>20</v>
      </c>
      <c r="D451" s="105">
        <v>0</v>
      </c>
      <c r="E451" s="124" t="s">
        <v>523</v>
      </c>
      <c r="F451" s="125" t="str">
        <f t="shared" si="18"/>
        <v/>
      </c>
      <c r="G451" s="126" t="e">
        <f>IF(A451&lt;&gt;"",IF(AND(#REF!="Padrão",$H$4=#REF!),BDI!$B$17,IF(AND(#REF!="Padrão",$H$4=#REF!),BDI!#REF!,IF(AND(#REF!="Diferenciado",$H$4=#REF!),BDI!$E$17,IF(AND(#REF!="Diferenciado",$H$4=#REF!),BDI!#REF!,IF(#REF!="ZERO",0))))),"")</f>
        <v>#REF!</v>
      </c>
      <c r="H451" s="127" t="str">
        <f t="shared" si="19"/>
        <v/>
      </c>
      <c r="I451" s="125" t="str">
        <f t="shared" si="20"/>
        <v/>
      </c>
    </row>
    <row r="452" spans="1:9" hidden="1" x14ac:dyDescent="0.25">
      <c r="A452" s="103" t="s">
        <v>1959</v>
      </c>
      <c r="B452" s="104" t="s">
        <v>1960</v>
      </c>
      <c r="C452" s="105" t="s">
        <v>20</v>
      </c>
      <c r="D452" s="105">
        <v>0</v>
      </c>
      <c r="E452" s="124" t="s">
        <v>523</v>
      </c>
      <c r="F452" s="125" t="str">
        <f t="shared" si="18"/>
        <v/>
      </c>
      <c r="G452" s="126" t="e">
        <f>IF(A452&lt;&gt;"",IF(AND(#REF!="Padrão",$H$4=#REF!),BDI!$B$17,IF(AND(#REF!="Padrão",$H$4=#REF!),BDI!#REF!,IF(AND(#REF!="Diferenciado",$H$4=#REF!),BDI!$E$17,IF(AND(#REF!="Diferenciado",$H$4=#REF!),BDI!#REF!,IF(#REF!="ZERO",0))))),"")</f>
        <v>#REF!</v>
      </c>
      <c r="H452" s="127" t="str">
        <f t="shared" si="19"/>
        <v/>
      </c>
      <c r="I452" s="125" t="str">
        <f t="shared" si="20"/>
        <v/>
      </c>
    </row>
    <row r="453" spans="1:9" hidden="1" x14ac:dyDescent="0.25">
      <c r="A453" s="103" t="s">
        <v>1961</v>
      </c>
      <c r="B453" s="104" t="s">
        <v>1962</v>
      </c>
      <c r="C453" s="105" t="s">
        <v>20</v>
      </c>
      <c r="D453" s="105">
        <v>0</v>
      </c>
      <c r="E453" s="124" t="s">
        <v>523</v>
      </c>
      <c r="F453" s="125" t="str">
        <f t="shared" si="18"/>
        <v/>
      </c>
      <c r="G453" s="126" t="e">
        <f>IF(A453&lt;&gt;"",IF(AND(#REF!="Padrão",$H$4=#REF!),BDI!$B$17,IF(AND(#REF!="Padrão",$H$4=#REF!),BDI!#REF!,IF(AND(#REF!="Diferenciado",$H$4=#REF!),BDI!$E$17,IF(AND(#REF!="Diferenciado",$H$4=#REF!),BDI!#REF!,IF(#REF!="ZERO",0))))),"")</f>
        <v>#REF!</v>
      </c>
      <c r="H453" s="127" t="str">
        <f t="shared" si="19"/>
        <v/>
      </c>
      <c r="I453" s="125" t="str">
        <f t="shared" si="20"/>
        <v/>
      </c>
    </row>
    <row r="454" spans="1:9" hidden="1" x14ac:dyDescent="0.25">
      <c r="A454" s="103" t="s">
        <v>1963</v>
      </c>
      <c r="B454" s="104" t="s">
        <v>1964</v>
      </c>
      <c r="C454" s="105" t="s">
        <v>20</v>
      </c>
      <c r="D454" s="105">
        <v>0</v>
      </c>
      <c r="E454" s="124" t="s">
        <v>523</v>
      </c>
      <c r="F454" s="125" t="str">
        <f t="shared" si="18"/>
        <v/>
      </c>
      <c r="G454" s="126" t="e">
        <f>IF(A454&lt;&gt;"",IF(AND(#REF!="Padrão",$H$4=#REF!),BDI!$B$17,IF(AND(#REF!="Padrão",$H$4=#REF!),BDI!#REF!,IF(AND(#REF!="Diferenciado",$H$4=#REF!),BDI!$E$17,IF(AND(#REF!="Diferenciado",$H$4=#REF!),BDI!#REF!,IF(#REF!="ZERO",0))))),"")</f>
        <v>#REF!</v>
      </c>
      <c r="H454" s="127" t="str">
        <f t="shared" si="19"/>
        <v/>
      </c>
      <c r="I454" s="125" t="str">
        <f t="shared" si="20"/>
        <v/>
      </c>
    </row>
    <row r="455" spans="1:9" hidden="1" x14ac:dyDescent="0.25">
      <c r="A455" s="103" t="s">
        <v>1965</v>
      </c>
      <c r="B455" s="104" t="s">
        <v>1966</v>
      </c>
      <c r="C455" s="105" t="s">
        <v>20</v>
      </c>
      <c r="D455" s="105">
        <v>0</v>
      </c>
      <c r="E455" s="124" t="s">
        <v>523</v>
      </c>
      <c r="F455" s="125" t="str">
        <f t="shared" ref="F455:F518" si="21">IF(ISNUMBER(E455),D455*E455,"")</f>
        <v/>
      </c>
      <c r="G455" s="126" t="e">
        <f>IF(A455&lt;&gt;"",IF(AND(#REF!="Padrão",$H$4=#REF!),BDI!$B$17,IF(AND(#REF!="Padrão",$H$4=#REF!),BDI!#REF!,IF(AND(#REF!="Diferenciado",$H$4=#REF!),BDI!$E$17,IF(AND(#REF!="Diferenciado",$H$4=#REF!),BDI!#REF!,IF(#REF!="ZERO",0))))),"")</f>
        <v>#REF!</v>
      </c>
      <c r="H455" s="127" t="str">
        <f t="shared" ref="H455:H518" si="22">IF(ISNUMBER(E455),ROUND(E455*(1+G455),2),"")</f>
        <v/>
      </c>
      <c r="I455" s="125" t="str">
        <f t="shared" ref="I455:I518" si="23">IF(ISNUMBER(E455),ROUND(H455*D455,2),"")</f>
        <v/>
      </c>
    </row>
    <row r="456" spans="1:9" hidden="1" x14ac:dyDescent="0.25">
      <c r="A456" s="103" t="s">
        <v>1967</v>
      </c>
      <c r="B456" s="104" t="s">
        <v>1968</v>
      </c>
      <c r="C456" s="105" t="s">
        <v>20</v>
      </c>
      <c r="D456" s="105">
        <v>0</v>
      </c>
      <c r="E456" s="124" t="s">
        <v>523</v>
      </c>
      <c r="F456" s="125" t="str">
        <f t="shared" si="21"/>
        <v/>
      </c>
      <c r="G456" s="126" t="e">
        <f>IF(A456&lt;&gt;"",IF(AND(#REF!="Padrão",$H$4=#REF!),BDI!$B$17,IF(AND(#REF!="Padrão",$H$4=#REF!),BDI!#REF!,IF(AND(#REF!="Diferenciado",$H$4=#REF!),BDI!$E$17,IF(AND(#REF!="Diferenciado",$H$4=#REF!),BDI!#REF!,IF(#REF!="ZERO",0))))),"")</f>
        <v>#REF!</v>
      </c>
      <c r="H456" s="127" t="str">
        <f t="shared" si="22"/>
        <v/>
      </c>
      <c r="I456" s="125" t="str">
        <f t="shared" si="23"/>
        <v/>
      </c>
    </row>
    <row r="457" spans="1:9" hidden="1" x14ac:dyDescent="0.25">
      <c r="A457" s="103" t="s">
        <v>1969</v>
      </c>
      <c r="B457" s="104" t="s">
        <v>1970</v>
      </c>
      <c r="C457" s="105" t="s">
        <v>20</v>
      </c>
      <c r="D457" s="105">
        <v>0</v>
      </c>
      <c r="E457" s="124" t="s">
        <v>523</v>
      </c>
      <c r="F457" s="125" t="str">
        <f t="shared" si="21"/>
        <v/>
      </c>
      <c r="G457" s="126" t="e">
        <f>IF(A457&lt;&gt;"",IF(AND(#REF!="Padrão",$H$4=#REF!),BDI!$B$17,IF(AND(#REF!="Padrão",$H$4=#REF!),BDI!#REF!,IF(AND(#REF!="Diferenciado",$H$4=#REF!),BDI!$E$17,IF(AND(#REF!="Diferenciado",$H$4=#REF!),BDI!#REF!,IF(#REF!="ZERO",0))))),"")</f>
        <v>#REF!</v>
      </c>
      <c r="H457" s="127" t="str">
        <f t="shared" si="22"/>
        <v/>
      </c>
      <c r="I457" s="125" t="str">
        <f t="shared" si="23"/>
        <v/>
      </c>
    </row>
    <row r="458" spans="1:9" hidden="1" x14ac:dyDescent="0.25">
      <c r="A458" s="103" t="s">
        <v>1971</v>
      </c>
      <c r="B458" s="104" t="s">
        <v>1972</v>
      </c>
      <c r="C458" s="105" t="s">
        <v>20</v>
      </c>
      <c r="D458" s="105">
        <v>0</v>
      </c>
      <c r="E458" s="124" t="s">
        <v>523</v>
      </c>
      <c r="F458" s="125" t="str">
        <f t="shared" si="21"/>
        <v/>
      </c>
      <c r="G458" s="126" t="e">
        <f>IF(A458&lt;&gt;"",IF(AND(#REF!="Padrão",$H$4=#REF!),BDI!$B$17,IF(AND(#REF!="Padrão",$H$4=#REF!),BDI!#REF!,IF(AND(#REF!="Diferenciado",$H$4=#REF!),BDI!$E$17,IF(AND(#REF!="Diferenciado",$H$4=#REF!),BDI!#REF!,IF(#REF!="ZERO",0))))),"")</f>
        <v>#REF!</v>
      </c>
      <c r="H458" s="127" t="str">
        <f t="shared" si="22"/>
        <v/>
      </c>
      <c r="I458" s="125" t="str">
        <f t="shared" si="23"/>
        <v/>
      </c>
    </row>
    <row r="459" spans="1:9" hidden="1" x14ac:dyDescent="0.25">
      <c r="A459" s="103" t="s">
        <v>1973</v>
      </c>
      <c r="B459" s="104" t="s">
        <v>1974</v>
      </c>
      <c r="C459" s="105" t="s">
        <v>20</v>
      </c>
      <c r="D459" s="105">
        <v>0</v>
      </c>
      <c r="E459" s="124" t="s">
        <v>523</v>
      </c>
      <c r="F459" s="125" t="str">
        <f t="shared" si="21"/>
        <v/>
      </c>
      <c r="G459" s="126" t="e">
        <f>IF(A459&lt;&gt;"",IF(AND(#REF!="Padrão",$H$4=#REF!),BDI!$B$17,IF(AND(#REF!="Padrão",$H$4=#REF!),BDI!#REF!,IF(AND(#REF!="Diferenciado",$H$4=#REF!),BDI!$E$17,IF(AND(#REF!="Diferenciado",$H$4=#REF!),BDI!#REF!,IF(#REF!="ZERO",0))))),"")</f>
        <v>#REF!</v>
      </c>
      <c r="H459" s="127" t="str">
        <f t="shared" si="22"/>
        <v/>
      </c>
      <c r="I459" s="125" t="str">
        <f t="shared" si="23"/>
        <v/>
      </c>
    </row>
    <row r="460" spans="1:9" hidden="1" x14ac:dyDescent="0.25">
      <c r="A460" s="103" t="s">
        <v>1975</v>
      </c>
      <c r="B460" s="104" t="s">
        <v>1976</v>
      </c>
      <c r="C460" s="105" t="s">
        <v>20</v>
      </c>
      <c r="D460" s="105">
        <v>0</v>
      </c>
      <c r="E460" s="124" t="s">
        <v>523</v>
      </c>
      <c r="F460" s="125" t="str">
        <f t="shared" si="21"/>
        <v/>
      </c>
      <c r="G460" s="126" t="e">
        <f>IF(A460&lt;&gt;"",IF(AND(#REF!="Padrão",$H$4=#REF!),BDI!$B$17,IF(AND(#REF!="Padrão",$H$4=#REF!),BDI!#REF!,IF(AND(#REF!="Diferenciado",$H$4=#REF!),BDI!$E$17,IF(AND(#REF!="Diferenciado",$H$4=#REF!),BDI!#REF!,IF(#REF!="ZERO",0))))),"")</f>
        <v>#REF!</v>
      </c>
      <c r="H460" s="127" t="str">
        <f t="shared" si="22"/>
        <v/>
      </c>
      <c r="I460" s="125" t="str">
        <f t="shared" si="23"/>
        <v/>
      </c>
    </row>
    <row r="461" spans="1:9" ht="25.5" hidden="1" x14ac:dyDescent="0.25">
      <c r="A461" s="103" t="s">
        <v>1977</v>
      </c>
      <c r="B461" s="104" t="s">
        <v>1978</v>
      </c>
      <c r="C461" s="105" t="s">
        <v>20</v>
      </c>
      <c r="D461" s="105">
        <v>0</v>
      </c>
      <c r="E461" s="124" t="s">
        <v>523</v>
      </c>
      <c r="F461" s="125" t="str">
        <f t="shared" si="21"/>
        <v/>
      </c>
      <c r="G461" s="126" t="e">
        <f>IF(A461&lt;&gt;"",IF(AND(#REF!="Padrão",$H$4=#REF!),BDI!$B$17,IF(AND(#REF!="Padrão",$H$4=#REF!),BDI!#REF!,IF(AND(#REF!="Diferenciado",$H$4=#REF!),BDI!$E$17,IF(AND(#REF!="Diferenciado",$H$4=#REF!),BDI!#REF!,IF(#REF!="ZERO",0))))),"")</f>
        <v>#REF!</v>
      </c>
      <c r="H461" s="127" t="str">
        <f t="shared" si="22"/>
        <v/>
      </c>
      <c r="I461" s="125" t="str">
        <f t="shared" si="23"/>
        <v/>
      </c>
    </row>
    <row r="462" spans="1:9" ht="25.5" hidden="1" x14ac:dyDescent="0.25">
      <c r="A462" s="103" t="s">
        <v>1979</v>
      </c>
      <c r="B462" s="104" t="s">
        <v>1980</v>
      </c>
      <c r="C462" s="105" t="s">
        <v>20</v>
      </c>
      <c r="D462" s="105">
        <v>0</v>
      </c>
      <c r="E462" s="124" t="s">
        <v>523</v>
      </c>
      <c r="F462" s="125" t="str">
        <f t="shared" si="21"/>
        <v/>
      </c>
      <c r="G462" s="126" t="e">
        <f>IF(A462&lt;&gt;"",IF(AND(#REF!="Padrão",$H$4=#REF!),BDI!$B$17,IF(AND(#REF!="Padrão",$H$4=#REF!),BDI!#REF!,IF(AND(#REF!="Diferenciado",$H$4=#REF!),BDI!$E$17,IF(AND(#REF!="Diferenciado",$H$4=#REF!),BDI!#REF!,IF(#REF!="ZERO",0))))),"")</f>
        <v>#REF!</v>
      </c>
      <c r="H462" s="127" t="str">
        <f t="shared" si="22"/>
        <v/>
      </c>
      <c r="I462" s="125" t="str">
        <f t="shared" si="23"/>
        <v/>
      </c>
    </row>
    <row r="463" spans="1:9" hidden="1" x14ac:dyDescent="0.25">
      <c r="A463" s="103" t="s">
        <v>1981</v>
      </c>
      <c r="B463" s="104" t="s">
        <v>1982</v>
      </c>
      <c r="C463" s="105" t="s">
        <v>20</v>
      </c>
      <c r="D463" s="105">
        <v>0</v>
      </c>
      <c r="E463" s="124" t="s">
        <v>523</v>
      </c>
      <c r="F463" s="125" t="str">
        <f t="shared" si="21"/>
        <v/>
      </c>
      <c r="G463" s="126" t="e">
        <f>IF(A463&lt;&gt;"",IF(AND(#REF!="Padrão",$H$4=#REF!),BDI!$B$17,IF(AND(#REF!="Padrão",$H$4=#REF!),BDI!#REF!,IF(AND(#REF!="Diferenciado",$H$4=#REF!),BDI!$E$17,IF(AND(#REF!="Diferenciado",$H$4=#REF!),BDI!#REF!,IF(#REF!="ZERO",0))))),"")</f>
        <v>#REF!</v>
      </c>
      <c r="H463" s="127" t="str">
        <f t="shared" si="22"/>
        <v/>
      </c>
      <c r="I463" s="125" t="str">
        <f t="shared" si="23"/>
        <v/>
      </c>
    </row>
    <row r="464" spans="1:9" hidden="1" x14ac:dyDescent="0.25">
      <c r="A464" s="103" t="s">
        <v>1983</v>
      </c>
      <c r="B464" s="104" t="s">
        <v>1984</v>
      </c>
      <c r="C464" s="105" t="s">
        <v>20</v>
      </c>
      <c r="D464" s="105">
        <v>0</v>
      </c>
      <c r="E464" s="124" t="s">
        <v>523</v>
      </c>
      <c r="F464" s="125" t="str">
        <f t="shared" si="21"/>
        <v/>
      </c>
      <c r="G464" s="126" t="e">
        <f>IF(A464&lt;&gt;"",IF(AND(#REF!="Padrão",$H$4=#REF!),BDI!$B$17,IF(AND(#REF!="Padrão",$H$4=#REF!),BDI!#REF!,IF(AND(#REF!="Diferenciado",$H$4=#REF!),BDI!$E$17,IF(AND(#REF!="Diferenciado",$H$4=#REF!),BDI!#REF!,IF(#REF!="ZERO",0))))),"")</f>
        <v>#REF!</v>
      </c>
      <c r="H464" s="127" t="str">
        <f t="shared" si="22"/>
        <v/>
      </c>
      <c r="I464" s="125" t="str">
        <f t="shared" si="23"/>
        <v/>
      </c>
    </row>
    <row r="465" spans="1:9" hidden="1" x14ac:dyDescent="0.25">
      <c r="A465" s="103" t="s">
        <v>1985</v>
      </c>
      <c r="B465" s="104" t="s">
        <v>1986</v>
      </c>
      <c r="C465" s="105" t="s">
        <v>20</v>
      </c>
      <c r="D465" s="105">
        <v>0</v>
      </c>
      <c r="E465" s="124" t="s">
        <v>523</v>
      </c>
      <c r="F465" s="125" t="str">
        <f t="shared" si="21"/>
        <v/>
      </c>
      <c r="G465" s="126" t="e">
        <f>IF(A465&lt;&gt;"",IF(AND(#REF!="Padrão",$H$4=#REF!),BDI!$B$17,IF(AND(#REF!="Padrão",$H$4=#REF!),BDI!#REF!,IF(AND(#REF!="Diferenciado",$H$4=#REF!),BDI!$E$17,IF(AND(#REF!="Diferenciado",$H$4=#REF!),BDI!#REF!,IF(#REF!="ZERO",0))))),"")</f>
        <v>#REF!</v>
      </c>
      <c r="H465" s="127" t="str">
        <f t="shared" si="22"/>
        <v/>
      </c>
      <c r="I465" s="125" t="str">
        <f t="shared" si="23"/>
        <v/>
      </c>
    </row>
    <row r="466" spans="1:9" hidden="1" x14ac:dyDescent="0.25">
      <c r="A466" s="103" t="s">
        <v>1987</v>
      </c>
      <c r="B466" s="104" t="s">
        <v>1988</v>
      </c>
      <c r="C466" s="105" t="s">
        <v>20</v>
      </c>
      <c r="D466" s="105">
        <v>0</v>
      </c>
      <c r="E466" s="124" t="s">
        <v>523</v>
      </c>
      <c r="F466" s="125" t="str">
        <f t="shared" si="21"/>
        <v/>
      </c>
      <c r="G466" s="126" t="e">
        <f>IF(A466&lt;&gt;"",IF(AND(#REF!="Padrão",$H$4=#REF!),BDI!$B$17,IF(AND(#REF!="Padrão",$H$4=#REF!),BDI!#REF!,IF(AND(#REF!="Diferenciado",$H$4=#REF!),BDI!$E$17,IF(AND(#REF!="Diferenciado",$H$4=#REF!),BDI!#REF!,IF(#REF!="ZERO",0))))),"")</f>
        <v>#REF!</v>
      </c>
      <c r="H466" s="127" t="str">
        <f t="shared" si="22"/>
        <v/>
      </c>
      <c r="I466" s="125" t="str">
        <f t="shared" si="23"/>
        <v/>
      </c>
    </row>
    <row r="467" spans="1:9" hidden="1" x14ac:dyDescent="0.25">
      <c r="A467" s="103" t="s">
        <v>1989</v>
      </c>
      <c r="B467" s="104" t="s">
        <v>1990</v>
      </c>
      <c r="C467" s="105" t="s">
        <v>20</v>
      </c>
      <c r="D467" s="105">
        <v>0</v>
      </c>
      <c r="E467" s="124" t="s">
        <v>523</v>
      </c>
      <c r="F467" s="125" t="str">
        <f t="shared" si="21"/>
        <v/>
      </c>
      <c r="G467" s="126" t="e">
        <f>IF(A467&lt;&gt;"",IF(AND(#REF!="Padrão",$H$4=#REF!),BDI!$B$17,IF(AND(#REF!="Padrão",$H$4=#REF!),BDI!#REF!,IF(AND(#REF!="Diferenciado",$H$4=#REF!),BDI!$E$17,IF(AND(#REF!="Diferenciado",$H$4=#REF!),BDI!#REF!,IF(#REF!="ZERO",0))))),"")</f>
        <v>#REF!</v>
      </c>
      <c r="H467" s="127" t="str">
        <f t="shared" si="22"/>
        <v/>
      </c>
      <c r="I467" s="125" t="str">
        <f t="shared" si="23"/>
        <v/>
      </c>
    </row>
    <row r="468" spans="1:9" hidden="1" x14ac:dyDescent="0.25">
      <c r="A468" s="103" t="s">
        <v>1991</v>
      </c>
      <c r="B468" s="104" t="s">
        <v>1992</v>
      </c>
      <c r="C468" s="105" t="s">
        <v>20</v>
      </c>
      <c r="D468" s="105">
        <v>0</v>
      </c>
      <c r="E468" s="124" t="s">
        <v>523</v>
      </c>
      <c r="F468" s="125" t="str">
        <f t="shared" si="21"/>
        <v/>
      </c>
      <c r="G468" s="126" t="e">
        <f>IF(A468&lt;&gt;"",IF(AND(#REF!="Padrão",$H$4=#REF!),BDI!$B$17,IF(AND(#REF!="Padrão",$H$4=#REF!),BDI!#REF!,IF(AND(#REF!="Diferenciado",$H$4=#REF!),BDI!$E$17,IF(AND(#REF!="Diferenciado",$H$4=#REF!),BDI!#REF!,IF(#REF!="ZERO",0))))),"")</f>
        <v>#REF!</v>
      </c>
      <c r="H468" s="127" t="str">
        <f t="shared" si="22"/>
        <v/>
      </c>
      <c r="I468" s="125" t="str">
        <f t="shared" si="23"/>
        <v/>
      </c>
    </row>
    <row r="469" spans="1:9" hidden="1" x14ac:dyDescent="0.25">
      <c r="A469" s="103" t="s">
        <v>1993</v>
      </c>
      <c r="B469" s="104" t="s">
        <v>1994</v>
      </c>
      <c r="C469" s="105" t="s">
        <v>20</v>
      </c>
      <c r="D469" s="105">
        <v>0</v>
      </c>
      <c r="E469" s="124" t="s">
        <v>523</v>
      </c>
      <c r="F469" s="125" t="str">
        <f t="shared" si="21"/>
        <v/>
      </c>
      <c r="G469" s="126" t="e">
        <f>IF(A469&lt;&gt;"",IF(AND(#REF!="Padrão",$H$4=#REF!),BDI!$B$17,IF(AND(#REF!="Padrão",$H$4=#REF!),BDI!#REF!,IF(AND(#REF!="Diferenciado",$H$4=#REF!),BDI!$E$17,IF(AND(#REF!="Diferenciado",$H$4=#REF!),BDI!#REF!,IF(#REF!="ZERO",0))))),"")</f>
        <v>#REF!</v>
      </c>
      <c r="H469" s="127" t="str">
        <f t="shared" si="22"/>
        <v/>
      </c>
      <c r="I469" s="125" t="str">
        <f t="shared" si="23"/>
        <v/>
      </c>
    </row>
    <row r="470" spans="1:9" hidden="1" x14ac:dyDescent="0.25">
      <c r="A470" s="103" t="s">
        <v>1995</v>
      </c>
      <c r="B470" s="104" t="s">
        <v>1996</v>
      </c>
      <c r="C470" s="105" t="s">
        <v>20</v>
      </c>
      <c r="D470" s="105">
        <v>0</v>
      </c>
      <c r="E470" s="124" t="s">
        <v>523</v>
      </c>
      <c r="F470" s="125" t="str">
        <f t="shared" si="21"/>
        <v/>
      </c>
      <c r="G470" s="126" t="e">
        <f>IF(A470&lt;&gt;"",IF(AND(#REF!="Padrão",$H$4=#REF!),BDI!$B$17,IF(AND(#REF!="Padrão",$H$4=#REF!),BDI!#REF!,IF(AND(#REF!="Diferenciado",$H$4=#REF!),BDI!$E$17,IF(AND(#REF!="Diferenciado",$H$4=#REF!),BDI!#REF!,IF(#REF!="ZERO",0))))),"")</f>
        <v>#REF!</v>
      </c>
      <c r="H470" s="127" t="str">
        <f t="shared" si="22"/>
        <v/>
      </c>
      <c r="I470" s="125" t="str">
        <f t="shared" si="23"/>
        <v/>
      </c>
    </row>
    <row r="471" spans="1:9" hidden="1" x14ac:dyDescent="0.25">
      <c r="A471" s="103" t="s">
        <v>1997</v>
      </c>
      <c r="B471" s="104" t="s">
        <v>1998</v>
      </c>
      <c r="C471" s="105" t="s">
        <v>20</v>
      </c>
      <c r="D471" s="105">
        <v>0</v>
      </c>
      <c r="E471" s="124" t="s">
        <v>523</v>
      </c>
      <c r="F471" s="125" t="str">
        <f t="shared" si="21"/>
        <v/>
      </c>
      <c r="G471" s="126" t="e">
        <f>IF(A471&lt;&gt;"",IF(AND(#REF!="Padrão",$H$4=#REF!),BDI!$B$17,IF(AND(#REF!="Padrão",$H$4=#REF!),BDI!#REF!,IF(AND(#REF!="Diferenciado",$H$4=#REF!),BDI!$E$17,IF(AND(#REF!="Diferenciado",$H$4=#REF!),BDI!#REF!,IF(#REF!="ZERO",0))))),"")</f>
        <v>#REF!</v>
      </c>
      <c r="H471" s="127" t="str">
        <f t="shared" si="22"/>
        <v/>
      </c>
      <c r="I471" s="125" t="str">
        <f t="shared" si="23"/>
        <v/>
      </c>
    </row>
    <row r="472" spans="1:9" hidden="1" x14ac:dyDescent="0.25">
      <c r="A472" s="103" t="s">
        <v>743</v>
      </c>
      <c r="B472" s="104" t="s">
        <v>1999</v>
      </c>
      <c r="C472" s="105" t="s">
        <v>2000</v>
      </c>
      <c r="D472" s="105">
        <v>0</v>
      </c>
      <c r="E472" s="124">
        <f ca="1">OFFSET(INDEX(Composições!A:J,MATCH(Orçamentária!A472,Composições!A:A,0),8),2,0)</f>
        <v>30.875</v>
      </c>
      <c r="F472" s="125">
        <f t="shared" ca="1" si="21"/>
        <v>0</v>
      </c>
      <c r="G472" s="126" t="e">
        <f>IF(A472&lt;&gt;"",IF(AND(#REF!="Padrão",$H$4=#REF!),BDI!$B$17,IF(AND(#REF!="Padrão",$H$4=#REF!),BDI!#REF!,IF(AND(#REF!="Diferenciado",$H$4=#REF!),BDI!$E$17,IF(AND(#REF!="Diferenciado",$H$4=#REF!),BDI!#REF!,IF(#REF!="ZERO",0))))),"")</f>
        <v>#REF!</v>
      </c>
      <c r="H472" s="127" t="e">
        <f t="shared" ca="1" si="22"/>
        <v>#REF!</v>
      </c>
      <c r="I472" s="125" t="e">
        <f t="shared" ca="1" si="23"/>
        <v>#REF!</v>
      </c>
    </row>
    <row r="473" spans="1:9" hidden="1" x14ac:dyDescent="0.25">
      <c r="A473" s="103" t="s">
        <v>2001</v>
      </c>
      <c r="B473" s="104" t="s">
        <v>2002</v>
      </c>
      <c r="C473" s="105" t="s">
        <v>42</v>
      </c>
      <c r="D473" s="105">
        <v>0</v>
      </c>
      <c r="E473" s="124">
        <f ca="1">OFFSET(INDEX(Composições!A:J,MATCH(Orçamentária!A473,Composições!A:A,0),8),2,0)</f>
        <v>45.637999999999998</v>
      </c>
      <c r="F473" s="125">
        <f t="shared" ca="1" si="21"/>
        <v>0</v>
      </c>
      <c r="G473" s="126" t="e">
        <f>IF(A473&lt;&gt;"",IF(AND(#REF!="Padrão",$H$4=#REF!),BDI!$B$17,IF(AND(#REF!="Padrão",$H$4=#REF!),BDI!#REF!,IF(AND(#REF!="Diferenciado",$H$4=#REF!),BDI!$E$17,IF(AND(#REF!="Diferenciado",$H$4=#REF!),BDI!#REF!,IF(#REF!="ZERO",0))))),"")</f>
        <v>#REF!</v>
      </c>
      <c r="H473" s="127" t="e">
        <f t="shared" ca="1" si="22"/>
        <v>#REF!</v>
      </c>
      <c r="I473" s="125" t="e">
        <f t="shared" ca="1" si="23"/>
        <v>#REF!</v>
      </c>
    </row>
    <row r="474" spans="1:9" hidden="1" x14ac:dyDescent="0.25">
      <c r="A474" s="103" t="s">
        <v>2003</v>
      </c>
      <c r="B474" s="104" t="s">
        <v>2004</v>
      </c>
      <c r="C474" s="105" t="s">
        <v>42</v>
      </c>
      <c r="D474" s="105">
        <v>0</v>
      </c>
      <c r="E474" s="124" t="s">
        <v>523</v>
      </c>
      <c r="F474" s="125" t="str">
        <f t="shared" si="21"/>
        <v/>
      </c>
      <c r="G474" s="126" t="e">
        <f>IF(A474&lt;&gt;"",IF(AND(#REF!="Padrão",$H$4=#REF!),BDI!$B$17,IF(AND(#REF!="Padrão",$H$4=#REF!),BDI!#REF!,IF(AND(#REF!="Diferenciado",$H$4=#REF!),BDI!$E$17,IF(AND(#REF!="Diferenciado",$H$4=#REF!),BDI!#REF!,IF(#REF!="ZERO",0))))),"")</f>
        <v>#REF!</v>
      </c>
      <c r="H474" s="127" t="str">
        <f t="shared" si="22"/>
        <v/>
      </c>
      <c r="I474" s="125" t="str">
        <f t="shared" si="23"/>
        <v/>
      </c>
    </row>
    <row r="475" spans="1:9" hidden="1" x14ac:dyDescent="0.25">
      <c r="A475" s="103" t="s">
        <v>2005</v>
      </c>
      <c r="B475" s="104" t="s">
        <v>2006</v>
      </c>
      <c r="C475" s="105" t="s">
        <v>95</v>
      </c>
      <c r="D475" s="105">
        <v>0</v>
      </c>
      <c r="E475" s="124">
        <f ca="1">OFFSET(INDEX(Composições!A:J,MATCH(Orçamentária!A475,Composições!A:A,0),8),2,0)</f>
        <v>51.908000000000001</v>
      </c>
      <c r="F475" s="125">
        <f t="shared" ca="1" si="21"/>
        <v>0</v>
      </c>
      <c r="G475" s="126" t="e">
        <f>IF(A475&lt;&gt;"",IF(AND(#REF!="Padrão",$H$4=#REF!),BDI!$B$17,IF(AND(#REF!="Padrão",$H$4=#REF!),BDI!#REF!,IF(AND(#REF!="Diferenciado",$H$4=#REF!),BDI!$E$17,IF(AND(#REF!="Diferenciado",$H$4=#REF!),BDI!#REF!,IF(#REF!="ZERO",0))))),"")</f>
        <v>#REF!</v>
      </c>
      <c r="H475" s="127" t="e">
        <f t="shared" ca="1" si="22"/>
        <v>#REF!</v>
      </c>
      <c r="I475" s="125" t="e">
        <f t="shared" ca="1" si="23"/>
        <v>#REF!</v>
      </c>
    </row>
    <row r="476" spans="1:9" hidden="1" x14ac:dyDescent="0.25">
      <c r="A476" s="103" t="s">
        <v>2007</v>
      </c>
      <c r="B476" s="104" t="s">
        <v>2008</v>
      </c>
      <c r="C476" s="105" t="s">
        <v>95</v>
      </c>
      <c r="D476" s="105">
        <v>0</v>
      </c>
      <c r="E476" s="124">
        <f ca="1">OFFSET(INDEX(Composições!A:J,MATCH(Orçamentária!A476,Composições!A:A,0),8),2,0)</f>
        <v>51.908000000000001</v>
      </c>
      <c r="F476" s="125">
        <f t="shared" ca="1" si="21"/>
        <v>0</v>
      </c>
      <c r="G476" s="126" t="e">
        <f>IF(A476&lt;&gt;"",IF(AND(#REF!="Padrão",$H$4=#REF!),BDI!$B$17,IF(AND(#REF!="Padrão",$H$4=#REF!),BDI!#REF!,IF(AND(#REF!="Diferenciado",$H$4=#REF!),BDI!$E$17,IF(AND(#REF!="Diferenciado",$H$4=#REF!),BDI!#REF!,IF(#REF!="ZERO",0))))),"")</f>
        <v>#REF!</v>
      </c>
      <c r="H476" s="127" t="e">
        <f t="shared" ca="1" si="22"/>
        <v>#REF!</v>
      </c>
      <c r="I476" s="125" t="e">
        <f t="shared" ca="1" si="23"/>
        <v>#REF!</v>
      </c>
    </row>
    <row r="477" spans="1:9" hidden="1" x14ac:dyDescent="0.25">
      <c r="A477" s="103" t="s">
        <v>2009</v>
      </c>
      <c r="B477" s="104" t="s">
        <v>2010</v>
      </c>
      <c r="C477" s="105" t="s">
        <v>95</v>
      </c>
      <c r="D477" s="105">
        <v>0</v>
      </c>
      <c r="E477" s="124">
        <f ca="1">OFFSET(INDEX(Composições!A:J,MATCH(Orçamentária!A477,Composições!A:A,0),8),2,0)</f>
        <v>51.908000000000001</v>
      </c>
      <c r="F477" s="125">
        <f t="shared" ca="1" si="21"/>
        <v>0</v>
      </c>
      <c r="G477" s="126" t="e">
        <f>IF(A477&lt;&gt;"",IF(AND(#REF!="Padrão",$H$4=#REF!),BDI!$B$17,IF(AND(#REF!="Padrão",$H$4=#REF!),BDI!#REF!,IF(AND(#REF!="Diferenciado",$H$4=#REF!),BDI!$E$17,IF(AND(#REF!="Diferenciado",$H$4=#REF!),BDI!#REF!,IF(#REF!="ZERO",0))))),"")</f>
        <v>#REF!</v>
      </c>
      <c r="H477" s="127" t="e">
        <f t="shared" ca="1" si="22"/>
        <v>#REF!</v>
      </c>
      <c r="I477" s="125" t="e">
        <f t="shared" ca="1" si="23"/>
        <v>#REF!</v>
      </c>
    </row>
    <row r="478" spans="1:9" hidden="1" x14ac:dyDescent="0.25">
      <c r="A478" s="103" t="s">
        <v>2011</v>
      </c>
      <c r="B478" s="104" t="s">
        <v>3757</v>
      </c>
      <c r="C478" s="105" t="s">
        <v>95</v>
      </c>
      <c r="D478" s="105">
        <v>0</v>
      </c>
      <c r="E478" s="124" t="s">
        <v>523</v>
      </c>
      <c r="F478" s="125" t="str">
        <f t="shared" si="21"/>
        <v/>
      </c>
      <c r="G478" s="126" t="e">
        <f>IF(A478&lt;&gt;"",IF(AND(#REF!="Padrão",$H$4=#REF!),BDI!$B$17,IF(AND(#REF!="Padrão",$H$4=#REF!),BDI!#REF!,IF(AND(#REF!="Diferenciado",$H$4=#REF!),BDI!$E$17,IF(AND(#REF!="Diferenciado",$H$4=#REF!),BDI!#REF!,IF(#REF!="ZERO",0))))),"")</f>
        <v>#REF!</v>
      </c>
      <c r="H478" s="127" t="str">
        <f t="shared" si="22"/>
        <v/>
      </c>
      <c r="I478" s="125" t="str">
        <f t="shared" si="23"/>
        <v/>
      </c>
    </row>
    <row r="479" spans="1:9" hidden="1" x14ac:dyDescent="0.25">
      <c r="A479" s="103" t="s">
        <v>2012</v>
      </c>
      <c r="B479" s="104" t="s">
        <v>2013</v>
      </c>
      <c r="C479" s="105" t="s">
        <v>95</v>
      </c>
      <c r="D479" s="105">
        <v>0</v>
      </c>
      <c r="E479" s="124" t="s">
        <v>523</v>
      </c>
      <c r="F479" s="125" t="str">
        <f t="shared" si="21"/>
        <v/>
      </c>
      <c r="G479" s="126" t="e">
        <f>IF(A479&lt;&gt;"",IF(AND(#REF!="Padrão",$H$4=#REF!),BDI!$B$17,IF(AND(#REF!="Padrão",$H$4=#REF!),BDI!#REF!,IF(AND(#REF!="Diferenciado",$H$4=#REF!),BDI!$E$17,IF(AND(#REF!="Diferenciado",$H$4=#REF!),BDI!#REF!,IF(#REF!="ZERO",0))))),"")</f>
        <v>#REF!</v>
      </c>
      <c r="H479" s="127" t="str">
        <f t="shared" si="22"/>
        <v/>
      </c>
      <c r="I479" s="125" t="str">
        <f t="shared" si="23"/>
        <v/>
      </c>
    </row>
    <row r="480" spans="1:9" hidden="1" x14ac:dyDescent="0.25">
      <c r="A480" s="103" t="s">
        <v>2014</v>
      </c>
      <c r="B480" s="104" t="s">
        <v>2015</v>
      </c>
      <c r="C480" s="105" t="s">
        <v>95</v>
      </c>
      <c r="D480" s="105">
        <v>0</v>
      </c>
      <c r="E480" s="124" t="s">
        <v>523</v>
      </c>
      <c r="F480" s="125" t="str">
        <f t="shared" si="21"/>
        <v/>
      </c>
      <c r="G480" s="126" t="e">
        <f>IF(A480&lt;&gt;"",IF(AND(#REF!="Padrão",$H$4=#REF!),BDI!$B$17,IF(AND(#REF!="Padrão",$H$4=#REF!),BDI!#REF!,IF(AND(#REF!="Diferenciado",$H$4=#REF!),BDI!$E$17,IF(AND(#REF!="Diferenciado",$H$4=#REF!),BDI!#REF!,IF(#REF!="ZERO",0))))),"")</f>
        <v>#REF!</v>
      </c>
      <c r="H480" s="127" t="str">
        <f t="shared" si="22"/>
        <v/>
      </c>
      <c r="I480" s="125" t="str">
        <f t="shared" si="23"/>
        <v/>
      </c>
    </row>
    <row r="481" spans="1:9" hidden="1" x14ac:dyDescent="0.25">
      <c r="A481" s="103" t="s">
        <v>2016</v>
      </c>
      <c r="B481" s="104" t="s">
        <v>2017</v>
      </c>
      <c r="C481" s="105" t="s">
        <v>95</v>
      </c>
      <c r="D481" s="105">
        <v>0</v>
      </c>
      <c r="E481" s="124" t="s">
        <v>523</v>
      </c>
      <c r="F481" s="125" t="str">
        <f t="shared" si="21"/>
        <v/>
      </c>
      <c r="G481" s="126" t="e">
        <f>IF(A481&lt;&gt;"",IF(AND(#REF!="Padrão",$H$4=#REF!),BDI!$B$17,IF(AND(#REF!="Padrão",$H$4=#REF!),BDI!#REF!,IF(AND(#REF!="Diferenciado",$H$4=#REF!),BDI!$E$17,IF(AND(#REF!="Diferenciado",$H$4=#REF!),BDI!#REF!,IF(#REF!="ZERO",0))))),"")</f>
        <v>#REF!</v>
      </c>
      <c r="H481" s="127" t="str">
        <f t="shared" si="22"/>
        <v/>
      </c>
      <c r="I481" s="125" t="str">
        <f t="shared" si="23"/>
        <v/>
      </c>
    </row>
    <row r="482" spans="1:9" hidden="1" x14ac:dyDescent="0.25">
      <c r="A482" s="103" t="s">
        <v>2018</v>
      </c>
      <c r="B482" s="104" t="s">
        <v>2019</v>
      </c>
      <c r="C482" s="105" t="s">
        <v>95</v>
      </c>
      <c r="D482" s="105">
        <v>0</v>
      </c>
      <c r="E482" s="124" t="s">
        <v>523</v>
      </c>
      <c r="F482" s="125" t="str">
        <f t="shared" si="21"/>
        <v/>
      </c>
      <c r="G482" s="126" t="e">
        <f>IF(A482&lt;&gt;"",IF(AND(#REF!="Padrão",$H$4=#REF!),BDI!$B$17,IF(AND(#REF!="Padrão",$H$4=#REF!),BDI!#REF!,IF(AND(#REF!="Diferenciado",$H$4=#REF!),BDI!$E$17,IF(AND(#REF!="Diferenciado",$H$4=#REF!),BDI!#REF!,IF(#REF!="ZERO",0))))),"")</f>
        <v>#REF!</v>
      </c>
      <c r="H482" s="127" t="str">
        <f t="shared" si="22"/>
        <v/>
      </c>
      <c r="I482" s="125" t="str">
        <f t="shared" si="23"/>
        <v/>
      </c>
    </row>
    <row r="483" spans="1:9" hidden="1" x14ac:dyDescent="0.25">
      <c r="A483" s="103" t="s">
        <v>2020</v>
      </c>
      <c r="B483" s="104" t="s">
        <v>2021</v>
      </c>
      <c r="C483" s="105" t="s">
        <v>95</v>
      </c>
      <c r="D483" s="105">
        <v>0</v>
      </c>
      <c r="E483" s="124" t="s">
        <v>523</v>
      </c>
      <c r="F483" s="125" t="str">
        <f t="shared" si="21"/>
        <v/>
      </c>
      <c r="G483" s="126" t="e">
        <f>IF(A483&lt;&gt;"",IF(AND(#REF!="Padrão",$H$4=#REF!),BDI!$B$17,IF(AND(#REF!="Padrão",$H$4=#REF!),BDI!#REF!,IF(AND(#REF!="Diferenciado",$H$4=#REF!),BDI!$E$17,IF(AND(#REF!="Diferenciado",$H$4=#REF!),BDI!#REF!,IF(#REF!="ZERO",0))))),"")</f>
        <v>#REF!</v>
      </c>
      <c r="H483" s="127" t="str">
        <f t="shared" si="22"/>
        <v/>
      </c>
      <c r="I483" s="125" t="str">
        <f t="shared" si="23"/>
        <v/>
      </c>
    </row>
    <row r="484" spans="1:9" hidden="1" x14ac:dyDescent="0.25">
      <c r="A484" s="103" t="s">
        <v>2022</v>
      </c>
      <c r="B484" s="104" t="s">
        <v>2023</v>
      </c>
      <c r="C484" s="105" t="s">
        <v>95</v>
      </c>
      <c r="D484" s="105">
        <v>0</v>
      </c>
      <c r="E484" s="124" t="s">
        <v>523</v>
      </c>
      <c r="F484" s="125" t="str">
        <f t="shared" si="21"/>
        <v/>
      </c>
      <c r="G484" s="126" t="e">
        <f>IF(A484&lt;&gt;"",IF(AND(#REF!="Padrão",$H$4=#REF!),BDI!$B$17,IF(AND(#REF!="Padrão",$H$4=#REF!),BDI!#REF!,IF(AND(#REF!="Diferenciado",$H$4=#REF!),BDI!$E$17,IF(AND(#REF!="Diferenciado",$H$4=#REF!),BDI!#REF!,IF(#REF!="ZERO",0))))),"")</f>
        <v>#REF!</v>
      </c>
      <c r="H484" s="127" t="str">
        <f t="shared" si="22"/>
        <v/>
      </c>
      <c r="I484" s="125" t="str">
        <f t="shared" si="23"/>
        <v/>
      </c>
    </row>
    <row r="485" spans="1:9" hidden="1" x14ac:dyDescent="0.25">
      <c r="A485" s="103" t="s">
        <v>2024</v>
      </c>
      <c r="B485" s="104" t="s">
        <v>2025</v>
      </c>
      <c r="C485" s="105" t="s">
        <v>95</v>
      </c>
      <c r="D485" s="105">
        <v>0</v>
      </c>
      <c r="E485" s="124" t="s">
        <v>523</v>
      </c>
      <c r="F485" s="125" t="str">
        <f t="shared" si="21"/>
        <v/>
      </c>
      <c r="G485" s="126" t="e">
        <f>IF(A485&lt;&gt;"",IF(AND(#REF!="Padrão",$H$4=#REF!),BDI!$B$17,IF(AND(#REF!="Padrão",$H$4=#REF!),BDI!#REF!,IF(AND(#REF!="Diferenciado",$H$4=#REF!),BDI!$E$17,IF(AND(#REF!="Diferenciado",$H$4=#REF!),BDI!#REF!,IF(#REF!="ZERO",0))))),"")</f>
        <v>#REF!</v>
      </c>
      <c r="H485" s="127" t="str">
        <f t="shared" si="22"/>
        <v/>
      </c>
      <c r="I485" s="125" t="str">
        <f t="shared" si="23"/>
        <v/>
      </c>
    </row>
    <row r="486" spans="1:9" hidden="1" x14ac:dyDescent="0.25">
      <c r="A486" s="103" t="s">
        <v>2026</v>
      </c>
      <c r="B486" s="104" t="s">
        <v>3754</v>
      </c>
      <c r="C486" s="105" t="s">
        <v>95</v>
      </c>
      <c r="D486" s="105">
        <v>0</v>
      </c>
      <c r="E486" s="124" t="s">
        <v>523</v>
      </c>
      <c r="F486" s="125" t="str">
        <f t="shared" si="21"/>
        <v/>
      </c>
      <c r="G486" s="126" t="e">
        <f>IF(A486&lt;&gt;"",IF(AND(#REF!="Padrão",$H$4=#REF!),BDI!$B$17,IF(AND(#REF!="Padrão",$H$4=#REF!),BDI!#REF!,IF(AND(#REF!="Diferenciado",$H$4=#REF!),BDI!$E$17,IF(AND(#REF!="Diferenciado",$H$4=#REF!),BDI!#REF!,IF(#REF!="ZERO",0))))),"")</f>
        <v>#REF!</v>
      </c>
      <c r="H486" s="127" t="str">
        <f t="shared" si="22"/>
        <v/>
      </c>
      <c r="I486" s="125" t="str">
        <f t="shared" si="23"/>
        <v/>
      </c>
    </row>
    <row r="487" spans="1:9" hidden="1" x14ac:dyDescent="0.25">
      <c r="A487" s="103" t="s">
        <v>2027</v>
      </c>
      <c r="B487" s="104" t="s">
        <v>2028</v>
      </c>
      <c r="C487" s="105" t="s">
        <v>95</v>
      </c>
      <c r="D487" s="105">
        <v>0</v>
      </c>
      <c r="E487" s="124" t="s">
        <v>523</v>
      </c>
      <c r="F487" s="125" t="str">
        <f t="shared" si="21"/>
        <v/>
      </c>
      <c r="G487" s="126" t="e">
        <f>IF(A487&lt;&gt;"",IF(AND(#REF!="Padrão",$H$4=#REF!),BDI!$B$17,IF(AND(#REF!="Padrão",$H$4=#REF!),BDI!#REF!,IF(AND(#REF!="Diferenciado",$H$4=#REF!),BDI!$E$17,IF(AND(#REF!="Diferenciado",$H$4=#REF!),BDI!#REF!,IF(#REF!="ZERO",0))))),"")</f>
        <v>#REF!</v>
      </c>
      <c r="H487" s="127" t="str">
        <f t="shared" si="22"/>
        <v/>
      </c>
      <c r="I487" s="125" t="str">
        <f t="shared" si="23"/>
        <v/>
      </c>
    </row>
    <row r="488" spans="1:9" hidden="1" x14ac:dyDescent="0.25">
      <c r="A488" s="103" t="s">
        <v>2029</v>
      </c>
      <c r="B488" s="104" t="s">
        <v>2030</v>
      </c>
      <c r="C488" s="105" t="s">
        <v>95</v>
      </c>
      <c r="D488" s="105">
        <v>0</v>
      </c>
      <c r="E488" s="124" t="s">
        <v>523</v>
      </c>
      <c r="F488" s="125" t="str">
        <f t="shared" si="21"/>
        <v/>
      </c>
      <c r="G488" s="126" t="e">
        <f>IF(A488&lt;&gt;"",IF(AND(#REF!="Padrão",$H$4=#REF!),BDI!$B$17,IF(AND(#REF!="Padrão",$H$4=#REF!),BDI!#REF!,IF(AND(#REF!="Diferenciado",$H$4=#REF!),BDI!$E$17,IF(AND(#REF!="Diferenciado",$H$4=#REF!),BDI!#REF!,IF(#REF!="ZERO",0))))),"")</f>
        <v>#REF!</v>
      </c>
      <c r="H488" s="127" t="str">
        <f t="shared" si="22"/>
        <v/>
      </c>
      <c r="I488" s="125" t="str">
        <f t="shared" si="23"/>
        <v/>
      </c>
    </row>
    <row r="489" spans="1:9" hidden="1" x14ac:dyDescent="0.25">
      <c r="A489" s="103" t="s">
        <v>2031</v>
      </c>
      <c r="B489" s="104" t="s">
        <v>2032</v>
      </c>
      <c r="C489" s="105" t="s">
        <v>95</v>
      </c>
      <c r="D489" s="105">
        <v>0</v>
      </c>
      <c r="E489" s="124" t="s">
        <v>523</v>
      </c>
      <c r="F489" s="125" t="str">
        <f t="shared" si="21"/>
        <v/>
      </c>
      <c r="G489" s="126" t="e">
        <f>IF(A489&lt;&gt;"",IF(AND(#REF!="Padrão",$H$4=#REF!),BDI!$B$17,IF(AND(#REF!="Padrão",$H$4=#REF!),BDI!#REF!,IF(AND(#REF!="Diferenciado",$H$4=#REF!),BDI!$E$17,IF(AND(#REF!="Diferenciado",$H$4=#REF!),BDI!#REF!,IF(#REF!="ZERO",0))))),"")</f>
        <v>#REF!</v>
      </c>
      <c r="H489" s="127" t="str">
        <f t="shared" si="22"/>
        <v/>
      </c>
      <c r="I489" s="125" t="str">
        <f t="shared" si="23"/>
        <v/>
      </c>
    </row>
    <row r="490" spans="1:9" hidden="1" x14ac:dyDescent="0.25">
      <c r="A490" s="103" t="s">
        <v>2033</v>
      </c>
      <c r="B490" s="104" t="s">
        <v>2034</v>
      </c>
      <c r="C490" s="105" t="s">
        <v>95</v>
      </c>
      <c r="D490" s="105">
        <v>0</v>
      </c>
      <c r="E490" s="124" t="s">
        <v>523</v>
      </c>
      <c r="F490" s="125" t="str">
        <f t="shared" si="21"/>
        <v/>
      </c>
      <c r="G490" s="126" t="e">
        <f>IF(A490&lt;&gt;"",IF(AND(#REF!="Padrão",$H$4=#REF!),BDI!$B$17,IF(AND(#REF!="Padrão",$H$4=#REF!),BDI!#REF!,IF(AND(#REF!="Diferenciado",$H$4=#REF!),BDI!$E$17,IF(AND(#REF!="Diferenciado",$H$4=#REF!),BDI!#REF!,IF(#REF!="ZERO",0))))),"")</f>
        <v>#REF!</v>
      </c>
      <c r="H490" s="127" t="str">
        <f t="shared" si="22"/>
        <v/>
      </c>
      <c r="I490" s="125" t="str">
        <f t="shared" si="23"/>
        <v/>
      </c>
    </row>
    <row r="491" spans="1:9" hidden="1" x14ac:dyDescent="0.25">
      <c r="A491" s="103" t="s">
        <v>2035</v>
      </c>
      <c r="B491" s="104" t="s">
        <v>2036</v>
      </c>
      <c r="C491" s="105" t="s">
        <v>109</v>
      </c>
      <c r="D491" s="105">
        <v>0</v>
      </c>
      <c r="E491" s="124" t="s">
        <v>523</v>
      </c>
      <c r="F491" s="125" t="str">
        <f t="shared" si="21"/>
        <v/>
      </c>
      <c r="G491" s="126" t="e">
        <f>IF(A491&lt;&gt;"",IF(AND(#REF!="Padrão",$H$4=#REF!),BDI!$B$17,IF(AND(#REF!="Padrão",$H$4=#REF!),BDI!#REF!,IF(AND(#REF!="Diferenciado",$H$4=#REF!),BDI!$E$17,IF(AND(#REF!="Diferenciado",$H$4=#REF!),BDI!#REF!,IF(#REF!="ZERO",0))))),"")</f>
        <v>#REF!</v>
      </c>
      <c r="H491" s="127" t="str">
        <f t="shared" si="22"/>
        <v/>
      </c>
      <c r="I491" s="125" t="str">
        <f t="shared" si="23"/>
        <v/>
      </c>
    </row>
    <row r="492" spans="1:9" hidden="1" x14ac:dyDescent="0.25">
      <c r="A492" s="103" t="s">
        <v>2037</v>
      </c>
      <c r="B492" s="104" t="s">
        <v>2038</v>
      </c>
      <c r="C492" s="105" t="s">
        <v>109</v>
      </c>
      <c r="D492" s="105">
        <v>0</v>
      </c>
      <c r="E492" s="124" t="s">
        <v>523</v>
      </c>
      <c r="F492" s="125" t="str">
        <f t="shared" si="21"/>
        <v/>
      </c>
      <c r="G492" s="126" t="e">
        <f>IF(A492&lt;&gt;"",IF(AND(#REF!="Padrão",$H$4=#REF!),BDI!$B$17,IF(AND(#REF!="Padrão",$H$4=#REF!),BDI!#REF!,IF(AND(#REF!="Diferenciado",$H$4=#REF!),BDI!$E$17,IF(AND(#REF!="Diferenciado",$H$4=#REF!),BDI!#REF!,IF(#REF!="ZERO",0))))),"")</f>
        <v>#REF!</v>
      </c>
      <c r="H492" s="127" t="str">
        <f t="shared" si="22"/>
        <v/>
      </c>
      <c r="I492" s="125" t="str">
        <f t="shared" si="23"/>
        <v/>
      </c>
    </row>
    <row r="493" spans="1:9" hidden="1" x14ac:dyDescent="0.25">
      <c r="A493" s="103" t="s">
        <v>2039</v>
      </c>
      <c r="B493" s="104" t="s">
        <v>2040</v>
      </c>
      <c r="C493" s="105" t="s">
        <v>109</v>
      </c>
      <c r="D493" s="105">
        <v>0</v>
      </c>
      <c r="E493" s="124" t="s">
        <v>523</v>
      </c>
      <c r="F493" s="125" t="str">
        <f t="shared" si="21"/>
        <v/>
      </c>
      <c r="G493" s="126" t="e">
        <f>IF(A493&lt;&gt;"",IF(AND(#REF!="Padrão",$H$4=#REF!),BDI!$B$17,IF(AND(#REF!="Padrão",$H$4=#REF!),BDI!#REF!,IF(AND(#REF!="Diferenciado",$H$4=#REF!),BDI!$E$17,IF(AND(#REF!="Diferenciado",$H$4=#REF!),BDI!#REF!,IF(#REF!="ZERO",0))))),"")</f>
        <v>#REF!</v>
      </c>
      <c r="H493" s="127" t="str">
        <f t="shared" si="22"/>
        <v/>
      </c>
      <c r="I493" s="125" t="str">
        <f t="shared" si="23"/>
        <v/>
      </c>
    </row>
    <row r="494" spans="1:9" hidden="1" x14ac:dyDescent="0.25">
      <c r="A494" s="103" t="s">
        <v>2041</v>
      </c>
      <c r="B494" s="104" t="s">
        <v>2042</v>
      </c>
      <c r="C494" s="105" t="s">
        <v>109</v>
      </c>
      <c r="D494" s="105">
        <v>0</v>
      </c>
      <c r="E494" s="124">
        <f ca="1">OFFSET(INDEX(Composições!A:J,MATCH(Orçamentária!A494,Composições!A:A,0),8),2,0)</f>
        <v>1900.0000000000002</v>
      </c>
      <c r="F494" s="125">
        <f t="shared" ca="1" si="21"/>
        <v>0</v>
      </c>
      <c r="G494" s="126" t="e">
        <f>IF(A494&lt;&gt;"",IF(AND(#REF!="Padrão",$H$4=#REF!),BDI!$B$17,IF(AND(#REF!="Padrão",$H$4=#REF!),BDI!#REF!,IF(AND(#REF!="Diferenciado",$H$4=#REF!),BDI!$E$17,IF(AND(#REF!="Diferenciado",$H$4=#REF!),BDI!#REF!,IF(#REF!="ZERO",0))))),"")</f>
        <v>#REF!</v>
      </c>
      <c r="H494" s="127" t="e">
        <f t="shared" ca="1" si="22"/>
        <v>#REF!</v>
      </c>
      <c r="I494" s="125" t="e">
        <f t="shared" ca="1" si="23"/>
        <v>#REF!</v>
      </c>
    </row>
    <row r="495" spans="1:9" hidden="1" x14ac:dyDescent="0.25">
      <c r="A495" s="103" t="s">
        <v>2043</v>
      </c>
      <c r="B495" s="104" t="s">
        <v>2044</v>
      </c>
      <c r="C495" s="105" t="s">
        <v>93</v>
      </c>
      <c r="D495" s="105">
        <v>0</v>
      </c>
      <c r="E495" s="124">
        <f ca="1">OFFSET(INDEX(Composições!A:J,MATCH(Orçamentária!A495,Composições!A:A,0),8),2,0)</f>
        <v>4.3605</v>
      </c>
      <c r="F495" s="125">
        <f t="shared" ca="1" si="21"/>
        <v>0</v>
      </c>
      <c r="G495" s="126" t="e">
        <f>IF(A495&lt;&gt;"",IF(AND(#REF!="Padrão",$H$4=#REF!),BDI!$B$17,IF(AND(#REF!="Padrão",$H$4=#REF!),BDI!#REF!,IF(AND(#REF!="Diferenciado",$H$4=#REF!),BDI!$E$17,IF(AND(#REF!="Diferenciado",$H$4=#REF!),BDI!#REF!,IF(#REF!="ZERO",0))))),"")</f>
        <v>#REF!</v>
      </c>
      <c r="H495" s="127" t="e">
        <f t="shared" ca="1" si="22"/>
        <v>#REF!</v>
      </c>
      <c r="I495" s="125" t="e">
        <f t="shared" ca="1" si="23"/>
        <v>#REF!</v>
      </c>
    </row>
    <row r="496" spans="1:9" hidden="1" x14ac:dyDescent="0.25">
      <c r="A496" s="103" t="s">
        <v>2045</v>
      </c>
      <c r="B496" s="104" t="s">
        <v>2046</v>
      </c>
      <c r="C496" s="105" t="s">
        <v>93</v>
      </c>
      <c r="D496" s="105">
        <v>0</v>
      </c>
      <c r="E496" s="124">
        <f ca="1">OFFSET(INDEX(Composições!A:J,MATCH(Orçamentária!A496,Composições!A:A,0),8),2,0)</f>
        <v>6.0419999999999998</v>
      </c>
      <c r="F496" s="125">
        <f t="shared" ca="1" si="21"/>
        <v>0</v>
      </c>
      <c r="G496" s="126" t="e">
        <f>IF(A496&lt;&gt;"",IF(AND(#REF!="Padrão",$H$4=#REF!),BDI!$B$17,IF(AND(#REF!="Padrão",$H$4=#REF!),BDI!#REF!,IF(AND(#REF!="Diferenciado",$H$4=#REF!),BDI!$E$17,IF(AND(#REF!="Diferenciado",$H$4=#REF!),BDI!#REF!,IF(#REF!="ZERO",0))))),"")</f>
        <v>#REF!</v>
      </c>
      <c r="H496" s="127" t="e">
        <f t="shared" ca="1" si="22"/>
        <v>#REF!</v>
      </c>
      <c r="I496" s="125" t="e">
        <f t="shared" ca="1" si="23"/>
        <v>#REF!</v>
      </c>
    </row>
    <row r="497" spans="1:9" hidden="1" x14ac:dyDescent="0.25">
      <c r="A497" s="103" t="s">
        <v>2047</v>
      </c>
      <c r="B497" s="104" t="s">
        <v>2048</v>
      </c>
      <c r="C497" s="105" t="s">
        <v>93</v>
      </c>
      <c r="D497" s="105">
        <v>0</v>
      </c>
      <c r="E497" s="124" t="s">
        <v>523</v>
      </c>
      <c r="F497" s="125" t="str">
        <f t="shared" si="21"/>
        <v/>
      </c>
      <c r="G497" s="126" t="e">
        <f>IF(A497&lt;&gt;"",IF(AND(#REF!="Padrão",$H$4=#REF!),BDI!$B$17,IF(AND(#REF!="Padrão",$H$4=#REF!),BDI!#REF!,IF(AND(#REF!="Diferenciado",$H$4=#REF!),BDI!$E$17,IF(AND(#REF!="Diferenciado",$H$4=#REF!),BDI!#REF!,IF(#REF!="ZERO",0))))),"")</f>
        <v>#REF!</v>
      </c>
      <c r="H497" s="127" t="str">
        <f t="shared" si="22"/>
        <v/>
      </c>
      <c r="I497" s="125" t="str">
        <f t="shared" si="23"/>
        <v/>
      </c>
    </row>
    <row r="498" spans="1:9" hidden="1" x14ac:dyDescent="0.25">
      <c r="A498" s="103" t="s">
        <v>2049</v>
      </c>
      <c r="B498" s="104" t="s">
        <v>2050</v>
      </c>
      <c r="C498" s="105" t="s">
        <v>93</v>
      </c>
      <c r="D498" s="105">
        <v>0</v>
      </c>
      <c r="E498" s="124" t="s">
        <v>523</v>
      </c>
      <c r="F498" s="125" t="str">
        <f t="shared" si="21"/>
        <v/>
      </c>
      <c r="G498" s="126" t="e">
        <f>IF(A498&lt;&gt;"",IF(AND(#REF!="Padrão",$H$4=#REF!),BDI!$B$17,IF(AND(#REF!="Padrão",$H$4=#REF!),BDI!#REF!,IF(AND(#REF!="Diferenciado",$H$4=#REF!),BDI!$E$17,IF(AND(#REF!="Diferenciado",$H$4=#REF!),BDI!#REF!,IF(#REF!="ZERO",0))))),"")</f>
        <v>#REF!</v>
      </c>
      <c r="H498" s="127" t="str">
        <f t="shared" si="22"/>
        <v/>
      </c>
      <c r="I498" s="125" t="str">
        <f t="shared" si="23"/>
        <v/>
      </c>
    </row>
    <row r="499" spans="1:9" hidden="1" x14ac:dyDescent="0.25">
      <c r="A499" s="103" t="s">
        <v>2051</v>
      </c>
      <c r="B499" s="104" t="s">
        <v>2052</v>
      </c>
      <c r="C499" s="105" t="s">
        <v>95</v>
      </c>
      <c r="D499" s="105">
        <v>0</v>
      </c>
      <c r="E499" s="124">
        <f ca="1">OFFSET(INDEX(Composições!A:J,MATCH(Orçamentária!A499,Composições!A:A,0),8),2,0)</f>
        <v>32.651499999999999</v>
      </c>
      <c r="F499" s="125">
        <f t="shared" ca="1" si="21"/>
        <v>0</v>
      </c>
      <c r="G499" s="126" t="e">
        <f>IF(A499&lt;&gt;"",IF(AND(#REF!="Padrão",$H$4=#REF!),BDI!$B$17,IF(AND(#REF!="Padrão",$H$4=#REF!),BDI!#REF!,IF(AND(#REF!="Diferenciado",$H$4=#REF!),BDI!$E$17,IF(AND(#REF!="Diferenciado",$H$4=#REF!),BDI!#REF!,IF(#REF!="ZERO",0))))),"")</f>
        <v>#REF!</v>
      </c>
      <c r="H499" s="127" t="e">
        <f t="shared" ca="1" si="22"/>
        <v>#REF!</v>
      </c>
      <c r="I499" s="125" t="e">
        <f t="shared" ca="1" si="23"/>
        <v>#REF!</v>
      </c>
    </row>
    <row r="500" spans="1:9" hidden="1" x14ac:dyDescent="0.25">
      <c r="A500" s="103" t="s">
        <v>2053</v>
      </c>
      <c r="B500" s="104" t="s">
        <v>2054</v>
      </c>
      <c r="C500" s="105" t="s">
        <v>95</v>
      </c>
      <c r="D500" s="105">
        <v>0</v>
      </c>
      <c r="E500" s="124" t="s">
        <v>523</v>
      </c>
      <c r="F500" s="125" t="str">
        <f t="shared" si="21"/>
        <v/>
      </c>
      <c r="G500" s="126" t="e">
        <f>IF(A500&lt;&gt;"",IF(AND(#REF!="Padrão",$H$4=#REF!),BDI!$B$17,IF(AND(#REF!="Padrão",$H$4=#REF!),BDI!#REF!,IF(AND(#REF!="Diferenciado",$H$4=#REF!),BDI!$E$17,IF(AND(#REF!="Diferenciado",$H$4=#REF!),BDI!#REF!,IF(#REF!="ZERO",0))))),"")</f>
        <v>#REF!</v>
      </c>
      <c r="H500" s="127" t="str">
        <f t="shared" si="22"/>
        <v/>
      </c>
      <c r="I500" s="125" t="str">
        <f t="shared" si="23"/>
        <v/>
      </c>
    </row>
    <row r="501" spans="1:9" hidden="1" x14ac:dyDescent="0.25">
      <c r="A501" s="103" t="s">
        <v>2055</v>
      </c>
      <c r="B501" s="104" t="s">
        <v>2056</v>
      </c>
      <c r="C501" s="105" t="s">
        <v>95</v>
      </c>
      <c r="D501" s="105">
        <v>0</v>
      </c>
      <c r="E501" s="124">
        <f ca="1">OFFSET(INDEX(Composições!A:J,MATCH(Orçamentária!A501,Composições!A:A,0),8),2,0)</f>
        <v>51.233499999999999</v>
      </c>
      <c r="F501" s="125">
        <f t="shared" ca="1" si="21"/>
        <v>0</v>
      </c>
      <c r="G501" s="126" t="e">
        <f>IF(A501&lt;&gt;"",IF(AND(#REF!="Padrão",$H$4=#REF!),BDI!$B$17,IF(AND(#REF!="Padrão",$H$4=#REF!),BDI!#REF!,IF(AND(#REF!="Diferenciado",$H$4=#REF!),BDI!$E$17,IF(AND(#REF!="Diferenciado",$H$4=#REF!),BDI!#REF!,IF(#REF!="ZERO",0))))),"")</f>
        <v>#REF!</v>
      </c>
      <c r="H501" s="127" t="e">
        <f t="shared" ca="1" si="22"/>
        <v>#REF!</v>
      </c>
      <c r="I501" s="125" t="e">
        <f t="shared" ca="1" si="23"/>
        <v>#REF!</v>
      </c>
    </row>
    <row r="502" spans="1:9" hidden="1" x14ac:dyDescent="0.25">
      <c r="A502" s="103" t="s">
        <v>2057</v>
      </c>
      <c r="B502" s="104" t="s">
        <v>2058</v>
      </c>
      <c r="C502" s="105" t="s">
        <v>95</v>
      </c>
      <c r="D502" s="105">
        <v>0</v>
      </c>
      <c r="E502" s="124" t="s">
        <v>523</v>
      </c>
      <c r="F502" s="125" t="str">
        <f t="shared" si="21"/>
        <v/>
      </c>
      <c r="G502" s="126" t="e">
        <f>IF(A502&lt;&gt;"",IF(AND(#REF!="Padrão",$H$4=#REF!),BDI!$B$17,IF(AND(#REF!="Padrão",$H$4=#REF!),BDI!#REF!,IF(AND(#REF!="Diferenciado",$H$4=#REF!),BDI!$E$17,IF(AND(#REF!="Diferenciado",$H$4=#REF!),BDI!#REF!,IF(#REF!="ZERO",0))))),"")</f>
        <v>#REF!</v>
      </c>
      <c r="H502" s="127" t="str">
        <f t="shared" si="22"/>
        <v/>
      </c>
      <c r="I502" s="125" t="str">
        <f t="shared" si="23"/>
        <v/>
      </c>
    </row>
    <row r="503" spans="1:9" hidden="1" x14ac:dyDescent="0.25">
      <c r="A503" s="103" t="s">
        <v>2059</v>
      </c>
      <c r="B503" s="104" t="s">
        <v>2060</v>
      </c>
      <c r="C503" s="105" t="s">
        <v>95</v>
      </c>
      <c r="D503" s="105">
        <v>0</v>
      </c>
      <c r="E503" s="124">
        <f ca="1">OFFSET(INDEX(Composições!A:J,MATCH(Orçamentária!A503,Composições!A:A,0),8),2,0)</f>
        <v>63.602499999999999</v>
      </c>
      <c r="F503" s="125">
        <f t="shared" ca="1" si="21"/>
        <v>0</v>
      </c>
      <c r="G503" s="126" t="e">
        <f>IF(A503&lt;&gt;"",IF(AND(#REF!="Padrão",$H$4=#REF!),BDI!$B$17,IF(AND(#REF!="Padrão",$H$4=#REF!),BDI!#REF!,IF(AND(#REF!="Diferenciado",$H$4=#REF!),BDI!$E$17,IF(AND(#REF!="Diferenciado",$H$4=#REF!),BDI!#REF!,IF(#REF!="ZERO",0))))),"")</f>
        <v>#REF!</v>
      </c>
      <c r="H503" s="127" t="e">
        <f t="shared" ca="1" si="22"/>
        <v>#REF!</v>
      </c>
      <c r="I503" s="125" t="e">
        <f t="shared" ca="1" si="23"/>
        <v>#REF!</v>
      </c>
    </row>
    <row r="504" spans="1:9" hidden="1" x14ac:dyDescent="0.25">
      <c r="A504" s="103" t="s">
        <v>2061</v>
      </c>
      <c r="B504" s="104" t="s">
        <v>2062</v>
      </c>
      <c r="C504" s="105" t="s">
        <v>95</v>
      </c>
      <c r="D504" s="105">
        <v>0</v>
      </c>
      <c r="E504" s="124" t="s">
        <v>523</v>
      </c>
      <c r="F504" s="125" t="str">
        <f t="shared" si="21"/>
        <v/>
      </c>
      <c r="G504" s="126" t="e">
        <f>IF(A504&lt;&gt;"",IF(AND(#REF!="Padrão",$H$4=#REF!),BDI!$B$17,IF(AND(#REF!="Padrão",$H$4=#REF!),BDI!#REF!,IF(AND(#REF!="Diferenciado",$H$4=#REF!),BDI!$E$17,IF(AND(#REF!="Diferenciado",$H$4=#REF!),BDI!#REF!,IF(#REF!="ZERO",0))))),"")</f>
        <v>#REF!</v>
      </c>
      <c r="H504" s="127" t="str">
        <f t="shared" si="22"/>
        <v/>
      </c>
      <c r="I504" s="125" t="str">
        <f t="shared" si="23"/>
        <v/>
      </c>
    </row>
    <row r="505" spans="1:9" hidden="1" x14ac:dyDescent="0.25">
      <c r="A505" s="103" t="s">
        <v>2063</v>
      </c>
      <c r="B505" s="104" t="s">
        <v>2064</v>
      </c>
      <c r="C505" s="105" t="s">
        <v>93</v>
      </c>
      <c r="D505" s="105">
        <v>0</v>
      </c>
      <c r="E505" s="124">
        <f ca="1">OFFSET(INDEX(Composições!A:J,MATCH(Orçamentária!A505,Composições!A:A,0),8),2,0)</f>
        <v>20.51088</v>
      </c>
      <c r="F505" s="125">
        <f t="shared" ca="1" si="21"/>
        <v>0</v>
      </c>
      <c r="G505" s="126" t="e">
        <f>IF(A505&lt;&gt;"",IF(AND(#REF!="Padrão",$H$4=#REF!),BDI!$B$17,IF(AND(#REF!="Padrão",$H$4=#REF!),BDI!#REF!,IF(AND(#REF!="Diferenciado",$H$4=#REF!),BDI!$E$17,IF(AND(#REF!="Diferenciado",$H$4=#REF!),BDI!#REF!,IF(#REF!="ZERO",0))))),"")</f>
        <v>#REF!</v>
      </c>
      <c r="H505" s="127" t="e">
        <f t="shared" ca="1" si="22"/>
        <v>#REF!</v>
      </c>
      <c r="I505" s="125" t="e">
        <f t="shared" ca="1" si="23"/>
        <v>#REF!</v>
      </c>
    </row>
    <row r="506" spans="1:9" hidden="1" x14ac:dyDescent="0.25">
      <c r="A506" s="103" t="s">
        <v>2065</v>
      </c>
      <c r="B506" s="104" t="s">
        <v>2066</v>
      </c>
      <c r="C506" s="105" t="s">
        <v>93</v>
      </c>
      <c r="D506" s="105">
        <v>0</v>
      </c>
      <c r="E506" s="124">
        <f ca="1">OFFSET(INDEX(Composições!A:J,MATCH(Orçamentária!A506,Composições!A:A,0),8),2,0)</f>
        <v>26.083200000000001</v>
      </c>
      <c r="F506" s="125">
        <f t="shared" ca="1" si="21"/>
        <v>0</v>
      </c>
      <c r="G506" s="126" t="e">
        <f>IF(A506&lt;&gt;"",IF(AND(#REF!="Padrão",$H$4=#REF!),BDI!$B$17,IF(AND(#REF!="Padrão",$H$4=#REF!),BDI!#REF!,IF(AND(#REF!="Diferenciado",$H$4=#REF!),BDI!$E$17,IF(AND(#REF!="Diferenciado",$H$4=#REF!),BDI!#REF!,IF(#REF!="ZERO",0))))),"")</f>
        <v>#REF!</v>
      </c>
      <c r="H506" s="127" t="e">
        <f t="shared" ca="1" si="22"/>
        <v>#REF!</v>
      </c>
      <c r="I506" s="125" t="e">
        <f t="shared" ca="1" si="23"/>
        <v>#REF!</v>
      </c>
    </row>
    <row r="507" spans="1:9" hidden="1" x14ac:dyDescent="0.25">
      <c r="A507" s="103" t="s">
        <v>2067</v>
      </c>
      <c r="B507" s="104" t="s">
        <v>2068</v>
      </c>
      <c r="C507" s="105" t="s">
        <v>93</v>
      </c>
      <c r="D507" s="105">
        <v>0</v>
      </c>
      <c r="E507" s="124">
        <f ca="1">OFFSET(INDEX(Composições!A:J,MATCH(Orçamentária!A507,Composições!A:A,0),8),2,0)</f>
        <v>29.165759999999999</v>
      </c>
      <c r="F507" s="125">
        <f t="shared" ca="1" si="21"/>
        <v>0</v>
      </c>
      <c r="G507" s="126" t="e">
        <f>IF(A507&lt;&gt;"",IF(AND(#REF!="Padrão",$H$4=#REF!),BDI!$B$17,IF(AND(#REF!="Padrão",$H$4=#REF!),BDI!#REF!,IF(AND(#REF!="Diferenciado",$H$4=#REF!),BDI!$E$17,IF(AND(#REF!="Diferenciado",$H$4=#REF!),BDI!#REF!,IF(#REF!="ZERO",0))))),"")</f>
        <v>#REF!</v>
      </c>
      <c r="H507" s="127" t="e">
        <f t="shared" ca="1" si="22"/>
        <v>#REF!</v>
      </c>
      <c r="I507" s="125" t="e">
        <f t="shared" ca="1" si="23"/>
        <v>#REF!</v>
      </c>
    </row>
    <row r="508" spans="1:9" hidden="1" x14ac:dyDescent="0.25">
      <c r="A508" s="103" t="s">
        <v>2069</v>
      </c>
      <c r="B508" s="104" t="s">
        <v>2070</v>
      </c>
      <c r="C508" s="105" t="s">
        <v>93</v>
      </c>
      <c r="D508" s="105">
        <v>0</v>
      </c>
      <c r="E508" s="124">
        <f ca="1">OFFSET(INDEX(Composições!A:J,MATCH(Orçamentária!A508,Composições!A:A,0),8),2,0)</f>
        <v>43.037279999999996</v>
      </c>
      <c r="F508" s="125">
        <f t="shared" ca="1" si="21"/>
        <v>0</v>
      </c>
      <c r="G508" s="126" t="e">
        <f>IF(A508&lt;&gt;"",IF(AND(#REF!="Padrão",$H$4=#REF!),BDI!$B$17,IF(AND(#REF!="Padrão",$H$4=#REF!),BDI!#REF!,IF(AND(#REF!="Diferenciado",$H$4=#REF!),BDI!$E$17,IF(AND(#REF!="Diferenciado",$H$4=#REF!),BDI!#REF!,IF(#REF!="ZERO",0))))),"")</f>
        <v>#REF!</v>
      </c>
      <c r="H508" s="127" t="e">
        <f t="shared" ca="1" si="22"/>
        <v>#REF!</v>
      </c>
      <c r="I508" s="125" t="e">
        <f t="shared" ca="1" si="23"/>
        <v>#REF!</v>
      </c>
    </row>
    <row r="509" spans="1:9" hidden="1" x14ac:dyDescent="0.25">
      <c r="A509" s="103" t="s">
        <v>2071</v>
      </c>
      <c r="B509" s="104" t="s">
        <v>2072</v>
      </c>
      <c r="C509" s="105" t="s">
        <v>93</v>
      </c>
      <c r="D509" s="105">
        <v>0</v>
      </c>
      <c r="E509" s="124">
        <f ca="1">OFFSET(INDEX(Composições!A:J,MATCH(Orçamentária!A509,Composições!A:A,0),8),2,0)</f>
        <v>8.4177599999999995</v>
      </c>
      <c r="F509" s="125">
        <f t="shared" ca="1" si="21"/>
        <v>0</v>
      </c>
      <c r="G509" s="126" t="e">
        <f>IF(A509&lt;&gt;"",IF(AND(#REF!="Padrão",$H$4=#REF!),BDI!$B$17,IF(AND(#REF!="Padrão",$H$4=#REF!),BDI!#REF!,IF(AND(#REF!="Diferenciado",$H$4=#REF!),BDI!$E$17,IF(AND(#REF!="Diferenciado",$H$4=#REF!),BDI!#REF!,IF(#REF!="ZERO",0))))),"")</f>
        <v>#REF!</v>
      </c>
      <c r="H509" s="127" t="e">
        <f t="shared" ca="1" si="22"/>
        <v>#REF!</v>
      </c>
      <c r="I509" s="125" t="e">
        <f t="shared" ca="1" si="23"/>
        <v>#REF!</v>
      </c>
    </row>
    <row r="510" spans="1:9" hidden="1" x14ac:dyDescent="0.25">
      <c r="A510" s="103" t="s">
        <v>2073</v>
      </c>
      <c r="B510" s="104" t="s">
        <v>2074</v>
      </c>
      <c r="C510" s="105" t="s">
        <v>42</v>
      </c>
      <c r="D510" s="105">
        <v>0</v>
      </c>
      <c r="E510" s="124">
        <f ca="1">OFFSET(INDEX(Composições!A:J,MATCH(Orçamentária!A510,Composições!A:A,0),8),2,0)</f>
        <v>15.1715</v>
      </c>
      <c r="F510" s="125">
        <f t="shared" ca="1" si="21"/>
        <v>0</v>
      </c>
      <c r="G510" s="126" t="e">
        <f>IF(A510&lt;&gt;"",IF(AND(#REF!="Padrão",$H$4=#REF!),BDI!$B$17,IF(AND(#REF!="Padrão",$H$4=#REF!),BDI!#REF!,IF(AND(#REF!="Diferenciado",$H$4=#REF!),BDI!$E$17,IF(AND(#REF!="Diferenciado",$H$4=#REF!),BDI!#REF!,IF(#REF!="ZERO",0))))),"")</f>
        <v>#REF!</v>
      </c>
      <c r="H510" s="127" t="e">
        <f t="shared" ca="1" si="22"/>
        <v>#REF!</v>
      </c>
      <c r="I510" s="125" t="e">
        <f t="shared" ca="1" si="23"/>
        <v>#REF!</v>
      </c>
    </row>
    <row r="511" spans="1:9" hidden="1" x14ac:dyDescent="0.25">
      <c r="A511" s="103" t="s">
        <v>2075</v>
      </c>
      <c r="B511" s="104" t="s">
        <v>2076</v>
      </c>
      <c r="C511" s="105" t="s">
        <v>93</v>
      </c>
      <c r="D511" s="105">
        <v>0</v>
      </c>
      <c r="E511" s="124">
        <f ca="1">OFFSET(INDEX(Composições!A:J,MATCH(Orçamentária!A511,Composições!A:A,0),8),2,0)</f>
        <v>8.5166550000000001</v>
      </c>
      <c r="F511" s="125">
        <f t="shared" ca="1" si="21"/>
        <v>0</v>
      </c>
      <c r="G511" s="126" t="e">
        <f>IF(A511&lt;&gt;"",IF(AND(#REF!="Padrão",$H$4=#REF!),BDI!$B$17,IF(AND(#REF!="Padrão",$H$4=#REF!),BDI!#REF!,IF(AND(#REF!="Diferenciado",$H$4=#REF!),BDI!$E$17,IF(AND(#REF!="Diferenciado",$H$4=#REF!),BDI!#REF!,IF(#REF!="ZERO",0))))),"")</f>
        <v>#REF!</v>
      </c>
      <c r="H511" s="127" t="e">
        <f t="shared" ca="1" si="22"/>
        <v>#REF!</v>
      </c>
      <c r="I511" s="125" t="e">
        <f t="shared" ca="1" si="23"/>
        <v>#REF!</v>
      </c>
    </row>
    <row r="512" spans="1:9" hidden="1" x14ac:dyDescent="0.25">
      <c r="A512" s="103" t="s">
        <v>2077</v>
      </c>
      <c r="B512" s="104" t="s">
        <v>2078</v>
      </c>
      <c r="C512" s="105" t="s">
        <v>93</v>
      </c>
      <c r="D512" s="105">
        <v>0</v>
      </c>
      <c r="E512" s="124">
        <f ca="1">OFFSET(INDEX(Composições!A:J,MATCH(Orçamentária!A512,Composições!A:A,0),8),2,0)</f>
        <v>12.842574999999998</v>
      </c>
      <c r="F512" s="125">
        <f t="shared" ca="1" si="21"/>
        <v>0</v>
      </c>
      <c r="G512" s="126" t="e">
        <f>IF(A512&lt;&gt;"",IF(AND(#REF!="Padrão",$H$4=#REF!),BDI!$B$17,IF(AND(#REF!="Padrão",$H$4=#REF!),BDI!#REF!,IF(AND(#REF!="Diferenciado",$H$4=#REF!),BDI!$E$17,IF(AND(#REF!="Diferenciado",$H$4=#REF!),BDI!#REF!,IF(#REF!="ZERO",0))))),"")</f>
        <v>#REF!</v>
      </c>
      <c r="H512" s="127" t="e">
        <f t="shared" ca="1" si="22"/>
        <v>#REF!</v>
      </c>
      <c r="I512" s="125" t="e">
        <f t="shared" ca="1" si="23"/>
        <v>#REF!</v>
      </c>
    </row>
    <row r="513" spans="1:9" hidden="1" x14ac:dyDescent="0.25">
      <c r="A513" s="103" t="s">
        <v>2079</v>
      </c>
      <c r="B513" s="104" t="s">
        <v>2080</v>
      </c>
      <c r="C513" s="105" t="s">
        <v>93</v>
      </c>
      <c r="D513" s="105">
        <v>0</v>
      </c>
      <c r="E513" s="124">
        <f ca="1">OFFSET(INDEX(Composições!A:J,MATCH(Orçamentária!A513,Composições!A:A,0),8),2,0)</f>
        <v>15.005535</v>
      </c>
      <c r="F513" s="125">
        <f t="shared" ca="1" si="21"/>
        <v>0</v>
      </c>
      <c r="G513" s="126" t="e">
        <f>IF(A513&lt;&gt;"",IF(AND(#REF!="Padrão",$H$4=#REF!),BDI!$B$17,IF(AND(#REF!="Padrão",$H$4=#REF!),BDI!#REF!,IF(AND(#REF!="Diferenciado",$H$4=#REF!),BDI!$E$17,IF(AND(#REF!="Diferenciado",$H$4=#REF!),BDI!#REF!,IF(#REF!="ZERO",0))))),"")</f>
        <v>#REF!</v>
      </c>
      <c r="H513" s="127" t="e">
        <f t="shared" ca="1" si="22"/>
        <v>#REF!</v>
      </c>
      <c r="I513" s="125" t="e">
        <f t="shared" ca="1" si="23"/>
        <v>#REF!</v>
      </c>
    </row>
    <row r="514" spans="1:9" hidden="1" x14ac:dyDescent="0.25">
      <c r="A514" s="103" t="s">
        <v>2081</v>
      </c>
      <c r="B514" s="104" t="s">
        <v>2082</v>
      </c>
      <c r="C514" s="105" t="s">
        <v>93</v>
      </c>
      <c r="D514" s="105">
        <v>0</v>
      </c>
      <c r="E514" s="124">
        <f ca="1">OFFSET(INDEX(Composições!A:J,MATCH(Orçamentária!A514,Composições!A:A,0),8),2,0)</f>
        <v>6.4888799999999991</v>
      </c>
      <c r="F514" s="125">
        <f t="shared" ca="1" si="21"/>
        <v>0</v>
      </c>
      <c r="G514" s="126" t="e">
        <f>IF(A514&lt;&gt;"",IF(AND(#REF!="Padrão",$H$4=#REF!),BDI!$B$17,IF(AND(#REF!="Padrão",$H$4=#REF!),BDI!#REF!,IF(AND(#REF!="Diferenciado",$H$4=#REF!),BDI!$E$17,IF(AND(#REF!="Diferenciado",$H$4=#REF!),BDI!#REF!,IF(#REF!="ZERO",0))))),"")</f>
        <v>#REF!</v>
      </c>
      <c r="H514" s="127" t="e">
        <f t="shared" ca="1" si="22"/>
        <v>#REF!</v>
      </c>
      <c r="I514" s="125" t="e">
        <f t="shared" ca="1" si="23"/>
        <v>#REF!</v>
      </c>
    </row>
    <row r="515" spans="1:9" hidden="1" x14ac:dyDescent="0.25">
      <c r="A515" s="103" t="s">
        <v>2083</v>
      </c>
      <c r="B515" s="104" t="s">
        <v>2084</v>
      </c>
      <c r="C515" s="105" t="s">
        <v>93</v>
      </c>
      <c r="D515" s="105">
        <v>0</v>
      </c>
      <c r="E515" s="124">
        <f ca="1">OFFSET(INDEX(Composições!A:J,MATCH(Orçamentária!A515,Composições!A:A,0),8),2,0)</f>
        <v>9.5981349999999992</v>
      </c>
      <c r="F515" s="125">
        <f t="shared" ca="1" si="21"/>
        <v>0</v>
      </c>
      <c r="G515" s="126" t="e">
        <f>IF(A515&lt;&gt;"",IF(AND(#REF!="Padrão",$H$4=#REF!),BDI!$B$17,IF(AND(#REF!="Padrão",$H$4=#REF!),BDI!#REF!,IF(AND(#REF!="Diferenciado",$H$4=#REF!),BDI!$E$17,IF(AND(#REF!="Diferenciado",$H$4=#REF!),BDI!#REF!,IF(#REF!="ZERO",0))))),"")</f>
        <v>#REF!</v>
      </c>
      <c r="H515" s="127" t="e">
        <f t="shared" ca="1" si="22"/>
        <v>#REF!</v>
      </c>
      <c r="I515" s="125" t="e">
        <f t="shared" ca="1" si="23"/>
        <v>#REF!</v>
      </c>
    </row>
    <row r="516" spans="1:9" hidden="1" x14ac:dyDescent="0.25">
      <c r="A516" s="103" t="s">
        <v>2085</v>
      </c>
      <c r="B516" s="104" t="s">
        <v>2086</v>
      </c>
      <c r="C516" s="105" t="s">
        <v>93</v>
      </c>
      <c r="D516" s="105">
        <v>0</v>
      </c>
      <c r="E516" s="124">
        <f ca="1">OFFSET(INDEX(Composições!A:J,MATCH(Orçamentária!A516,Composições!A:A,0),8),2,0)</f>
        <v>5.4074</v>
      </c>
      <c r="F516" s="125">
        <f t="shared" ca="1" si="21"/>
        <v>0</v>
      </c>
      <c r="G516" s="126" t="e">
        <f>IF(A516&lt;&gt;"",IF(AND(#REF!="Padrão",$H$4=#REF!),BDI!$B$17,IF(AND(#REF!="Padrão",$H$4=#REF!),BDI!#REF!,IF(AND(#REF!="Diferenciado",$H$4=#REF!),BDI!$E$17,IF(AND(#REF!="Diferenciado",$H$4=#REF!),BDI!#REF!,IF(#REF!="ZERO",0))))),"")</f>
        <v>#REF!</v>
      </c>
      <c r="H516" s="127" t="e">
        <f t="shared" ca="1" si="22"/>
        <v>#REF!</v>
      </c>
      <c r="I516" s="125" t="e">
        <f t="shared" ca="1" si="23"/>
        <v>#REF!</v>
      </c>
    </row>
    <row r="517" spans="1:9" hidden="1" x14ac:dyDescent="0.25">
      <c r="A517" s="103" t="s">
        <v>2087</v>
      </c>
      <c r="B517" s="104" t="s">
        <v>2088</v>
      </c>
      <c r="C517" s="105" t="s">
        <v>93</v>
      </c>
      <c r="D517" s="105">
        <v>0</v>
      </c>
      <c r="E517" s="124">
        <f ca="1">OFFSET(INDEX(Composições!A:J,MATCH(Orçamentária!A517,Composições!A:A,0),8),2,0)</f>
        <v>10.679615</v>
      </c>
      <c r="F517" s="125">
        <f t="shared" ca="1" si="21"/>
        <v>0</v>
      </c>
      <c r="G517" s="126" t="e">
        <f>IF(A517&lt;&gt;"",IF(AND(#REF!="Padrão",$H$4=#REF!),BDI!$B$17,IF(AND(#REF!="Padrão",$H$4=#REF!),BDI!#REF!,IF(AND(#REF!="Diferenciado",$H$4=#REF!),BDI!$E$17,IF(AND(#REF!="Diferenciado",$H$4=#REF!),BDI!#REF!,IF(#REF!="ZERO",0))))),"")</f>
        <v>#REF!</v>
      </c>
      <c r="H517" s="127" t="e">
        <f t="shared" ca="1" si="22"/>
        <v>#REF!</v>
      </c>
      <c r="I517" s="125" t="e">
        <f t="shared" ca="1" si="23"/>
        <v>#REF!</v>
      </c>
    </row>
    <row r="518" spans="1:9" hidden="1" x14ac:dyDescent="0.25">
      <c r="A518" s="103" t="s">
        <v>2089</v>
      </c>
      <c r="B518" s="104" t="s">
        <v>2090</v>
      </c>
      <c r="C518" s="105" t="s">
        <v>93</v>
      </c>
      <c r="D518" s="105">
        <v>0</v>
      </c>
      <c r="E518" s="124">
        <f ca="1">OFFSET(INDEX(Composições!A:J,MATCH(Orçamentária!A518,Composições!A:A,0),8),2,0)</f>
        <v>7.4351750000000001</v>
      </c>
      <c r="F518" s="125">
        <f t="shared" ca="1" si="21"/>
        <v>0</v>
      </c>
      <c r="G518" s="126" t="e">
        <f>IF(A518&lt;&gt;"",IF(AND(#REF!="Padrão",$H$4=#REF!),BDI!$B$17,IF(AND(#REF!="Padrão",$H$4=#REF!),BDI!#REF!,IF(AND(#REF!="Diferenciado",$H$4=#REF!),BDI!$E$17,IF(AND(#REF!="Diferenciado",$H$4=#REF!),BDI!#REF!,IF(#REF!="ZERO",0))))),"")</f>
        <v>#REF!</v>
      </c>
      <c r="H518" s="127" t="e">
        <f t="shared" ca="1" si="22"/>
        <v>#REF!</v>
      </c>
      <c r="I518" s="125" t="e">
        <f t="shared" ca="1" si="23"/>
        <v>#REF!</v>
      </c>
    </row>
    <row r="519" spans="1:9" hidden="1" x14ac:dyDescent="0.25">
      <c r="A519" s="103" t="s">
        <v>2091</v>
      </c>
      <c r="B519" s="104" t="s">
        <v>2092</v>
      </c>
      <c r="C519" s="105" t="s">
        <v>93</v>
      </c>
      <c r="D519" s="105">
        <v>0</v>
      </c>
      <c r="E519" s="124">
        <f ca="1">OFFSET(INDEX(Composições!A:J,MATCH(Orçamentária!A519,Composições!A:A,0),8),2,0)</f>
        <v>11.220355</v>
      </c>
      <c r="F519" s="125">
        <f t="shared" ref="F519:F582" ca="1" si="24">IF(ISNUMBER(E519),D519*E519,"")</f>
        <v>0</v>
      </c>
      <c r="G519" s="126" t="e">
        <f>IF(A519&lt;&gt;"",IF(AND(#REF!="Padrão",$H$4=#REF!),BDI!$B$17,IF(AND(#REF!="Padrão",$H$4=#REF!),BDI!#REF!,IF(AND(#REF!="Diferenciado",$H$4=#REF!),BDI!$E$17,IF(AND(#REF!="Diferenciado",$H$4=#REF!),BDI!#REF!,IF(#REF!="ZERO",0))))),"")</f>
        <v>#REF!</v>
      </c>
      <c r="H519" s="127" t="e">
        <f t="shared" ref="H519:H582" ca="1" si="25">IF(ISNUMBER(E519),ROUND(E519*(1+G519),2),"")</f>
        <v>#REF!</v>
      </c>
      <c r="I519" s="125" t="e">
        <f t="shared" ref="I519:I582" ca="1" si="26">IF(ISNUMBER(E519),ROUND(H519*D519,2),"")</f>
        <v>#REF!</v>
      </c>
    </row>
    <row r="520" spans="1:9" hidden="1" x14ac:dyDescent="0.25">
      <c r="A520" s="103" t="s">
        <v>2093</v>
      </c>
      <c r="B520" s="104" t="s">
        <v>2094</v>
      </c>
      <c r="C520" s="105" t="s">
        <v>93</v>
      </c>
      <c r="D520" s="105">
        <v>0</v>
      </c>
      <c r="E520" s="124" t="s">
        <v>523</v>
      </c>
      <c r="F520" s="125" t="str">
        <f t="shared" si="24"/>
        <v/>
      </c>
      <c r="G520" s="126" t="e">
        <f>IF(A520&lt;&gt;"",IF(AND(#REF!="Padrão",$H$4=#REF!),BDI!$B$17,IF(AND(#REF!="Padrão",$H$4=#REF!),BDI!#REF!,IF(AND(#REF!="Diferenciado",$H$4=#REF!),BDI!$E$17,IF(AND(#REF!="Diferenciado",$H$4=#REF!),BDI!#REF!,IF(#REF!="ZERO",0))))),"")</f>
        <v>#REF!</v>
      </c>
      <c r="H520" s="127" t="str">
        <f t="shared" si="25"/>
        <v/>
      </c>
      <c r="I520" s="125" t="str">
        <f t="shared" si="26"/>
        <v/>
      </c>
    </row>
    <row r="521" spans="1:9" hidden="1" x14ac:dyDescent="0.25">
      <c r="A521" s="103" t="s">
        <v>2095</v>
      </c>
      <c r="B521" s="104" t="s">
        <v>2096</v>
      </c>
      <c r="C521" s="105" t="s">
        <v>93</v>
      </c>
      <c r="D521" s="105">
        <v>0</v>
      </c>
      <c r="E521" s="124" t="s">
        <v>523</v>
      </c>
      <c r="F521" s="125" t="str">
        <f t="shared" si="24"/>
        <v/>
      </c>
      <c r="G521" s="126" t="e">
        <f>IF(A521&lt;&gt;"",IF(AND(#REF!="Padrão",$H$4=#REF!),BDI!$B$17,IF(AND(#REF!="Padrão",$H$4=#REF!),BDI!#REF!,IF(AND(#REF!="Diferenciado",$H$4=#REF!),BDI!$E$17,IF(AND(#REF!="Diferenciado",$H$4=#REF!),BDI!#REF!,IF(#REF!="ZERO",0))))),"")</f>
        <v>#REF!</v>
      </c>
      <c r="H521" s="127" t="str">
        <f t="shared" si="25"/>
        <v/>
      </c>
      <c r="I521" s="125" t="str">
        <f t="shared" si="26"/>
        <v/>
      </c>
    </row>
    <row r="522" spans="1:9" hidden="1" x14ac:dyDescent="0.25">
      <c r="A522" s="103" t="s">
        <v>2097</v>
      </c>
      <c r="B522" s="104" t="s">
        <v>2098</v>
      </c>
      <c r="C522" s="105" t="s">
        <v>93</v>
      </c>
      <c r="D522" s="105">
        <v>0</v>
      </c>
      <c r="E522" s="124" t="s">
        <v>523</v>
      </c>
      <c r="F522" s="125" t="str">
        <f t="shared" si="24"/>
        <v/>
      </c>
      <c r="G522" s="126" t="e">
        <f>IF(A522&lt;&gt;"",IF(AND(#REF!="Padrão",$H$4=#REF!),BDI!$B$17,IF(AND(#REF!="Padrão",$H$4=#REF!),BDI!#REF!,IF(AND(#REF!="Diferenciado",$H$4=#REF!),BDI!$E$17,IF(AND(#REF!="Diferenciado",$H$4=#REF!),BDI!#REF!,IF(#REF!="ZERO",0))))),"")</f>
        <v>#REF!</v>
      </c>
      <c r="H522" s="127" t="str">
        <f t="shared" si="25"/>
        <v/>
      </c>
      <c r="I522" s="125" t="str">
        <f t="shared" si="26"/>
        <v/>
      </c>
    </row>
    <row r="523" spans="1:9" hidden="1" x14ac:dyDescent="0.25">
      <c r="A523" s="103" t="s">
        <v>2099</v>
      </c>
      <c r="B523" s="104" t="s">
        <v>2100</v>
      </c>
      <c r="C523" s="105" t="s">
        <v>93</v>
      </c>
      <c r="D523" s="105">
        <v>0</v>
      </c>
      <c r="E523" s="124" t="s">
        <v>523</v>
      </c>
      <c r="F523" s="125" t="str">
        <f t="shared" si="24"/>
        <v/>
      </c>
      <c r="G523" s="126" t="e">
        <f>IF(A523&lt;&gt;"",IF(AND(#REF!="Padrão",$H$4=#REF!),BDI!$B$17,IF(AND(#REF!="Padrão",$H$4=#REF!),BDI!#REF!,IF(AND(#REF!="Diferenciado",$H$4=#REF!),BDI!$E$17,IF(AND(#REF!="Diferenciado",$H$4=#REF!),BDI!#REF!,IF(#REF!="ZERO",0))))),"")</f>
        <v>#REF!</v>
      </c>
      <c r="H523" s="127" t="str">
        <f t="shared" si="25"/>
        <v/>
      </c>
      <c r="I523" s="125" t="str">
        <f t="shared" si="26"/>
        <v/>
      </c>
    </row>
    <row r="524" spans="1:9" hidden="1" x14ac:dyDescent="0.25">
      <c r="A524" s="103" t="s">
        <v>2101</v>
      </c>
      <c r="B524" s="104" t="s">
        <v>2102</v>
      </c>
      <c r="C524" s="105" t="s">
        <v>93</v>
      </c>
      <c r="D524" s="105">
        <v>0</v>
      </c>
      <c r="E524" s="124" t="s">
        <v>523</v>
      </c>
      <c r="F524" s="125" t="str">
        <f t="shared" si="24"/>
        <v/>
      </c>
      <c r="G524" s="126" t="e">
        <f>IF(A524&lt;&gt;"",IF(AND(#REF!="Padrão",$H$4=#REF!),BDI!$B$17,IF(AND(#REF!="Padrão",$H$4=#REF!),BDI!#REF!,IF(AND(#REF!="Diferenciado",$H$4=#REF!),BDI!$E$17,IF(AND(#REF!="Diferenciado",$H$4=#REF!),BDI!#REF!,IF(#REF!="ZERO",0))))),"")</f>
        <v>#REF!</v>
      </c>
      <c r="H524" s="127" t="str">
        <f t="shared" si="25"/>
        <v/>
      </c>
      <c r="I524" s="125" t="str">
        <f t="shared" si="26"/>
        <v/>
      </c>
    </row>
    <row r="525" spans="1:9" hidden="1" x14ac:dyDescent="0.25">
      <c r="A525" s="103" t="s">
        <v>2103</v>
      </c>
      <c r="B525" s="104" t="s">
        <v>2104</v>
      </c>
      <c r="C525" s="105" t="s">
        <v>93</v>
      </c>
      <c r="D525" s="105">
        <v>0</v>
      </c>
      <c r="E525" s="124" t="s">
        <v>523</v>
      </c>
      <c r="F525" s="125" t="str">
        <f t="shared" si="24"/>
        <v/>
      </c>
      <c r="G525" s="126" t="e">
        <f>IF(A525&lt;&gt;"",IF(AND(#REF!="Padrão",$H$4=#REF!),BDI!$B$17,IF(AND(#REF!="Padrão",$H$4=#REF!),BDI!#REF!,IF(AND(#REF!="Diferenciado",$H$4=#REF!),BDI!$E$17,IF(AND(#REF!="Diferenciado",$H$4=#REF!),BDI!#REF!,IF(#REF!="ZERO",0))))),"")</f>
        <v>#REF!</v>
      </c>
      <c r="H525" s="127" t="str">
        <f t="shared" si="25"/>
        <v/>
      </c>
      <c r="I525" s="125" t="str">
        <f t="shared" si="26"/>
        <v/>
      </c>
    </row>
    <row r="526" spans="1:9" hidden="1" x14ac:dyDescent="0.25">
      <c r="A526" s="103" t="s">
        <v>2105</v>
      </c>
      <c r="B526" s="104" t="s">
        <v>2106</v>
      </c>
      <c r="C526" s="105" t="s">
        <v>93</v>
      </c>
      <c r="D526" s="105">
        <v>0</v>
      </c>
      <c r="E526" s="124" t="s">
        <v>523</v>
      </c>
      <c r="F526" s="125" t="str">
        <f t="shared" si="24"/>
        <v/>
      </c>
      <c r="G526" s="126" t="e">
        <f>IF(A526&lt;&gt;"",IF(AND(#REF!="Padrão",$H$4=#REF!),BDI!$B$17,IF(AND(#REF!="Padrão",$H$4=#REF!),BDI!#REF!,IF(AND(#REF!="Diferenciado",$H$4=#REF!),BDI!$E$17,IF(AND(#REF!="Diferenciado",$H$4=#REF!),BDI!#REF!,IF(#REF!="ZERO",0))))),"")</f>
        <v>#REF!</v>
      </c>
      <c r="H526" s="127" t="str">
        <f t="shared" si="25"/>
        <v/>
      </c>
      <c r="I526" s="125" t="str">
        <f t="shared" si="26"/>
        <v/>
      </c>
    </row>
    <row r="527" spans="1:9" hidden="1" x14ac:dyDescent="0.25">
      <c r="A527" s="103" t="s">
        <v>2107</v>
      </c>
      <c r="B527" s="104" t="s">
        <v>2108</v>
      </c>
      <c r="C527" s="105" t="s">
        <v>93</v>
      </c>
      <c r="D527" s="105">
        <v>0</v>
      </c>
      <c r="E527" s="124" t="s">
        <v>523</v>
      </c>
      <c r="F527" s="125" t="str">
        <f t="shared" si="24"/>
        <v/>
      </c>
      <c r="G527" s="126" t="e">
        <f>IF(A527&lt;&gt;"",IF(AND(#REF!="Padrão",$H$4=#REF!),BDI!$B$17,IF(AND(#REF!="Padrão",$H$4=#REF!),BDI!#REF!,IF(AND(#REF!="Diferenciado",$H$4=#REF!),BDI!$E$17,IF(AND(#REF!="Diferenciado",$H$4=#REF!),BDI!#REF!,IF(#REF!="ZERO",0))))),"")</f>
        <v>#REF!</v>
      </c>
      <c r="H527" s="127" t="str">
        <f t="shared" si="25"/>
        <v/>
      </c>
      <c r="I527" s="125" t="str">
        <f t="shared" si="26"/>
        <v/>
      </c>
    </row>
    <row r="528" spans="1:9" hidden="1" x14ac:dyDescent="0.25">
      <c r="A528" s="103" t="s">
        <v>2109</v>
      </c>
      <c r="B528" s="104" t="s">
        <v>2110</v>
      </c>
      <c r="C528" s="105" t="s">
        <v>93</v>
      </c>
      <c r="D528" s="105">
        <v>0</v>
      </c>
      <c r="E528" s="124" t="s">
        <v>523</v>
      </c>
      <c r="F528" s="125" t="str">
        <f t="shared" si="24"/>
        <v/>
      </c>
      <c r="G528" s="126" t="e">
        <f>IF(A528&lt;&gt;"",IF(AND(#REF!="Padrão",$H$4=#REF!),BDI!$B$17,IF(AND(#REF!="Padrão",$H$4=#REF!),BDI!#REF!,IF(AND(#REF!="Diferenciado",$H$4=#REF!),BDI!$E$17,IF(AND(#REF!="Diferenciado",$H$4=#REF!),BDI!#REF!,IF(#REF!="ZERO",0))))),"")</f>
        <v>#REF!</v>
      </c>
      <c r="H528" s="127" t="str">
        <f t="shared" si="25"/>
        <v/>
      </c>
      <c r="I528" s="125" t="str">
        <f t="shared" si="26"/>
        <v/>
      </c>
    </row>
    <row r="529" spans="1:9" hidden="1" x14ac:dyDescent="0.25">
      <c r="A529" s="103" t="s">
        <v>2111</v>
      </c>
      <c r="B529" s="104" t="s">
        <v>2112</v>
      </c>
      <c r="C529" s="105" t="s">
        <v>93</v>
      </c>
      <c r="D529" s="105">
        <v>0</v>
      </c>
      <c r="E529" s="124" t="s">
        <v>523</v>
      </c>
      <c r="F529" s="125" t="str">
        <f t="shared" si="24"/>
        <v/>
      </c>
      <c r="G529" s="126" t="e">
        <f>IF(A529&lt;&gt;"",IF(AND(#REF!="Padrão",$H$4=#REF!),BDI!$B$17,IF(AND(#REF!="Padrão",$H$4=#REF!),BDI!#REF!,IF(AND(#REF!="Diferenciado",$H$4=#REF!),BDI!$E$17,IF(AND(#REF!="Diferenciado",$H$4=#REF!),BDI!#REF!,IF(#REF!="ZERO",0))))),"")</f>
        <v>#REF!</v>
      </c>
      <c r="H529" s="127" t="str">
        <f t="shared" si="25"/>
        <v/>
      </c>
      <c r="I529" s="125" t="str">
        <f t="shared" si="26"/>
        <v/>
      </c>
    </row>
    <row r="530" spans="1:9" hidden="1" x14ac:dyDescent="0.25">
      <c r="A530" s="103" t="s">
        <v>2113</v>
      </c>
      <c r="B530" s="104" t="s">
        <v>2114</v>
      </c>
      <c r="C530" s="105" t="s">
        <v>93</v>
      </c>
      <c r="D530" s="105">
        <v>0</v>
      </c>
      <c r="E530" s="124" t="s">
        <v>523</v>
      </c>
      <c r="F530" s="125" t="str">
        <f t="shared" si="24"/>
        <v/>
      </c>
      <c r="G530" s="126" t="e">
        <f>IF(A530&lt;&gt;"",IF(AND(#REF!="Padrão",$H$4=#REF!),BDI!$B$17,IF(AND(#REF!="Padrão",$H$4=#REF!),BDI!#REF!,IF(AND(#REF!="Diferenciado",$H$4=#REF!),BDI!$E$17,IF(AND(#REF!="Diferenciado",$H$4=#REF!),BDI!#REF!,IF(#REF!="ZERO",0))))),"")</f>
        <v>#REF!</v>
      </c>
      <c r="H530" s="127" t="str">
        <f t="shared" si="25"/>
        <v/>
      </c>
      <c r="I530" s="125" t="str">
        <f t="shared" si="26"/>
        <v/>
      </c>
    </row>
    <row r="531" spans="1:9" hidden="1" x14ac:dyDescent="0.25">
      <c r="A531" s="103" t="s">
        <v>2115</v>
      </c>
      <c r="B531" s="104" t="s">
        <v>2116</v>
      </c>
      <c r="C531" s="105" t="s">
        <v>93</v>
      </c>
      <c r="D531" s="105">
        <v>0</v>
      </c>
      <c r="E531" s="124" t="s">
        <v>523</v>
      </c>
      <c r="F531" s="125" t="str">
        <f t="shared" si="24"/>
        <v/>
      </c>
      <c r="G531" s="126" t="e">
        <f>IF(A531&lt;&gt;"",IF(AND(#REF!="Padrão",$H$4=#REF!),BDI!$B$17,IF(AND(#REF!="Padrão",$H$4=#REF!),BDI!#REF!,IF(AND(#REF!="Diferenciado",$H$4=#REF!),BDI!$E$17,IF(AND(#REF!="Diferenciado",$H$4=#REF!),BDI!#REF!,IF(#REF!="ZERO",0))))),"")</f>
        <v>#REF!</v>
      </c>
      <c r="H531" s="127" t="str">
        <f t="shared" si="25"/>
        <v/>
      </c>
      <c r="I531" s="125" t="str">
        <f t="shared" si="26"/>
        <v/>
      </c>
    </row>
    <row r="532" spans="1:9" hidden="1" x14ac:dyDescent="0.25">
      <c r="A532" s="103" t="s">
        <v>2117</v>
      </c>
      <c r="B532" s="104" t="s">
        <v>2118</v>
      </c>
      <c r="C532" s="105" t="s">
        <v>93</v>
      </c>
      <c r="D532" s="105">
        <v>0</v>
      </c>
      <c r="E532" s="124" t="s">
        <v>523</v>
      </c>
      <c r="F532" s="125" t="str">
        <f t="shared" si="24"/>
        <v/>
      </c>
      <c r="G532" s="126" t="e">
        <f>IF(A532&lt;&gt;"",IF(AND(#REF!="Padrão",$H$4=#REF!),BDI!$B$17,IF(AND(#REF!="Padrão",$H$4=#REF!),BDI!#REF!,IF(AND(#REF!="Diferenciado",$H$4=#REF!),BDI!$E$17,IF(AND(#REF!="Diferenciado",$H$4=#REF!),BDI!#REF!,IF(#REF!="ZERO",0))))),"")</f>
        <v>#REF!</v>
      </c>
      <c r="H532" s="127" t="str">
        <f t="shared" si="25"/>
        <v/>
      </c>
      <c r="I532" s="125" t="str">
        <f t="shared" si="26"/>
        <v/>
      </c>
    </row>
    <row r="533" spans="1:9" hidden="1" x14ac:dyDescent="0.25">
      <c r="A533" s="103" t="s">
        <v>2119</v>
      </c>
      <c r="B533" s="104" t="s">
        <v>2120</v>
      </c>
      <c r="C533" s="105" t="s">
        <v>93</v>
      </c>
      <c r="D533" s="105">
        <v>0</v>
      </c>
      <c r="E533" s="124" t="s">
        <v>523</v>
      </c>
      <c r="F533" s="125" t="str">
        <f t="shared" si="24"/>
        <v/>
      </c>
      <c r="G533" s="126" t="e">
        <f>IF(A533&lt;&gt;"",IF(AND(#REF!="Padrão",$H$4=#REF!),BDI!$B$17,IF(AND(#REF!="Padrão",$H$4=#REF!),BDI!#REF!,IF(AND(#REF!="Diferenciado",$H$4=#REF!),BDI!$E$17,IF(AND(#REF!="Diferenciado",$H$4=#REF!),BDI!#REF!,IF(#REF!="ZERO",0))))),"")</f>
        <v>#REF!</v>
      </c>
      <c r="H533" s="127" t="str">
        <f t="shared" si="25"/>
        <v/>
      </c>
      <c r="I533" s="125" t="str">
        <f t="shared" si="26"/>
        <v/>
      </c>
    </row>
    <row r="534" spans="1:9" hidden="1" x14ac:dyDescent="0.25">
      <c r="A534" s="103" t="s">
        <v>2121</v>
      </c>
      <c r="B534" s="104" t="s">
        <v>2122</v>
      </c>
      <c r="C534" s="105" t="s">
        <v>93</v>
      </c>
      <c r="D534" s="105">
        <v>0</v>
      </c>
      <c r="E534" s="124" t="s">
        <v>523</v>
      </c>
      <c r="F534" s="125" t="str">
        <f t="shared" si="24"/>
        <v/>
      </c>
      <c r="G534" s="126" t="e">
        <f>IF(A534&lt;&gt;"",IF(AND(#REF!="Padrão",$H$4=#REF!),BDI!$B$17,IF(AND(#REF!="Padrão",$H$4=#REF!),BDI!#REF!,IF(AND(#REF!="Diferenciado",$H$4=#REF!),BDI!$E$17,IF(AND(#REF!="Diferenciado",$H$4=#REF!),BDI!#REF!,IF(#REF!="ZERO",0))))),"")</f>
        <v>#REF!</v>
      </c>
      <c r="H534" s="127" t="str">
        <f t="shared" si="25"/>
        <v/>
      </c>
      <c r="I534" s="125" t="str">
        <f t="shared" si="26"/>
        <v/>
      </c>
    </row>
    <row r="535" spans="1:9" hidden="1" x14ac:dyDescent="0.25">
      <c r="A535" s="103" t="s">
        <v>2123</v>
      </c>
      <c r="B535" s="104" t="s">
        <v>2124</v>
      </c>
      <c r="C535" s="105" t="s">
        <v>93</v>
      </c>
      <c r="D535" s="105">
        <v>0</v>
      </c>
      <c r="E535" s="124" t="s">
        <v>523</v>
      </c>
      <c r="F535" s="125" t="str">
        <f t="shared" si="24"/>
        <v/>
      </c>
      <c r="G535" s="126" t="e">
        <f>IF(A535&lt;&gt;"",IF(AND(#REF!="Padrão",$H$4=#REF!),BDI!$B$17,IF(AND(#REF!="Padrão",$H$4=#REF!),BDI!#REF!,IF(AND(#REF!="Diferenciado",$H$4=#REF!),BDI!$E$17,IF(AND(#REF!="Diferenciado",$H$4=#REF!),BDI!#REF!,IF(#REF!="ZERO",0))))),"")</f>
        <v>#REF!</v>
      </c>
      <c r="H535" s="127" t="str">
        <f t="shared" si="25"/>
        <v/>
      </c>
      <c r="I535" s="125" t="str">
        <f t="shared" si="26"/>
        <v/>
      </c>
    </row>
    <row r="536" spans="1:9" hidden="1" x14ac:dyDescent="0.25">
      <c r="A536" s="103" t="s">
        <v>2125</v>
      </c>
      <c r="B536" s="104" t="s">
        <v>2126</v>
      </c>
      <c r="C536" s="105" t="s">
        <v>93</v>
      </c>
      <c r="D536" s="105">
        <v>0</v>
      </c>
      <c r="E536" s="124" t="s">
        <v>523</v>
      </c>
      <c r="F536" s="125" t="str">
        <f t="shared" si="24"/>
        <v/>
      </c>
      <c r="G536" s="126" t="e">
        <f>IF(A536&lt;&gt;"",IF(AND(#REF!="Padrão",$H$4=#REF!),BDI!$B$17,IF(AND(#REF!="Padrão",$H$4=#REF!),BDI!#REF!,IF(AND(#REF!="Diferenciado",$H$4=#REF!),BDI!$E$17,IF(AND(#REF!="Diferenciado",$H$4=#REF!),BDI!#REF!,IF(#REF!="ZERO",0))))),"")</f>
        <v>#REF!</v>
      </c>
      <c r="H536" s="127" t="str">
        <f t="shared" si="25"/>
        <v/>
      </c>
      <c r="I536" s="125" t="str">
        <f t="shared" si="26"/>
        <v/>
      </c>
    </row>
    <row r="537" spans="1:9" hidden="1" x14ac:dyDescent="0.25">
      <c r="A537" s="103" t="s">
        <v>2127</v>
      </c>
      <c r="B537" s="104" t="s">
        <v>2128</v>
      </c>
      <c r="C537" s="105" t="s">
        <v>93</v>
      </c>
      <c r="D537" s="105">
        <v>0</v>
      </c>
      <c r="E537" s="124" t="s">
        <v>523</v>
      </c>
      <c r="F537" s="125" t="str">
        <f t="shared" si="24"/>
        <v/>
      </c>
      <c r="G537" s="126" t="e">
        <f>IF(A537&lt;&gt;"",IF(AND(#REF!="Padrão",$H$4=#REF!),BDI!$B$17,IF(AND(#REF!="Padrão",$H$4=#REF!),BDI!#REF!,IF(AND(#REF!="Diferenciado",$H$4=#REF!),BDI!$E$17,IF(AND(#REF!="Diferenciado",$H$4=#REF!),BDI!#REF!,IF(#REF!="ZERO",0))))),"")</f>
        <v>#REF!</v>
      </c>
      <c r="H537" s="127" t="str">
        <f t="shared" si="25"/>
        <v/>
      </c>
      <c r="I537" s="125" t="str">
        <f t="shared" si="26"/>
        <v/>
      </c>
    </row>
    <row r="538" spans="1:9" hidden="1" x14ac:dyDescent="0.25">
      <c r="A538" s="103" t="s">
        <v>2129</v>
      </c>
      <c r="B538" s="104" t="s">
        <v>2130</v>
      </c>
      <c r="C538" s="105" t="s">
        <v>93</v>
      </c>
      <c r="D538" s="105">
        <v>0</v>
      </c>
      <c r="E538" s="124" t="s">
        <v>523</v>
      </c>
      <c r="F538" s="125" t="str">
        <f t="shared" si="24"/>
        <v/>
      </c>
      <c r="G538" s="126" t="e">
        <f>IF(A538&lt;&gt;"",IF(AND(#REF!="Padrão",$H$4=#REF!),BDI!$B$17,IF(AND(#REF!="Padrão",$H$4=#REF!),BDI!#REF!,IF(AND(#REF!="Diferenciado",$H$4=#REF!),BDI!$E$17,IF(AND(#REF!="Diferenciado",$H$4=#REF!),BDI!#REF!,IF(#REF!="ZERO",0))))),"")</f>
        <v>#REF!</v>
      </c>
      <c r="H538" s="127" t="str">
        <f t="shared" si="25"/>
        <v/>
      </c>
      <c r="I538" s="125" t="str">
        <f t="shared" si="26"/>
        <v/>
      </c>
    </row>
    <row r="539" spans="1:9" hidden="1" x14ac:dyDescent="0.25">
      <c r="A539" s="103" t="s">
        <v>2131</v>
      </c>
      <c r="B539" s="104" t="s">
        <v>2132</v>
      </c>
      <c r="C539" s="105" t="s">
        <v>93</v>
      </c>
      <c r="D539" s="105">
        <v>0</v>
      </c>
      <c r="E539" s="124" t="s">
        <v>523</v>
      </c>
      <c r="F539" s="125" t="str">
        <f t="shared" si="24"/>
        <v/>
      </c>
      <c r="G539" s="126" t="e">
        <f>IF(A539&lt;&gt;"",IF(AND(#REF!="Padrão",$H$4=#REF!),BDI!$B$17,IF(AND(#REF!="Padrão",$H$4=#REF!),BDI!#REF!,IF(AND(#REF!="Diferenciado",$H$4=#REF!),BDI!$E$17,IF(AND(#REF!="Diferenciado",$H$4=#REF!),BDI!#REF!,IF(#REF!="ZERO",0))))),"")</f>
        <v>#REF!</v>
      </c>
      <c r="H539" s="127" t="str">
        <f t="shared" si="25"/>
        <v/>
      </c>
      <c r="I539" s="125" t="str">
        <f t="shared" si="26"/>
        <v/>
      </c>
    </row>
    <row r="540" spans="1:9" hidden="1" x14ac:dyDescent="0.25">
      <c r="A540" s="103" t="s">
        <v>2133</v>
      </c>
      <c r="B540" s="104" t="s">
        <v>2134</v>
      </c>
      <c r="C540" s="105" t="s">
        <v>93</v>
      </c>
      <c r="D540" s="105">
        <v>0</v>
      </c>
      <c r="E540" s="124" t="s">
        <v>523</v>
      </c>
      <c r="F540" s="125" t="str">
        <f t="shared" si="24"/>
        <v/>
      </c>
      <c r="G540" s="126" t="e">
        <f>IF(A540&lt;&gt;"",IF(AND(#REF!="Padrão",$H$4=#REF!),BDI!$B$17,IF(AND(#REF!="Padrão",$H$4=#REF!),BDI!#REF!,IF(AND(#REF!="Diferenciado",$H$4=#REF!),BDI!$E$17,IF(AND(#REF!="Diferenciado",$H$4=#REF!),BDI!#REF!,IF(#REF!="ZERO",0))))),"")</f>
        <v>#REF!</v>
      </c>
      <c r="H540" s="127" t="str">
        <f t="shared" si="25"/>
        <v/>
      </c>
      <c r="I540" s="125" t="str">
        <f t="shared" si="26"/>
        <v/>
      </c>
    </row>
    <row r="541" spans="1:9" hidden="1" x14ac:dyDescent="0.25">
      <c r="A541" s="103" t="s">
        <v>2135</v>
      </c>
      <c r="B541" s="104" t="s">
        <v>2136</v>
      </c>
      <c r="C541" s="105" t="s">
        <v>93</v>
      </c>
      <c r="D541" s="105">
        <v>0</v>
      </c>
      <c r="E541" s="124" t="s">
        <v>523</v>
      </c>
      <c r="F541" s="125" t="str">
        <f t="shared" si="24"/>
        <v/>
      </c>
      <c r="G541" s="126" t="e">
        <f>IF(A541&lt;&gt;"",IF(AND(#REF!="Padrão",$H$4=#REF!),BDI!$B$17,IF(AND(#REF!="Padrão",$H$4=#REF!),BDI!#REF!,IF(AND(#REF!="Diferenciado",$H$4=#REF!),BDI!$E$17,IF(AND(#REF!="Diferenciado",$H$4=#REF!),BDI!#REF!,IF(#REF!="ZERO",0))))),"")</f>
        <v>#REF!</v>
      </c>
      <c r="H541" s="127" t="str">
        <f t="shared" si="25"/>
        <v/>
      </c>
      <c r="I541" s="125" t="str">
        <f t="shared" si="26"/>
        <v/>
      </c>
    </row>
    <row r="542" spans="1:9" hidden="1" x14ac:dyDescent="0.25">
      <c r="A542" s="103" t="s">
        <v>2137</v>
      </c>
      <c r="B542" s="104" t="s">
        <v>2138</v>
      </c>
      <c r="C542" s="105" t="s">
        <v>93</v>
      </c>
      <c r="D542" s="105">
        <v>0</v>
      </c>
      <c r="E542" s="124" t="s">
        <v>523</v>
      </c>
      <c r="F542" s="125" t="str">
        <f t="shared" si="24"/>
        <v/>
      </c>
      <c r="G542" s="126" t="e">
        <f>IF(A542&lt;&gt;"",IF(AND(#REF!="Padrão",$H$4=#REF!),BDI!$B$17,IF(AND(#REF!="Padrão",$H$4=#REF!),BDI!#REF!,IF(AND(#REF!="Diferenciado",$H$4=#REF!),BDI!$E$17,IF(AND(#REF!="Diferenciado",$H$4=#REF!),BDI!#REF!,IF(#REF!="ZERO",0))))),"")</f>
        <v>#REF!</v>
      </c>
      <c r="H542" s="127" t="str">
        <f t="shared" si="25"/>
        <v/>
      </c>
      <c r="I542" s="125" t="str">
        <f t="shared" si="26"/>
        <v/>
      </c>
    </row>
    <row r="543" spans="1:9" hidden="1" x14ac:dyDescent="0.25">
      <c r="A543" s="103" t="s">
        <v>2139</v>
      </c>
      <c r="B543" s="104" t="s">
        <v>2140</v>
      </c>
      <c r="C543" s="105" t="s">
        <v>20</v>
      </c>
      <c r="D543" s="105">
        <v>0</v>
      </c>
      <c r="E543" s="124" t="s">
        <v>523</v>
      </c>
      <c r="F543" s="125" t="str">
        <f t="shared" si="24"/>
        <v/>
      </c>
      <c r="G543" s="126" t="e">
        <f>IF(A543&lt;&gt;"",IF(AND(#REF!="Padrão",$H$4=#REF!),BDI!$B$17,IF(AND(#REF!="Padrão",$H$4=#REF!),BDI!#REF!,IF(AND(#REF!="Diferenciado",$H$4=#REF!),BDI!$E$17,IF(AND(#REF!="Diferenciado",$H$4=#REF!),BDI!#REF!,IF(#REF!="ZERO",0))))),"")</f>
        <v>#REF!</v>
      </c>
      <c r="H543" s="127" t="str">
        <f t="shared" si="25"/>
        <v/>
      </c>
      <c r="I543" s="125" t="str">
        <f t="shared" si="26"/>
        <v/>
      </c>
    </row>
    <row r="544" spans="1:9" hidden="1" x14ac:dyDescent="0.25">
      <c r="A544" s="103" t="s">
        <v>2141</v>
      </c>
      <c r="B544" s="104" t="s">
        <v>2142</v>
      </c>
      <c r="C544" s="105" t="s">
        <v>20</v>
      </c>
      <c r="D544" s="105">
        <v>0</v>
      </c>
      <c r="E544" s="124" t="s">
        <v>523</v>
      </c>
      <c r="F544" s="125" t="str">
        <f t="shared" si="24"/>
        <v/>
      </c>
      <c r="G544" s="126" t="e">
        <f>IF(A544&lt;&gt;"",IF(AND(#REF!="Padrão",$H$4=#REF!),BDI!$B$17,IF(AND(#REF!="Padrão",$H$4=#REF!),BDI!#REF!,IF(AND(#REF!="Diferenciado",$H$4=#REF!),BDI!$E$17,IF(AND(#REF!="Diferenciado",$H$4=#REF!),BDI!#REF!,IF(#REF!="ZERO",0))))),"")</f>
        <v>#REF!</v>
      </c>
      <c r="H544" s="127" t="str">
        <f t="shared" si="25"/>
        <v/>
      </c>
      <c r="I544" s="125" t="str">
        <f t="shared" si="26"/>
        <v/>
      </c>
    </row>
    <row r="545" spans="1:9" hidden="1" x14ac:dyDescent="0.25">
      <c r="A545" s="103" t="s">
        <v>2143</v>
      </c>
      <c r="B545" s="104" t="s">
        <v>2144</v>
      </c>
      <c r="C545" s="105" t="s">
        <v>93</v>
      </c>
      <c r="D545" s="105">
        <v>0</v>
      </c>
      <c r="E545" s="124" t="s">
        <v>523</v>
      </c>
      <c r="F545" s="125" t="str">
        <f t="shared" si="24"/>
        <v/>
      </c>
      <c r="G545" s="126" t="e">
        <f>IF(A545&lt;&gt;"",IF(AND(#REF!="Padrão",$H$4=#REF!),BDI!$B$17,IF(AND(#REF!="Padrão",$H$4=#REF!),BDI!#REF!,IF(AND(#REF!="Diferenciado",$H$4=#REF!),BDI!$E$17,IF(AND(#REF!="Diferenciado",$H$4=#REF!),BDI!#REF!,IF(#REF!="ZERO",0))))),"")</f>
        <v>#REF!</v>
      </c>
      <c r="H545" s="127" t="str">
        <f t="shared" si="25"/>
        <v/>
      </c>
      <c r="I545" s="125" t="str">
        <f t="shared" si="26"/>
        <v/>
      </c>
    </row>
    <row r="546" spans="1:9" hidden="1" x14ac:dyDescent="0.25">
      <c r="A546" s="103" t="s">
        <v>2145</v>
      </c>
      <c r="B546" s="104" t="s">
        <v>2146</v>
      </c>
      <c r="C546" s="105" t="s">
        <v>93</v>
      </c>
      <c r="D546" s="105">
        <v>0</v>
      </c>
      <c r="E546" s="124" t="s">
        <v>523</v>
      </c>
      <c r="F546" s="125" t="str">
        <f t="shared" si="24"/>
        <v/>
      </c>
      <c r="G546" s="126" t="e">
        <f>IF(A546&lt;&gt;"",IF(AND(#REF!="Padrão",$H$4=#REF!),BDI!$B$17,IF(AND(#REF!="Padrão",$H$4=#REF!),BDI!#REF!,IF(AND(#REF!="Diferenciado",$H$4=#REF!),BDI!$E$17,IF(AND(#REF!="Diferenciado",$H$4=#REF!),BDI!#REF!,IF(#REF!="ZERO",0))))),"")</f>
        <v>#REF!</v>
      </c>
      <c r="H546" s="127" t="str">
        <f t="shared" si="25"/>
        <v/>
      </c>
      <c r="I546" s="125" t="str">
        <f t="shared" si="26"/>
        <v/>
      </c>
    </row>
    <row r="547" spans="1:9" hidden="1" x14ac:dyDescent="0.25">
      <c r="A547" s="103" t="s">
        <v>2147</v>
      </c>
      <c r="B547" s="104" t="s">
        <v>2148</v>
      </c>
      <c r="C547" s="105" t="s">
        <v>93</v>
      </c>
      <c r="D547" s="105">
        <v>0</v>
      </c>
      <c r="E547" s="124" t="s">
        <v>523</v>
      </c>
      <c r="F547" s="125" t="str">
        <f t="shared" si="24"/>
        <v/>
      </c>
      <c r="G547" s="126" t="e">
        <f>IF(A547&lt;&gt;"",IF(AND(#REF!="Padrão",$H$4=#REF!),BDI!$B$17,IF(AND(#REF!="Padrão",$H$4=#REF!),BDI!#REF!,IF(AND(#REF!="Diferenciado",$H$4=#REF!),BDI!$E$17,IF(AND(#REF!="Diferenciado",$H$4=#REF!),BDI!#REF!,IF(#REF!="ZERO",0))))),"")</f>
        <v>#REF!</v>
      </c>
      <c r="H547" s="127" t="str">
        <f t="shared" si="25"/>
        <v/>
      </c>
      <c r="I547" s="125" t="str">
        <f t="shared" si="26"/>
        <v/>
      </c>
    </row>
    <row r="548" spans="1:9" hidden="1" x14ac:dyDescent="0.25">
      <c r="A548" s="103" t="s">
        <v>2149</v>
      </c>
      <c r="B548" s="104" t="s">
        <v>2150</v>
      </c>
      <c r="C548" s="105" t="s">
        <v>93</v>
      </c>
      <c r="D548" s="105">
        <v>0</v>
      </c>
      <c r="E548" s="124" t="s">
        <v>523</v>
      </c>
      <c r="F548" s="125" t="str">
        <f t="shared" si="24"/>
        <v/>
      </c>
      <c r="G548" s="126" t="e">
        <f>IF(A548&lt;&gt;"",IF(AND(#REF!="Padrão",$H$4=#REF!),BDI!$B$17,IF(AND(#REF!="Padrão",$H$4=#REF!),BDI!#REF!,IF(AND(#REF!="Diferenciado",$H$4=#REF!),BDI!$E$17,IF(AND(#REF!="Diferenciado",$H$4=#REF!),BDI!#REF!,IF(#REF!="ZERO",0))))),"")</f>
        <v>#REF!</v>
      </c>
      <c r="H548" s="127" t="str">
        <f t="shared" si="25"/>
        <v/>
      </c>
      <c r="I548" s="125" t="str">
        <f t="shared" si="26"/>
        <v/>
      </c>
    </row>
    <row r="549" spans="1:9" hidden="1" x14ac:dyDescent="0.25">
      <c r="A549" s="103" t="s">
        <v>2151</v>
      </c>
      <c r="B549" s="104" t="s">
        <v>2152</v>
      </c>
      <c r="C549" s="105" t="s">
        <v>93</v>
      </c>
      <c r="D549" s="105">
        <v>0</v>
      </c>
      <c r="E549" s="124" t="s">
        <v>523</v>
      </c>
      <c r="F549" s="125" t="str">
        <f t="shared" si="24"/>
        <v/>
      </c>
      <c r="G549" s="126" t="e">
        <f>IF(A549&lt;&gt;"",IF(AND(#REF!="Padrão",$H$4=#REF!),BDI!$B$17,IF(AND(#REF!="Padrão",$H$4=#REF!),BDI!#REF!,IF(AND(#REF!="Diferenciado",$H$4=#REF!),BDI!$E$17,IF(AND(#REF!="Diferenciado",$H$4=#REF!),BDI!#REF!,IF(#REF!="ZERO",0))))),"")</f>
        <v>#REF!</v>
      </c>
      <c r="H549" s="127" t="str">
        <f t="shared" si="25"/>
        <v/>
      </c>
      <c r="I549" s="125" t="str">
        <f t="shared" si="26"/>
        <v/>
      </c>
    </row>
    <row r="550" spans="1:9" hidden="1" x14ac:dyDescent="0.25">
      <c r="A550" s="103" t="s">
        <v>2153</v>
      </c>
      <c r="B550" s="104" t="s">
        <v>2154</v>
      </c>
      <c r="C550" s="105" t="s">
        <v>93</v>
      </c>
      <c r="D550" s="105">
        <v>0</v>
      </c>
      <c r="E550" s="124" t="s">
        <v>523</v>
      </c>
      <c r="F550" s="125" t="str">
        <f t="shared" si="24"/>
        <v/>
      </c>
      <c r="G550" s="126" t="e">
        <f>IF(A550&lt;&gt;"",IF(AND(#REF!="Padrão",$H$4=#REF!),BDI!$B$17,IF(AND(#REF!="Padrão",$H$4=#REF!),BDI!#REF!,IF(AND(#REF!="Diferenciado",$H$4=#REF!),BDI!$E$17,IF(AND(#REF!="Diferenciado",$H$4=#REF!),BDI!#REF!,IF(#REF!="ZERO",0))))),"")</f>
        <v>#REF!</v>
      </c>
      <c r="H550" s="127" t="str">
        <f t="shared" si="25"/>
        <v/>
      </c>
      <c r="I550" s="125" t="str">
        <f t="shared" si="26"/>
        <v/>
      </c>
    </row>
    <row r="551" spans="1:9" hidden="1" x14ac:dyDescent="0.25">
      <c r="A551" s="103" t="s">
        <v>2155</v>
      </c>
      <c r="B551" s="104" t="s">
        <v>2156</v>
      </c>
      <c r="C551" s="105" t="s">
        <v>93</v>
      </c>
      <c r="D551" s="105">
        <v>0</v>
      </c>
      <c r="E551" s="124" t="s">
        <v>523</v>
      </c>
      <c r="F551" s="125" t="str">
        <f t="shared" si="24"/>
        <v/>
      </c>
      <c r="G551" s="126" t="e">
        <f>IF(A551&lt;&gt;"",IF(AND(#REF!="Padrão",$H$4=#REF!),BDI!$B$17,IF(AND(#REF!="Padrão",$H$4=#REF!),BDI!#REF!,IF(AND(#REF!="Diferenciado",$H$4=#REF!),BDI!$E$17,IF(AND(#REF!="Diferenciado",$H$4=#REF!),BDI!#REF!,IF(#REF!="ZERO",0))))),"")</f>
        <v>#REF!</v>
      </c>
      <c r="H551" s="127" t="str">
        <f t="shared" si="25"/>
        <v/>
      </c>
      <c r="I551" s="125" t="str">
        <f t="shared" si="26"/>
        <v/>
      </c>
    </row>
    <row r="552" spans="1:9" hidden="1" x14ac:dyDescent="0.25">
      <c r="A552" s="103" t="s">
        <v>2157</v>
      </c>
      <c r="B552" s="104" t="s">
        <v>2158</v>
      </c>
      <c r="C552" s="105" t="s">
        <v>93</v>
      </c>
      <c r="D552" s="105">
        <v>0</v>
      </c>
      <c r="E552" s="124" t="s">
        <v>523</v>
      </c>
      <c r="F552" s="125" t="str">
        <f t="shared" si="24"/>
        <v/>
      </c>
      <c r="G552" s="126" t="e">
        <f>IF(A552&lt;&gt;"",IF(AND(#REF!="Padrão",$H$4=#REF!),BDI!$B$17,IF(AND(#REF!="Padrão",$H$4=#REF!),BDI!#REF!,IF(AND(#REF!="Diferenciado",$H$4=#REF!),BDI!$E$17,IF(AND(#REF!="Diferenciado",$H$4=#REF!),BDI!#REF!,IF(#REF!="ZERO",0))))),"")</f>
        <v>#REF!</v>
      </c>
      <c r="H552" s="127" t="str">
        <f t="shared" si="25"/>
        <v/>
      </c>
      <c r="I552" s="125" t="str">
        <f t="shared" si="26"/>
        <v/>
      </c>
    </row>
    <row r="553" spans="1:9" hidden="1" x14ac:dyDescent="0.25">
      <c r="A553" s="103" t="s">
        <v>2159</v>
      </c>
      <c r="B553" s="104" t="s">
        <v>2160</v>
      </c>
      <c r="C553" s="105" t="s">
        <v>93</v>
      </c>
      <c r="D553" s="105">
        <v>0</v>
      </c>
      <c r="E553" s="124" t="s">
        <v>523</v>
      </c>
      <c r="F553" s="125" t="str">
        <f t="shared" si="24"/>
        <v/>
      </c>
      <c r="G553" s="126" t="e">
        <f>IF(A553&lt;&gt;"",IF(AND(#REF!="Padrão",$H$4=#REF!),BDI!$B$17,IF(AND(#REF!="Padrão",$H$4=#REF!),BDI!#REF!,IF(AND(#REF!="Diferenciado",$H$4=#REF!),BDI!$E$17,IF(AND(#REF!="Diferenciado",$H$4=#REF!),BDI!#REF!,IF(#REF!="ZERO",0))))),"")</f>
        <v>#REF!</v>
      </c>
      <c r="H553" s="127" t="str">
        <f t="shared" si="25"/>
        <v/>
      </c>
      <c r="I553" s="125" t="str">
        <f t="shared" si="26"/>
        <v/>
      </c>
    </row>
    <row r="554" spans="1:9" hidden="1" x14ac:dyDescent="0.25">
      <c r="A554" s="103" t="s">
        <v>2161</v>
      </c>
      <c r="B554" s="104" t="s">
        <v>2162</v>
      </c>
      <c r="C554" s="105" t="s">
        <v>93</v>
      </c>
      <c r="D554" s="105">
        <v>0</v>
      </c>
      <c r="E554" s="124" t="s">
        <v>523</v>
      </c>
      <c r="F554" s="125" t="str">
        <f t="shared" si="24"/>
        <v/>
      </c>
      <c r="G554" s="126" t="e">
        <f>IF(A554&lt;&gt;"",IF(AND(#REF!="Padrão",$H$4=#REF!),BDI!$B$17,IF(AND(#REF!="Padrão",$H$4=#REF!),BDI!#REF!,IF(AND(#REF!="Diferenciado",$H$4=#REF!),BDI!$E$17,IF(AND(#REF!="Diferenciado",$H$4=#REF!),BDI!#REF!,IF(#REF!="ZERO",0))))),"")</f>
        <v>#REF!</v>
      </c>
      <c r="H554" s="127" t="str">
        <f t="shared" si="25"/>
        <v/>
      </c>
      <c r="I554" s="125" t="str">
        <f t="shared" si="26"/>
        <v/>
      </c>
    </row>
    <row r="555" spans="1:9" hidden="1" x14ac:dyDescent="0.25">
      <c r="A555" s="103" t="s">
        <v>2163</v>
      </c>
      <c r="B555" s="104" t="s">
        <v>2164</v>
      </c>
      <c r="C555" s="105" t="s">
        <v>93</v>
      </c>
      <c r="D555" s="105">
        <v>0</v>
      </c>
      <c r="E555" s="124" t="s">
        <v>523</v>
      </c>
      <c r="F555" s="125" t="str">
        <f t="shared" si="24"/>
        <v/>
      </c>
      <c r="G555" s="126" t="e">
        <f>IF(A555&lt;&gt;"",IF(AND(#REF!="Padrão",$H$4=#REF!),BDI!$B$17,IF(AND(#REF!="Padrão",$H$4=#REF!),BDI!#REF!,IF(AND(#REF!="Diferenciado",$H$4=#REF!),BDI!$E$17,IF(AND(#REF!="Diferenciado",$H$4=#REF!),BDI!#REF!,IF(#REF!="ZERO",0))))),"")</f>
        <v>#REF!</v>
      </c>
      <c r="H555" s="127" t="str">
        <f t="shared" si="25"/>
        <v/>
      </c>
      <c r="I555" s="125" t="str">
        <f t="shared" si="26"/>
        <v/>
      </c>
    </row>
    <row r="556" spans="1:9" hidden="1" x14ac:dyDescent="0.25">
      <c r="A556" s="103" t="s">
        <v>2165</v>
      </c>
      <c r="B556" s="104" t="s">
        <v>2166</v>
      </c>
      <c r="C556" s="105" t="s">
        <v>93</v>
      </c>
      <c r="D556" s="105">
        <v>0</v>
      </c>
      <c r="E556" s="124" t="s">
        <v>523</v>
      </c>
      <c r="F556" s="125" t="str">
        <f t="shared" si="24"/>
        <v/>
      </c>
      <c r="G556" s="126" t="e">
        <f>IF(A556&lt;&gt;"",IF(AND(#REF!="Padrão",$H$4=#REF!),BDI!$B$17,IF(AND(#REF!="Padrão",$H$4=#REF!),BDI!#REF!,IF(AND(#REF!="Diferenciado",$H$4=#REF!),BDI!$E$17,IF(AND(#REF!="Diferenciado",$H$4=#REF!),BDI!#REF!,IF(#REF!="ZERO",0))))),"")</f>
        <v>#REF!</v>
      </c>
      <c r="H556" s="127" t="str">
        <f t="shared" si="25"/>
        <v/>
      </c>
      <c r="I556" s="125" t="str">
        <f t="shared" si="26"/>
        <v/>
      </c>
    </row>
    <row r="557" spans="1:9" hidden="1" x14ac:dyDescent="0.25">
      <c r="A557" s="103" t="s">
        <v>2167</v>
      </c>
      <c r="B557" s="104" t="s">
        <v>2168</v>
      </c>
      <c r="C557" s="105" t="s">
        <v>93</v>
      </c>
      <c r="D557" s="105">
        <v>0</v>
      </c>
      <c r="E557" s="124" t="s">
        <v>523</v>
      </c>
      <c r="F557" s="125" t="str">
        <f t="shared" si="24"/>
        <v/>
      </c>
      <c r="G557" s="126" t="e">
        <f>IF(A557&lt;&gt;"",IF(AND(#REF!="Padrão",$H$4=#REF!),BDI!$B$17,IF(AND(#REF!="Padrão",$H$4=#REF!),BDI!#REF!,IF(AND(#REF!="Diferenciado",$H$4=#REF!),BDI!$E$17,IF(AND(#REF!="Diferenciado",$H$4=#REF!),BDI!#REF!,IF(#REF!="ZERO",0))))),"")</f>
        <v>#REF!</v>
      </c>
      <c r="H557" s="127" t="str">
        <f t="shared" si="25"/>
        <v/>
      </c>
      <c r="I557" s="125" t="str">
        <f t="shared" si="26"/>
        <v/>
      </c>
    </row>
    <row r="558" spans="1:9" hidden="1" x14ac:dyDescent="0.25">
      <c r="A558" s="103" t="s">
        <v>2169</v>
      </c>
      <c r="B558" s="104" t="s">
        <v>2170</v>
      </c>
      <c r="C558" s="105" t="s">
        <v>93</v>
      </c>
      <c r="D558" s="105">
        <v>0</v>
      </c>
      <c r="E558" s="124" t="s">
        <v>523</v>
      </c>
      <c r="F558" s="125" t="str">
        <f t="shared" si="24"/>
        <v/>
      </c>
      <c r="G558" s="126" t="e">
        <f>IF(A558&lt;&gt;"",IF(AND(#REF!="Padrão",$H$4=#REF!),BDI!$B$17,IF(AND(#REF!="Padrão",$H$4=#REF!),BDI!#REF!,IF(AND(#REF!="Diferenciado",$H$4=#REF!),BDI!$E$17,IF(AND(#REF!="Diferenciado",$H$4=#REF!),BDI!#REF!,IF(#REF!="ZERO",0))))),"")</f>
        <v>#REF!</v>
      </c>
      <c r="H558" s="127" t="str">
        <f t="shared" si="25"/>
        <v/>
      </c>
      <c r="I558" s="125" t="str">
        <f t="shared" si="26"/>
        <v/>
      </c>
    </row>
    <row r="559" spans="1:9" hidden="1" x14ac:dyDescent="0.25">
      <c r="A559" s="103" t="s">
        <v>2171</v>
      </c>
      <c r="B559" s="104" t="s">
        <v>2172</v>
      </c>
      <c r="C559" s="105" t="s">
        <v>93</v>
      </c>
      <c r="D559" s="105">
        <v>0</v>
      </c>
      <c r="E559" s="124" t="s">
        <v>523</v>
      </c>
      <c r="F559" s="125" t="str">
        <f t="shared" si="24"/>
        <v/>
      </c>
      <c r="G559" s="126" t="e">
        <f>IF(A559&lt;&gt;"",IF(AND(#REF!="Padrão",$H$4=#REF!),BDI!$B$17,IF(AND(#REF!="Padrão",$H$4=#REF!),BDI!#REF!,IF(AND(#REF!="Diferenciado",$H$4=#REF!),BDI!$E$17,IF(AND(#REF!="Diferenciado",$H$4=#REF!),BDI!#REF!,IF(#REF!="ZERO",0))))),"")</f>
        <v>#REF!</v>
      </c>
      <c r="H559" s="127" t="str">
        <f t="shared" si="25"/>
        <v/>
      </c>
      <c r="I559" s="125" t="str">
        <f t="shared" si="26"/>
        <v/>
      </c>
    </row>
    <row r="560" spans="1:9" hidden="1" x14ac:dyDescent="0.25">
      <c r="A560" s="103" t="s">
        <v>2173</v>
      </c>
      <c r="B560" s="104" t="s">
        <v>2174</v>
      </c>
      <c r="C560" s="105" t="s">
        <v>93</v>
      </c>
      <c r="D560" s="105">
        <v>0</v>
      </c>
      <c r="E560" s="124" t="s">
        <v>523</v>
      </c>
      <c r="F560" s="125" t="str">
        <f t="shared" si="24"/>
        <v/>
      </c>
      <c r="G560" s="126" t="e">
        <f>IF(A560&lt;&gt;"",IF(AND(#REF!="Padrão",$H$4=#REF!),BDI!$B$17,IF(AND(#REF!="Padrão",$H$4=#REF!),BDI!#REF!,IF(AND(#REF!="Diferenciado",$H$4=#REF!),BDI!$E$17,IF(AND(#REF!="Diferenciado",$H$4=#REF!),BDI!#REF!,IF(#REF!="ZERO",0))))),"")</f>
        <v>#REF!</v>
      </c>
      <c r="H560" s="127" t="str">
        <f t="shared" si="25"/>
        <v/>
      </c>
      <c r="I560" s="125" t="str">
        <f t="shared" si="26"/>
        <v/>
      </c>
    </row>
    <row r="561" spans="1:9" ht="25.5" hidden="1" x14ac:dyDescent="0.25">
      <c r="A561" s="103" t="s">
        <v>2175</v>
      </c>
      <c r="B561" s="104" t="s">
        <v>2176</v>
      </c>
      <c r="C561" s="105" t="s">
        <v>2177</v>
      </c>
      <c r="D561" s="105">
        <v>0</v>
      </c>
      <c r="E561" s="124" t="s">
        <v>523</v>
      </c>
      <c r="F561" s="125" t="str">
        <f t="shared" si="24"/>
        <v/>
      </c>
      <c r="G561" s="126" t="e">
        <f>IF(A561&lt;&gt;"",IF(AND(#REF!="Padrão",$H$4=#REF!),BDI!$B$17,IF(AND(#REF!="Padrão",$H$4=#REF!),BDI!#REF!,IF(AND(#REF!="Diferenciado",$H$4=#REF!),BDI!$E$17,IF(AND(#REF!="Diferenciado",$H$4=#REF!),BDI!#REF!,IF(#REF!="ZERO",0))))),"")</f>
        <v>#REF!</v>
      </c>
      <c r="H561" s="127" t="str">
        <f t="shared" si="25"/>
        <v/>
      </c>
      <c r="I561" s="125" t="str">
        <f t="shared" si="26"/>
        <v/>
      </c>
    </row>
    <row r="562" spans="1:9" hidden="1" x14ac:dyDescent="0.25">
      <c r="A562" s="103" t="s">
        <v>2178</v>
      </c>
      <c r="B562" s="104" t="s">
        <v>2179</v>
      </c>
      <c r="C562" s="105" t="s">
        <v>95</v>
      </c>
      <c r="D562" s="105">
        <v>0</v>
      </c>
      <c r="E562" s="124">
        <f ca="1">OFFSET(INDEX(Composições!A:J,MATCH(Orçamentária!A562,Composições!A:A,0),8),2,0)</f>
        <v>5.5574999999999992</v>
      </c>
      <c r="F562" s="125">
        <f t="shared" ca="1" si="24"/>
        <v>0</v>
      </c>
      <c r="G562" s="126" t="e">
        <f>IF(A562&lt;&gt;"",IF(AND(#REF!="Padrão",$H$4=#REF!),BDI!$B$17,IF(AND(#REF!="Padrão",$H$4=#REF!),BDI!#REF!,IF(AND(#REF!="Diferenciado",$H$4=#REF!),BDI!$E$17,IF(AND(#REF!="Diferenciado",$H$4=#REF!),BDI!#REF!,IF(#REF!="ZERO",0))))),"")</f>
        <v>#REF!</v>
      </c>
      <c r="H562" s="127" t="e">
        <f t="shared" ca="1" si="25"/>
        <v>#REF!</v>
      </c>
      <c r="I562" s="125" t="e">
        <f t="shared" ca="1" si="26"/>
        <v>#REF!</v>
      </c>
    </row>
    <row r="563" spans="1:9" hidden="1" x14ac:dyDescent="0.25">
      <c r="A563" s="103" t="s">
        <v>2180</v>
      </c>
      <c r="B563" s="104" t="s">
        <v>2181</v>
      </c>
      <c r="C563" s="105" t="s">
        <v>95</v>
      </c>
      <c r="D563" s="105">
        <v>0</v>
      </c>
      <c r="E563" s="124" t="s">
        <v>523</v>
      </c>
      <c r="F563" s="125" t="str">
        <f t="shared" si="24"/>
        <v/>
      </c>
      <c r="G563" s="126" t="e">
        <f>IF(A563&lt;&gt;"",IF(AND(#REF!="Padrão",$H$4=#REF!),BDI!$B$17,IF(AND(#REF!="Padrão",$H$4=#REF!),BDI!#REF!,IF(AND(#REF!="Diferenciado",$H$4=#REF!),BDI!$E$17,IF(AND(#REF!="Diferenciado",$H$4=#REF!),BDI!#REF!,IF(#REF!="ZERO",0))))),"")</f>
        <v>#REF!</v>
      </c>
      <c r="H563" s="127" t="str">
        <f t="shared" si="25"/>
        <v/>
      </c>
      <c r="I563" s="125" t="str">
        <f t="shared" si="26"/>
        <v/>
      </c>
    </row>
    <row r="564" spans="1:9" hidden="1" x14ac:dyDescent="0.25">
      <c r="A564" s="103" t="s">
        <v>2182</v>
      </c>
      <c r="B564" s="104" t="s">
        <v>2183</v>
      </c>
      <c r="C564" s="105" t="s">
        <v>42</v>
      </c>
      <c r="D564" s="105">
        <v>0</v>
      </c>
      <c r="E564" s="124">
        <f ca="1">OFFSET(INDEX(Composições!A:J,MATCH(Orçamentária!A564,Composições!A:A,0),8),2,0)</f>
        <v>29.725499999999997</v>
      </c>
      <c r="F564" s="125">
        <f t="shared" ca="1" si="24"/>
        <v>0</v>
      </c>
      <c r="G564" s="126" t="e">
        <f>IF(A564&lt;&gt;"",IF(AND(#REF!="Padrão",$H$4=#REF!),BDI!$B$17,IF(AND(#REF!="Padrão",$H$4=#REF!),BDI!#REF!,IF(AND(#REF!="Diferenciado",$H$4=#REF!),BDI!$E$17,IF(AND(#REF!="Diferenciado",$H$4=#REF!),BDI!#REF!,IF(#REF!="ZERO",0))))),"")</f>
        <v>#REF!</v>
      </c>
      <c r="H564" s="127" t="e">
        <f t="shared" ca="1" si="25"/>
        <v>#REF!</v>
      </c>
      <c r="I564" s="125" t="e">
        <f t="shared" ca="1" si="26"/>
        <v>#REF!</v>
      </c>
    </row>
    <row r="565" spans="1:9" hidden="1" x14ac:dyDescent="0.25">
      <c r="A565" s="103" t="s">
        <v>2184</v>
      </c>
      <c r="B565" s="104" t="s">
        <v>2185</v>
      </c>
      <c r="C565" s="105" t="s">
        <v>42</v>
      </c>
      <c r="D565" s="105">
        <v>0</v>
      </c>
      <c r="E565" s="124" t="s">
        <v>523</v>
      </c>
      <c r="F565" s="125" t="str">
        <f t="shared" si="24"/>
        <v/>
      </c>
      <c r="G565" s="126" t="e">
        <f>IF(A565&lt;&gt;"",IF(AND(#REF!="Padrão",$H$4=#REF!),BDI!$B$17,IF(AND(#REF!="Padrão",$H$4=#REF!),BDI!#REF!,IF(AND(#REF!="Diferenciado",$H$4=#REF!),BDI!$E$17,IF(AND(#REF!="Diferenciado",$H$4=#REF!),BDI!#REF!,IF(#REF!="ZERO",0))))),"")</f>
        <v>#REF!</v>
      </c>
      <c r="H565" s="127" t="str">
        <f t="shared" si="25"/>
        <v/>
      </c>
      <c r="I565" s="125" t="str">
        <f t="shared" si="26"/>
        <v/>
      </c>
    </row>
    <row r="566" spans="1:9" hidden="1" x14ac:dyDescent="0.25">
      <c r="A566" s="103" t="s">
        <v>2186</v>
      </c>
      <c r="B566" s="104" t="s">
        <v>2187</v>
      </c>
      <c r="C566" s="105" t="s">
        <v>95</v>
      </c>
      <c r="D566" s="105">
        <v>0</v>
      </c>
      <c r="E566" s="124">
        <f ca="1">OFFSET(INDEX(Composições!A:J,MATCH(Orçamentária!A566,Composições!A:A,0),8),2,0)</f>
        <v>39.548499999999997</v>
      </c>
      <c r="F566" s="125">
        <f t="shared" ca="1" si="24"/>
        <v>0</v>
      </c>
      <c r="G566" s="126" t="e">
        <f>IF(A566&lt;&gt;"",IF(AND(#REF!="Padrão",$H$4=#REF!),BDI!$B$17,IF(AND(#REF!="Padrão",$H$4=#REF!),BDI!#REF!,IF(AND(#REF!="Diferenciado",$H$4=#REF!),BDI!$E$17,IF(AND(#REF!="Diferenciado",$H$4=#REF!),BDI!#REF!,IF(#REF!="ZERO",0))))),"")</f>
        <v>#REF!</v>
      </c>
      <c r="H566" s="127" t="e">
        <f t="shared" ca="1" si="25"/>
        <v>#REF!</v>
      </c>
      <c r="I566" s="125" t="e">
        <f t="shared" ca="1" si="26"/>
        <v>#REF!</v>
      </c>
    </row>
    <row r="567" spans="1:9" hidden="1" x14ac:dyDescent="0.25">
      <c r="A567" s="103" t="s">
        <v>2188</v>
      </c>
      <c r="B567" s="104" t="s">
        <v>2189</v>
      </c>
      <c r="C567" s="105" t="s">
        <v>20</v>
      </c>
      <c r="D567" s="105">
        <v>0</v>
      </c>
      <c r="E567" s="124">
        <f ca="1">OFFSET(INDEX(Composições!A:J,MATCH(Orçamentária!A567,Composições!A:A,0),8),2,0)</f>
        <v>15.77</v>
      </c>
      <c r="F567" s="125">
        <f t="shared" ca="1" si="24"/>
        <v>0</v>
      </c>
      <c r="G567" s="126" t="e">
        <f>IF(A567&lt;&gt;"",IF(AND(#REF!="Padrão",$H$4=#REF!),BDI!$B$17,IF(AND(#REF!="Padrão",$H$4=#REF!),BDI!#REF!,IF(AND(#REF!="Diferenciado",$H$4=#REF!),BDI!$E$17,IF(AND(#REF!="Diferenciado",$H$4=#REF!),BDI!#REF!,IF(#REF!="ZERO",0))))),"")</f>
        <v>#REF!</v>
      </c>
      <c r="H567" s="127" t="e">
        <f t="shared" ca="1" si="25"/>
        <v>#REF!</v>
      </c>
      <c r="I567" s="125" t="e">
        <f t="shared" ca="1" si="26"/>
        <v>#REF!</v>
      </c>
    </row>
    <row r="568" spans="1:9" hidden="1" x14ac:dyDescent="0.25">
      <c r="A568" s="103" t="s">
        <v>745</v>
      </c>
      <c r="B568" s="104" t="s">
        <v>2190</v>
      </c>
      <c r="C568" s="105" t="s">
        <v>2191</v>
      </c>
      <c r="D568" s="105">
        <v>0</v>
      </c>
      <c r="E568" s="124">
        <f ca="1">OFFSET(INDEX(Composições!A:J,MATCH(Orçamentária!A568,Composições!A:A,0),8),2,0)</f>
        <v>21.66</v>
      </c>
      <c r="F568" s="125">
        <f t="shared" ca="1" si="24"/>
        <v>0</v>
      </c>
      <c r="G568" s="126" t="e">
        <f>IF(A568&lt;&gt;"",IF(AND(#REF!="Padrão",$H$4=#REF!),BDI!$B$17,IF(AND(#REF!="Padrão",$H$4=#REF!),BDI!#REF!,IF(AND(#REF!="Diferenciado",$H$4=#REF!),BDI!$E$17,IF(AND(#REF!="Diferenciado",$H$4=#REF!),BDI!#REF!,IF(#REF!="ZERO",0))))),"")</f>
        <v>#REF!</v>
      </c>
      <c r="H568" s="127" t="e">
        <f t="shared" ca="1" si="25"/>
        <v>#REF!</v>
      </c>
      <c r="I568" s="125" t="e">
        <f t="shared" ca="1" si="26"/>
        <v>#REF!</v>
      </c>
    </row>
    <row r="569" spans="1:9" hidden="1" x14ac:dyDescent="0.25">
      <c r="A569" s="103" t="s">
        <v>747</v>
      </c>
      <c r="B569" s="104" t="s">
        <v>2192</v>
      </c>
      <c r="C569" s="105" t="s">
        <v>2191</v>
      </c>
      <c r="D569" s="105">
        <v>0</v>
      </c>
      <c r="E569" s="124">
        <f ca="1">OFFSET(INDEX(Composições!A:J,MATCH(Orçamentária!A569,Composições!A:A,0),8),2,0)</f>
        <v>22.799999999999997</v>
      </c>
      <c r="F569" s="125">
        <f t="shared" ca="1" si="24"/>
        <v>0</v>
      </c>
      <c r="G569" s="126" t="e">
        <f>IF(A569&lt;&gt;"",IF(AND(#REF!="Padrão",$H$4=#REF!),BDI!$B$17,IF(AND(#REF!="Padrão",$H$4=#REF!),BDI!#REF!,IF(AND(#REF!="Diferenciado",$H$4=#REF!),BDI!$E$17,IF(AND(#REF!="Diferenciado",$H$4=#REF!),BDI!#REF!,IF(#REF!="ZERO",0))))),"")</f>
        <v>#REF!</v>
      </c>
      <c r="H569" s="127" t="e">
        <f t="shared" ca="1" si="25"/>
        <v>#REF!</v>
      </c>
      <c r="I569" s="125" t="e">
        <f t="shared" ca="1" si="26"/>
        <v>#REF!</v>
      </c>
    </row>
    <row r="570" spans="1:9" hidden="1" x14ac:dyDescent="0.25">
      <c r="A570" s="103" t="s">
        <v>749</v>
      </c>
      <c r="B570" s="104" t="s">
        <v>2193</v>
      </c>
      <c r="C570" s="105" t="s">
        <v>2194</v>
      </c>
      <c r="D570" s="105">
        <v>0</v>
      </c>
      <c r="E570" s="124">
        <f ca="1">OFFSET(INDEX(Composições!A:J,MATCH(Orçamentária!A570,Composições!A:A,0),8),2,0)</f>
        <v>32.300000000000004</v>
      </c>
      <c r="F570" s="125">
        <f t="shared" ca="1" si="24"/>
        <v>0</v>
      </c>
      <c r="G570" s="126" t="e">
        <f>IF(A570&lt;&gt;"",IF(AND(#REF!="Padrão",$H$4=#REF!),BDI!$B$17,IF(AND(#REF!="Padrão",$H$4=#REF!),BDI!#REF!,IF(AND(#REF!="Diferenciado",$H$4=#REF!),BDI!$E$17,IF(AND(#REF!="Diferenciado",$H$4=#REF!),BDI!#REF!,IF(#REF!="ZERO",0))))),"")</f>
        <v>#REF!</v>
      </c>
      <c r="H570" s="127" t="e">
        <f t="shared" ca="1" si="25"/>
        <v>#REF!</v>
      </c>
      <c r="I570" s="125" t="e">
        <f t="shared" ca="1" si="26"/>
        <v>#REF!</v>
      </c>
    </row>
    <row r="571" spans="1:9" hidden="1" x14ac:dyDescent="0.25">
      <c r="A571" s="103" t="s">
        <v>751</v>
      </c>
      <c r="B571" s="104" t="s">
        <v>2195</v>
      </c>
      <c r="C571" s="105" t="s">
        <v>2196</v>
      </c>
      <c r="D571" s="105">
        <v>0</v>
      </c>
      <c r="E571" s="124">
        <f ca="1">OFFSET(INDEX(Composições!A:J,MATCH(Orçamentária!A571,Composições!A:A,0),8),2,0)</f>
        <v>32.11</v>
      </c>
      <c r="F571" s="125">
        <f t="shared" ca="1" si="24"/>
        <v>0</v>
      </c>
      <c r="G571" s="126" t="e">
        <f>IF(A571&lt;&gt;"",IF(AND(#REF!="Padrão",$H$4=#REF!),BDI!$B$17,IF(AND(#REF!="Padrão",$H$4=#REF!),BDI!#REF!,IF(AND(#REF!="Diferenciado",$H$4=#REF!),BDI!$E$17,IF(AND(#REF!="Diferenciado",$H$4=#REF!),BDI!#REF!,IF(#REF!="ZERO",0))))),"")</f>
        <v>#REF!</v>
      </c>
      <c r="H571" s="127" t="e">
        <f t="shared" ca="1" si="25"/>
        <v>#REF!</v>
      </c>
      <c r="I571" s="125" t="e">
        <f t="shared" ca="1" si="26"/>
        <v>#REF!</v>
      </c>
    </row>
    <row r="572" spans="1:9" hidden="1" x14ac:dyDescent="0.25">
      <c r="A572" s="103" t="s">
        <v>752</v>
      </c>
      <c r="B572" s="104" t="s">
        <v>2197</v>
      </c>
      <c r="C572" s="105" t="s">
        <v>2191</v>
      </c>
      <c r="D572" s="105">
        <v>0</v>
      </c>
      <c r="E572" s="124">
        <f ca="1">OFFSET(INDEX(Composições!A:J,MATCH(Orçamentária!A572,Composições!A:A,0),8),2,0)</f>
        <v>29.259999999999998</v>
      </c>
      <c r="F572" s="125">
        <f t="shared" ca="1" si="24"/>
        <v>0</v>
      </c>
      <c r="G572" s="126" t="e">
        <f>IF(A572&lt;&gt;"",IF(AND(#REF!="Padrão",$H$4=#REF!),BDI!$B$17,IF(AND(#REF!="Padrão",$H$4=#REF!),BDI!#REF!,IF(AND(#REF!="Diferenciado",$H$4=#REF!),BDI!$E$17,IF(AND(#REF!="Diferenciado",$H$4=#REF!),BDI!#REF!,IF(#REF!="ZERO",0))))),"")</f>
        <v>#REF!</v>
      </c>
      <c r="H572" s="127" t="e">
        <f t="shared" ca="1" si="25"/>
        <v>#REF!</v>
      </c>
      <c r="I572" s="125" t="e">
        <f t="shared" ca="1" si="26"/>
        <v>#REF!</v>
      </c>
    </row>
    <row r="573" spans="1:9" hidden="1" x14ac:dyDescent="0.25">
      <c r="A573" s="103" t="s">
        <v>753</v>
      </c>
      <c r="B573" s="104" t="s">
        <v>2198</v>
      </c>
      <c r="C573" s="105" t="s">
        <v>109</v>
      </c>
      <c r="D573" s="105">
        <v>0</v>
      </c>
      <c r="E573" s="124">
        <f ca="1">OFFSET(INDEX(Composições!A:J,MATCH(Orçamentária!A573,Composições!A:A,0),8),2,0)</f>
        <v>203.238383</v>
      </c>
      <c r="F573" s="125">
        <f t="shared" ca="1" si="24"/>
        <v>0</v>
      </c>
      <c r="G573" s="126" t="e">
        <f>IF(A573&lt;&gt;"",IF(AND(#REF!="Padrão",$H$4=#REF!),BDI!$B$17,IF(AND(#REF!="Padrão",$H$4=#REF!),BDI!#REF!,IF(AND(#REF!="Diferenciado",$H$4=#REF!),BDI!$E$17,IF(AND(#REF!="Diferenciado",$H$4=#REF!),BDI!#REF!,IF(#REF!="ZERO",0))))),"")</f>
        <v>#REF!</v>
      </c>
      <c r="H573" s="127" t="e">
        <f t="shared" ca="1" si="25"/>
        <v>#REF!</v>
      </c>
      <c r="I573" s="125" t="e">
        <f t="shared" ca="1" si="26"/>
        <v>#REF!</v>
      </c>
    </row>
    <row r="574" spans="1:9" hidden="1" x14ac:dyDescent="0.25">
      <c r="A574" s="103" t="s">
        <v>758</v>
      </c>
      <c r="B574" s="104" t="s">
        <v>2199</v>
      </c>
      <c r="C574" s="105" t="s">
        <v>109</v>
      </c>
      <c r="D574" s="105">
        <v>0</v>
      </c>
      <c r="E574" s="124">
        <f ca="1">OFFSET(INDEX(Composições!A:J,MATCH(Orçamentária!A574,Composições!A:A,0),8),2,0)</f>
        <v>212.47238299999998</v>
      </c>
      <c r="F574" s="125">
        <f t="shared" ca="1" si="24"/>
        <v>0</v>
      </c>
      <c r="G574" s="126" t="e">
        <f>IF(A574&lt;&gt;"",IF(AND(#REF!="Padrão",$H$4=#REF!),BDI!$B$17,IF(AND(#REF!="Padrão",$H$4=#REF!),BDI!#REF!,IF(AND(#REF!="Diferenciado",$H$4=#REF!),BDI!$E$17,IF(AND(#REF!="Diferenciado",$H$4=#REF!),BDI!#REF!,IF(#REF!="ZERO",0))))),"")</f>
        <v>#REF!</v>
      </c>
      <c r="H574" s="127" t="e">
        <f t="shared" ca="1" si="25"/>
        <v>#REF!</v>
      </c>
      <c r="I574" s="125" t="e">
        <f t="shared" ca="1" si="26"/>
        <v>#REF!</v>
      </c>
    </row>
    <row r="575" spans="1:9" hidden="1" x14ac:dyDescent="0.25">
      <c r="A575" s="103" t="s">
        <v>761</v>
      </c>
      <c r="B575" s="104" t="s">
        <v>2200</v>
      </c>
      <c r="C575" s="105" t="s">
        <v>109</v>
      </c>
      <c r="D575" s="105">
        <v>0</v>
      </c>
      <c r="E575" s="124">
        <f ca="1">OFFSET(INDEX(Composições!A:J,MATCH(Orçamentária!A575,Composições!A:A,0),8),2,0)</f>
        <v>189.74838299999999</v>
      </c>
      <c r="F575" s="125">
        <f t="shared" ca="1" si="24"/>
        <v>0</v>
      </c>
      <c r="G575" s="126" t="e">
        <f>IF(A575&lt;&gt;"",IF(AND(#REF!="Padrão",$H$4=#REF!),BDI!$B$17,IF(AND(#REF!="Padrão",$H$4=#REF!),BDI!#REF!,IF(AND(#REF!="Diferenciado",$H$4=#REF!),BDI!$E$17,IF(AND(#REF!="Diferenciado",$H$4=#REF!),BDI!#REF!,IF(#REF!="ZERO",0))))),"")</f>
        <v>#REF!</v>
      </c>
      <c r="H575" s="127" t="e">
        <f t="shared" ca="1" si="25"/>
        <v>#REF!</v>
      </c>
      <c r="I575" s="125" t="e">
        <f t="shared" ca="1" si="26"/>
        <v>#REF!</v>
      </c>
    </row>
    <row r="576" spans="1:9" hidden="1" x14ac:dyDescent="0.25">
      <c r="A576" s="103" t="s">
        <v>763</v>
      </c>
      <c r="B576" s="104" t="s">
        <v>2201</v>
      </c>
      <c r="C576" s="105" t="s">
        <v>20</v>
      </c>
      <c r="D576" s="105">
        <v>0</v>
      </c>
      <c r="E576" s="124">
        <f ca="1">OFFSET(INDEX(Composições!A:J,MATCH(Orçamentária!A576,Composições!A:A,0),8),2,0)</f>
        <v>0</v>
      </c>
      <c r="F576" s="125">
        <f t="shared" ca="1" si="24"/>
        <v>0</v>
      </c>
      <c r="G576" s="126" t="e">
        <f>IF(A576&lt;&gt;"",IF(AND(#REF!="Padrão",$H$4=#REF!),BDI!$B$17,IF(AND(#REF!="Padrão",$H$4=#REF!),BDI!#REF!,IF(AND(#REF!="Diferenciado",$H$4=#REF!),BDI!$E$17,IF(AND(#REF!="Diferenciado",$H$4=#REF!),BDI!#REF!,IF(#REF!="ZERO",0))))),"")</f>
        <v>#REF!</v>
      </c>
      <c r="H576" s="127" t="e">
        <f t="shared" ca="1" si="25"/>
        <v>#REF!</v>
      </c>
      <c r="I576" s="125" t="e">
        <f t="shared" ca="1" si="26"/>
        <v>#REF!</v>
      </c>
    </row>
    <row r="577" spans="1:9" hidden="1" x14ac:dyDescent="0.25">
      <c r="A577" s="103" t="s">
        <v>764</v>
      </c>
      <c r="B577" s="104" t="s">
        <v>2202</v>
      </c>
      <c r="C577" s="105" t="s">
        <v>20</v>
      </c>
      <c r="D577" s="105">
        <v>0</v>
      </c>
      <c r="E577" s="124">
        <f ca="1">OFFSET(INDEX(Composições!A:J,MATCH(Orçamentária!A577,Composições!A:A,0),8),2,0)</f>
        <v>0.71249999999999991</v>
      </c>
      <c r="F577" s="125">
        <f t="shared" ca="1" si="24"/>
        <v>0</v>
      </c>
      <c r="G577" s="126" t="e">
        <f>IF(A577&lt;&gt;"",IF(AND(#REF!="Padrão",$H$4=#REF!),BDI!$B$17,IF(AND(#REF!="Padrão",$H$4=#REF!),BDI!#REF!,IF(AND(#REF!="Diferenciado",$H$4=#REF!),BDI!$E$17,IF(AND(#REF!="Diferenciado",$H$4=#REF!),BDI!#REF!,IF(#REF!="ZERO",0))))),"")</f>
        <v>#REF!</v>
      </c>
      <c r="H577" s="127" t="e">
        <f t="shared" ca="1" si="25"/>
        <v>#REF!</v>
      </c>
      <c r="I577" s="125" t="e">
        <f t="shared" ca="1" si="26"/>
        <v>#REF!</v>
      </c>
    </row>
    <row r="578" spans="1:9" hidden="1" x14ac:dyDescent="0.25">
      <c r="A578" s="103" t="s">
        <v>765</v>
      </c>
      <c r="B578" s="104" t="s">
        <v>2203</v>
      </c>
      <c r="C578" s="105" t="s">
        <v>20</v>
      </c>
      <c r="D578" s="105">
        <v>0</v>
      </c>
      <c r="E578" s="124">
        <f ca="1">OFFSET(INDEX(Composições!A:J,MATCH(Orçamentária!A578,Composições!A:A,0),8),2,0)</f>
        <v>2.6599999999999997</v>
      </c>
      <c r="F578" s="125">
        <f t="shared" ca="1" si="24"/>
        <v>0</v>
      </c>
      <c r="G578" s="126" t="e">
        <f>IF(A578&lt;&gt;"",IF(AND(#REF!="Padrão",$H$4=#REF!),BDI!$B$17,IF(AND(#REF!="Padrão",$H$4=#REF!),BDI!#REF!,IF(AND(#REF!="Diferenciado",$H$4=#REF!),BDI!$E$17,IF(AND(#REF!="Diferenciado",$H$4=#REF!),BDI!#REF!,IF(#REF!="ZERO",0))))),"")</f>
        <v>#REF!</v>
      </c>
      <c r="H578" s="127" t="e">
        <f t="shared" ca="1" si="25"/>
        <v>#REF!</v>
      </c>
      <c r="I578" s="125" t="e">
        <f t="shared" ca="1" si="26"/>
        <v>#REF!</v>
      </c>
    </row>
    <row r="579" spans="1:9" hidden="1" x14ac:dyDescent="0.25">
      <c r="A579" s="103" t="s">
        <v>766</v>
      </c>
      <c r="B579" s="104" t="s">
        <v>2204</v>
      </c>
      <c r="C579" s="105" t="s">
        <v>20</v>
      </c>
      <c r="D579" s="105">
        <v>0</v>
      </c>
      <c r="E579" s="124">
        <f ca="1">OFFSET(INDEX(Composições!A:J,MATCH(Orçamentária!A579,Composições!A:A,0),8),2,0)</f>
        <v>0</v>
      </c>
      <c r="F579" s="125">
        <f t="shared" ca="1" si="24"/>
        <v>0</v>
      </c>
      <c r="G579" s="126" t="e">
        <f>IF(A579&lt;&gt;"",IF(AND(#REF!="Padrão",$H$4=#REF!),BDI!$B$17,IF(AND(#REF!="Padrão",$H$4=#REF!),BDI!#REF!,IF(AND(#REF!="Diferenciado",$H$4=#REF!),BDI!$E$17,IF(AND(#REF!="Diferenciado",$H$4=#REF!),BDI!#REF!,IF(#REF!="ZERO",0))))),"")</f>
        <v>#REF!</v>
      </c>
      <c r="H579" s="127" t="e">
        <f t="shared" ca="1" si="25"/>
        <v>#REF!</v>
      </c>
      <c r="I579" s="125" t="e">
        <f t="shared" ca="1" si="26"/>
        <v>#REF!</v>
      </c>
    </row>
    <row r="580" spans="1:9" hidden="1" x14ac:dyDescent="0.25">
      <c r="A580" s="103" t="s">
        <v>767</v>
      </c>
      <c r="B580" s="104" t="s">
        <v>2205</v>
      </c>
      <c r="C580" s="105" t="s">
        <v>93</v>
      </c>
      <c r="D580" s="105">
        <v>0</v>
      </c>
      <c r="E580" s="124">
        <f ca="1">OFFSET(INDEX(Composições!A:J,MATCH(Orçamentária!A580,Composições!A:A,0),8),2,0)</f>
        <v>1.482019</v>
      </c>
      <c r="F580" s="125">
        <f t="shared" ca="1" si="24"/>
        <v>0</v>
      </c>
      <c r="G580" s="126" t="e">
        <f>IF(A580&lt;&gt;"",IF(AND(#REF!="Padrão",$H$4=#REF!),BDI!$B$17,IF(AND(#REF!="Padrão",$H$4=#REF!),BDI!#REF!,IF(AND(#REF!="Diferenciado",$H$4=#REF!),BDI!$E$17,IF(AND(#REF!="Diferenciado",$H$4=#REF!),BDI!#REF!,IF(#REF!="ZERO",0))))),"")</f>
        <v>#REF!</v>
      </c>
      <c r="H580" s="127" t="e">
        <f t="shared" ca="1" si="25"/>
        <v>#REF!</v>
      </c>
      <c r="I580" s="125" t="e">
        <f t="shared" ca="1" si="26"/>
        <v>#REF!</v>
      </c>
    </row>
    <row r="581" spans="1:9" hidden="1" x14ac:dyDescent="0.25">
      <c r="A581" s="103" t="s">
        <v>768</v>
      </c>
      <c r="B581" s="104" t="s">
        <v>2206</v>
      </c>
      <c r="C581" s="105" t="s">
        <v>93</v>
      </c>
      <c r="D581" s="105">
        <v>0</v>
      </c>
      <c r="E581" s="124">
        <f ca="1">OFFSET(INDEX(Composições!A:J,MATCH(Orçamentária!A581,Composições!A:A,0),8),2,0)</f>
        <v>2.6277474999999995</v>
      </c>
      <c r="F581" s="125">
        <f t="shared" ca="1" si="24"/>
        <v>0</v>
      </c>
      <c r="G581" s="126" t="e">
        <f>IF(A581&lt;&gt;"",IF(AND(#REF!="Padrão",$H$4=#REF!),BDI!$B$17,IF(AND(#REF!="Padrão",$H$4=#REF!),BDI!#REF!,IF(AND(#REF!="Diferenciado",$H$4=#REF!),BDI!$E$17,IF(AND(#REF!="Diferenciado",$H$4=#REF!),BDI!#REF!,IF(#REF!="ZERO",0))))),"")</f>
        <v>#REF!</v>
      </c>
      <c r="H581" s="127" t="e">
        <f t="shared" ca="1" si="25"/>
        <v>#REF!</v>
      </c>
      <c r="I581" s="125" t="e">
        <f t="shared" ca="1" si="26"/>
        <v>#REF!</v>
      </c>
    </row>
    <row r="582" spans="1:9" hidden="1" x14ac:dyDescent="0.25">
      <c r="A582" s="103" t="s">
        <v>770</v>
      </c>
      <c r="B582" s="104" t="s">
        <v>2207</v>
      </c>
      <c r="C582" s="105" t="s">
        <v>93</v>
      </c>
      <c r="D582" s="105">
        <v>0</v>
      </c>
      <c r="E582" s="124">
        <f ca="1">OFFSET(INDEX(Composições!A:J,MATCH(Orçamentária!A582,Composições!A:A,0),8),2,0)</f>
        <v>4.2590874999999997</v>
      </c>
      <c r="F582" s="125">
        <f t="shared" ca="1" si="24"/>
        <v>0</v>
      </c>
      <c r="G582" s="126" t="e">
        <f>IF(A582&lt;&gt;"",IF(AND(#REF!="Padrão",$H$4=#REF!),BDI!$B$17,IF(AND(#REF!="Padrão",$H$4=#REF!),BDI!#REF!,IF(AND(#REF!="Diferenciado",$H$4=#REF!),BDI!$E$17,IF(AND(#REF!="Diferenciado",$H$4=#REF!),BDI!#REF!,IF(#REF!="ZERO",0))))),"")</f>
        <v>#REF!</v>
      </c>
      <c r="H582" s="127" t="e">
        <f t="shared" ca="1" si="25"/>
        <v>#REF!</v>
      </c>
      <c r="I582" s="125" t="e">
        <f t="shared" ca="1" si="26"/>
        <v>#REF!</v>
      </c>
    </row>
    <row r="583" spans="1:9" hidden="1" x14ac:dyDescent="0.25">
      <c r="A583" s="103" t="s">
        <v>772</v>
      </c>
      <c r="B583" s="104" t="s">
        <v>2208</v>
      </c>
      <c r="C583" s="105" t="s">
        <v>93</v>
      </c>
      <c r="D583" s="105">
        <v>0</v>
      </c>
      <c r="E583" s="124">
        <f ca="1">OFFSET(INDEX(Composições!A:J,MATCH(Orçamentária!A583,Composições!A:A,0),8),2,0)</f>
        <v>6.2718049999999996</v>
      </c>
      <c r="F583" s="125">
        <f t="shared" ref="F583:F646" ca="1" si="27">IF(ISNUMBER(E583),D583*E583,"")</f>
        <v>0</v>
      </c>
      <c r="G583" s="126" t="e">
        <f>IF(A583&lt;&gt;"",IF(AND(#REF!="Padrão",$H$4=#REF!),BDI!$B$17,IF(AND(#REF!="Padrão",$H$4=#REF!),BDI!#REF!,IF(AND(#REF!="Diferenciado",$H$4=#REF!),BDI!$E$17,IF(AND(#REF!="Diferenciado",$H$4=#REF!),BDI!#REF!,IF(#REF!="ZERO",0))))),"")</f>
        <v>#REF!</v>
      </c>
      <c r="H583" s="127" t="e">
        <f t="shared" ref="H583:H646" ca="1" si="28">IF(ISNUMBER(E583),ROUND(E583*(1+G583),2),"")</f>
        <v>#REF!</v>
      </c>
      <c r="I583" s="125" t="e">
        <f t="shared" ref="I583:I646" ca="1" si="29">IF(ISNUMBER(E583),ROUND(H583*D583,2),"")</f>
        <v>#REF!</v>
      </c>
    </row>
    <row r="584" spans="1:9" hidden="1" x14ac:dyDescent="0.25">
      <c r="A584" s="103" t="s">
        <v>774</v>
      </c>
      <c r="B584" s="104" t="s">
        <v>2209</v>
      </c>
      <c r="C584" s="105" t="s">
        <v>93</v>
      </c>
      <c r="D584" s="105">
        <v>0</v>
      </c>
      <c r="E584" s="124">
        <f ca="1">OFFSET(INDEX(Composições!A:J,MATCH(Orçamentária!A584,Composições!A:A,0),8),2,0)</f>
        <v>8.4806594999999998</v>
      </c>
      <c r="F584" s="125">
        <f t="shared" ca="1" si="27"/>
        <v>0</v>
      </c>
      <c r="G584" s="126" t="e">
        <f>IF(A584&lt;&gt;"",IF(AND(#REF!="Padrão",$H$4=#REF!),BDI!$B$17,IF(AND(#REF!="Padrão",$H$4=#REF!),BDI!#REF!,IF(AND(#REF!="Diferenciado",$H$4=#REF!),BDI!$E$17,IF(AND(#REF!="Diferenciado",$H$4=#REF!),BDI!#REF!,IF(#REF!="ZERO",0))))),"")</f>
        <v>#REF!</v>
      </c>
      <c r="H584" s="127" t="e">
        <f t="shared" ca="1" si="28"/>
        <v>#REF!</v>
      </c>
      <c r="I584" s="125" t="e">
        <f t="shared" ca="1" si="29"/>
        <v>#REF!</v>
      </c>
    </row>
    <row r="585" spans="1:9" hidden="1" x14ac:dyDescent="0.25">
      <c r="A585" s="103" t="s">
        <v>776</v>
      </c>
      <c r="B585" s="104" t="s">
        <v>2210</v>
      </c>
      <c r="C585" s="105" t="s">
        <v>42</v>
      </c>
      <c r="D585" s="105">
        <v>0</v>
      </c>
      <c r="E585" s="124">
        <f ca="1">OFFSET(INDEX(Composições!A:J,MATCH(Orçamentária!A585,Composições!A:A,0),8),2,0)</f>
        <v>22.61</v>
      </c>
      <c r="F585" s="125">
        <f t="shared" ca="1" si="27"/>
        <v>0</v>
      </c>
      <c r="G585" s="126" t="e">
        <f>IF(A585&lt;&gt;"",IF(AND(#REF!="Padrão",$H$4=#REF!),BDI!$B$17,IF(AND(#REF!="Padrão",$H$4=#REF!),BDI!#REF!,IF(AND(#REF!="Diferenciado",$H$4=#REF!),BDI!$E$17,IF(AND(#REF!="Diferenciado",$H$4=#REF!),BDI!#REF!,IF(#REF!="ZERO",0))))),"")</f>
        <v>#REF!</v>
      </c>
      <c r="H585" s="127" t="e">
        <f t="shared" ca="1" si="28"/>
        <v>#REF!</v>
      </c>
      <c r="I585" s="125" t="e">
        <f t="shared" ca="1" si="29"/>
        <v>#REF!</v>
      </c>
    </row>
    <row r="586" spans="1:9" hidden="1" x14ac:dyDescent="0.25">
      <c r="A586" s="103" t="s">
        <v>777</v>
      </c>
      <c r="B586" s="104" t="s">
        <v>2211</v>
      </c>
      <c r="C586" s="105" t="s">
        <v>42</v>
      </c>
      <c r="D586" s="105">
        <v>0</v>
      </c>
      <c r="E586" s="124">
        <f ca="1">OFFSET(INDEX(Composições!A:J,MATCH(Orçamentária!A586,Composições!A:A,0),8),2,0)</f>
        <v>55.413499999999999</v>
      </c>
      <c r="F586" s="125">
        <f t="shared" ca="1" si="27"/>
        <v>0</v>
      </c>
      <c r="G586" s="126" t="e">
        <f>IF(A586&lt;&gt;"",IF(AND(#REF!="Padrão",$H$4=#REF!),BDI!$B$17,IF(AND(#REF!="Padrão",$H$4=#REF!),BDI!#REF!,IF(AND(#REF!="Diferenciado",$H$4=#REF!),BDI!$E$17,IF(AND(#REF!="Diferenciado",$H$4=#REF!),BDI!#REF!,IF(#REF!="ZERO",0))))),"")</f>
        <v>#REF!</v>
      </c>
      <c r="H586" s="127" t="e">
        <f t="shared" ca="1" si="28"/>
        <v>#REF!</v>
      </c>
      <c r="I586" s="125" t="e">
        <f t="shared" ca="1" si="29"/>
        <v>#REF!</v>
      </c>
    </row>
    <row r="587" spans="1:9" hidden="1" x14ac:dyDescent="0.25">
      <c r="A587" s="103" t="s">
        <v>2212</v>
      </c>
      <c r="B587" s="104" t="s">
        <v>2213</v>
      </c>
      <c r="C587" s="105" t="s">
        <v>20</v>
      </c>
      <c r="D587" s="105">
        <v>0</v>
      </c>
      <c r="E587" s="124" t="s">
        <v>523</v>
      </c>
      <c r="F587" s="125" t="str">
        <f t="shared" si="27"/>
        <v/>
      </c>
      <c r="G587" s="126" t="e">
        <f>IF(A587&lt;&gt;"",IF(AND(#REF!="Padrão",$H$4=#REF!),BDI!$B$17,IF(AND(#REF!="Padrão",$H$4=#REF!),BDI!#REF!,IF(AND(#REF!="Diferenciado",$H$4=#REF!),BDI!$E$17,IF(AND(#REF!="Diferenciado",$H$4=#REF!),BDI!#REF!,IF(#REF!="ZERO",0))))),"")</f>
        <v>#REF!</v>
      </c>
      <c r="H587" s="127" t="str">
        <f t="shared" si="28"/>
        <v/>
      </c>
      <c r="I587" s="125" t="str">
        <f t="shared" si="29"/>
        <v/>
      </c>
    </row>
    <row r="588" spans="1:9" hidden="1" x14ac:dyDescent="0.25">
      <c r="A588" s="103" t="s">
        <v>2214</v>
      </c>
      <c r="B588" s="104" t="s">
        <v>2215</v>
      </c>
      <c r="C588" s="105" t="s">
        <v>20</v>
      </c>
      <c r="D588" s="105">
        <v>0</v>
      </c>
      <c r="E588" s="124">
        <f ca="1">OFFSET(INDEX(Composições!A:J,MATCH(Orçamentária!A588,Composições!A:A,0),8),2,0)</f>
        <v>23.693000000000001</v>
      </c>
      <c r="F588" s="125">
        <f t="shared" ca="1" si="27"/>
        <v>0</v>
      </c>
      <c r="G588" s="126" t="e">
        <f>IF(A588&lt;&gt;"",IF(AND(#REF!="Padrão",$H$4=#REF!),BDI!$B$17,IF(AND(#REF!="Padrão",$H$4=#REF!),BDI!#REF!,IF(AND(#REF!="Diferenciado",$H$4=#REF!),BDI!$E$17,IF(AND(#REF!="Diferenciado",$H$4=#REF!),BDI!#REF!,IF(#REF!="ZERO",0))))),"")</f>
        <v>#REF!</v>
      </c>
      <c r="H588" s="127" t="e">
        <f t="shared" ca="1" si="28"/>
        <v>#REF!</v>
      </c>
      <c r="I588" s="125" t="e">
        <f t="shared" ca="1" si="29"/>
        <v>#REF!</v>
      </c>
    </row>
    <row r="589" spans="1:9" hidden="1" x14ac:dyDescent="0.25">
      <c r="A589" s="103" t="s">
        <v>2216</v>
      </c>
      <c r="B589" s="104" t="s">
        <v>2217</v>
      </c>
      <c r="C589" s="105" t="s">
        <v>93</v>
      </c>
      <c r="D589" s="105">
        <v>0</v>
      </c>
      <c r="E589" s="124" t="s">
        <v>523</v>
      </c>
      <c r="F589" s="125" t="str">
        <f t="shared" si="27"/>
        <v/>
      </c>
      <c r="G589" s="126" t="e">
        <f>IF(A589&lt;&gt;"",IF(AND(#REF!="Padrão",$H$4=#REF!),BDI!$B$17,IF(AND(#REF!="Padrão",$H$4=#REF!),BDI!#REF!,IF(AND(#REF!="Diferenciado",$H$4=#REF!),BDI!$E$17,IF(AND(#REF!="Diferenciado",$H$4=#REF!),BDI!#REF!,IF(#REF!="ZERO",0))))),"")</f>
        <v>#REF!</v>
      </c>
      <c r="H589" s="127" t="str">
        <f t="shared" si="28"/>
        <v/>
      </c>
      <c r="I589" s="125" t="str">
        <f t="shared" si="29"/>
        <v/>
      </c>
    </row>
    <row r="590" spans="1:9" hidden="1" x14ac:dyDescent="0.25">
      <c r="A590" s="103" t="s">
        <v>2218</v>
      </c>
      <c r="B590" s="104" t="s">
        <v>2219</v>
      </c>
      <c r="C590" s="105" t="s">
        <v>93</v>
      </c>
      <c r="D590" s="105">
        <v>0</v>
      </c>
      <c r="E590" s="124" t="s">
        <v>523</v>
      </c>
      <c r="F590" s="125" t="str">
        <f t="shared" si="27"/>
        <v/>
      </c>
      <c r="G590" s="126" t="e">
        <f>IF(A590&lt;&gt;"",IF(AND(#REF!="Padrão",$H$4=#REF!),BDI!$B$17,IF(AND(#REF!="Padrão",$H$4=#REF!),BDI!#REF!,IF(AND(#REF!="Diferenciado",$H$4=#REF!),BDI!$E$17,IF(AND(#REF!="Diferenciado",$H$4=#REF!),BDI!#REF!,IF(#REF!="ZERO",0))))),"")</f>
        <v>#REF!</v>
      </c>
      <c r="H590" s="127" t="str">
        <f t="shared" si="28"/>
        <v/>
      </c>
      <c r="I590" s="125" t="str">
        <f t="shared" si="29"/>
        <v/>
      </c>
    </row>
    <row r="591" spans="1:9" hidden="1" x14ac:dyDescent="0.25">
      <c r="A591" s="103" t="s">
        <v>2220</v>
      </c>
      <c r="B591" s="104" t="s">
        <v>2221</v>
      </c>
      <c r="C591" s="105" t="s">
        <v>42</v>
      </c>
      <c r="D591" s="105">
        <v>0</v>
      </c>
      <c r="E591" s="124" t="s">
        <v>523</v>
      </c>
      <c r="F591" s="125" t="str">
        <f t="shared" si="27"/>
        <v/>
      </c>
      <c r="G591" s="126" t="e">
        <f>IF(A591&lt;&gt;"",IF(AND(#REF!="Padrão",$H$4=#REF!),BDI!$B$17,IF(AND(#REF!="Padrão",$H$4=#REF!),BDI!#REF!,IF(AND(#REF!="Diferenciado",$H$4=#REF!),BDI!$E$17,IF(AND(#REF!="Diferenciado",$H$4=#REF!),BDI!#REF!,IF(#REF!="ZERO",0))))),"")</f>
        <v>#REF!</v>
      </c>
      <c r="H591" s="127" t="str">
        <f t="shared" si="28"/>
        <v/>
      </c>
      <c r="I591" s="125" t="str">
        <f t="shared" si="29"/>
        <v/>
      </c>
    </row>
    <row r="592" spans="1:9" hidden="1" x14ac:dyDescent="0.25">
      <c r="A592" s="103" t="s">
        <v>2222</v>
      </c>
      <c r="B592" s="104" t="s">
        <v>2223</v>
      </c>
      <c r="C592" s="105" t="s">
        <v>102</v>
      </c>
      <c r="D592" s="105">
        <v>0</v>
      </c>
      <c r="E592" s="124" t="s">
        <v>523</v>
      </c>
      <c r="F592" s="125" t="str">
        <f t="shared" si="27"/>
        <v/>
      </c>
      <c r="G592" s="126" t="e">
        <f>IF(A592&lt;&gt;"",IF(AND(#REF!="Padrão",$H$4=#REF!),BDI!$B$17,IF(AND(#REF!="Padrão",$H$4=#REF!),BDI!#REF!,IF(AND(#REF!="Diferenciado",$H$4=#REF!),BDI!$E$17,IF(AND(#REF!="Diferenciado",$H$4=#REF!),BDI!#REF!,IF(#REF!="ZERO",0))))),"")</f>
        <v>#REF!</v>
      </c>
      <c r="H592" s="127" t="str">
        <f t="shared" si="28"/>
        <v/>
      </c>
      <c r="I592" s="125" t="str">
        <f t="shared" si="29"/>
        <v/>
      </c>
    </row>
    <row r="593" spans="1:9" hidden="1" x14ac:dyDescent="0.25">
      <c r="A593" s="103" t="s">
        <v>779</v>
      </c>
      <c r="B593" s="104" t="s">
        <v>2224</v>
      </c>
      <c r="C593" s="105" t="s">
        <v>102</v>
      </c>
      <c r="D593" s="105">
        <v>0</v>
      </c>
      <c r="E593" s="124">
        <f ca="1">OFFSET(INDEX(Composições!A:J,MATCH(Orçamentária!A593,Composições!A:A,0),8),2,0)</f>
        <v>7.4764999999999997</v>
      </c>
      <c r="F593" s="125">
        <f t="shared" ca="1" si="27"/>
        <v>0</v>
      </c>
      <c r="G593" s="126" t="e">
        <f>IF(A593&lt;&gt;"",IF(AND(#REF!="Padrão",$H$4=#REF!),BDI!$B$17,IF(AND(#REF!="Padrão",$H$4=#REF!),BDI!#REF!,IF(AND(#REF!="Diferenciado",$H$4=#REF!),BDI!$E$17,IF(AND(#REF!="Diferenciado",$H$4=#REF!),BDI!#REF!,IF(#REF!="ZERO",0))))),"")</f>
        <v>#REF!</v>
      </c>
      <c r="H593" s="127" t="e">
        <f t="shared" ca="1" si="28"/>
        <v>#REF!</v>
      </c>
      <c r="I593" s="125" t="e">
        <f t="shared" ca="1" si="29"/>
        <v>#REF!</v>
      </c>
    </row>
    <row r="594" spans="1:9" hidden="1" x14ac:dyDescent="0.25">
      <c r="A594" s="103" t="s">
        <v>2225</v>
      </c>
      <c r="B594" s="104" t="s">
        <v>2226</v>
      </c>
      <c r="C594" s="105" t="s">
        <v>102</v>
      </c>
      <c r="D594" s="105">
        <v>0</v>
      </c>
      <c r="E594" s="124" t="s">
        <v>523</v>
      </c>
      <c r="F594" s="125" t="str">
        <f t="shared" si="27"/>
        <v/>
      </c>
      <c r="G594" s="126" t="e">
        <f>IF(A594&lt;&gt;"",IF(AND(#REF!="Padrão",$H$4=#REF!),BDI!$B$17,IF(AND(#REF!="Padrão",$H$4=#REF!),BDI!#REF!,IF(AND(#REF!="Diferenciado",$H$4=#REF!),BDI!$E$17,IF(AND(#REF!="Diferenciado",$H$4=#REF!),BDI!#REF!,IF(#REF!="ZERO",0))))),"")</f>
        <v>#REF!</v>
      </c>
      <c r="H594" s="127" t="str">
        <f t="shared" si="28"/>
        <v/>
      </c>
      <c r="I594" s="125" t="str">
        <f t="shared" si="29"/>
        <v/>
      </c>
    </row>
    <row r="595" spans="1:9" hidden="1" x14ac:dyDescent="0.25">
      <c r="A595" s="103" t="s">
        <v>2227</v>
      </c>
      <c r="B595" s="104" t="s">
        <v>2228</v>
      </c>
      <c r="C595" s="105" t="s">
        <v>93</v>
      </c>
      <c r="D595" s="105">
        <v>0</v>
      </c>
      <c r="E595" s="124" t="s">
        <v>523</v>
      </c>
      <c r="F595" s="125" t="str">
        <f t="shared" si="27"/>
        <v/>
      </c>
      <c r="G595" s="126" t="e">
        <f>IF(A595&lt;&gt;"",IF(AND(#REF!="Padrão",$H$4=#REF!),BDI!$B$17,IF(AND(#REF!="Padrão",$H$4=#REF!),BDI!#REF!,IF(AND(#REF!="Diferenciado",$H$4=#REF!),BDI!$E$17,IF(AND(#REF!="Diferenciado",$H$4=#REF!),BDI!#REF!,IF(#REF!="ZERO",0))))),"")</f>
        <v>#REF!</v>
      </c>
      <c r="H595" s="127" t="str">
        <f t="shared" si="28"/>
        <v/>
      </c>
      <c r="I595" s="125" t="str">
        <f t="shared" si="29"/>
        <v/>
      </c>
    </row>
    <row r="596" spans="1:9" hidden="1" x14ac:dyDescent="0.25">
      <c r="A596" s="103" t="s">
        <v>2229</v>
      </c>
      <c r="B596" s="104" t="s">
        <v>2230</v>
      </c>
      <c r="C596" s="105" t="s">
        <v>93</v>
      </c>
      <c r="D596" s="105">
        <v>0</v>
      </c>
      <c r="E596" s="124" t="s">
        <v>523</v>
      </c>
      <c r="F596" s="125" t="str">
        <f t="shared" si="27"/>
        <v/>
      </c>
      <c r="G596" s="126" t="e">
        <f>IF(A596&lt;&gt;"",IF(AND(#REF!="Padrão",$H$4=#REF!),BDI!$B$17,IF(AND(#REF!="Padrão",$H$4=#REF!),BDI!#REF!,IF(AND(#REF!="Diferenciado",$H$4=#REF!),BDI!$E$17,IF(AND(#REF!="Diferenciado",$H$4=#REF!),BDI!#REF!,IF(#REF!="ZERO",0))))),"")</f>
        <v>#REF!</v>
      </c>
      <c r="H596" s="127" t="str">
        <f t="shared" si="28"/>
        <v/>
      </c>
      <c r="I596" s="125" t="str">
        <f t="shared" si="29"/>
        <v/>
      </c>
    </row>
    <row r="597" spans="1:9" hidden="1" x14ac:dyDescent="0.25">
      <c r="A597" s="103" t="s">
        <v>2231</v>
      </c>
      <c r="B597" s="104" t="s">
        <v>2232</v>
      </c>
      <c r="C597" s="105" t="s">
        <v>95</v>
      </c>
      <c r="D597" s="105">
        <v>0</v>
      </c>
      <c r="E597" s="124">
        <f ca="1">OFFSET(INDEX(Composições!A:J,MATCH(Orçamentária!A597,Composições!A:A,0),8),2,0)</f>
        <v>2.1849999999999996</v>
      </c>
      <c r="F597" s="125">
        <f t="shared" ca="1" si="27"/>
        <v>0</v>
      </c>
      <c r="G597" s="126" t="e">
        <f>IF(A597&lt;&gt;"",IF(AND(#REF!="Padrão",$H$4=#REF!),BDI!$B$17,IF(AND(#REF!="Padrão",$H$4=#REF!),BDI!#REF!,IF(AND(#REF!="Diferenciado",$H$4=#REF!),BDI!$E$17,IF(AND(#REF!="Diferenciado",$H$4=#REF!),BDI!#REF!,IF(#REF!="ZERO",0))))),"")</f>
        <v>#REF!</v>
      </c>
      <c r="H597" s="127" t="e">
        <f t="shared" ca="1" si="28"/>
        <v>#REF!</v>
      </c>
      <c r="I597" s="125" t="e">
        <f t="shared" ca="1" si="29"/>
        <v>#REF!</v>
      </c>
    </row>
    <row r="598" spans="1:9" hidden="1" x14ac:dyDescent="0.25">
      <c r="A598" s="103" t="s">
        <v>2233</v>
      </c>
      <c r="B598" s="104" t="s">
        <v>2234</v>
      </c>
      <c r="C598" s="105" t="s">
        <v>20</v>
      </c>
      <c r="D598" s="105">
        <v>0</v>
      </c>
      <c r="E598" s="124" t="s">
        <v>523</v>
      </c>
      <c r="F598" s="125" t="str">
        <f t="shared" si="27"/>
        <v/>
      </c>
      <c r="G598" s="126" t="e">
        <f>IF(A598&lt;&gt;"",IF(AND(#REF!="Padrão",$H$4=#REF!),BDI!$B$17,IF(AND(#REF!="Padrão",$H$4=#REF!),BDI!#REF!,IF(AND(#REF!="Diferenciado",$H$4=#REF!),BDI!$E$17,IF(AND(#REF!="Diferenciado",$H$4=#REF!),BDI!#REF!,IF(#REF!="ZERO",0))))),"")</f>
        <v>#REF!</v>
      </c>
      <c r="H598" s="127" t="str">
        <f t="shared" si="28"/>
        <v/>
      </c>
      <c r="I598" s="125" t="str">
        <f t="shared" si="29"/>
        <v/>
      </c>
    </row>
    <row r="599" spans="1:9" hidden="1" x14ac:dyDescent="0.25">
      <c r="A599" s="103" t="s">
        <v>2235</v>
      </c>
      <c r="B599" s="104" t="s">
        <v>2236</v>
      </c>
      <c r="C599" s="105" t="s">
        <v>20</v>
      </c>
      <c r="D599" s="105">
        <v>0</v>
      </c>
      <c r="E599" s="124" t="s">
        <v>523</v>
      </c>
      <c r="F599" s="125" t="str">
        <f t="shared" si="27"/>
        <v/>
      </c>
      <c r="G599" s="126" t="e">
        <f>IF(A599&lt;&gt;"",IF(AND(#REF!="Padrão",$H$4=#REF!),BDI!$B$17,IF(AND(#REF!="Padrão",$H$4=#REF!),BDI!#REF!,IF(AND(#REF!="Diferenciado",$H$4=#REF!),BDI!$E$17,IF(AND(#REF!="Diferenciado",$H$4=#REF!),BDI!#REF!,IF(#REF!="ZERO",0))))),"")</f>
        <v>#REF!</v>
      </c>
      <c r="H599" s="127" t="str">
        <f t="shared" si="28"/>
        <v/>
      </c>
      <c r="I599" s="125" t="str">
        <f t="shared" si="29"/>
        <v/>
      </c>
    </row>
    <row r="600" spans="1:9" hidden="1" x14ac:dyDescent="0.25">
      <c r="A600" s="103" t="s">
        <v>2237</v>
      </c>
      <c r="B600" s="104" t="s">
        <v>2238</v>
      </c>
      <c r="C600" s="105" t="s">
        <v>20</v>
      </c>
      <c r="D600" s="105">
        <v>0</v>
      </c>
      <c r="E600" s="124" t="s">
        <v>523</v>
      </c>
      <c r="F600" s="125" t="str">
        <f t="shared" si="27"/>
        <v/>
      </c>
      <c r="G600" s="126" t="e">
        <f>IF(A600&lt;&gt;"",IF(AND(#REF!="Padrão",$H$4=#REF!),BDI!$B$17,IF(AND(#REF!="Padrão",$H$4=#REF!),BDI!#REF!,IF(AND(#REF!="Diferenciado",$H$4=#REF!),BDI!$E$17,IF(AND(#REF!="Diferenciado",$H$4=#REF!),BDI!#REF!,IF(#REF!="ZERO",0))))),"")</f>
        <v>#REF!</v>
      </c>
      <c r="H600" s="127" t="str">
        <f t="shared" si="28"/>
        <v/>
      </c>
      <c r="I600" s="125" t="str">
        <f t="shared" si="29"/>
        <v/>
      </c>
    </row>
    <row r="601" spans="1:9" hidden="1" x14ac:dyDescent="0.25">
      <c r="A601" s="103" t="s">
        <v>2239</v>
      </c>
      <c r="B601" s="104" t="s">
        <v>2240</v>
      </c>
      <c r="C601" s="105" t="s">
        <v>20</v>
      </c>
      <c r="D601" s="105">
        <v>0</v>
      </c>
      <c r="E601" s="124" t="s">
        <v>523</v>
      </c>
      <c r="F601" s="125" t="str">
        <f t="shared" si="27"/>
        <v/>
      </c>
      <c r="G601" s="126" t="e">
        <f>IF(A601&lt;&gt;"",IF(AND(#REF!="Padrão",$H$4=#REF!),BDI!$B$17,IF(AND(#REF!="Padrão",$H$4=#REF!),BDI!#REF!,IF(AND(#REF!="Diferenciado",$H$4=#REF!),BDI!$E$17,IF(AND(#REF!="Diferenciado",$H$4=#REF!),BDI!#REF!,IF(#REF!="ZERO",0))))),"")</f>
        <v>#REF!</v>
      </c>
      <c r="H601" s="127" t="str">
        <f t="shared" si="28"/>
        <v/>
      </c>
      <c r="I601" s="125" t="str">
        <f t="shared" si="29"/>
        <v/>
      </c>
    </row>
    <row r="602" spans="1:9" hidden="1" x14ac:dyDescent="0.25">
      <c r="A602" s="103" t="s">
        <v>2241</v>
      </c>
      <c r="B602" s="104" t="s">
        <v>2242</v>
      </c>
      <c r="C602" s="105" t="s">
        <v>20</v>
      </c>
      <c r="D602" s="105">
        <v>0</v>
      </c>
      <c r="E602" s="124" t="s">
        <v>523</v>
      </c>
      <c r="F602" s="125" t="str">
        <f t="shared" si="27"/>
        <v/>
      </c>
      <c r="G602" s="126" t="e">
        <f>IF(A602&lt;&gt;"",IF(AND(#REF!="Padrão",$H$4=#REF!),BDI!$B$17,IF(AND(#REF!="Padrão",$H$4=#REF!),BDI!#REF!,IF(AND(#REF!="Diferenciado",$H$4=#REF!),BDI!$E$17,IF(AND(#REF!="Diferenciado",$H$4=#REF!),BDI!#REF!,IF(#REF!="ZERO",0))))),"")</f>
        <v>#REF!</v>
      </c>
      <c r="H602" s="127" t="str">
        <f t="shared" si="28"/>
        <v/>
      </c>
      <c r="I602" s="125" t="str">
        <f t="shared" si="29"/>
        <v/>
      </c>
    </row>
    <row r="603" spans="1:9" hidden="1" x14ac:dyDescent="0.25">
      <c r="A603" s="103" t="s">
        <v>2243</v>
      </c>
      <c r="B603" s="104" t="s">
        <v>2244</v>
      </c>
      <c r="C603" s="105" t="s">
        <v>20</v>
      </c>
      <c r="D603" s="105">
        <v>0</v>
      </c>
      <c r="E603" s="124" t="s">
        <v>523</v>
      </c>
      <c r="F603" s="125" t="str">
        <f t="shared" si="27"/>
        <v/>
      </c>
      <c r="G603" s="126" t="e">
        <f>IF(A603&lt;&gt;"",IF(AND(#REF!="Padrão",$H$4=#REF!),BDI!$B$17,IF(AND(#REF!="Padrão",$H$4=#REF!),BDI!#REF!,IF(AND(#REF!="Diferenciado",$H$4=#REF!),BDI!$E$17,IF(AND(#REF!="Diferenciado",$H$4=#REF!),BDI!#REF!,IF(#REF!="ZERO",0))))),"")</f>
        <v>#REF!</v>
      </c>
      <c r="H603" s="127" t="str">
        <f t="shared" si="28"/>
        <v/>
      </c>
      <c r="I603" s="125" t="str">
        <f t="shared" si="29"/>
        <v/>
      </c>
    </row>
    <row r="604" spans="1:9" hidden="1" x14ac:dyDescent="0.25">
      <c r="A604" s="103" t="s">
        <v>2245</v>
      </c>
      <c r="B604" s="104" t="s">
        <v>2246</v>
      </c>
      <c r="C604" s="105" t="s">
        <v>20</v>
      </c>
      <c r="D604" s="105">
        <v>0</v>
      </c>
      <c r="E604" s="124" t="s">
        <v>523</v>
      </c>
      <c r="F604" s="125" t="str">
        <f t="shared" si="27"/>
        <v/>
      </c>
      <c r="G604" s="126" t="e">
        <f>IF(A604&lt;&gt;"",IF(AND(#REF!="Padrão",$H$4=#REF!),BDI!$B$17,IF(AND(#REF!="Padrão",$H$4=#REF!),BDI!#REF!,IF(AND(#REF!="Diferenciado",$H$4=#REF!),BDI!$E$17,IF(AND(#REF!="Diferenciado",$H$4=#REF!),BDI!#REF!,IF(#REF!="ZERO",0))))),"")</f>
        <v>#REF!</v>
      </c>
      <c r="H604" s="127" t="str">
        <f t="shared" si="28"/>
        <v/>
      </c>
      <c r="I604" s="125" t="str">
        <f t="shared" si="29"/>
        <v/>
      </c>
    </row>
    <row r="605" spans="1:9" hidden="1" x14ac:dyDescent="0.25">
      <c r="A605" s="103" t="s">
        <v>2247</v>
      </c>
      <c r="B605" s="104" t="s">
        <v>2248</v>
      </c>
      <c r="C605" s="105" t="s">
        <v>20</v>
      </c>
      <c r="D605" s="105">
        <v>0</v>
      </c>
      <c r="E605" s="124" t="s">
        <v>523</v>
      </c>
      <c r="F605" s="125" t="str">
        <f t="shared" si="27"/>
        <v/>
      </c>
      <c r="G605" s="126" t="e">
        <f>IF(A605&lt;&gt;"",IF(AND(#REF!="Padrão",$H$4=#REF!),BDI!$B$17,IF(AND(#REF!="Padrão",$H$4=#REF!),BDI!#REF!,IF(AND(#REF!="Diferenciado",$H$4=#REF!),BDI!$E$17,IF(AND(#REF!="Diferenciado",$H$4=#REF!),BDI!#REF!,IF(#REF!="ZERO",0))))),"")</f>
        <v>#REF!</v>
      </c>
      <c r="H605" s="127" t="str">
        <f t="shared" si="28"/>
        <v/>
      </c>
      <c r="I605" s="125" t="str">
        <f t="shared" si="29"/>
        <v/>
      </c>
    </row>
    <row r="606" spans="1:9" hidden="1" x14ac:dyDescent="0.25">
      <c r="A606" s="103" t="s">
        <v>2249</v>
      </c>
      <c r="B606" s="104" t="s">
        <v>2250</v>
      </c>
      <c r="C606" s="105" t="s">
        <v>20</v>
      </c>
      <c r="D606" s="105">
        <v>0</v>
      </c>
      <c r="E606" s="124" t="s">
        <v>523</v>
      </c>
      <c r="F606" s="125" t="str">
        <f t="shared" si="27"/>
        <v/>
      </c>
      <c r="G606" s="126" t="e">
        <f>IF(A606&lt;&gt;"",IF(AND(#REF!="Padrão",$H$4=#REF!),BDI!$B$17,IF(AND(#REF!="Padrão",$H$4=#REF!),BDI!#REF!,IF(AND(#REF!="Diferenciado",$H$4=#REF!),BDI!$E$17,IF(AND(#REF!="Diferenciado",$H$4=#REF!),BDI!#REF!,IF(#REF!="ZERO",0))))),"")</f>
        <v>#REF!</v>
      </c>
      <c r="H606" s="127" t="str">
        <f t="shared" si="28"/>
        <v/>
      </c>
      <c r="I606" s="125" t="str">
        <f t="shared" si="29"/>
        <v/>
      </c>
    </row>
    <row r="607" spans="1:9" hidden="1" x14ac:dyDescent="0.25">
      <c r="A607" s="103" t="s">
        <v>2251</v>
      </c>
      <c r="B607" s="104" t="s">
        <v>2252</v>
      </c>
      <c r="C607" s="105" t="s">
        <v>20</v>
      </c>
      <c r="D607" s="105">
        <v>0</v>
      </c>
      <c r="E607" s="124" t="s">
        <v>523</v>
      </c>
      <c r="F607" s="125" t="str">
        <f t="shared" si="27"/>
        <v/>
      </c>
      <c r="G607" s="126" t="e">
        <f>IF(A607&lt;&gt;"",IF(AND(#REF!="Padrão",$H$4=#REF!),BDI!$B$17,IF(AND(#REF!="Padrão",$H$4=#REF!),BDI!#REF!,IF(AND(#REF!="Diferenciado",$H$4=#REF!),BDI!$E$17,IF(AND(#REF!="Diferenciado",$H$4=#REF!),BDI!#REF!,IF(#REF!="ZERO",0))))),"")</f>
        <v>#REF!</v>
      </c>
      <c r="H607" s="127" t="str">
        <f t="shared" si="28"/>
        <v/>
      </c>
      <c r="I607" s="125" t="str">
        <f t="shared" si="29"/>
        <v/>
      </c>
    </row>
    <row r="608" spans="1:9" hidden="1" x14ac:dyDescent="0.25">
      <c r="A608" s="103" t="s">
        <v>2253</v>
      </c>
      <c r="B608" s="104" t="s">
        <v>2254</v>
      </c>
      <c r="C608" s="105" t="s">
        <v>20</v>
      </c>
      <c r="D608" s="105">
        <v>0</v>
      </c>
      <c r="E608" s="124" t="s">
        <v>523</v>
      </c>
      <c r="F608" s="125" t="str">
        <f t="shared" si="27"/>
        <v/>
      </c>
      <c r="G608" s="126" t="e">
        <f>IF(A608&lt;&gt;"",IF(AND(#REF!="Padrão",$H$4=#REF!),BDI!$B$17,IF(AND(#REF!="Padrão",$H$4=#REF!),BDI!#REF!,IF(AND(#REF!="Diferenciado",$H$4=#REF!),BDI!$E$17,IF(AND(#REF!="Diferenciado",$H$4=#REF!),BDI!#REF!,IF(#REF!="ZERO",0))))),"")</f>
        <v>#REF!</v>
      </c>
      <c r="H608" s="127" t="str">
        <f t="shared" si="28"/>
        <v/>
      </c>
      <c r="I608" s="125" t="str">
        <f t="shared" si="29"/>
        <v/>
      </c>
    </row>
    <row r="609" spans="1:9" hidden="1" x14ac:dyDescent="0.25">
      <c r="A609" s="103" t="s">
        <v>2255</v>
      </c>
      <c r="B609" s="104" t="s">
        <v>2256</v>
      </c>
      <c r="C609" s="105" t="s">
        <v>20</v>
      </c>
      <c r="D609" s="105">
        <v>0</v>
      </c>
      <c r="E609" s="124" t="s">
        <v>523</v>
      </c>
      <c r="F609" s="125" t="str">
        <f t="shared" si="27"/>
        <v/>
      </c>
      <c r="G609" s="126" t="e">
        <f>IF(A609&lt;&gt;"",IF(AND(#REF!="Padrão",$H$4=#REF!),BDI!$B$17,IF(AND(#REF!="Padrão",$H$4=#REF!),BDI!#REF!,IF(AND(#REF!="Diferenciado",$H$4=#REF!),BDI!$E$17,IF(AND(#REF!="Diferenciado",$H$4=#REF!),BDI!#REF!,IF(#REF!="ZERO",0))))),"")</f>
        <v>#REF!</v>
      </c>
      <c r="H609" s="127" t="str">
        <f t="shared" si="28"/>
        <v/>
      </c>
      <c r="I609" s="125" t="str">
        <f t="shared" si="29"/>
        <v/>
      </c>
    </row>
    <row r="610" spans="1:9" hidden="1" x14ac:dyDescent="0.25">
      <c r="A610" s="103" t="s">
        <v>2257</v>
      </c>
      <c r="B610" s="104" t="s">
        <v>2258</v>
      </c>
      <c r="C610" s="105" t="s">
        <v>20</v>
      </c>
      <c r="D610" s="105">
        <v>0</v>
      </c>
      <c r="E610" s="124" t="s">
        <v>523</v>
      </c>
      <c r="F610" s="125" t="str">
        <f t="shared" si="27"/>
        <v/>
      </c>
      <c r="G610" s="126" t="e">
        <f>IF(A610&lt;&gt;"",IF(AND(#REF!="Padrão",$H$4=#REF!),BDI!$B$17,IF(AND(#REF!="Padrão",$H$4=#REF!),BDI!#REF!,IF(AND(#REF!="Diferenciado",$H$4=#REF!),BDI!$E$17,IF(AND(#REF!="Diferenciado",$H$4=#REF!),BDI!#REF!,IF(#REF!="ZERO",0))))),"")</f>
        <v>#REF!</v>
      </c>
      <c r="H610" s="127" t="str">
        <f t="shared" si="28"/>
        <v/>
      </c>
      <c r="I610" s="125" t="str">
        <f t="shared" si="29"/>
        <v/>
      </c>
    </row>
    <row r="611" spans="1:9" hidden="1" x14ac:dyDescent="0.25">
      <c r="A611" s="103" t="s">
        <v>2259</v>
      </c>
      <c r="B611" s="104" t="s">
        <v>2260</v>
      </c>
      <c r="C611" s="105" t="s">
        <v>20</v>
      </c>
      <c r="D611" s="105">
        <v>0</v>
      </c>
      <c r="E611" s="124" t="s">
        <v>523</v>
      </c>
      <c r="F611" s="125" t="str">
        <f t="shared" si="27"/>
        <v/>
      </c>
      <c r="G611" s="126" t="e">
        <f>IF(A611&lt;&gt;"",IF(AND(#REF!="Padrão",$H$4=#REF!),BDI!$B$17,IF(AND(#REF!="Padrão",$H$4=#REF!),BDI!#REF!,IF(AND(#REF!="Diferenciado",$H$4=#REF!),BDI!$E$17,IF(AND(#REF!="Diferenciado",$H$4=#REF!),BDI!#REF!,IF(#REF!="ZERO",0))))),"")</f>
        <v>#REF!</v>
      </c>
      <c r="H611" s="127" t="str">
        <f t="shared" si="28"/>
        <v/>
      </c>
      <c r="I611" s="125" t="str">
        <f t="shared" si="29"/>
        <v/>
      </c>
    </row>
    <row r="612" spans="1:9" hidden="1" x14ac:dyDescent="0.25">
      <c r="A612" s="103" t="s">
        <v>2261</v>
      </c>
      <c r="B612" s="104" t="s">
        <v>2262</v>
      </c>
      <c r="C612" s="105" t="s">
        <v>20</v>
      </c>
      <c r="D612" s="105">
        <v>0</v>
      </c>
      <c r="E612" s="124" t="s">
        <v>523</v>
      </c>
      <c r="F612" s="125" t="str">
        <f t="shared" si="27"/>
        <v/>
      </c>
      <c r="G612" s="126" t="e">
        <f>IF(A612&lt;&gt;"",IF(AND(#REF!="Padrão",$H$4=#REF!),BDI!$B$17,IF(AND(#REF!="Padrão",$H$4=#REF!),BDI!#REF!,IF(AND(#REF!="Diferenciado",$H$4=#REF!),BDI!$E$17,IF(AND(#REF!="Diferenciado",$H$4=#REF!),BDI!#REF!,IF(#REF!="ZERO",0))))),"")</f>
        <v>#REF!</v>
      </c>
      <c r="H612" s="127" t="str">
        <f t="shared" si="28"/>
        <v/>
      </c>
      <c r="I612" s="125" t="str">
        <f t="shared" si="29"/>
        <v/>
      </c>
    </row>
    <row r="613" spans="1:9" hidden="1" x14ac:dyDescent="0.25">
      <c r="A613" s="103" t="s">
        <v>2263</v>
      </c>
      <c r="B613" s="104" t="s">
        <v>2264</v>
      </c>
      <c r="C613" s="105" t="s">
        <v>20</v>
      </c>
      <c r="D613" s="105">
        <v>0</v>
      </c>
      <c r="E613" s="124" t="s">
        <v>523</v>
      </c>
      <c r="F613" s="125" t="str">
        <f t="shared" si="27"/>
        <v/>
      </c>
      <c r="G613" s="126" t="e">
        <f>IF(A613&lt;&gt;"",IF(AND(#REF!="Padrão",$H$4=#REF!),BDI!$B$17,IF(AND(#REF!="Padrão",$H$4=#REF!),BDI!#REF!,IF(AND(#REF!="Diferenciado",$H$4=#REF!),BDI!$E$17,IF(AND(#REF!="Diferenciado",$H$4=#REF!),BDI!#REF!,IF(#REF!="ZERO",0))))),"")</f>
        <v>#REF!</v>
      </c>
      <c r="H613" s="127" t="str">
        <f t="shared" si="28"/>
        <v/>
      </c>
      <c r="I613" s="125" t="str">
        <f t="shared" si="29"/>
        <v/>
      </c>
    </row>
    <row r="614" spans="1:9" hidden="1" x14ac:dyDescent="0.25">
      <c r="A614" s="103" t="s">
        <v>2265</v>
      </c>
      <c r="B614" s="104" t="s">
        <v>2266</v>
      </c>
      <c r="C614" s="105" t="s">
        <v>20</v>
      </c>
      <c r="D614" s="105">
        <v>0</v>
      </c>
      <c r="E614" s="124" t="s">
        <v>523</v>
      </c>
      <c r="F614" s="125" t="str">
        <f t="shared" si="27"/>
        <v/>
      </c>
      <c r="G614" s="126" t="e">
        <f>IF(A614&lt;&gt;"",IF(AND(#REF!="Padrão",$H$4=#REF!),BDI!$B$17,IF(AND(#REF!="Padrão",$H$4=#REF!),BDI!#REF!,IF(AND(#REF!="Diferenciado",$H$4=#REF!),BDI!$E$17,IF(AND(#REF!="Diferenciado",$H$4=#REF!),BDI!#REF!,IF(#REF!="ZERO",0))))),"")</f>
        <v>#REF!</v>
      </c>
      <c r="H614" s="127" t="str">
        <f t="shared" si="28"/>
        <v/>
      </c>
      <c r="I614" s="125" t="str">
        <f t="shared" si="29"/>
        <v/>
      </c>
    </row>
    <row r="615" spans="1:9" hidden="1" x14ac:dyDescent="0.25">
      <c r="A615" s="103" t="s">
        <v>2267</v>
      </c>
      <c r="B615" s="104" t="s">
        <v>2268</v>
      </c>
      <c r="C615" s="105" t="s">
        <v>20</v>
      </c>
      <c r="D615" s="105">
        <v>0</v>
      </c>
      <c r="E615" s="124" t="s">
        <v>523</v>
      </c>
      <c r="F615" s="125" t="str">
        <f t="shared" si="27"/>
        <v/>
      </c>
      <c r="G615" s="126" t="e">
        <f>IF(A615&lt;&gt;"",IF(AND(#REF!="Padrão",$H$4=#REF!),BDI!$B$17,IF(AND(#REF!="Padrão",$H$4=#REF!),BDI!#REF!,IF(AND(#REF!="Diferenciado",$H$4=#REF!),BDI!$E$17,IF(AND(#REF!="Diferenciado",$H$4=#REF!),BDI!#REF!,IF(#REF!="ZERO",0))))),"")</f>
        <v>#REF!</v>
      </c>
      <c r="H615" s="127" t="str">
        <f t="shared" si="28"/>
        <v/>
      </c>
      <c r="I615" s="125" t="str">
        <f t="shared" si="29"/>
        <v/>
      </c>
    </row>
    <row r="616" spans="1:9" hidden="1" x14ac:dyDescent="0.25">
      <c r="A616" s="103" t="s">
        <v>2269</v>
      </c>
      <c r="B616" s="104" t="s">
        <v>2270</v>
      </c>
      <c r="C616" s="105" t="s">
        <v>20</v>
      </c>
      <c r="D616" s="105">
        <v>0</v>
      </c>
      <c r="E616" s="124" t="s">
        <v>523</v>
      </c>
      <c r="F616" s="125" t="str">
        <f t="shared" si="27"/>
        <v/>
      </c>
      <c r="G616" s="126" t="e">
        <f>IF(A616&lt;&gt;"",IF(AND(#REF!="Padrão",$H$4=#REF!),BDI!$B$17,IF(AND(#REF!="Padrão",$H$4=#REF!),BDI!#REF!,IF(AND(#REF!="Diferenciado",$H$4=#REF!),BDI!$E$17,IF(AND(#REF!="Diferenciado",$H$4=#REF!),BDI!#REF!,IF(#REF!="ZERO",0))))),"")</f>
        <v>#REF!</v>
      </c>
      <c r="H616" s="127" t="str">
        <f t="shared" si="28"/>
        <v/>
      </c>
      <c r="I616" s="125" t="str">
        <f t="shared" si="29"/>
        <v/>
      </c>
    </row>
    <row r="617" spans="1:9" hidden="1" x14ac:dyDescent="0.25">
      <c r="A617" s="103" t="s">
        <v>2271</v>
      </c>
      <c r="B617" s="104" t="s">
        <v>2272</v>
      </c>
      <c r="C617" s="105" t="s">
        <v>20</v>
      </c>
      <c r="D617" s="105">
        <v>0</v>
      </c>
      <c r="E617" s="124" t="s">
        <v>523</v>
      </c>
      <c r="F617" s="125" t="str">
        <f t="shared" si="27"/>
        <v/>
      </c>
      <c r="G617" s="126" t="e">
        <f>IF(A617&lt;&gt;"",IF(AND(#REF!="Padrão",$H$4=#REF!),BDI!$B$17,IF(AND(#REF!="Padrão",$H$4=#REF!),BDI!#REF!,IF(AND(#REF!="Diferenciado",$H$4=#REF!),BDI!$E$17,IF(AND(#REF!="Diferenciado",$H$4=#REF!),BDI!#REF!,IF(#REF!="ZERO",0))))),"")</f>
        <v>#REF!</v>
      </c>
      <c r="H617" s="127" t="str">
        <f t="shared" si="28"/>
        <v/>
      </c>
      <c r="I617" s="125" t="str">
        <f t="shared" si="29"/>
        <v/>
      </c>
    </row>
    <row r="618" spans="1:9" hidden="1" x14ac:dyDescent="0.25">
      <c r="A618" s="103" t="s">
        <v>2273</v>
      </c>
      <c r="B618" s="104" t="s">
        <v>2274</v>
      </c>
      <c r="C618" s="105" t="s">
        <v>20</v>
      </c>
      <c r="D618" s="105">
        <v>0</v>
      </c>
      <c r="E618" s="124" t="s">
        <v>523</v>
      </c>
      <c r="F618" s="125" t="str">
        <f t="shared" si="27"/>
        <v/>
      </c>
      <c r="G618" s="126" t="e">
        <f>IF(A618&lt;&gt;"",IF(AND(#REF!="Padrão",$H$4=#REF!),BDI!$B$17,IF(AND(#REF!="Padrão",$H$4=#REF!),BDI!#REF!,IF(AND(#REF!="Diferenciado",$H$4=#REF!),BDI!$E$17,IF(AND(#REF!="Diferenciado",$H$4=#REF!),BDI!#REF!,IF(#REF!="ZERO",0))))),"")</f>
        <v>#REF!</v>
      </c>
      <c r="H618" s="127" t="str">
        <f t="shared" si="28"/>
        <v/>
      </c>
      <c r="I618" s="125" t="str">
        <f t="shared" si="29"/>
        <v/>
      </c>
    </row>
    <row r="619" spans="1:9" hidden="1" x14ac:dyDescent="0.25">
      <c r="A619" s="103" t="s">
        <v>2275</v>
      </c>
      <c r="B619" s="104" t="s">
        <v>2276</v>
      </c>
      <c r="C619" s="105" t="s">
        <v>20</v>
      </c>
      <c r="D619" s="105">
        <v>0</v>
      </c>
      <c r="E619" s="124" t="s">
        <v>523</v>
      </c>
      <c r="F619" s="125" t="str">
        <f t="shared" si="27"/>
        <v/>
      </c>
      <c r="G619" s="126" t="e">
        <f>IF(A619&lt;&gt;"",IF(AND(#REF!="Padrão",$H$4=#REF!),BDI!$B$17,IF(AND(#REF!="Padrão",$H$4=#REF!),BDI!#REF!,IF(AND(#REF!="Diferenciado",$H$4=#REF!),BDI!$E$17,IF(AND(#REF!="Diferenciado",$H$4=#REF!),BDI!#REF!,IF(#REF!="ZERO",0))))),"")</f>
        <v>#REF!</v>
      </c>
      <c r="H619" s="127" t="str">
        <f t="shared" si="28"/>
        <v/>
      </c>
      <c r="I619" s="125" t="str">
        <f t="shared" si="29"/>
        <v/>
      </c>
    </row>
    <row r="620" spans="1:9" hidden="1" x14ac:dyDescent="0.25">
      <c r="A620" s="103" t="s">
        <v>2277</v>
      </c>
      <c r="B620" s="104" t="s">
        <v>2278</v>
      </c>
      <c r="C620" s="105" t="s">
        <v>20</v>
      </c>
      <c r="D620" s="105">
        <v>0</v>
      </c>
      <c r="E620" s="124" t="s">
        <v>523</v>
      </c>
      <c r="F620" s="125" t="str">
        <f t="shared" si="27"/>
        <v/>
      </c>
      <c r="G620" s="126" t="e">
        <f>IF(A620&lt;&gt;"",IF(AND(#REF!="Padrão",$H$4=#REF!),BDI!$B$17,IF(AND(#REF!="Padrão",$H$4=#REF!),BDI!#REF!,IF(AND(#REF!="Diferenciado",$H$4=#REF!),BDI!$E$17,IF(AND(#REF!="Diferenciado",$H$4=#REF!),BDI!#REF!,IF(#REF!="ZERO",0))))),"")</f>
        <v>#REF!</v>
      </c>
      <c r="H620" s="127" t="str">
        <f t="shared" si="28"/>
        <v/>
      </c>
      <c r="I620" s="125" t="str">
        <f t="shared" si="29"/>
        <v/>
      </c>
    </row>
    <row r="621" spans="1:9" hidden="1" x14ac:dyDescent="0.25">
      <c r="A621" s="103" t="s">
        <v>2279</v>
      </c>
      <c r="B621" s="104" t="s">
        <v>2280</v>
      </c>
      <c r="C621" s="105" t="s">
        <v>20</v>
      </c>
      <c r="D621" s="105">
        <v>0</v>
      </c>
      <c r="E621" s="124" t="s">
        <v>523</v>
      </c>
      <c r="F621" s="125" t="str">
        <f t="shared" si="27"/>
        <v/>
      </c>
      <c r="G621" s="126" t="e">
        <f>IF(A621&lt;&gt;"",IF(AND(#REF!="Padrão",$H$4=#REF!),BDI!$B$17,IF(AND(#REF!="Padrão",$H$4=#REF!),BDI!#REF!,IF(AND(#REF!="Diferenciado",$H$4=#REF!),BDI!$E$17,IF(AND(#REF!="Diferenciado",$H$4=#REF!),BDI!#REF!,IF(#REF!="ZERO",0))))),"")</f>
        <v>#REF!</v>
      </c>
      <c r="H621" s="127" t="str">
        <f t="shared" si="28"/>
        <v/>
      </c>
      <c r="I621" s="125" t="str">
        <f t="shared" si="29"/>
        <v/>
      </c>
    </row>
    <row r="622" spans="1:9" hidden="1" x14ac:dyDescent="0.25">
      <c r="A622" s="103" t="s">
        <v>2281</v>
      </c>
      <c r="B622" s="104" t="s">
        <v>2282</v>
      </c>
      <c r="C622" s="105" t="s">
        <v>20</v>
      </c>
      <c r="D622" s="105">
        <v>0</v>
      </c>
      <c r="E622" s="124" t="s">
        <v>523</v>
      </c>
      <c r="F622" s="125" t="str">
        <f t="shared" si="27"/>
        <v/>
      </c>
      <c r="G622" s="126" t="e">
        <f>IF(A622&lt;&gt;"",IF(AND(#REF!="Padrão",$H$4=#REF!),BDI!$B$17,IF(AND(#REF!="Padrão",$H$4=#REF!),BDI!#REF!,IF(AND(#REF!="Diferenciado",$H$4=#REF!),BDI!$E$17,IF(AND(#REF!="Diferenciado",$H$4=#REF!),BDI!#REF!,IF(#REF!="ZERO",0))))),"")</f>
        <v>#REF!</v>
      </c>
      <c r="H622" s="127" t="str">
        <f t="shared" si="28"/>
        <v/>
      </c>
      <c r="I622" s="125" t="str">
        <f t="shared" si="29"/>
        <v/>
      </c>
    </row>
    <row r="623" spans="1:9" hidden="1" x14ac:dyDescent="0.25">
      <c r="A623" s="103" t="s">
        <v>2283</v>
      </c>
      <c r="B623" s="104" t="s">
        <v>2284</v>
      </c>
      <c r="C623" s="105" t="s">
        <v>20</v>
      </c>
      <c r="D623" s="105">
        <v>0</v>
      </c>
      <c r="E623" s="124" t="s">
        <v>523</v>
      </c>
      <c r="F623" s="125" t="str">
        <f t="shared" si="27"/>
        <v/>
      </c>
      <c r="G623" s="126" t="e">
        <f>IF(A623&lt;&gt;"",IF(AND(#REF!="Padrão",$H$4=#REF!),BDI!$B$17,IF(AND(#REF!="Padrão",$H$4=#REF!),BDI!#REF!,IF(AND(#REF!="Diferenciado",$H$4=#REF!),BDI!$E$17,IF(AND(#REF!="Diferenciado",$H$4=#REF!),BDI!#REF!,IF(#REF!="ZERO",0))))),"")</f>
        <v>#REF!</v>
      </c>
      <c r="H623" s="127" t="str">
        <f t="shared" si="28"/>
        <v/>
      </c>
      <c r="I623" s="125" t="str">
        <f t="shared" si="29"/>
        <v/>
      </c>
    </row>
    <row r="624" spans="1:9" hidden="1" x14ac:dyDescent="0.25">
      <c r="A624" s="103" t="s">
        <v>2285</v>
      </c>
      <c r="B624" s="104" t="s">
        <v>2286</v>
      </c>
      <c r="C624" s="105" t="s">
        <v>20</v>
      </c>
      <c r="D624" s="105">
        <v>0</v>
      </c>
      <c r="E624" s="124" t="s">
        <v>523</v>
      </c>
      <c r="F624" s="125" t="str">
        <f t="shared" si="27"/>
        <v/>
      </c>
      <c r="G624" s="126" t="e">
        <f>IF(A624&lt;&gt;"",IF(AND(#REF!="Padrão",$H$4=#REF!),BDI!$B$17,IF(AND(#REF!="Padrão",$H$4=#REF!),BDI!#REF!,IF(AND(#REF!="Diferenciado",$H$4=#REF!),BDI!$E$17,IF(AND(#REF!="Diferenciado",$H$4=#REF!),BDI!#REF!,IF(#REF!="ZERO",0))))),"")</f>
        <v>#REF!</v>
      </c>
      <c r="H624" s="127" t="str">
        <f t="shared" si="28"/>
        <v/>
      </c>
      <c r="I624" s="125" t="str">
        <f t="shared" si="29"/>
        <v/>
      </c>
    </row>
    <row r="625" spans="1:9" hidden="1" x14ac:dyDescent="0.25">
      <c r="A625" s="103" t="s">
        <v>2287</v>
      </c>
      <c r="B625" s="104" t="s">
        <v>2288</v>
      </c>
      <c r="C625" s="105" t="s">
        <v>20</v>
      </c>
      <c r="D625" s="105">
        <v>0</v>
      </c>
      <c r="E625" s="124" t="s">
        <v>523</v>
      </c>
      <c r="F625" s="125" t="str">
        <f t="shared" si="27"/>
        <v/>
      </c>
      <c r="G625" s="126" t="e">
        <f>IF(A625&lt;&gt;"",IF(AND(#REF!="Padrão",$H$4=#REF!),BDI!$B$17,IF(AND(#REF!="Padrão",$H$4=#REF!),BDI!#REF!,IF(AND(#REF!="Diferenciado",$H$4=#REF!),BDI!$E$17,IF(AND(#REF!="Diferenciado",$H$4=#REF!),BDI!#REF!,IF(#REF!="ZERO",0))))),"")</f>
        <v>#REF!</v>
      </c>
      <c r="H625" s="127" t="str">
        <f t="shared" si="28"/>
        <v/>
      </c>
      <c r="I625" s="125" t="str">
        <f t="shared" si="29"/>
        <v/>
      </c>
    </row>
    <row r="626" spans="1:9" hidden="1" x14ac:dyDescent="0.25">
      <c r="A626" s="103" t="s">
        <v>2289</v>
      </c>
      <c r="B626" s="104" t="s">
        <v>2290</v>
      </c>
      <c r="C626" s="105" t="s">
        <v>20</v>
      </c>
      <c r="D626" s="105">
        <v>0</v>
      </c>
      <c r="E626" s="124" t="s">
        <v>523</v>
      </c>
      <c r="F626" s="125" t="str">
        <f t="shared" si="27"/>
        <v/>
      </c>
      <c r="G626" s="126" t="e">
        <f>IF(A626&lt;&gt;"",IF(AND(#REF!="Padrão",$H$4=#REF!),BDI!$B$17,IF(AND(#REF!="Padrão",$H$4=#REF!),BDI!#REF!,IF(AND(#REF!="Diferenciado",$H$4=#REF!),BDI!$E$17,IF(AND(#REF!="Diferenciado",$H$4=#REF!),BDI!#REF!,IF(#REF!="ZERO",0))))),"")</f>
        <v>#REF!</v>
      </c>
      <c r="H626" s="127" t="str">
        <f t="shared" si="28"/>
        <v/>
      </c>
      <c r="I626" s="125" t="str">
        <f t="shared" si="29"/>
        <v/>
      </c>
    </row>
    <row r="627" spans="1:9" hidden="1" x14ac:dyDescent="0.25">
      <c r="A627" s="103" t="s">
        <v>2291</v>
      </c>
      <c r="B627" s="104" t="s">
        <v>2292</v>
      </c>
      <c r="C627" s="105" t="s">
        <v>20</v>
      </c>
      <c r="D627" s="105">
        <v>0</v>
      </c>
      <c r="E627" s="124" t="s">
        <v>523</v>
      </c>
      <c r="F627" s="125" t="str">
        <f t="shared" si="27"/>
        <v/>
      </c>
      <c r="G627" s="126" t="e">
        <f>IF(A627&lt;&gt;"",IF(AND(#REF!="Padrão",$H$4=#REF!),BDI!$B$17,IF(AND(#REF!="Padrão",$H$4=#REF!),BDI!#REF!,IF(AND(#REF!="Diferenciado",$H$4=#REF!),BDI!$E$17,IF(AND(#REF!="Diferenciado",$H$4=#REF!),BDI!#REF!,IF(#REF!="ZERO",0))))),"")</f>
        <v>#REF!</v>
      </c>
      <c r="H627" s="127" t="str">
        <f t="shared" si="28"/>
        <v/>
      </c>
      <c r="I627" s="125" t="str">
        <f t="shared" si="29"/>
        <v/>
      </c>
    </row>
    <row r="628" spans="1:9" hidden="1" x14ac:dyDescent="0.25">
      <c r="A628" s="103" t="s">
        <v>2293</v>
      </c>
      <c r="B628" s="104" t="s">
        <v>2294</v>
      </c>
      <c r="C628" s="105" t="s">
        <v>20</v>
      </c>
      <c r="D628" s="105">
        <v>0</v>
      </c>
      <c r="E628" s="124" t="s">
        <v>523</v>
      </c>
      <c r="F628" s="125" t="str">
        <f t="shared" si="27"/>
        <v/>
      </c>
      <c r="G628" s="126" t="e">
        <f>IF(A628&lt;&gt;"",IF(AND(#REF!="Padrão",$H$4=#REF!),BDI!$B$17,IF(AND(#REF!="Padrão",$H$4=#REF!),BDI!#REF!,IF(AND(#REF!="Diferenciado",$H$4=#REF!),BDI!$E$17,IF(AND(#REF!="Diferenciado",$H$4=#REF!),BDI!#REF!,IF(#REF!="ZERO",0))))),"")</f>
        <v>#REF!</v>
      </c>
      <c r="H628" s="127" t="str">
        <f t="shared" si="28"/>
        <v/>
      </c>
      <c r="I628" s="125" t="str">
        <f t="shared" si="29"/>
        <v/>
      </c>
    </row>
    <row r="629" spans="1:9" hidden="1" x14ac:dyDescent="0.25">
      <c r="A629" s="103" t="s">
        <v>2295</v>
      </c>
      <c r="B629" s="104" t="s">
        <v>2296</v>
      </c>
      <c r="C629" s="105" t="s">
        <v>20</v>
      </c>
      <c r="D629" s="105">
        <v>0</v>
      </c>
      <c r="E629" s="124" t="s">
        <v>523</v>
      </c>
      <c r="F629" s="125" t="str">
        <f t="shared" si="27"/>
        <v/>
      </c>
      <c r="G629" s="126" t="e">
        <f>IF(A629&lt;&gt;"",IF(AND(#REF!="Padrão",$H$4=#REF!),BDI!$B$17,IF(AND(#REF!="Padrão",$H$4=#REF!),BDI!#REF!,IF(AND(#REF!="Diferenciado",$H$4=#REF!),BDI!$E$17,IF(AND(#REF!="Diferenciado",$H$4=#REF!),BDI!#REF!,IF(#REF!="ZERO",0))))),"")</f>
        <v>#REF!</v>
      </c>
      <c r="H629" s="127" t="str">
        <f t="shared" si="28"/>
        <v/>
      </c>
      <c r="I629" s="125" t="str">
        <f t="shared" si="29"/>
        <v/>
      </c>
    </row>
    <row r="630" spans="1:9" hidden="1" x14ac:dyDescent="0.25">
      <c r="A630" s="103" t="s">
        <v>2297</v>
      </c>
      <c r="B630" s="104" t="s">
        <v>2298</v>
      </c>
      <c r="C630" s="105" t="s">
        <v>20</v>
      </c>
      <c r="D630" s="105">
        <v>0</v>
      </c>
      <c r="E630" s="124" t="s">
        <v>523</v>
      </c>
      <c r="F630" s="125" t="str">
        <f t="shared" si="27"/>
        <v/>
      </c>
      <c r="G630" s="126" t="e">
        <f>IF(A630&lt;&gt;"",IF(AND(#REF!="Padrão",$H$4=#REF!),BDI!$B$17,IF(AND(#REF!="Padrão",$H$4=#REF!),BDI!#REF!,IF(AND(#REF!="Diferenciado",$H$4=#REF!),BDI!$E$17,IF(AND(#REF!="Diferenciado",$H$4=#REF!),BDI!#REF!,IF(#REF!="ZERO",0))))),"")</f>
        <v>#REF!</v>
      </c>
      <c r="H630" s="127" t="str">
        <f t="shared" si="28"/>
        <v/>
      </c>
      <c r="I630" s="125" t="str">
        <f t="shared" si="29"/>
        <v/>
      </c>
    </row>
    <row r="631" spans="1:9" hidden="1" x14ac:dyDescent="0.25">
      <c r="A631" s="103" t="s">
        <v>2299</v>
      </c>
      <c r="B631" s="104" t="s">
        <v>2300</v>
      </c>
      <c r="C631" s="105" t="s">
        <v>20</v>
      </c>
      <c r="D631" s="105">
        <v>0</v>
      </c>
      <c r="E631" s="124" t="s">
        <v>523</v>
      </c>
      <c r="F631" s="125" t="str">
        <f t="shared" si="27"/>
        <v/>
      </c>
      <c r="G631" s="126" t="e">
        <f>IF(A631&lt;&gt;"",IF(AND(#REF!="Padrão",$H$4=#REF!),BDI!$B$17,IF(AND(#REF!="Padrão",$H$4=#REF!),BDI!#REF!,IF(AND(#REF!="Diferenciado",$H$4=#REF!),BDI!$E$17,IF(AND(#REF!="Diferenciado",$H$4=#REF!),BDI!#REF!,IF(#REF!="ZERO",0))))),"")</f>
        <v>#REF!</v>
      </c>
      <c r="H631" s="127" t="str">
        <f t="shared" si="28"/>
        <v/>
      </c>
      <c r="I631" s="125" t="str">
        <f t="shared" si="29"/>
        <v/>
      </c>
    </row>
    <row r="632" spans="1:9" hidden="1" x14ac:dyDescent="0.25">
      <c r="A632" s="103" t="s">
        <v>2301</v>
      </c>
      <c r="B632" s="104" t="s">
        <v>2302</v>
      </c>
      <c r="C632" s="105" t="s">
        <v>20</v>
      </c>
      <c r="D632" s="105">
        <v>0</v>
      </c>
      <c r="E632" s="124" t="s">
        <v>523</v>
      </c>
      <c r="F632" s="125" t="str">
        <f t="shared" si="27"/>
        <v/>
      </c>
      <c r="G632" s="126" t="e">
        <f>IF(A632&lt;&gt;"",IF(AND(#REF!="Padrão",$H$4=#REF!),BDI!$B$17,IF(AND(#REF!="Padrão",$H$4=#REF!),BDI!#REF!,IF(AND(#REF!="Diferenciado",$H$4=#REF!),BDI!$E$17,IF(AND(#REF!="Diferenciado",$H$4=#REF!),BDI!#REF!,IF(#REF!="ZERO",0))))),"")</f>
        <v>#REF!</v>
      </c>
      <c r="H632" s="127" t="str">
        <f t="shared" si="28"/>
        <v/>
      </c>
      <c r="I632" s="125" t="str">
        <f t="shared" si="29"/>
        <v/>
      </c>
    </row>
    <row r="633" spans="1:9" hidden="1" x14ac:dyDescent="0.25">
      <c r="A633" s="103" t="s">
        <v>2303</v>
      </c>
      <c r="B633" s="104" t="s">
        <v>2304</v>
      </c>
      <c r="C633" s="105" t="s">
        <v>20</v>
      </c>
      <c r="D633" s="105">
        <v>0</v>
      </c>
      <c r="E633" s="124" t="s">
        <v>523</v>
      </c>
      <c r="F633" s="125" t="str">
        <f t="shared" si="27"/>
        <v/>
      </c>
      <c r="G633" s="126" t="e">
        <f>IF(A633&lt;&gt;"",IF(AND(#REF!="Padrão",$H$4=#REF!),BDI!$B$17,IF(AND(#REF!="Padrão",$H$4=#REF!),BDI!#REF!,IF(AND(#REF!="Diferenciado",$H$4=#REF!),BDI!$E$17,IF(AND(#REF!="Diferenciado",$H$4=#REF!),BDI!#REF!,IF(#REF!="ZERO",0))))),"")</f>
        <v>#REF!</v>
      </c>
      <c r="H633" s="127" t="str">
        <f t="shared" si="28"/>
        <v/>
      </c>
      <c r="I633" s="125" t="str">
        <f t="shared" si="29"/>
        <v/>
      </c>
    </row>
    <row r="634" spans="1:9" hidden="1" x14ac:dyDescent="0.25">
      <c r="A634" s="103" t="s">
        <v>2305</v>
      </c>
      <c r="B634" s="104" t="s">
        <v>2306</v>
      </c>
      <c r="C634" s="105" t="s">
        <v>20</v>
      </c>
      <c r="D634" s="105">
        <v>0</v>
      </c>
      <c r="E634" s="124" t="s">
        <v>523</v>
      </c>
      <c r="F634" s="125" t="str">
        <f t="shared" si="27"/>
        <v/>
      </c>
      <c r="G634" s="126" t="e">
        <f>IF(A634&lt;&gt;"",IF(AND(#REF!="Padrão",$H$4=#REF!),BDI!$B$17,IF(AND(#REF!="Padrão",$H$4=#REF!),BDI!#REF!,IF(AND(#REF!="Diferenciado",$H$4=#REF!),BDI!$E$17,IF(AND(#REF!="Diferenciado",$H$4=#REF!),BDI!#REF!,IF(#REF!="ZERO",0))))),"")</f>
        <v>#REF!</v>
      </c>
      <c r="H634" s="127" t="str">
        <f t="shared" si="28"/>
        <v/>
      </c>
      <c r="I634" s="125" t="str">
        <f t="shared" si="29"/>
        <v/>
      </c>
    </row>
    <row r="635" spans="1:9" hidden="1" x14ac:dyDescent="0.25">
      <c r="A635" s="103" t="s">
        <v>2307</v>
      </c>
      <c r="B635" s="104" t="s">
        <v>2308</v>
      </c>
      <c r="C635" s="105" t="s">
        <v>20</v>
      </c>
      <c r="D635" s="105">
        <v>0</v>
      </c>
      <c r="E635" s="124" t="s">
        <v>523</v>
      </c>
      <c r="F635" s="125" t="str">
        <f t="shared" si="27"/>
        <v/>
      </c>
      <c r="G635" s="126" t="e">
        <f>IF(A635&lt;&gt;"",IF(AND(#REF!="Padrão",$H$4=#REF!),BDI!$B$17,IF(AND(#REF!="Padrão",$H$4=#REF!),BDI!#REF!,IF(AND(#REF!="Diferenciado",$H$4=#REF!),BDI!$E$17,IF(AND(#REF!="Diferenciado",$H$4=#REF!),BDI!#REF!,IF(#REF!="ZERO",0))))),"")</f>
        <v>#REF!</v>
      </c>
      <c r="H635" s="127" t="str">
        <f t="shared" si="28"/>
        <v/>
      </c>
      <c r="I635" s="125" t="str">
        <f t="shared" si="29"/>
        <v/>
      </c>
    </row>
    <row r="636" spans="1:9" hidden="1" x14ac:dyDescent="0.25">
      <c r="A636" s="103" t="s">
        <v>2309</v>
      </c>
      <c r="B636" s="104" t="s">
        <v>2310</v>
      </c>
      <c r="C636" s="105" t="s">
        <v>20</v>
      </c>
      <c r="D636" s="105">
        <v>0</v>
      </c>
      <c r="E636" s="124" t="s">
        <v>523</v>
      </c>
      <c r="F636" s="125" t="str">
        <f t="shared" si="27"/>
        <v/>
      </c>
      <c r="G636" s="126" t="e">
        <f>IF(A636&lt;&gt;"",IF(AND(#REF!="Padrão",$H$4=#REF!),BDI!$B$17,IF(AND(#REF!="Padrão",$H$4=#REF!),BDI!#REF!,IF(AND(#REF!="Diferenciado",$H$4=#REF!),BDI!$E$17,IF(AND(#REF!="Diferenciado",$H$4=#REF!),BDI!#REF!,IF(#REF!="ZERO",0))))),"")</f>
        <v>#REF!</v>
      </c>
      <c r="H636" s="127" t="str">
        <f t="shared" si="28"/>
        <v/>
      </c>
      <c r="I636" s="125" t="str">
        <f t="shared" si="29"/>
        <v/>
      </c>
    </row>
    <row r="637" spans="1:9" hidden="1" x14ac:dyDescent="0.25">
      <c r="A637" s="103" t="s">
        <v>2311</v>
      </c>
      <c r="B637" s="104" t="s">
        <v>2312</v>
      </c>
      <c r="C637" s="105" t="s">
        <v>20</v>
      </c>
      <c r="D637" s="105">
        <v>0</v>
      </c>
      <c r="E637" s="124" t="s">
        <v>523</v>
      </c>
      <c r="F637" s="125" t="str">
        <f t="shared" si="27"/>
        <v/>
      </c>
      <c r="G637" s="126" t="e">
        <f>IF(A637&lt;&gt;"",IF(AND(#REF!="Padrão",$H$4=#REF!),BDI!$B$17,IF(AND(#REF!="Padrão",$H$4=#REF!),BDI!#REF!,IF(AND(#REF!="Diferenciado",$H$4=#REF!),BDI!$E$17,IF(AND(#REF!="Diferenciado",$H$4=#REF!),BDI!#REF!,IF(#REF!="ZERO",0))))),"")</f>
        <v>#REF!</v>
      </c>
      <c r="H637" s="127" t="str">
        <f t="shared" si="28"/>
        <v/>
      </c>
      <c r="I637" s="125" t="str">
        <f t="shared" si="29"/>
        <v/>
      </c>
    </row>
    <row r="638" spans="1:9" hidden="1" x14ac:dyDescent="0.25">
      <c r="A638" s="103" t="s">
        <v>2313</v>
      </c>
      <c r="B638" s="104" t="s">
        <v>2314</v>
      </c>
      <c r="C638" s="105" t="s">
        <v>20</v>
      </c>
      <c r="D638" s="105">
        <v>0</v>
      </c>
      <c r="E638" s="124" t="s">
        <v>523</v>
      </c>
      <c r="F638" s="125" t="str">
        <f t="shared" si="27"/>
        <v/>
      </c>
      <c r="G638" s="126" t="e">
        <f>IF(A638&lt;&gt;"",IF(AND(#REF!="Padrão",$H$4=#REF!),BDI!$B$17,IF(AND(#REF!="Padrão",$H$4=#REF!),BDI!#REF!,IF(AND(#REF!="Diferenciado",$H$4=#REF!),BDI!$E$17,IF(AND(#REF!="Diferenciado",$H$4=#REF!),BDI!#REF!,IF(#REF!="ZERO",0))))),"")</f>
        <v>#REF!</v>
      </c>
      <c r="H638" s="127" t="str">
        <f t="shared" si="28"/>
        <v/>
      </c>
      <c r="I638" s="125" t="str">
        <f t="shared" si="29"/>
        <v/>
      </c>
    </row>
    <row r="639" spans="1:9" hidden="1" x14ac:dyDescent="0.25">
      <c r="A639" s="103" t="s">
        <v>2315</v>
      </c>
      <c r="B639" s="104" t="s">
        <v>2316</v>
      </c>
      <c r="C639" s="105" t="s">
        <v>20</v>
      </c>
      <c r="D639" s="105">
        <v>0</v>
      </c>
      <c r="E639" s="124" t="s">
        <v>523</v>
      </c>
      <c r="F639" s="125" t="str">
        <f t="shared" si="27"/>
        <v/>
      </c>
      <c r="G639" s="126" t="e">
        <f>IF(A639&lt;&gt;"",IF(AND(#REF!="Padrão",$H$4=#REF!),BDI!$B$17,IF(AND(#REF!="Padrão",$H$4=#REF!),BDI!#REF!,IF(AND(#REF!="Diferenciado",$H$4=#REF!),BDI!$E$17,IF(AND(#REF!="Diferenciado",$H$4=#REF!),BDI!#REF!,IF(#REF!="ZERO",0))))),"")</f>
        <v>#REF!</v>
      </c>
      <c r="H639" s="127" t="str">
        <f t="shared" si="28"/>
        <v/>
      </c>
      <c r="I639" s="125" t="str">
        <f t="shared" si="29"/>
        <v/>
      </c>
    </row>
    <row r="640" spans="1:9" hidden="1" x14ac:dyDescent="0.25">
      <c r="A640" s="103" t="s">
        <v>2317</v>
      </c>
      <c r="B640" s="104" t="s">
        <v>2318</v>
      </c>
      <c r="C640" s="105" t="s">
        <v>20</v>
      </c>
      <c r="D640" s="105">
        <v>0</v>
      </c>
      <c r="E640" s="124" t="s">
        <v>523</v>
      </c>
      <c r="F640" s="125" t="str">
        <f t="shared" si="27"/>
        <v/>
      </c>
      <c r="G640" s="126" t="e">
        <f>IF(A640&lt;&gt;"",IF(AND(#REF!="Padrão",$H$4=#REF!),BDI!$B$17,IF(AND(#REF!="Padrão",$H$4=#REF!),BDI!#REF!,IF(AND(#REF!="Diferenciado",$H$4=#REF!),BDI!$E$17,IF(AND(#REF!="Diferenciado",$H$4=#REF!),BDI!#REF!,IF(#REF!="ZERO",0))))),"")</f>
        <v>#REF!</v>
      </c>
      <c r="H640" s="127" t="str">
        <f t="shared" si="28"/>
        <v/>
      </c>
      <c r="I640" s="125" t="str">
        <f t="shared" si="29"/>
        <v/>
      </c>
    </row>
    <row r="641" spans="1:9" hidden="1" x14ac:dyDescent="0.25">
      <c r="A641" s="103" t="s">
        <v>2319</v>
      </c>
      <c r="B641" s="104" t="s">
        <v>2320</v>
      </c>
      <c r="C641" s="105" t="s">
        <v>20</v>
      </c>
      <c r="D641" s="105">
        <v>0</v>
      </c>
      <c r="E641" s="124" t="s">
        <v>523</v>
      </c>
      <c r="F641" s="125" t="str">
        <f t="shared" si="27"/>
        <v/>
      </c>
      <c r="G641" s="126" t="e">
        <f>IF(A641&lt;&gt;"",IF(AND(#REF!="Padrão",$H$4=#REF!),BDI!$B$17,IF(AND(#REF!="Padrão",$H$4=#REF!),BDI!#REF!,IF(AND(#REF!="Diferenciado",$H$4=#REF!),BDI!$E$17,IF(AND(#REF!="Diferenciado",$H$4=#REF!),BDI!#REF!,IF(#REF!="ZERO",0))))),"")</f>
        <v>#REF!</v>
      </c>
      <c r="H641" s="127" t="str">
        <f t="shared" si="28"/>
        <v/>
      </c>
      <c r="I641" s="125" t="str">
        <f t="shared" si="29"/>
        <v/>
      </c>
    </row>
    <row r="642" spans="1:9" hidden="1" x14ac:dyDescent="0.25">
      <c r="A642" s="103" t="s">
        <v>2321</v>
      </c>
      <c r="B642" s="104" t="s">
        <v>2322</v>
      </c>
      <c r="C642" s="105" t="s">
        <v>20</v>
      </c>
      <c r="D642" s="105">
        <v>0</v>
      </c>
      <c r="E642" s="124" t="s">
        <v>523</v>
      </c>
      <c r="F642" s="125" t="str">
        <f t="shared" si="27"/>
        <v/>
      </c>
      <c r="G642" s="126" t="e">
        <f>IF(A642&lt;&gt;"",IF(AND(#REF!="Padrão",$H$4=#REF!),BDI!$B$17,IF(AND(#REF!="Padrão",$H$4=#REF!),BDI!#REF!,IF(AND(#REF!="Diferenciado",$H$4=#REF!),BDI!$E$17,IF(AND(#REF!="Diferenciado",$H$4=#REF!),BDI!#REF!,IF(#REF!="ZERO",0))))),"")</f>
        <v>#REF!</v>
      </c>
      <c r="H642" s="127" t="str">
        <f t="shared" si="28"/>
        <v/>
      </c>
      <c r="I642" s="125" t="str">
        <f t="shared" si="29"/>
        <v/>
      </c>
    </row>
    <row r="643" spans="1:9" hidden="1" x14ac:dyDescent="0.25">
      <c r="A643" s="103" t="s">
        <v>2323</v>
      </c>
      <c r="B643" s="104" t="s">
        <v>2324</v>
      </c>
      <c r="C643" s="105" t="s">
        <v>20</v>
      </c>
      <c r="D643" s="105">
        <v>0</v>
      </c>
      <c r="E643" s="124" t="s">
        <v>523</v>
      </c>
      <c r="F643" s="125" t="str">
        <f t="shared" si="27"/>
        <v/>
      </c>
      <c r="G643" s="126" t="e">
        <f>IF(A643&lt;&gt;"",IF(AND(#REF!="Padrão",$H$4=#REF!),BDI!$B$17,IF(AND(#REF!="Padrão",$H$4=#REF!),BDI!#REF!,IF(AND(#REF!="Diferenciado",$H$4=#REF!),BDI!$E$17,IF(AND(#REF!="Diferenciado",$H$4=#REF!),BDI!#REF!,IF(#REF!="ZERO",0))))),"")</f>
        <v>#REF!</v>
      </c>
      <c r="H643" s="127" t="str">
        <f t="shared" si="28"/>
        <v/>
      </c>
      <c r="I643" s="125" t="str">
        <f t="shared" si="29"/>
        <v/>
      </c>
    </row>
    <row r="644" spans="1:9" hidden="1" x14ac:dyDescent="0.25">
      <c r="A644" s="103" t="s">
        <v>2325</v>
      </c>
      <c r="B644" s="104" t="s">
        <v>2326</v>
      </c>
      <c r="C644" s="105" t="s">
        <v>20</v>
      </c>
      <c r="D644" s="105">
        <v>0</v>
      </c>
      <c r="E644" s="124" t="s">
        <v>523</v>
      </c>
      <c r="F644" s="125" t="str">
        <f t="shared" si="27"/>
        <v/>
      </c>
      <c r="G644" s="126" t="e">
        <f>IF(A644&lt;&gt;"",IF(AND(#REF!="Padrão",$H$4=#REF!),BDI!$B$17,IF(AND(#REF!="Padrão",$H$4=#REF!),BDI!#REF!,IF(AND(#REF!="Diferenciado",$H$4=#REF!),BDI!$E$17,IF(AND(#REF!="Diferenciado",$H$4=#REF!),BDI!#REF!,IF(#REF!="ZERO",0))))),"")</f>
        <v>#REF!</v>
      </c>
      <c r="H644" s="127" t="str">
        <f t="shared" si="28"/>
        <v/>
      </c>
      <c r="I644" s="125" t="str">
        <f t="shared" si="29"/>
        <v/>
      </c>
    </row>
    <row r="645" spans="1:9" hidden="1" x14ac:dyDescent="0.25">
      <c r="A645" s="103" t="s">
        <v>2327</v>
      </c>
      <c r="B645" s="104" t="s">
        <v>2328</v>
      </c>
      <c r="C645" s="105" t="s">
        <v>20</v>
      </c>
      <c r="D645" s="105">
        <v>0</v>
      </c>
      <c r="E645" s="124" t="s">
        <v>523</v>
      </c>
      <c r="F645" s="125" t="str">
        <f t="shared" si="27"/>
        <v/>
      </c>
      <c r="G645" s="126" t="e">
        <f>IF(A645&lt;&gt;"",IF(AND(#REF!="Padrão",$H$4=#REF!),BDI!$B$17,IF(AND(#REF!="Padrão",$H$4=#REF!),BDI!#REF!,IF(AND(#REF!="Diferenciado",$H$4=#REF!),BDI!$E$17,IF(AND(#REF!="Diferenciado",$H$4=#REF!),BDI!#REF!,IF(#REF!="ZERO",0))))),"")</f>
        <v>#REF!</v>
      </c>
      <c r="H645" s="127" t="str">
        <f t="shared" si="28"/>
        <v/>
      </c>
      <c r="I645" s="125" t="str">
        <f t="shared" si="29"/>
        <v/>
      </c>
    </row>
    <row r="646" spans="1:9" hidden="1" x14ac:dyDescent="0.25">
      <c r="A646" s="103" t="s">
        <v>2329</v>
      </c>
      <c r="B646" s="104" t="s">
        <v>2330</v>
      </c>
      <c r="C646" s="105" t="s">
        <v>20</v>
      </c>
      <c r="D646" s="105">
        <v>0</v>
      </c>
      <c r="E646" s="124" t="s">
        <v>523</v>
      </c>
      <c r="F646" s="125" t="str">
        <f t="shared" si="27"/>
        <v/>
      </c>
      <c r="G646" s="126" t="e">
        <f>IF(A646&lt;&gt;"",IF(AND(#REF!="Padrão",$H$4=#REF!),BDI!$B$17,IF(AND(#REF!="Padrão",$H$4=#REF!),BDI!#REF!,IF(AND(#REF!="Diferenciado",$H$4=#REF!),BDI!$E$17,IF(AND(#REF!="Diferenciado",$H$4=#REF!),BDI!#REF!,IF(#REF!="ZERO",0))))),"")</f>
        <v>#REF!</v>
      </c>
      <c r="H646" s="127" t="str">
        <f t="shared" si="28"/>
        <v/>
      </c>
      <c r="I646" s="125" t="str">
        <f t="shared" si="29"/>
        <v/>
      </c>
    </row>
    <row r="647" spans="1:9" hidden="1" x14ac:dyDescent="0.25">
      <c r="A647" s="103" t="s">
        <v>2331</v>
      </c>
      <c r="B647" s="104" t="s">
        <v>2332</v>
      </c>
      <c r="C647" s="105" t="s">
        <v>20</v>
      </c>
      <c r="D647" s="105">
        <v>0</v>
      </c>
      <c r="E647" s="124" t="s">
        <v>523</v>
      </c>
      <c r="F647" s="125" t="str">
        <f t="shared" ref="F647:F710" si="30">IF(ISNUMBER(E647),D647*E647,"")</f>
        <v/>
      </c>
      <c r="G647" s="126" t="e">
        <f>IF(A647&lt;&gt;"",IF(AND(#REF!="Padrão",$H$4=#REF!),BDI!$B$17,IF(AND(#REF!="Padrão",$H$4=#REF!),BDI!#REF!,IF(AND(#REF!="Diferenciado",$H$4=#REF!),BDI!$E$17,IF(AND(#REF!="Diferenciado",$H$4=#REF!),BDI!#REF!,IF(#REF!="ZERO",0))))),"")</f>
        <v>#REF!</v>
      </c>
      <c r="H647" s="127" t="str">
        <f t="shared" ref="H647:H710" si="31">IF(ISNUMBER(E647),ROUND(E647*(1+G647),2),"")</f>
        <v/>
      </c>
      <c r="I647" s="125" t="str">
        <f t="shared" ref="I647:I710" si="32">IF(ISNUMBER(E647),ROUND(H647*D647,2),"")</f>
        <v/>
      </c>
    </row>
    <row r="648" spans="1:9" hidden="1" x14ac:dyDescent="0.25">
      <c r="A648" s="103" t="s">
        <v>2333</v>
      </c>
      <c r="B648" s="104" t="s">
        <v>2334</v>
      </c>
      <c r="C648" s="105" t="s">
        <v>20</v>
      </c>
      <c r="D648" s="105">
        <v>0</v>
      </c>
      <c r="E648" s="124" t="s">
        <v>523</v>
      </c>
      <c r="F648" s="125" t="str">
        <f t="shared" si="30"/>
        <v/>
      </c>
      <c r="G648" s="126" t="e">
        <f>IF(A648&lt;&gt;"",IF(AND(#REF!="Padrão",$H$4=#REF!),BDI!$B$17,IF(AND(#REF!="Padrão",$H$4=#REF!),BDI!#REF!,IF(AND(#REF!="Diferenciado",$H$4=#REF!),BDI!$E$17,IF(AND(#REF!="Diferenciado",$H$4=#REF!),BDI!#REF!,IF(#REF!="ZERO",0))))),"")</f>
        <v>#REF!</v>
      </c>
      <c r="H648" s="127" t="str">
        <f t="shared" si="31"/>
        <v/>
      </c>
      <c r="I648" s="125" t="str">
        <f t="shared" si="32"/>
        <v/>
      </c>
    </row>
    <row r="649" spans="1:9" hidden="1" x14ac:dyDescent="0.25">
      <c r="A649" s="103" t="s">
        <v>2335</v>
      </c>
      <c r="B649" s="104" t="s">
        <v>2336</v>
      </c>
      <c r="C649" s="105" t="s">
        <v>42</v>
      </c>
      <c r="D649" s="105">
        <v>0</v>
      </c>
      <c r="E649" s="124" t="s">
        <v>523</v>
      </c>
      <c r="F649" s="125" t="str">
        <f t="shared" si="30"/>
        <v/>
      </c>
      <c r="G649" s="126" t="e">
        <f>IF(A649&lt;&gt;"",IF(AND(#REF!="Padrão",$H$4=#REF!),BDI!$B$17,IF(AND(#REF!="Padrão",$H$4=#REF!),BDI!#REF!,IF(AND(#REF!="Diferenciado",$H$4=#REF!),BDI!$E$17,IF(AND(#REF!="Diferenciado",$H$4=#REF!),BDI!#REF!,IF(#REF!="ZERO",0))))),"")</f>
        <v>#REF!</v>
      </c>
      <c r="H649" s="127" t="str">
        <f t="shared" si="31"/>
        <v/>
      </c>
      <c r="I649" s="125" t="str">
        <f t="shared" si="32"/>
        <v/>
      </c>
    </row>
    <row r="650" spans="1:9" hidden="1" x14ac:dyDescent="0.25">
      <c r="A650" s="103" t="s">
        <v>2337</v>
      </c>
      <c r="B650" s="104" t="s">
        <v>2338</v>
      </c>
      <c r="C650" s="105" t="s">
        <v>102</v>
      </c>
      <c r="D650" s="105">
        <v>0</v>
      </c>
      <c r="E650" s="124" t="s">
        <v>523</v>
      </c>
      <c r="F650" s="125" t="str">
        <f t="shared" si="30"/>
        <v/>
      </c>
      <c r="G650" s="126" t="e">
        <f>IF(A650&lt;&gt;"",IF(AND(#REF!="Padrão",$H$4=#REF!),BDI!$B$17,IF(AND(#REF!="Padrão",$H$4=#REF!),BDI!#REF!,IF(AND(#REF!="Diferenciado",$H$4=#REF!),BDI!$E$17,IF(AND(#REF!="Diferenciado",$H$4=#REF!),BDI!#REF!,IF(#REF!="ZERO",0))))),"")</f>
        <v>#REF!</v>
      </c>
      <c r="H650" s="127" t="str">
        <f t="shared" si="31"/>
        <v/>
      </c>
      <c r="I650" s="125" t="str">
        <f t="shared" si="32"/>
        <v/>
      </c>
    </row>
    <row r="651" spans="1:9" hidden="1" x14ac:dyDescent="0.25">
      <c r="A651" s="103" t="s">
        <v>2339</v>
      </c>
      <c r="B651" s="104" t="s">
        <v>2340</v>
      </c>
      <c r="C651" s="105" t="s">
        <v>102</v>
      </c>
      <c r="D651" s="105">
        <v>0</v>
      </c>
      <c r="E651" s="124" t="s">
        <v>523</v>
      </c>
      <c r="F651" s="125" t="str">
        <f t="shared" si="30"/>
        <v/>
      </c>
      <c r="G651" s="126" t="e">
        <f>IF(A651&lt;&gt;"",IF(AND(#REF!="Padrão",$H$4=#REF!),BDI!$B$17,IF(AND(#REF!="Padrão",$H$4=#REF!),BDI!#REF!,IF(AND(#REF!="Diferenciado",$H$4=#REF!),BDI!$E$17,IF(AND(#REF!="Diferenciado",$H$4=#REF!),BDI!#REF!,IF(#REF!="ZERO",0))))),"")</f>
        <v>#REF!</v>
      </c>
      <c r="H651" s="127" t="str">
        <f t="shared" si="31"/>
        <v/>
      </c>
      <c r="I651" s="125" t="str">
        <f t="shared" si="32"/>
        <v/>
      </c>
    </row>
    <row r="652" spans="1:9" hidden="1" x14ac:dyDescent="0.25">
      <c r="A652" s="103" t="s">
        <v>2341</v>
      </c>
      <c r="B652" s="104" t="s">
        <v>2342</v>
      </c>
      <c r="C652" s="105" t="s">
        <v>102</v>
      </c>
      <c r="D652" s="105">
        <v>0</v>
      </c>
      <c r="E652" s="124" t="s">
        <v>523</v>
      </c>
      <c r="F652" s="125" t="str">
        <f t="shared" si="30"/>
        <v/>
      </c>
      <c r="G652" s="126" t="e">
        <f>IF(A652&lt;&gt;"",IF(AND(#REF!="Padrão",$H$4=#REF!),BDI!$B$17,IF(AND(#REF!="Padrão",$H$4=#REF!),BDI!#REF!,IF(AND(#REF!="Diferenciado",$H$4=#REF!),BDI!$E$17,IF(AND(#REF!="Diferenciado",$H$4=#REF!),BDI!#REF!,IF(#REF!="ZERO",0))))),"")</f>
        <v>#REF!</v>
      </c>
      <c r="H652" s="127" t="str">
        <f t="shared" si="31"/>
        <v/>
      </c>
      <c r="I652" s="125" t="str">
        <f t="shared" si="32"/>
        <v/>
      </c>
    </row>
    <row r="653" spans="1:9" hidden="1" x14ac:dyDescent="0.25">
      <c r="A653" s="103" t="s">
        <v>2343</v>
      </c>
      <c r="B653" s="104" t="s">
        <v>2344</v>
      </c>
      <c r="C653" s="105" t="s">
        <v>102</v>
      </c>
      <c r="D653" s="105">
        <v>0</v>
      </c>
      <c r="E653" s="124" t="s">
        <v>523</v>
      </c>
      <c r="F653" s="125" t="str">
        <f t="shared" si="30"/>
        <v/>
      </c>
      <c r="G653" s="126" t="e">
        <f>IF(A653&lt;&gt;"",IF(AND(#REF!="Padrão",$H$4=#REF!),BDI!$B$17,IF(AND(#REF!="Padrão",$H$4=#REF!),BDI!#REF!,IF(AND(#REF!="Diferenciado",$H$4=#REF!),BDI!$E$17,IF(AND(#REF!="Diferenciado",$H$4=#REF!),BDI!#REF!,IF(#REF!="ZERO",0))))),"")</f>
        <v>#REF!</v>
      </c>
      <c r="H653" s="127" t="str">
        <f t="shared" si="31"/>
        <v/>
      </c>
      <c r="I653" s="125" t="str">
        <f t="shared" si="32"/>
        <v/>
      </c>
    </row>
    <row r="654" spans="1:9" hidden="1" x14ac:dyDescent="0.25">
      <c r="A654" s="103" t="s">
        <v>2345</v>
      </c>
      <c r="B654" s="104" t="s">
        <v>2346</v>
      </c>
      <c r="C654" s="105" t="s">
        <v>102</v>
      </c>
      <c r="D654" s="105">
        <v>0</v>
      </c>
      <c r="E654" s="124" t="s">
        <v>523</v>
      </c>
      <c r="F654" s="125" t="str">
        <f t="shared" si="30"/>
        <v/>
      </c>
      <c r="G654" s="126" t="e">
        <f>IF(A654&lt;&gt;"",IF(AND(#REF!="Padrão",$H$4=#REF!),BDI!$B$17,IF(AND(#REF!="Padrão",$H$4=#REF!),BDI!#REF!,IF(AND(#REF!="Diferenciado",$H$4=#REF!),BDI!$E$17,IF(AND(#REF!="Diferenciado",$H$4=#REF!),BDI!#REF!,IF(#REF!="ZERO",0))))),"")</f>
        <v>#REF!</v>
      </c>
      <c r="H654" s="127" t="str">
        <f t="shared" si="31"/>
        <v/>
      </c>
      <c r="I654" s="125" t="str">
        <f t="shared" si="32"/>
        <v/>
      </c>
    </row>
    <row r="655" spans="1:9" hidden="1" x14ac:dyDescent="0.25">
      <c r="A655" s="103" t="s">
        <v>2347</v>
      </c>
      <c r="B655" s="104" t="s">
        <v>6363</v>
      </c>
      <c r="C655" s="105" t="s">
        <v>20</v>
      </c>
      <c r="D655" s="105">
        <v>0</v>
      </c>
      <c r="E655" s="124" t="s">
        <v>523</v>
      </c>
      <c r="F655" s="125" t="str">
        <f t="shared" si="30"/>
        <v/>
      </c>
      <c r="G655" s="126" t="e">
        <f>IF(A655&lt;&gt;"",IF(AND(#REF!="Padrão",$H$4=#REF!),BDI!$B$17,IF(AND(#REF!="Padrão",$H$4=#REF!),BDI!#REF!,IF(AND(#REF!="Diferenciado",$H$4=#REF!),BDI!$E$17,IF(AND(#REF!="Diferenciado",$H$4=#REF!),BDI!#REF!,IF(#REF!="ZERO",0))))),"")</f>
        <v>#REF!</v>
      </c>
      <c r="H655" s="127" t="str">
        <f t="shared" si="31"/>
        <v/>
      </c>
      <c r="I655" s="125" t="str">
        <f t="shared" si="32"/>
        <v/>
      </c>
    </row>
    <row r="656" spans="1:9" hidden="1" x14ac:dyDescent="0.25">
      <c r="A656" s="103" t="s">
        <v>2348</v>
      </c>
      <c r="B656" s="104" t="s">
        <v>2349</v>
      </c>
      <c r="C656" s="105" t="s">
        <v>42</v>
      </c>
      <c r="D656" s="105">
        <v>0</v>
      </c>
      <c r="E656" s="124" t="s">
        <v>523</v>
      </c>
      <c r="F656" s="125" t="str">
        <f t="shared" si="30"/>
        <v/>
      </c>
      <c r="G656" s="126" t="e">
        <f>IF(A656&lt;&gt;"",IF(AND(#REF!="Padrão",$H$4=#REF!),BDI!$B$17,IF(AND(#REF!="Padrão",$H$4=#REF!),BDI!#REF!,IF(AND(#REF!="Diferenciado",$H$4=#REF!),BDI!$E$17,IF(AND(#REF!="Diferenciado",$H$4=#REF!),BDI!#REF!,IF(#REF!="ZERO",0))))),"")</f>
        <v>#REF!</v>
      </c>
      <c r="H656" s="127" t="str">
        <f t="shared" si="31"/>
        <v/>
      </c>
      <c r="I656" s="125" t="str">
        <f t="shared" si="32"/>
        <v/>
      </c>
    </row>
    <row r="657" spans="1:9" hidden="1" x14ac:dyDescent="0.25">
      <c r="A657" s="103" t="s">
        <v>2350</v>
      </c>
      <c r="B657" s="104" t="s">
        <v>2351</v>
      </c>
      <c r="C657" s="105" t="s">
        <v>20</v>
      </c>
      <c r="D657" s="105">
        <v>0</v>
      </c>
      <c r="E657" s="124" t="s">
        <v>523</v>
      </c>
      <c r="F657" s="125" t="str">
        <f t="shared" si="30"/>
        <v/>
      </c>
      <c r="G657" s="126" t="e">
        <f>IF(A657&lt;&gt;"",IF(AND(#REF!="Padrão",$H$4=#REF!),BDI!$B$17,IF(AND(#REF!="Padrão",$H$4=#REF!),BDI!#REF!,IF(AND(#REF!="Diferenciado",$H$4=#REF!),BDI!$E$17,IF(AND(#REF!="Diferenciado",$H$4=#REF!),BDI!#REF!,IF(#REF!="ZERO",0))))),"")</f>
        <v>#REF!</v>
      </c>
      <c r="H657" s="127" t="str">
        <f t="shared" si="31"/>
        <v/>
      </c>
      <c r="I657" s="125" t="str">
        <f t="shared" si="32"/>
        <v/>
      </c>
    </row>
    <row r="658" spans="1:9" hidden="1" x14ac:dyDescent="0.25">
      <c r="A658" s="103" t="s">
        <v>2352</v>
      </c>
      <c r="B658" s="104" t="s">
        <v>2353</v>
      </c>
      <c r="C658" s="105" t="s">
        <v>20</v>
      </c>
      <c r="D658" s="105">
        <v>0</v>
      </c>
      <c r="E658" s="124" t="s">
        <v>523</v>
      </c>
      <c r="F658" s="125" t="str">
        <f t="shared" si="30"/>
        <v/>
      </c>
      <c r="G658" s="126" t="e">
        <f>IF(A658&lt;&gt;"",IF(AND(#REF!="Padrão",$H$4=#REF!),BDI!$B$17,IF(AND(#REF!="Padrão",$H$4=#REF!),BDI!#REF!,IF(AND(#REF!="Diferenciado",$H$4=#REF!),BDI!$E$17,IF(AND(#REF!="Diferenciado",$H$4=#REF!),BDI!#REF!,IF(#REF!="ZERO",0))))),"")</f>
        <v>#REF!</v>
      </c>
      <c r="H658" s="127" t="str">
        <f t="shared" si="31"/>
        <v/>
      </c>
      <c r="I658" s="125" t="str">
        <f t="shared" si="32"/>
        <v/>
      </c>
    </row>
    <row r="659" spans="1:9" hidden="1" x14ac:dyDescent="0.25">
      <c r="A659" s="103" t="s">
        <v>2354</v>
      </c>
      <c r="B659" s="104" t="s">
        <v>2355</v>
      </c>
      <c r="C659" s="105" t="s">
        <v>20</v>
      </c>
      <c r="D659" s="105">
        <v>0</v>
      </c>
      <c r="E659" s="124" t="s">
        <v>523</v>
      </c>
      <c r="F659" s="125" t="str">
        <f t="shared" si="30"/>
        <v/>
      </c>
      <c r="G659" s="126" t="e">
        <f>IF(A659&lt;&gt;"",IF(AND(#REF!="Padrão",$H$4=#REF!),BDI!$B$17,IF(AND(#REF!="Padrão",$H$4=#REF!),BDI!#REF!,IF(AND(#REF!="Diferenciado",$H$4=#REF!),BDI!$E$17,IF(AND(#REF!="Diferenciado",$H$4=#REF!),BDI!#REF!,IF(#REF!="ZERO",0))))),"")</f>
        <v>#REF!</v>
      </c>
      <c r="H659" s="127" t="str">
        <f t="shared" si="31"/>
        <v/>
      </c>
      <c r="I659" s="125" t="str">
        <f t="shared" si="32"/>
        <v/>
      </c>
    </row>
    <row r="660" spans="1:9" hidden="1" x14ac:dyDescent="0.25">
      <c r="A660" s="103" t="s">
        <v>2356</v>
      </c>
      <c r="B660" s="104" t="s">
        <v>2357</v>
      </c>
      <c r="C660" s="105" t="s">
        <v>20</v>
      </c>
      <c r="D660" s="105">
        <v>0</v>
      </c>
      <c r="E660" s="124" t="s">
        <v>523</v>
      </c>
      <c r="F660" s="125" t="str">
        <f t="shared" si="30"/>
        <v/>
      </c>
      <c r="G660" s="126" t="e">
        <f>IF(A660&lt;&gt;"",IF(AND(#REF!="Padrão",$H$4=#REF!),BDI!$B$17,IF(AND(#REF!="Padrão",$H$4=#REF!),BDI!#REF!,IF(AND(#REF!="Diferenciado",$H$4=#REF!),BDI!$E$17,IF(AND(#REF!="Diferenciado",$H$4=#REF!),BDI!#REF!,IF(#REF!="ZERO",0))))),"")</f>
        <v>#REF!</v>
      </c>
      <c r="H660" s="127" t="str">
        <f t="shared" si="31"/>
        <v/>
      </c>
      <c r="I660" s="125" t="str">
        <f t="shared" si="32"/>
        <v/>
      </c>
    </row>
    <row r="661" spans="1:9" hidden="1" x14ac:dyDescent="0.25">
      <c r="A661" s="103" t="s">
        <v>2358</v>
      </c>
      <c r="B661" s="104" t="s">
        <v>2359</v>
      </c>
      <c r="C661" s="105" t="s">
        <v>20</v>
      </c>
      <c r="D661" s="105">
        <v>0</v>
      </c>
      <c r="E661" s="124" t="s">
        <v>523</v>
      </c>
      <c r="F661" s="125" t="str">
        <f t="shared" si="30"/>
        <v/>
      </c>
      <c r="G661" s="126" t="e">
        <f>IF(A661&lt;&gt;"",IF(AND(#REF!="Padrão",$H$4=#REF!),BDI!$B$17,IF(AND(#REF!="Padrão",$H$4=#REF!),BDI!#REF!,IF(AND(#REF!="Diferenciado",$H$4=#REF!),BDI!$E$17,IF(AND(#REF!="Diferenciado",$H$4=#REF!),BDI!#REF!,IF(#REF!="ZERO",0))))),"")</f>
        <v>#REF!</v>
      </c>
      <c r="H661" s="127" t="str">
        <f t="shared" si="31"/>
        <v/>
      </c>
      <c r="I661" s="125" t="str">
        <f t="shared" si="32"/>
        <v/>
      </c>
    </row>
    <row r="662" spans="1:9" hidden="1" x14ac:dyDescent="0.25">
      <c r="A662" s="103" t="s">
        <v>2360</v>
      </c>
      <c r="B662" s="104" t="s">
        <v>2361</v>
      </c>
      <c r="C662" s="105" t="s">
        <v>20</v>
      </c>
      <c r="D662" s="105">
        <v>0</v>
      </c>
      <c r="E662" s="124" t="s">
        <v>523</v>
      </c>
      <c r="F662" s="125" t="str">
        <f t="shared" si="30"/>
        <v/>
      </c>
      <c r="G662" s="126" t="e">
        <f>IF(A662&lt;&gt;"",IF(AND(#REF!="Padrão",$H$4=#REF!),BDI!$B$17,IF(AND(#REF!="Padrão",$H$4=#REF!),BDI!#REF!,IF(AND(#REF!="Diferenciado",$H$4=#REF!),BDI!$E$17,IF(AND(#REF!="Diferenciado",$H$4=#REF!),BDI!#REF!,IF(#REF!="ZERO",0))))),"")</f>
        <v>#REF!</v>
      </c>
      <c r="H662" s="127" t="str">
        <f t="shared" si="31"/>
        <v/>
      </c>
      <c r="I662" s="125" t="str">
        <f t="shared" si="32"/>
        <v/>
      </c>
    </row>
    <row r="663" spans="1:9" hidden="1" x14ac:dyDescent="0.25">
      <c r="A663" s="103" t="s">
        <v>2362</v>
      </c>
      <c r="B663" s="104" t="s">
        <v>2363</v>
      </c>
      <c r="C663" s="105" t="s">
        <v>20</v>
      </c>
      <c r="D663" s="105">
        <v>0</v>
      </c>
      <c r="E663" s="124" t="s">
        <v>523</v>
      </c>
      <c r="F663" s="125" t="str">
        <f t="shared" si="30"/>
        <v/>
      </c>
      <c r="G663" s="126" t="e">
        <f>IF(A663&lt;&gt;"",IF(AND(#REF!="Padrão",$H$4=#REF!),BDI!$B$17,IF(AND(#REF!="Padrão",$H$4=#REF!),BDI!#REF!,IF(AND(#REF!="Diferenciado",$H$4=#REF!),BDI!$E$17,IF(AND(#REF!="Diferenciado",$H$4=#REF!),BDI!#REF!,IF(#REF!="ZERO",0))))),"")</f>
        <v>#REF!</v>
      </c>
      <c r="H663" s="127" t="str">
        <f t="shared" si="31"/>
        <v/>
      </c>
      <c r="I663" s="125" t="str">
        <f t="shared" si="32"/>
        <v/>
      </c>
    </row>
    <row r="664" spans="1:9" hidden="1" x14ac:dyDescent="0.25">
      <c r="A664" s="103" t="s">
        <v>2364</v>
      </c>
      <c r="B664" s="104" t="s">
        <v>2365</v>
      </c>
      <c r="C664" s="105" t="s">
        <v>20</v>
      </c>
      <c r="D664" s="105">
        <v>0</v>
      </c>
      <c r="E664" s="124" t="s">
        <v>523</v>
      </c>
      <c r="F664" s="125" t="str">
        <f t="shared" si="30"/>
        <v/>
      </c>
      <c r="G664" s="126" t="e">
        <f>IF(A664&lt;&gt;"",IF(AND(#REF!="Padrão",$H$4=#REF!),BDI!$B$17,IF(AND(#REF!="Padrão",$H$4=#REF!),BDI!#REF!,IF(AND(#REF!="Diferenciado",$H$4=#REF!),BDI!$E$17,IF(AND(#REF!="Diferenciado",$H$4=#REF!),BDI!#REF!,IF(#REF!="ZERO",0))))),"")</f>
        <v>#REF!</v>
      </c>
      <c r="H664" s="127" t="str">
        <f t="shared" si="31"/>
        <v/>
      </c>
      <c r="I664" s="125" t="str">
        <f t="shared" si="32"/>
        <v/>
      </c>
    </row>
    <row r="665" spans="1:9" hidden="1" x14ac:dyDescent="0.25">
      <c r="A665" s="103" t="s">
        <v>2366</v>
      </c>
      <c r="B665" s="104" t="s">
        <v>2367</v>
      </c>
      <c r="C665" s="105" t="s">
        <v>20</v>
      </c>
      <c r="D665" s="105">
        <v>0</v>
      </c>
      <c r="E665" s="124" t="s">
        <v>523</v>
      </c>
      <c r="F665" s="125" t="str">
        <f t="shared" si="30"/>
        <v/>
      </c>
      <c r="G665" s="126" t="e">
        <f>IF(A665&lt;&gt;"",IF(AND(#REF!="Padrão",$H$4=#REF!),BDI!$B$17,IF(AND(#REF!="Padrão",$H$4=#REF!),BDI!#REF!,IF(AND(#REF!="Diferenciado",$H$4=#REF!),BDI!$E$17,IF(AND(#REF!="Diferenciado",$H$4=#REF!),BDI!#REF!,IF(#REF!="ZERO",0))))),"")</f>
        <v>#REF!</v>
      </c>
      <c r="H665" s="127" t="str">
        <f t="shared" si="31"/>
        <v/>
      </c>
      <c r="I665" s="125" t="str">
        <f t="shared" si="32"/>
        <v/>
      </c>
    </row>
    <row r="666" spans="1:9" hidden="1" x14ac:dyDescent="0.25">
      <c r="A666" s="103" t="s">
        <v>2368</v>
      </c>
      <c r="B666" s="104" t="s">
        <v>2369</v>
      </c>
      <c r="C666" s="105" t="s">
        <v>20</v>
      </c>
      <c r="D666" s="105">
        <v>0</v>
      </c>
      <c r="E666" s="124" t="s">
        <v>523</v>
      </c>
      <c r="F666" s="125" t="str">
        <f t="shared" si="30"/>
        <v/>
      </c>
      <c r="G666" s="126" t="e">
        <f>IF(A666&lt;&gt;"",IF(AND(#REF!="Padrão",$H$4=#REF!),BDI!$B$17,IF(AND(#REF!="Padrão",$H$4=#REF!),BDI!#REF!,IF(AND(#REF!="Diferenciado",$H$4=#REF!),BDI!$E$17,IF(AND(#REF!="Diferenciado",$H$4=#REF!),BDI!#REF!,IF(#REF!="ZERO",0))))),"")</f>
        <v>#REF!</v>
      </c>
      <c r="H666" s="127" t="str">
        <f t="shared" si="31"/>
        <v/>
      </c>
      <c r="I666" s="125" t="str">
        <f t="shared" si="32"/>
        <v/>
      </c>
    </row>
    <row r="667" spans="1:9" hidden="1" x14ac:dyDescent="0.25">
      <c r="A667" s="103" t="s">
        <v>2370</v>
      </c>
      <c r="B667" s="104" t="s">
        <v>2371</v>
      </c>
      <c r="C667" s="105" t="s">
        <v>20</v>
      </c>
      <c r="D667" s="105">
        <v>0</v>
      </c>
      <c r="E667" s="124" t="s">
        <v>523</v>
      </c>
      <c r="F667" s="125" t="str">
        <f t="shared" si="30"/>
        <v/>
      </c>
      <c r="G667" s="126" t="e">
        <f>IF(A667&lt;&gt;"",IF(AND(#REF!="Padrão",$H$4=#REF!),BDI!$B$17,IF(AND(#REF!="Padrão",$H$4=#REF!),BDI!#REF!,IF(AND(#REF!="Diferenciado",$H$4=#REF!),BDI!$E$17,IF(AND(#REF!="Diferenciado",$H$4=#REF!),BDI!#REF!,IF(#REF!="ZERO",0))))),"")</f>
        <v>#REF!</v>
      </c>
      <c r="H667" s="127" t="str">
        <f t="shared" si="31"/>
        <v/>
      </c>
      <c r="I667" s="125" t="str">
        <f t="shared" si="32"/>
        <v/>
      </c>
    </row>
    <row r="668" spans="1:9" hidden="1" x14ac:dyDescent="0.25">
      <c r="A668" s="103" t="s">
        <v>2372</v>
      </c>
      <c r="B668" s="104" t="s">
        <v>2373</v>
      </c>
      <c r="C668" s="105" t="s">
        <v>20</v>
      </c>
      <c r="D668" s="105">
        <v>0</v>
      </c>
      <c r="E668" s="124" t="s">
        <v>523</v>
      </c>
      <c r="F668" s="125" t="str">
        <f t="shared" si="30"/>
        <v/>
      </c>
      <c r="G668" s="126" t="e">
        <f>IF(A668&lt;&gt;"",IF(AND(#REF!="Padrão",$H$4=#REF!),BDI!$B$17,IF(AND(#REF!="Padrão",$H$4=#REF!),BDI!#REF!,IF(AND(#REF!="Diferenciado",$H$4=#REF!),BDI!$E$17,IF(AND(#REF!="Diferenciado",$H$4=#REF!),BDI!#REF!,IF(#REF!="ZERO",0))))),"")</f>
        <v>#REF!</v>
      </c>
      <c r="H668" s="127" t="str">
        <f t="shared" si="31"/>
        <v/>
      </c>
      <c r="I668" s="125" t="str">
        <f t="shared" si="32"/>
        <v/>
      </c>
    </row>
    <row r="669" spans="1:9" hidden="1" x14ac:dyDescent="0.25">
      <c r="A669" s="103" t="s">
        <v>2374</v>
      </c>
      <c r="B669" s="104" t="s">
        <v>2375</v>
      </c>
      <c r="C669" s="105" t="s">
        <v>20</v>
      </c>
      <c r="D669" s="105">
        <v>0</v>
      </c>
      <c r="E669" s="124" t="s">
        <v>523</v>
      </c>
      <c r="F669" s="125" t="str">
        <f t="shared" si="30"/>
        <v/>
      </c>
      <c r="G669" s="126" t="e">
        <f>IF(A669&lt;&gt;"",IF(AND(#REF!="Padrão",$H$4=#REF!),BDI!$B$17,IF(AND(#REF!="Padrão",$H$4=#REF!),BDI!#REF!,IF(AND(#REF!="Diferenciado",$H$4=#REF!),BDI!$E$17,IF(AND(#REF!="Diferenciado",$H$4=#REF!),BDI!#REF!,IF(#REF!="ZERO",0))))),"")</f>
        <v>#REF!</v>
      </c>
      <c r="H669" s="127" t="str">
        <f t="shared" si="31"/>
        <v/>
      </c>
      <c r="I669" s="125" t="str">
        <f t="shared" si="32"/>
        <v/>
      </c>
    </row>
    <row r="670" spans="1:9" hidden="1" x14ac:dyDescent="0.25">
      <c r="A670" s="103" t="s">
        <v>2376</v>
      </c>
      <c r="B670" s="104" t="s">
        <v>2377</v>
      </c>
      <c r="C670" s="105" t="s">
        <v>20</v>
      </c>
      <c r="D670" s="105">
        <v>0</v>
      </c>
      <c r="E670" s="124" t="s">
        <v>523</v>
      </c>
      <c r="F670" s="125" t="str">
        <f t="shared" si="30"/>
        <v/>
      </c>
      <c r="G670" s="126" t="e">
        <f>IF(A670&lt;&gt;"",IF(AND(#REF!="Padrão",$H$4=#REF!),BDI!$B$17,IF(AND(#REF!="Padrão",$H$4=#REF!),BDI!#REF!,IF(AND(#REF!="Diferenciado",$H$4=#REF!),BDI!$E$17,IF(AND(#REF!="Diferenciado",$H$4=#REF!),BDI!#REF!,IF(#REF!="ZERO",0))))),"")</f>
        <v>#REF!</v>
      </c>
      <c r="H670" s="127" t="str">
        <f t="shared" si="31"/>
        <v/>
      </c>
      <c r="I670" s="125" t="str">
        <f t="shared" si="32"/>
        <v/>
      </c>
    </row>
    <row r="671" spans="1:9" hidden="1" x14ac:dyDescent="0.25">
      <c r="A671" s="103" t="s">
        <v>2378</v>
      </c>
      <c r="B671" s="104" t="s">
        <v>2379</v>
      </c>
      <c r="C671" s="105" t="s">
        <v>102</v>
      </c>
      <c r="D671" s="105">
        <v>0</v>
      </c>
      <c r="E671" s="124" t="s">
        <v>523</v>
      </c>
      <c r="F671" s="125" t="str">
        <f t="shared" si="30"/>
        <v/>
      </c>
      <c r="G671" s="126" t="e">
        <f>IF(A671&lt;&gt;"",IF(AND(#REF!="Padrão",$H$4=#REF!),BDI!$B$17,IF(AND(#REF!="Padrão",$H$4=#REF!),BDI!#REF!,IF(AND(#REF!="Diferenciado",$H$4=#REF!),BDI!$E$17,IF(AND(#REF!="Diferenciado",$H$4=#REF!),BDI!#REF!,IF(#REF!="ZERO",0))))),"")</f>
        <v>#REF!</v>
      </c>
      <c r="H671" s="127" t="str">
        <f t="shared" si="31"/>
        <v/>
      </c>
      <c r="I671" s="125" t="str">
        <f t="shared" si="32"/>
        <v/>
      </c>
    </row>
    <row r="672" spans="1:9" hidden="1" x14ac:dyDescent="0.25">
      <c r="A672" s="103" t="s">
        <v>2380</v>
      </c>
      <c r="B672" s="104" t="s">
        <v>2381</v>
      </c>
      <c r="C672" s="105" t="s">
        <v>20</v>
      </c>
      <c r="D672" s="105">
        <v>0</v>
      </c>
      <c r="E672" s="124" t="s">
        <v>523</v>
      </c>
      <c r="F672" s="125" t="str">
        <f t="shared" si="30"/>
        <v/>
      </c>
      <c r="G672" s="126" t="e">
        <f>IF(A672&lt;&gt;"",IF(AND(#REF!="Padrão",$H$4=#REF!),BDI!$B$17,IF(AND(#REF!="Padrão",$H$4=#REF!),BDI!#REF!,IF(AND(#REF!="Diferenciado",$H$4=#REF!),BDI!$E$17,IF(AND(#REF!="Diferenciado",$H$4=#REF!),BDI!#REF!,IF(#REF!="ZERO",0))))),"")</f>
        <v>#REF!</v>
      </c>
      <c r="H672" s="127" t="str">
        <f t="shared" si="31"/>
        <v/>
      </c>
      <c r="I672" s="125" t="str">
        <f t="shared" si="32"/>
        <v/>
      </c>
    </row>
    <row r="673" spans="1:9" hidden="1" x14ac:dyDescent="0.25">
      <c r="A673" s="103" t="s">
        <v>2382</v>
      </c>
      <c r="B673" s="104" t="s">
        <v>2383</v>
      </c>
      <c r="C673" s="105" t="s">
        <v>20</v>
      </c>
      <c r="D673" s="105">
        <v>0</v>
      </c>
      <c r="E673" s="124" t="s">
        <v>523</v>
      </c>
      <c r="F673" s="125" t="str">
        <f t="shared" si="30"/>
        <v/>
      </c>
      <c r="G673" s="126" t="e">
        <f>IF(A673&lt;&gt;"",IF(AND(#REF!="Padrão",$H$4=#REF!),BDI!$B$17,IF(AND(#REF!="Padrão",$H$4=#REF!),BDI!#REF!,IF(AND(#REF!="Diferenciado",$H$4=#REF!),BDI!$E$17,IF(AND(#REF!="Diferenciado",$H$4=#REF!),BDI!#REF!,IF(#REF!="ZERO",0))))),"")</f>
        <v>#REF!</v>
      </c>
      <c r="H673" s="127" t="str">
        <f t="shared" si="31"/>
        <v/>
      </c>
      <c r="I673" s="125" t="str">
        <f t="shared" si="32"/>
        <v/>
      </c>
    </row>
    <row r="674" spans="1:9" hidden="1" x14ac:dyDescent="0.25">
      <c r="A674" s="103" t="s">
        <v>2384</v>
      </c>
      <c r="B674" s="104" t="s">
        <v>2385</v>
      </c>
      <c r="C674" s="105" t="s">
        <v>20</v>
      </c>
      <c r="D674" s="105">
        <v>0</v>
      </c>
      <c r="E674" s="124" t="s">
        <v>523</v>
      </c>
      <c r="F674" s="125" t="str">
        <f t="shared" si="30"/>
        <v/>
      </c>
      <c r="G674" s="126" t="e">
        <f>IF(A674&lt;&gt;"",IF(AND(#REF!="Padrão",$H$4=#REF!),BDI!$B$17,IF(AND(#REF!="Padrão",$H$4=#REF!),BDI!#REF!,IF(AND(#REF!="Diferenciado",$H$4=#REF!),BDI!$E$17,IF(AND(#REF!="Diferenciado",$H$4=#REF!),BDI!#REF!,IF(#REF!="ZERO",0))))),"")</f>
        <v>#REF!</v>
      </c>
      <c r="H674" s="127" t="str">
        <f t="shared" si="31"/>
        <v/>
      </c>
      <c r="I674" s="125" t="str">
        <f t="shared" si="32"/>
        <v/>
      </c>
    </row>
    <row r="675" spans="1:9" hidden="1" x14ac:dyDescent="0.25">
      <c r="A675" s="103" t="s">
        <v>2386</v>
      </c>
      <c r="B675" s="104" t="s">
        <v>2387</v>
      </c>
      <c r="C675" s="105" t="s">
        <v>20</v>
      </c>
      <c r="D675" s="105">
        <v>0</v>
      </c>
      <c r="E675" s="124" t="s">
        <v>523</v>
      </c>
      <c r="F675" s="125" t="str">
        <f t="shared" si="30"/>
        <v/>
      </c>
      <c r="G675" s="126" t="e">
        <f>IF(A675&lt;&gt;"",IF(AND(#REF!="Padrão",$H$4=#REF!),BDI!$B$17,IF(AND(#REF!="Padrão",$H$4=#REF!),BDI!#REF!,IF(AND(#REF!="Diferenciado",$H$4=#REF!),BDI!$E$17,IF(AND(#REF!="Diferenciado",$H$4=#REF!),BDI!#REF!,IF(#REF!="ZERO",0))))),"")</f>
        <v>#REF!</v>
      </c>
      <c r="H675" s="127" t="str">
        <f t="shared" si="31"/>
        <v/>
      </c>
      <c r="I675" s="125" t="str">
        <f t="shared" si="32"/>
        <v/>
      </c>
    </row>
    <row r="676" spans="1:9" hidden="1" x14ac:dyDescent="0.25">
      <c r="A676" s="103" t="s">
        <v>2388</v>
      </c>
      <c r="B676" s="104" t="s">
        <v>2389</v>
      </c>
      <c r="C676" s="105" t="s">
        <v>20</v>
      </c>
      <c r="D676" s="105">
        <v>0</v>
      </c>
      <c r="E676" s="124" t="s">
        <v>523</v>
      </c>
      <c r="F676" s="125" t="str">
        <f t="shared" si="30"/>
        <v/>
      </c>
      <c r="G676" s="126" t="e">
        <f>IF(A676&lt;&gt;"",IF(AND(#REF!="Padrão",$H$4=#REF!),BDI!$B$17,IF(AND(#REF!="Padrão",$H$4=#REF!),BDI!#REF!,IF(AND(#REF!="Diferenciado",$H$4=#REF!),BDI!$E$17,IF(AND(#REF!="Diferenciado",$H$4=#REF!),BDI!#REF!,IF(#REF!="ZERO",0))))),"")</f>
        <v>#REF!</v>
      </c>
      <c r="H676" s="127" t="str">
        <f t="shared" si="31"/>
        <v/>
      </c>
      <c r="I676" s="125" t="str">
        <f t="shared" si="32"/>
        <v/>
      </c>
    </row>
    <row r="677" spans="1:9" hidden="1" x14ac:dyDescent="0.25">
      <c r="A677" s="103" t="s">
        <v>2390</v>
      </c>
      <c r="B677" s="104" t="s">
        <v>2391</v>
      </c>
      <c r="C677" s="105" t="s">
        <v>20</v>
      </c>
      <c r="D677" s="105">
        <v>0</v>
      </c>
      <c r="E677" s="124" t="s">
        <v>523</v>
      </c>
      <c r="F677" s="125" t="str">
        <f t="shared" si="30"/>
        <v/>
      </c>
      <c r="G677" s="126" t="e">
        <f>IF(A677&lt;&gt;"",IF(AND(#REF!="Padrão",$H$4=#REF!),BDI!$B$17,IF(AND(#REF!="Padrão",$H$4=#REF!),BDI!#REF!,IF(AND(#REF!="Diferenciado",$H$4=#REF!),BDI!$E$17,IF(AND(#REF!="Diferenciado",$H$4=#REF!),BDI!#REF!,IF(#REF!="ZERO",0))))),"")</f>
        <v>#REF!</v>
      </c>
      <c r="H677" s="127" t="str">
        <f t="shared" si="31"/>
        <v/>
      </c>
      <c r="I677" s="125" t="str">
        <f t="shared" si="32"/>
        <v/>
      </c>
    </row>
    <row r="678" spans="1:9" hidden="1" x14ac:dyDescent="0.25">
      <c r="A678" s="103" t="s">
        <v>2392</v>
      </c>
      <c r="B678" s="104" t="s">
        <v>2393</v>
      </c>
      <c r="C678" s="105" t="s">
        <v>20</v>
      </c>
      <c r="D678" s="105">
        <v>0</v>
      </c>
      <c r="E678" s="124" t="s">
        <v>523</v>
      </c>
      <c r="F678" s="125" t="str">
        <f t="shared" si="30"/>
        <v/>
      </c>
      <c r="G678" s="126" t="e">
        <f>IF(A678&lt;&gt;"",IF(AND(#REF!="Padrão",$H$4=#REF!),BDI!$B$17,IF(AND(#REF!="Padrão",$H$4=#REF!),BDI!#REF!,IF(AND(#REF!="Diferenciado",$H$4=#REF!),BDI!$E$17,IF(AND(#REF!="Diferenciado",$H$4=#REF!),BDI!#REF!,IF(#REF!="ZERO",0))))),"")</f>
        <v>#REF!</v>
      </c>
      <c r="H678" s="127" t="str">
        <f t="shared" si="31"/>
        <v/>
      </c>
      <c r="I678" s="125" t="str">
        <f t="shared" si="32"/>
        <v/>
      </c>
    </row>
    <row r="679" spans="1:9" hidden="1" x14ac:dyDescent="0.25">
      <c r="A679" s="103" t="s">
        <v>2394</v>
      </c>
      <c r="B679" s="104" t="s">
        <v>2395</v>
      </c>
      <c r="C679" s="105" t="s">
        <v>20</v>
      </c>
      <c r="D679" s="105">
        <v>0</v>
      </c>
      <c r="E679" s="124" t="s">
        <v>523</v>
      </c>
      <c r="F679" s="125" t="str">
        <f t="shared" si="30"/>
        <v/>
      </c>
      <c r="G679" s="126" t="e">
        <f>IF(A679&lt;&gt;"",IF(AND(#REF!="Padrão",$H$4=#REF!),BDI!$B$17,IF(AND(#REF!="Padrão",$H$4=#REF!),BDI!#REF!,IF(AND(#REF!="Diferenciado",$H$4=#REF!),BDI!$E$17,IF(AND(#REF!="Diferenciado",$H$4=#REF!),BDI!#REF!,IF(#REF!="ZERO",0))))),"")</f>
        <v>#REF!</v>
      </c>
      <c r="H679" s="127" t="str">
        <f t="shared" si="31"/>
        <v/>
      </c>
      <c r="I679" s="125" t="str">
        <f t="shared" si="32"/>
        <v/>
      </c>
    </row>
    <row r="680" spans="1:9" hidden="1" x14ac:dyDescent="0.25">
      <c r="A680" s="103" t="s">
        <v>2396</v>
      </c>
      <c r="B680" s="104" t="s">
        <v>2397</v>
      </c>
      <c r="C680" s="105" t="s">
        <v>20</v>
      </c>
      <c r="D680" s="105">
        <v>0</v>
      </c>
      <c r="E680" s="124" t="s">
        <v>523</v>
      </c>
      <c r="F680" s="125" t="str">
        <f t="shared" si="30"/>
        <v/>
      </c>
      <c r="G680" s="126" t="e">
        <f>IF(A680&lt;&gt;"",IF(AND(#REF!="Padrão",$H$4=#REF!),BDI!$B$17,IF(AND(#REF!="Padrão",$H$4=#REF!),BDI!#REF!,IF(AND(#REF!="Diferenciado",$H$4=#REF!),BDI!$E$17,IF(AND(#REF!="Diferenciado",$H$4=#REF!),BDI!#REF!,IF(#REF!="ZERO",0))))),"")</f>
        <v>#REF!</v>
      </c>
      <c r="H680" s="127" t="str">
        <f t="shared" si="31"/>
        <v/>
      </c>
      <c r="I680" s="125" t="str">
        <f t="shared" si="32"/>
        <v/>
      </c>
    </row>
    <row r="681" spans="1:9" hidden="1" x14ac:dyDescent="0.25">
      <c r="A681" s="103" t="s">
        <v>2398</v>
      </c>
      <c r="B681" s="104" t="s">
        <v>2399</v>
      </c>
      <c r="C681" s="105" t="s">
        <v>20</v>
      </c>
      <c r="D681" s="105">
        <v>0</v>
      </c>
      <c r="E681" s="124" t="s">
        <v>523</v>
      </c>
      <c r="F681" s="125" t="str">
        <f t="shared" si="30"/>
        <v/>
      </c>
      <c r="G681" s="126" t="e">
        <f>IF(A681&lt;&gt;"",IF(AND(#REF!="Padrão",$H$4=#REF!),BDI!$B$17,IF(AND(#REF!="Padrão",$H$4=#REF!),BDI!#REF!,IF(AND(#REF!="Diferenciado",$H$4=#REF!),BDI!$E$17,IF(AND(#REF!="Diferenciado",$H$4=#REF!),BDI!#REF!,IF(#REF!="ZERO",0))))),"")</f>
        <v>#REF!</v>
      </c>
      <c r="H681" s="127" t="str">
        <f t="shared" si="31"/>
        <v/>
      </c>
      <c r="I681" s="125" t="str">
        <f t="shared" si="32"/>
        <v/>
      </c>
    </row>
    <row r="682" spans="1:9" hidden="1" x14ac:dyDescent="0.25">
      <c r="A682" s="103" t="s">
        <v>2400</v>
      </c>
      <c r="B682" s="104" t="s">
        <v>2401</v>
      </c>
      <c r="C682" s="105" t="s">
        <v>20</v>
      </c>
      <c r="D682" s="105">
        <v>0</v>
      </c>
      <c r="E682" s="124" t="s">
        <v>523</v>
      </c>
      <c r="F682" s="125" t="str">
        <f t="shared" si="30"/>
        <v/>
      </c>
      <c r="G682" s="126" t="e">
        <f>IF(A682&lt;&gt;"",IF(AND(#REF!="Padrão",$H$4=#REF!),BDI!$B$17,IF(AND(#REF!="Padrão",$H$4=#REF!),BDI!#REF!,IF(AND(#REF!="Diferenciado",$H$4=#REF!),BDI!$E$17,IF(AND(#REF!="Diferenciado",$H$4=#REF!),BDI!#REF!,IF(#REF!="ZERO",0))))),"")</f>
        <v>#REF!</v>
      </c>
      <c r="H682" s="127" t="str">
        <f t="shared" si="31"/>
        <v/>
      </c>
      <c r="I682" s="125" t="str">
        <f t="shared" si="32"/>
        <v/>
      </c>
    </row>
    <row r="683" spans="1:9" hidden="1" x14ac:dyDescent="0.25">
      <c r="A683" s="103" t="s">
        <v>2402</v>
      </c>
      <c r="B683" s="104" t="s">
        <v>2403</v>
      </c>
      <c r="C683" s="105" t="s">
        <v>20</v>
      </c>
      <c r="D683" s="105">
        <v>0</v>
      </c>
      <c r="E683" s="124" t="s">
        <v>523</v>
      </c>
      <c r="F683" s="125" t="str">
        <f t="shared" si="30"/>
        <v/>
      </c>
      <c r="G683" s="126" t="e">
        <f>IF(A683&lt;&gt;"",IF(AND(#REF!="Padrão",$H$4=#REF!),BDI!$B$17,IF(AND(#REF!="Padrão",$H$4=#REF!),BDI!#REF!,IF(AND(#REF!="Diferenciado",$H$4=#REF!),BDI!$E$17,IF(AND(#REF!="Diferenciado",$H$4=#REF!),BDI!#REF!,IF(#REF!="ZERO",0))))),"")</f>
        <v>#REF!</v>
      </c>
      <c r="H683" s="127" t="str">
        <f t="shared" si="31"/>
        <v/>
      </c>
      <c r="I683" s="125" t="str">
        <f t="shared" si="32"/>
        <v/>
      </c>
    </row>
    <row r="684" spans="1:9" hidden="1" x14ac:dyDescent="0.25">
      <c r="A684" s="103" t="s">
        <v>2404</v>
      </c>
      <c r="B684" s="104" t="s">
        <v>2405</v>
      </c>
      <c r="C684" s="105" t="s">
        <v>20</v>
      </c>
      <c r="D684" s="105">
        <v>0</v>
      </c>
      <c r="E684" s="124" t="s">
        <v>523</v>
      </c>
      <c r="F684" s="125" t="str">
        <f t="shared" si="30"/>
        <v/>
      </c>
      <c r="G684" s="126" t="e">
        <f>IF(A684&lt;&gt;"",IF(AND(#REF!="Padrão",$H$4=#REF!),BDI!$B$17,IF(AND(#REF!="Padrão",$H$4=#REF!),BDI!#REF!,IF(AND(#REF!="Diferenciado",$H$4=#REF!),BDI!$E$17,IF(AND(#REF!="Diferenciado",$H$4=#REF!),BDI!#REF!,IF(#REF!="ZERO",0))))),"")</f>
        <v>#REF!</v>
      </c>
      <c r="H684" s="127" t="str">
        <f t="shared" si="31"/>
        <v/>
      </c>
      <c r="I684" s="125" t="str">
        <f t="shared" si="32"/>
        <v/>
      </c>
    </row>
    <row r="685" spans="1:9" hidden="1" x14ac:dyDescent="0.25">
      <c r="A685" s="103" t="s">
        <v>2406</v>
      </c>
      <c r="B685" s="104" t="s">
        <v>2407</v>
      </c>
      <c r="C685" s="105" t="s">
        <v>20</v>
      </c>
      <c r="D685" s="105">
        <v>0</v>
      </c>
      <c r="E685" s="124" t="s">
        <v>523</v>
      </c>
      <c r="F685" s="125" t="str">
        <f t="shared" si="30"/>
        <v/>
      </c>
      <c r="G685" s="126" t="e">
        <f>IF(A685&lt;&gt;"",IF(AND(#REF!="Padrão",$H$4=#REF!),BDI!$B$17,IF(AND(#REF!="Padrão",$H$4=#REF!),BDI!#REF!,IF(AND(#REF!="Diferenciado",$H$4=#REF!),BDI!$E$17,IF(AND(#REF!="Diferenciado",$H$4=#REF!),BDI!#REF!,IF(#REF!="ZERO",0))))),"")</f>
        <v>#REF!</v>
      </c>
      <c r="H685" s="127" t="str">
        <f t="shared" si="31"/>
        <v/>
      </c>
      <c r="I685" s="125" t="str">
        <f t="shared" si="32"/>
        <v/>
      </c>
    </row>
    <row r="686" spans="1:9" hidden="1" x14ac:dyDescent="0.25">
      <c r="A686" s="103" t="s">
        <v>2408</v>
      </c>
      <c r="B686" s="104" t="s">
        <v>2409</v>
      </c>
      <c r="C686" s="105" t="s">
        <v>20</v>
      </c>
      <c r="D686" s="105">
        <v>0</v>
      </c>
      <c r="E686" s="124" t="s">
        <v>523</v>
      </c>
      <c r="F686" s="125" t="str">
        <f t="shared" si="30"/>
        <v/>
      </c>
      <c r="G686" s="126" t="e">
        <f>IF(A686&lt;&gt;"",IF(AND(#REF!="Padrão",$H$4=#REF!),BDI!$B$17,IF(AND(#REF!="Padrão",$H$4=#REF!),BDI!#REF!,IF(AND(#REF!="Diferenciado",$H$4=#REF!),BDI!$E$17,IF(AND(#REF!="Diferenciado",$H$4=#REF!),BDI!#REF!,IF(#REF!="ZERO",0))))),"")</f>
        <v>#REF!</v>
      </c>
      <c r="H686" s="127" t="str">
        <f t="shared" si="31"/>
        <v/>
      </c>
      <c r="I686" s="125" t="str">
        <f t="shared" si="32"/>
        <v/>
      </c>
    </row>
    <row r="687" spans="1:9" hidden="1" x14ac:dyDescent="0.25">
      <c r="A687" s="103" t="s">
        <v>2410</v>
      </c>
      <c r="B687" s="104" t="s">
        <v>2411</v>
      </c>
      <c r="C687" s="105" t="s">
        <v>20</v>
      </c>
      <c r="D687" s="105">
        <v>0</v>
      </c>
      <c r="E687" s="124" t="s">
        <v>523</v>
      </c>
      <c r="F687" s="125" t="str">
        <f t="shared" si="30"/>
        <v/>
      </c>
      <c r="G687" s="126" t="e">
        <f>IF(A687&lt;&gt;"",IF(AND(#REF!="Padrão",$H$4=#REF!),BDI!$B$17,IF(AND(#REF!="Padrão",$H$4=#REF!),BDI!#REF!,IF(AND(#REF!="Diferenciado",$H$4=#REF!),BDI!$E$17,IF(AND(#REF!="Diferenciado",$H$4=#REF!),BDI!#REF!,IF(#REF!="ZERO",0))))),"")</f>
        <v>#REF!</v>
      </c>
      <c r="H687" s="127" t="str">
        <f t="shared" si="31"/>
        <v/>
      </c>
      <c r="I687" s="125" t="str">
        <f t="shared" si="32"/>
        <v/>
      </c>
    </row>
    <row r="688" spans="1:9" hidden="1" x14ac:dyDescent="0.25">
      <c r="A688" s="103" t="s">
        <v>2412</v>
      </c>
      <c r="B688" s="104" t="s">
        <v>2413</v>
      </c>
      <c r="C688" s="105" t="s">
        <v>20</v>
      </c>
      <c r="D688" s="105">
        <v>0</v>
      </c>
      <c r="E688" s="124" t="s">
        <v>523</v>
      </c>
      <c r="F688" s="125" t="str">
        <f t="shared" si="30"/>
        <v/>
      </c>
      <c r="G688" s="126" t="e">
        <f>IF(A688&lt;&gt;"",IF(AND(#REF!="Padrão",$H$4=#REF!),BDI!$B$17,IF(AND(#REF!="Padrão",$H$4=#REF!),BDI!#REF!,IF(AND(#REF!="Diferenciado",$H$4=#REF!),BDI!$E$17,IF(AND(#REF!="Diferenciado",$H$4=#REF!),BDI!#REF!,IF(#REF!="ZERO",0))))),"")</f>
        <v>#REF!</v>
      </c>
      <c r="H688" s="127" t="str">
        <f t="shared" si="31"/>
        <v/>
      </c>
      <c r="I688" s="125" t="str">
        <f t="shared" si="32"/>
        <v/>
      </c>
    </row>
    <row r="689" spans="1:9" hidden="1" x14ac:dyDescent="0.25">
      <c r="A689" s="103" t="s">
        <v>2414</v>
      </c>
      <c r="B689" s="104" t="s">
        <v>2415</v>
      </c>
      <c r="C689" s="105" t="s">
        <v>20</v>
      </c>
      <c r="D689" s="105">
        <v>0</v>
      </c>
      <c r="E689" s="124" t="s">
        <v>523</v>
      </c>
      <c r="F689" s="125" t="str">
        <f t="shared" si="30"/>
        <v/>
      </c>
      <c r="G689" s="126" t="e">
        <f>IF(A689&lt;&gt;"",IF(AND(#REF!="Padrão",$H$4=#REF!),BDI!$B$17,IF(AND(#REF!="Padrão",$H$4=#REF!),BDI!#REF!,IF(AND(#REF!="Diferenciado",$H$4=#REF!),BDI!$E$17,IF(AND(#REF!="Diferenciado",$H$4=#REF!),BDI!#REF!,IF(#REF!="ZERO",0))))),"")</f>
        <v>#REF!</v>
      </c>
      <c r="H689" s="127" t="str">
        <f t="shared" si="31"/>
        <v/>
      </c>
      <c r="I689" s="125" t="str">
        <f t="shared" si="32"/>
        <v/>
      </c>
    </row>
    <row r="690" spans="1:9" hidden="1" x14ac:dyDescent="0.25">
      <c r="A690" s="103" t="s">
        <v>2416</v>
      </c>
      <c r="B690" s="104" t="s">
        <v>2417</v>
      </c>
      <c r="C690" s="105" t="s">
        <v>20</v>
      </c>
      <c r="D690" s="105">
        <v>0</v>
      </c>
      <c r="E690" s="124" t="s">
        <v>523</v>
      </c>
      <c r="F690" s="125" t="str">
        <f t="shared" si="30"/>
        <v/>
      </c>
      <c r="G690" s="126" t="e">
        <f>IF(A690&lt;&gt;"",IF(AND(#REF!="Padrão",$H$4=#REF!),BDI!$B$17,IF(AND(#REF!="Padrão",$H$4=#REF!),BDI!#REF!,IF(AND(#REF!="Diferenciado",$H$4=#REF!),BDI!$E$17,IF(AND(#REF!="Diferenciado",$H$4=#REF!),BDI!#REF!,IF(#REF!="ZERO",0))))),"")</f>
        <v>#REF!</v>
      </c>
      <c r="H690" s="127" t="str">
        <f t="shared" si="31"/>
        <v/>
      </c>
      <c r="I690" s="125" t="str">
        <f t="shared" si="32"/>
        <v/>
      </c>
    </row>
    <row r="691" spans="1:9" hidden="1" x14ac:dyDescent="0.25">
      <c r="A691" s="103" t="s">
        <v>2418</v>
      </c>
      <c r="B691" s="104" t="s">
        <v>2419</v>
      </c>
      <c r="C691" s="105" t="s">
        <v>20</v>
      </c>
      <c r="D691" s="105">
        <v>0</v>
      </c>
      <c r="E691" s="124" t="s">
        <v>523</v>
      </c>
      <c r="F691" s="125" t="str">
        <f t="shared" si="30"/>
        <v/>
      </c>
      <c r="G691" s="126" t="e">
        <f>IF(A691&lt;&gt;"",IF(AND(#REF!="Padrão",$H$4=#REF!),BDI!$B$17,IF(AND(#REF!="Padrão",$H$4=#REF!),BDI!#REF!,IF(AND(#REF!="Diferenciado",$H$4=#REF!),BDI!$E$17,IF(AND(#REF!="Diferenciado",$H$4=#REF!),BDI!#REF!,IF(#REF!="ZERO",0))))),"")</f>
        <v>#REF!</v>
      </c>
      <c r="H691" s="127" t="str">
        <f t="shared" si="31"/>
        <v/>
      </c>
      <c r="I691" s="125" t="str">
        <f t="shared" si="32"/>
        <v/>
      </c>
    </row>
    <row r="692" spans="1:9" hidden="1" x14ac:dyDescent="0.25">
      <c r="A692" s="103" t="s">
        <v>2420</v>
      </c>
      <c r="B692" s="104" t="s">
        <v>2421</v>
      </c>
      <c r="C692" s="105" t="s">
        <v>20</v>
      </c>
      <c r="D692" s="105">
        <v>0</v>
      </c>
      <c r="E692" s="124" t="s">
        <v>523</v>
      </c>
      <c r="F692" s="125" t="str">
        <f t="shared" si="30"/>
        <v/>
      </c>
      <c r="G692" s="126" t="e">
        <f>IF(A692&lt;&gt;"",IF(AND(#REF!="Padrão",$H$4=#REF!),BDI!$B$17,IF(AND(#REF!="Padrão",$H$4=#REF!),BDI!#REF!,IF(AND(#REF!="Diferenciado",$H$4=#REF!),BDI!$E$17,IF(AND(#REF!="Diferenciado",$H$4=#REF!),BDI!#REF!,IF(#REF!="ZERO",0))))),"")</f>
        <v>#REF!</v>
      </c>
      <c r="H692" s="127" t="str">
        <f t="shared" si="31"/>
        <v/>
      </c>
      <c r="I692" s="125" t="str">
        <f t="shared" si="32"/>
        <v/>
      </c>
    </row>
    <row r="693" spans="1:9" hidden="1" x14ac:dyDescent="0.25">
      <c r="A693" s="103" t="s">
        <v>2422</v>
      </c>
      <c r="B693" s="104" t="s">
        <v>2423</v>
      </c>
      <c r="C693" s="105" t="s">
        <v>20</v>
      </c>
      <c r="D693" s="105">
        <v>0</v>
      </c>
      <c r="E693" s="124" t="s">
        <v>523</v>
      </c>
      <c r="F693" s="125" t="str">
        <f t="shared" si="30"/>
        <v/>
      </c>
      <c r="G693" s="126" t="e">
        <f>IF(A693&lt;&gt;"",IF(AND(#REF!="Padrão",$H$4=#REF!),BDI!$B$17,IF(AND(#REF!="Padrão",$H$4=#REF!),BDI!#REF!,IF(AND(#REF!="Diferenciado",$H$4=#REF!),BDI!$E$17,IF(AND(#REF!="Diferenciado",$H$4=#REF!),BDI!#REF!,IF(#REF!="ZERO",0))))),"")</f>
        <v>#REF!</v>
      </c>
      <c r="H693" s="127" t="str">
        <f t="shared" si="31"/>
        <v/>
      </c>
      <c r="I693" s="125" t="str">
        <f t="shared" si="32"/>
        <v/>
      </c>
    </row>
    <row r="694" spans="1:9" hidden="1" x14ac:dyDescent="0.25">
      <c r="A694" s="103" t="s">
        <v>2424</v>
      </c>
      <c r="B694" s="104" t="s">
        <v>2425</v>
      </c>
      <c r="C694" s="105" t="s">
        <v>20</v>
      </c>
      <c r="D694" s="105">
        <v>0</v>
      </c>
      <c r="E694" s="124" t="s">
        <v>523</v>
      </c>
      <c r="F694" s="125" t="str">
        <f t="shared" si="30"/>
        <v/>
      </c>
      <c r="G694" s="126" t="e">
        <f>IF(A694&lt;&gt;"",IF(AND(#REF!="Padrão",$H$4=#REF!),BDI!$B$17,IF(AND(#REF!="Padrão",$H$4=#REF!),BDI!#REF!,IF(AND(#REF!="Diferenciado",$H$4=#REF!),BDI!$E$17,IF(AND(#REF!="Diferenciado",$H$4=#REF!),BDI!#REF!,IF(#REF!="ZERO",0))))),"")</f>
        <v>#REF!</v>
      </c>
      <c r="H694" s="127" t="str">
        <f t="shared" si="31"/>
        <v/>
      </c>
      <c r="I694" s="125" t="str">
        <f t="shared" si="32"/>
        <v/>
      </c>
    </row>
    <row r="695" spans="1:9" hidden="1" x14ac:dyDescent="0.25">
      <c r="A695" s="103" t="s">
        <v>2426</v>
      </c>
      <c r="B695" s="104" t="s">
        <v>2427</v>
      </c>
      <c r="C695" s="105" t="s">
        <v>20</v>
      </c>
      <c r="D695" s="105">
        <v>0</v>
      </c>
      <c r="E695" s="124" t="s">
        <v>523</v>
      </c>
      <c r="F695" s="125" t="str">
        <f t="shared" si="30"/>
        <v/>
      </c>
      <c r="G695" s="126" t="e">
        <f>IF(A695&lt;&gt;"",IF(AND(#REF!="Padrão",$H$4=#REF!),BDI!$B$17,IF(AND(#REF!="Padrão",$H$4=#REF!),BDI!#REF!,IF(AND(#REF!="Diferenciado",$H$4=#REF!),BDI!$E$17,IF(AND(#REF!="Diferenciado",$H$4=#REF!),BDI!#REF!,IF(#REF!="ZERO",0))))),"")</f>
        <v>#REF!</v>
      </c>
      <c r="H695" s="127" t="str">
        <f t="shared" si="31"/>
        <v/>
      </c>
      <c r="I695" s="125" t="str">
        <f t="shared" si="32"/>
        <v/>
      </c>
    </row>
    <row r="696" spans="1:9" hidden="1" x14ac:dyDescent="0.25">
      <c r="A696" s="103" t="s">
        <v>2428</v>
      </c>
      <c r="B696" s="104" t="s">
        <v>2429</v>
      </c>
      <c r="C696" s="105" t="s">
        <v>20</v>
      </c>
      <c r="D696" s="105">
        <v>0</v>
      </c>
      <c r="E696" s="124" t="s">
        <v>523</v>
      </c>
      <c r="F696" s="125" t="str">
        <f t="shared" si="30"/>
        <v/>
      </c>
      <c r="G696" s="126" t="e">
        <f>IF(A696&lt;&gt;"",IF(AND(#REF!="Padrão",$H$4=#REF!),BDI!$B$17,IF(AND(#REF!="Padrão",$H$4=#REF!),BDI!#REF!,IF(AND(#REF!="Diferenciado",$H$4=#REF!),BDI!$E$17,IF(AND(#REF!="Diferenciado",$H$4=#REF!),BDI!#REF!,IF(#REF!="ZERO",0))))),"")</f>
        <v>#REF!</v>
      </c>
      <c r="H696" s="127" t="str">
        <f t="shared" si="31"/>
        <v/>
      </c>
      <c r="I696" s="125" t="str">
        <f t="shared" si="32"/>
        <v/>
      </c>
    </row>
    <row r="697" spans="1:9" hidden="1" x14ac:dyDescent="0.25">
      <c r="A697" s="103" t="s">
        <v>2430</v>
      </c>
      <c r="B697" s="104" t="s">
        <v>2431</v>
      </c>
      <c r="C697" s="105" t="s">
        <v>20</v>
      </c>
      <c r="D697" s="105">
        <v>0</v>
      </c>
      <c r="E697" s="124" t="s">
        <v>523</v>
      </c>
      <c r="F697" s="125" t="str">
        <f t="shared" si="30"/>
        <v/>
      </c>
      <c r="G697" s="126" t="e">
        <f>IF(A697&lt;&gt;"",IF(AND(#REF!="Padrão",$H$4=#REF!),BDI!$B$17,IF(AND(#REF!="Padrão",$H$4=#REF!),BDI!#REF!,IF(AND(#REF!="Diferenciado",$H$4=#REF!),BDI!$E$17,IF(AND(#REF!="Diferenciado",$H$4=#REF!),BDI!#REF!,IF(#REF!="ZERO",0))))),"")</f>
        <v>#REF!</v>
      </c>
      <c r="H697" s="127" t="str">
        <f t="shared" si="31"/>
        <v/>
      </c>
      <c r="I697" s="125" t="str">
        <f t="shared" si="32"/>
        <v/>
      </c>
    </row>
    <row r="698" spans="1:9" hidden="1" x14ac:dyDescent="0.25">
      <c r="A698" s="103" t="s">
        <v>2432</v>
      </c>
      <c r="B698" s="104" t="s">
        <v>2433</v>
      </c>
      <c r="C698" s="105" t="s">
        <v>20</v>
      </c>
      <c r="D698" s="105">
        <v>0</v>
      </c>
      <c r="E698" s="124" t="s">
        <v>523</v>
      </c>
      <c r="F698" s="125" t="str">
        <f t="shared" si="30"/>
        <v/>
      </c>
      <c r="G698" s="126" t="e">
        <f>IF(A698&lt;&gt;"",IF(AND(#REF!="Padrão",$H$4=#REF!),BDI!$B$17,IF(AND(#REF!="Padrão",$H$4=#REF!),BDI!#REF!,IF(AND(#REF!="Diferenciado",$H$4=#REF!),BDI!$E$17,IF(AND(#REF!="Diferenciado",$H$4=#REF!),BDI!#REF!,IF(#REF!="ZERO",0))))),"")</f>
        <v>#REF!</v>
      </c>
      <c r="H698" s="127" t="str">
        <f t="shared" si="31"/>
        <v/>
      </c>
      <c r="I698" s="125" t="str">
        <f t="shared" si="32"/>
        <v/>
      </c>
    </row>
    <row r="699" spans="1:9" hidden="1" x14ac:dyDescent="0.25">
      <c r="A699" s="103" t="s">
        <v>2434</v>
      </c>
      <c r="B699" s="104" t="s">
        <v>2435</v>
      </c>
      <c r="C699" s="105" t="s">
        <v>20</v>
      </c>
      <c r="D699" s="105">
        <v>0</v>
      </c>
      <c r="E699" s="124" t="s">
        <v>523</v>
      </c>
      <c r="F699" s="125" t="str">
        <f t="shared" si="30"/>
        <v/>
      </c>
      <c r="G699" s="126" t="e">
        <f>IF(A699&lt;&gt;"",IF(AND(#REF!="Padrão",$H$4=#REF!),BDI!$B$17,IF(AND(#REF!="Padrão",$H$4=#REF!),BDI!#REF!,IF(AND(#REF!="Diferenciado",$H$4=#REF!),BDI!$E$17,IF(AND(#REF!="Diferenciado",$H$4=#REF!),BDI!#REF!,IF(#REF!="ZERO",0))))),"")</f>
        <v>#REF!</v>
      </c>
      <c r="H699" s="127" t="str">
        <f t="shared" si="31"/>
        <v/>
      </c>
      <c r="I699" s="125" t="str">
        <f t="shared" si="32"/>
        <v/>
      </c>
    </row>
    <row r="700" spans="1:9" hidden="1" x14ac:dyDescent="0.25">
      <c r="A700" s="103" t="s">
        <v>2436</v>
      </c>
      <c r="B700" s="104" t="s">
        <v>2437</v>
      </c>
      <c r="C700" s="105" t="s">
        <v>20</v>
      </c>
      <c r="D700" s="105">
        <v>0</v>
      </c>
      <c r="E700" s="124" t="s">
        <v>523</v>
      </c>
      <c r="F700" s="125" t="str">
        <f t="shared" si="30"/>
        <v/>
      </c>
      <c r="G700" s="126" t="e">
        <f>IF(A700&lt;&gt;"",IF(AND(#REF!="Padrão",$H$4=#REF!),BDI!$B$17,IF(AND(#REF!="Padrão",$H$4=#REF!),BDI!#REF!,IF(AND(#REF!="Diferenciado",$H$4=#REF!),BDI!$E$17,IF(AND(#REF!="Diferenciado",$H$4=#REF!),BDI!#REF!,IF(#REF!="ZERO",0))))),"")</f>
        <v>#REF!</v>
      </c>
      <c r="H700" s="127" t="str">
        <f t="shared" si="31"/>
        <v/>
      </c>
      <c r="I700" s="125" t="str">
        <f t="shared" si="32"/>
        <v/>
      </c>
    </row>
    <row r="701" spans="1:9" hidden="1" x14ac:dyDescent="0.25">
      <c r="A701" s="103" t="s">
        <v>2438</v>
      </c>
      <c r="B701" s="104" t="s">
        <v>2439</v>
      </c>
      <c r="C701" s="105" t="s">
        <v>20</v>
      </c>
      <c r="D701" s="105">
        <v>0</v>
      </c>
      <c r="E701" s="124" t="s">
        <v>523</v>
      </c>
      <c r="F701" s="125" t="str">
        <f t="shared" si="30"/>
        <v/>
      </c>
      <c r="G701" s="126" t="e">
        <f>IF(A701&lt;&gt;"",IF(AND(#REF!="Padrão",$H$4=#REF!),BDI!$B$17,IF(AND(#REF!="Padrão",$H$4=#REF!),BDI!#REF!,IF(AND(#REF!="Diferenciado",$H$4=#REF!),BDI!$E$17,IF(AND(#REF!="Diferenciado",$H$4=#REF!),BDI!#REF!,IF(#REF!="ZERO",0))))),"")</f>
        <v>#REF!</v>
      </c>
      <c r="H701" s="127" t="str">
        <f t="shared" si="31"/>
        <v/>
      </c>
      <c r="I701" s="125" t="str">
        <f t="shared" si="32"/>
        <v/>
      </c>
    </row>
    <row r="702" spans="1:9" hidden="1" x14ac:dyDescent="0.25">
      <c r="A702" s="103" t="s">
        <v>2440</v>
      </c>
      <c r="B702" s="104" t="s">
        <v>2441</v>
      </c>
      <c r="C702" s="105" t="s">
        <v>20</v>
      </c>
      <c r="D702" s="105">
        <v>0</v>
      </c>
      <c r="E702" s="124" t="s">
        <v>523</v>
      </c>
      <c r="F702" s="125" t="str">
        <f t="shared" si="30"/>
        <v/>
      </c>
      <c r="G702" s="126" t="e">
        <f>IF(A702&lt;&gt;"",IF(AND(#REF!="Padrão",$H$4=#REF!),BDI!$B$17,IF(AND(#REF!="Padrão",$H$4=#REF!),BDI!#REF!,IF(AND(#REF!="Diferenciado",$H$4=#REF!),BDI!$E$17,IF(AND(#REF!="Diferenciado",$H$4=#REF!),BDI!#REF!,IF(#REF!="ZERO",0))))),"")</f>
        <v>#REF!</v>
      </c>
      <c r="H702" s="127" t="str">
        <f t="shared" si="31"/>
        <v/>
      </c>
      <c r="I702" s="125" t="str">
        <f t="shared" si="32"/>
        <v/>
      </c>
    </row>
    <row r="703" spans="1:9" hidden="1" x14ac:dyDescent="0.25">
      <c r="A703" s="103" t="s">
        <v>2442</v>
      </c>
      <c r="B703" s="104" t="s">
        <v>2443</v>
      </c>
      <c r="C703" s="105" t="s">
        <v>20</v>
      </c>
      <c r="D703" s="105">
        <v>0</v>
      </c>
      <c r="E703" s="124" t="s">
        <v>523</v>
      </c>
      <c r="F703" s="125" t="str">
        <f t="shared" si="30"/>
        <v/>
      </c>
      <c r="G703" s="126" t="e">
        <f>IF(A703&lt;&gt;"",IF(AND(#REF!="Padrão",$H$4=#REF!),BDI!$B$17,IF(AND(#REF!="Padrão",$H$4=#REF!),BDI!#REF!,IF(AND(#REF!="Diferenciado",$H$4=#REF!),BDI!$E$17,IF(AND(#REF!="Diferenciado",$H$4=#REF!),BDI!#REF!,IF(#REF!="ZERO",0))))),"")</f>
        <v>#REF!</v>
      </c>
      <c r="H703" s="127" t="str">
        <f t="shared" si="31"/>
        <v/>
      </c>
      <c r="I703" s="125" t="str">
        <f t="shared" si="32"/>
        <v/>
      </c>
    </row>
    <row r="704" spans="1:9" hidden="1" x14ac:dyDescent="0.25">
      <c r="A704" s="103" t="s">
        <v>2444</v>
      </c>
      <c r="B704" s="104" t="s">
        <v>2445</v>
      </c>
      <c r="C704" s="105" t="s">
        <v>20</v>
      </c>
      <c r="D704" s="105">
        <v>0</v>
      </c>
      <c r="E704" s="124" t="s">
        <v>523</v>
      </c>
      <c r="F704" s="125" t="str">
        <f t="shared" si="30"/>
        <v/>
      </c>
      <c r="G704" s="126" t="e">
        <f>IF(A704&lt;&gt;"",IF(AND(#REF!="Padrão",$H$4=#REF!),BDI!$B$17,IF(AND(#REF!="Padrão",$H$4=#REF!),BDI!#REF!,IF(AND(#REF!="Diferenciado",$H$4=#REF!),BDI!$E$17,IF(AND(#REF!="Diferenciado",$H$4=#REF!),BDI!#REF!,IF(#REF!="ZERO",0))))),"")</f>
        <v>#REF!</v>
      </c>
      <c r="H704" s="127" t="str">
        <f t="shared" si="31"/>
        <v/>
      </c>
      <c r="I704" s="125" t="str">
        <f t="shared" si="32"/>
        <v/>
      </c>
    </row>
    <row r="705" spans="1:9" hidden="1" x14ac:dyDescent="0.25">
      <c r="A705" s="103" t="s">
        <v>2446</v>
      </c>
      <c r="B705" s="104" t="s">
        <v>2447</v>
      </c>
      <c r="C705" s="105" t="s">
        <v>20</v>
      </c>
      <c r="D705" s="105">
        <v>0</v>
      </c>
      <c r="E705" s="124" t="s">
        <v>523</v>
      </c>
      <c r="F705" s="125" t="str">
        <f t="shared" si="30"/>
        <v/>
      </c>
      <c r="G705" s="126" t="e">
        <f>IF(A705&lt;&gt;"",IF(AND(#REF!="Padrão",$H$4=#REF!),BDI!$B$17,IF(AND(#REF!="Padrão",$H$4=#REF!),BDI!#REF!,IF(AND(#REF!="Diferenciado",$H$4=#REF!),BDI!$E$17,IF(AND(#REF!="Diferenciado",$H$4=#REF!),BDI!#REF!,IF(#REF!="ZERO",0))))),"")</f>
        <v>#REF!</v>
      </c>
      <c r="H705" s="127" t="str">
        <f t="shared" si="31"/>
        <v/>
      </c>
      <c r="I705" s="125" t="str">
        <f t="shared" si="32"/>
        <v/>
      </c>
    </row>
    <row r="706" spans="1:9" hidden="1" x14ac:dyDescent="0.25">
      <c r="A706" s="103" t="s">
        <v>2448</v>
      </c>
      <c r="B706" s="104" t="s">
        <v>2449</v>
      </c>
      <c r="C706" s="105" t="s">
        <v>20</v>
      </c>
      <c r="D706" s="105">
        <v>0</v>
      </c>
      <c r="E706" s="124" t="s">
        <v>523</v>
      </c>
      <c r="F706" s="125" t="str">
        <f t="shared" si="30"/>
        <v/>
      </c>
      <c r="G706" s="126" t="e">
        <f>IF(A706&lt;&gt;"",IF(AND(#REF!="Padrão",$H$4=#REF!),BDI!$B$17,IF(AND(#REF!="Padrão",$H$4=#REF!),BDI!#REF!,IF(AND(#REF!="Diferenciado",$H$4=#REF!),BDI!$E$17,IF(AND(#REF!="Diferenciado",$H$4=#REF!),BDI!#REF!,IF(#REF!="ZERO",0))))),"")</f>
        <v>#REF!</v>
      </c>
      <c r="H706" s="127" t="str">
        <f t="shared" si="31"/>
        <v/>
      </c>
      <c r="I706" s="125" t="str">
        <f t="shared" si="32"/>
        <v/>
      </c>
    </row>
    <row r="707" spans="1:9" hidden="1" x14ac:dyDescent="0.25">
      <c r="A707" s="103" t="s">
        <v>2450</v>
      </c>
      <c r="B707" s="104" t="s">
        <v>2451</v>
      </c>
      <c r="C707" s="105" t="s">
        <v>20</v>
      </c>
      <c r="D707" s="105">
        <v>0</v>
      </c>
      <c r="E707" s="124" t="s">
        <v>523</v>
      </c>
      <c r="F707" s="125" t="str">
        <f t="shared" si="30"/>
        <v/>
      </c>
      <c r="G707" s="126" t="e">
        <f>IF(A707&lt;&gt;"",IF(AND(#REF!="Padrão",$H$4=#REF!),BDI!$B$17,IF(AND(#REF!="Padrão",$H$4=#REF!),BDI!#REF!,IF(AND(#REF!="Diferenciado",$H$4=#REF!),BDI!$E$17,IF(AND(#REF!="Diferenciado",$H$4=#REF!),BDI!#REF!,IF(#REF!="ZERO",0))))),"")</f>
        <v>#REF!</v>
      </c>
      <c r="H707" s="127" t="str">
        <f t="shared" si="31"/>
        <v/>
      </c>
      <c r="I707" s="125" t="str">
        <f t="shared" si="32"/>
        <v/>
      </c>
    </row>
    <row r="708" spans="1:9" hidden="1" x14ac:dyDescent="0.25">
      <c r="A708" s="103" t="s">
        <v>2452</v>
      </c>
      <c r="B708" s="104" t="s">
        <v>2453</v>
      </c>
      <c r="C708" s="105" t="s">
        <v>20</v>
      </c>
      <c r="D708" s="105">
        <v>0</v>
      </c>
      <c r="E708" s="124" t="s">
        <v>523</v>
      </c>
      <c r="F708" s="125" t="str">
        <f t="shared" si="30"/>
        <v/>
      </c>
      <c r="G708" s="126" t="e">
        <f>IF(A708&lt;&gt;"",IF(AND(#REF!="Padrão",$H$4=#REF!),BDI!$B$17,IF(AND(#REF!="Padrão",$H$4=#REF!),BDI!#REF!,IF(AND(#REF!="Diferenciado",$H$4=#REF!),BDI!$E$17,IF(AND(#REF!="Diferenciado",$H$4=#REF!),BDI!#REF!,IF(#REF!="ZERO",0))))),"")</f>
        <v>#REF!</v>
      </c>
      <c r="H708" s="127" t="str">
        <f t="shared" si="31"/>
        <v/>
      </c>
      <c r="I708" s="125" t="str">
        <f t="shared" si="32"/>
        <v/>
      </c>
    </row>
    <row r="709" spans="1:9" hidden="1" x14ac:dyDescent="0.25">
      <c r="A709" s="103" t="s">
        <v>2454</v>
      </c>
      <c r="B709" s="104" t="s">
        <v>2455</v>
      </c>
      <c r="C709" s="105" t="s">
        <v>20</v>
      </c>
      <c r="D709" s="105">
        <v>0</v>
      </c>
      <c r="E709" s="124" t="s">
        <v>523</v>
      </c>
      <c r="F709" s="125" t="str">
        <f t="shared" si="30"/>
        <v/>
      </c>
      <c r="G709" s="126" t="e">
        <f>IF(A709&lt;&gt;"",IF(AND(#REF!="Padrão",$H$4=#REF!),BDI!$B$17,IF(AND(#REF!="Padrão",$H$4=#REF!),BDI!#REF!,IF(AND(#REF!="Diferenciado",$H$4=#REF!),BDI!$E$17,IF(AND(#REF!="Diferenciado",$H$4=#REF!),BDI!#REF!,IF(#REF!="ZERO",0))))),"")</f>
        <v>#REF!</v>
      </c>
      <c r="H709" s="127" t="str">
        <f t="shared" si="31"/>
        <v/>
      </c>
      <c r="I709" s="125" t="str">
        <f t="shared" si="32"/>
        <v/>
      </c>
    </row>
    <row r="710" spans="1:9" hidden="1" x14ac:dyDescent="0.25">
      <c r="A710" s="103" t="s">
        <v>2456</v>
      </c>
      <c r="B710" s="104" t="s">
        <v>2457</v>
      </c>
      <c r="C710" s="105" t="s">
        <v>20</v>
      </c>
      <c r="D710" s="105">
        <v>0</v>
      </c>
      <c r="E710" s="124" t="s">
        <v>523</v>
      </c>
      <c r="F710" s="125" t="str">
        <f t="shared" si="30"/>
        <v/>
      </c>
      <c r="G710" s="126" t="e">
        <f>IF(A710&lt;&gt;"",IF(AND(#REF!="Padrão",$H$4=#REF!),BDI!$B$17,IF(AND(#REF!="Padrão",$H$4=#REF!),BDI!#REF!,IF(AND(#REF!="Diferenciado",$H$4=#REF!),BDI!$E$17,IF(AND(#REF!="Diferenciado",$H$4=#REF!),BDI!#REF!,IF(#REF!="ZERO",0))))),"")</f>
        <v>#REF!</v>
      </c>
      <c r="H710" s="127" t="str">
        <f t="shared" si="31"/>
        <v/>
      </c>
      <c r="I710" s="125" t="str">
        <f t="shared" si="32"/>
        <v/>
      </c>
    </row>
    <row r="711" spans="1:9" hidden="1" x14ac:dyDescent="0.25">
      <c r="A711" s="103" t="s">
        <v>2458</v>
      </c>
      <c r="B711" s="104" t="s">
        <v>2459</v>
      </c>
      <c r="C711" s="105" t="s">
        <v>20</v>
      </c>
      <c r="D711" s="105">
        <v>0</v>
      </c>
      <c r="E711" s="124" t="s">
        <v>523</v>
      </c>
      <c r="F711" s="125" t="str">
        <f t="shared" ref="F711:F774" si="33">IF(ISNUMBER(E711),D711*E711,"")</f>
        <v/>
      </c>
      <c r="G711" s="126" t="e">
        <f>IF(A711&lt;&gt;"",IF(AND(#REF!="Padrão",$H$4=#REF!),BDI!$B$17,IF(AND(#REF!="Padrão",$H$4=#REF!),BDI!#REF!,IF(AND(#REF!="Diferenciado",$H$4=#REF!),BDI!$E$17,IF(AND(#REF!="Diferenciado",$H$4=#REF!),BDI!#REF!,IF(#REF!="ZERO",0))))),"")</f>
        <v>#REF!</v>
      </c>
      <c r="H711" s="127" t="str">
        <f t="shared" ref="H711:H774" si="34">IF(ISNUMBER(E711),ROUND(E711*(1+G711),2),"")</f>
        <v/>
      </c>
      <c r="I711" s="125" t="str">
        <f t="shared" ref="I711:I774" si="35">IF(ISNUMBER(E711),ROUND(H711*D711,2),"")</f>
        <v/>
      </c>
    </row>
    <row r="712" spans="1:9" hidden="1" x14ac:dyDescent="0.25">
      <c r="A712" s="103" t="s">
        <v>2460</v>
      </c>
      <c r="B712" s="104" t="s">
        <v>2461</v>
      </c>
      <c r="C712" s="105" t="s">
        <v>20</v>
      </c>
      <c r="D712" s="105">
        <v>0</v>
      </c>
      <c r="E712" s="124" t="s">
        <v>523</v>
      </c>
      <c r="F712" s="125" t="str">
        <f t="shared" si="33"/>
        <v/>
      </c>
      <c r="G712" s="126" t="e">
        <f>IF(A712&lt;&gt;"",IF(AND(#REF!="Padrão",$H$4=#REF!),BDI!$B$17,IF(AND(#REF!="Padrão",$H$4=#REF!),BDI!#REF!,IF(AND(#REF!="Diferenciado",$H$4=#REF!),BDI!$E$17,IF(AND(#REF!="Diferenciado",$H$4=#REF!),BDI!#REF!,IF(#REF!="ZERO",0))))),"")</f>
        <v>#REF!</v>
      </c>
      <c r="H712" s="127" t="str">
        <f t="shared" si="34"/>
        <v/>
      </c>
      <c r="I712" s="125" t="str">
        <f t="shared" si="35"/>
        <v/>
      </c>
    </row>
    <row r="713" spans="1:9" hidden="1" x14ac:dyDescent="0.25">
      <c r="A713" s="103" t="s">
        <v>781</v>
      </c>
      <c r="B713" s="104" t="s">
        <v>2462</v>
      </c>
      <c r="C713" s="105" t="s">
        <v>2463</v>
      </c>
      <c r="D713" s="105">
        <v>0</v>
      </c>
      <c r="E713" s="124">
        <f ca="1">OFFSET(INDEX(Composições!A:J,MATCH(Orçamentária!A713,Composições!A:A,0),8),2,0)</f>
        <v>10382.367903049999</v>
      </c>
      <c r="F713" s="125">
        <f t="shared" ca="1" si="33"/>
        <v>0</v>
      </c>
      <c r="G713" s="126" t="e">
        <f>IF(A713&lt;&gt;"",IF(AND(#REF!="Padrão",$H$4=#REF!),BDI!$B$17,IF(AND(#REF!="Padrão",$H$4=#REF!),BDI!#REF!,IF(AND(#REF!="Diferenciado",$H$4=#REF!),BDI!$E$17,IF(AND(#REF!="Diferenciado",$H$4=#REF!),BDI!#REF!,IF(#REF!="ZERO",0))))),"")</f>
        <v>#REF!</v>
      </c>
      <c r="H713" s="127" t="e">
        <f t="shared" ca="1" si="34"/>
        <v>#REF!</v>
      </c>
      <c r="I713" s="125" t="e">
        <f t="shared" ca="1" si="35"/>
        <v>#REF!</v>
      </c>
    </row>
    <row r="714" spans="1:9" hidden="1" x14ac:dyDescent="0.25">
      <c r="A714" s="103" t="s">
        <v>784</v>
      </c>
      <c r="B714" s="104" t="s">
        <v>2464</v>
      </c>
      <c r="C714" s="105" t="s">
        <v>2463</v>
      </c>
      <c r="D714" s="105">
        <v>0</v>
      </c>
      <c r="E714" s="124">
        <f ca="1">OFFSET(INDEX(Composições!A:J,MATCH(Orçamentária!A714,Composições!A:A,0),8),2,0)</f>
        <v>2819.6199832500001</v>
      </c>
      <c r="F714" s="125">
        <f t="shared" ca="1" si="33"/>
        <v>0</v>
      </c>
      <c r="G714" s="126" t="e">
        <f>IF(A714&lt;&gt;"",IF(AND(#REF!="Padrão",$H$4=#REF!),BDI!$B$17,IF(AND(#REF!="Padrão",$H$4=#REF!),BDI!#REF!,IF(AND(#REF!="Diferenciado",$H$4=#REF!),BDI!$E$17,IF(AND(#REF!="Diferenciado",$H$4=#REF!),BDI!#REF!,IF(#REF!="ZERO",0))))),"")</f>
        <v>#REF!</v>
      </c>
      <c r="H714" s="127" t="e">
        <f t="shared" ca="1" si="34"/>
        <v>#REF!</v>
      </c>
      <c r="I714" s="125" t="e">
        <f t="shared" ca="1" si="35"/>
        <v>#REF!</v>
      </c>
    </row>
    <row r="715" spans="1:9" hidden="1" x14ac:dyDescent="0.25">
      <c r="A715" s="103" t="s">
        <v>786</v>
      </c>
      <c r="B715" s="104" t="s">
        <v>2465</v>
      </c>
      <c r="C715" s="105" t="s">
        <v>2463</v>
      </c>
      <c r="D715" s="105">
        <v>0</v>
      </c>
      <c r="E715" s="124">
        <f ca="1">OFFSET(INDEX(Composições!A:J,MATCH(Orçamentária!A715,Composições!A:A,0),8),2,0)</f>
        <v>1928.4808280499999</v>
      </c>
      <c r="F715" s="125">
        <f t="shared" ca="1" si="33"/>
        <v>0</v>
      </c>
      <c r="G715" s="126" t="e">
        <f>IF(A715&lt;&gt;"",IF(AND(#REF!="Padrão",$H$4=#REF!),BDI!$B$17,IF(AND(#REF!="Padrão",$H$4=#REF!),BDI!#REF!,IF(AND(#REF!="Diferenciado",$H$4=#REF!),BDI!$E$17,IF(AND(#REF!="Diferenciado",$H$4=#REF!),BDI!#REF!,IF(#REF!="ZERO",0))))),"")</f>
        <v>#REF!</v>
      </c>
      <c r="H715" s="127" t="e">
        <f t="shared" ca="1" si="34"/>
        <v>#REF!</v>
      </c>
      <c r="I715" s="125" t="e">
        <f t="shared" ca="1" si="35"/>
        <v>#REF!</v>
      </c>
    </row>
    <row r="716" spans="1:9" hidden="1" x14ac:dyDescent="0.25">
      <c r="A716" s="103" t="s">
        <v>787</v>
      </c>
      <c r="B716" s="104" t="s">
        <v>2466</v>
      </c>
      <c r="C716" s="105" t="s">
        <v>2463</v>
      </c>
      <c r="D716" s="105">
        <v>0</v>
      </c>
      <c r="E716" s="124">
        <f ca="1">OFFSET(INDEX(Composições!A:J,MATCH(Orçamentária!A716,Composições!A:A,0),8),2,0)</f>
        <v>2040.8677974</v>
      </c>
      <c r="F716" s="125">
        <f t="shared" ca="1" si="33"/>
        <v>0</v>
      </c>
      <c r="G716" s="126" t="e">
        <f>IF(A716&lt;&gt;"",IF(AND(#REF!="Padrão",$H$4=#REF!),BDI!$B$17,IF(AND(#REF!="Padrão",$H$4=#REF!),BDI!#REF!,IF(AND(#REF!="Diferenciado",$H$4=#REF!),BDI!$E$17,IF(AND(#REF!="Diferenciado",$H$4=#REF!),BDI!#REF!,IF(#REF!="ZERO",0))))),"")</f>
        <v>#REF!</v>
      </c>
      <c r="H716" s="127" t="e">
        <f t="shared" ca="1" si="34"/>
        <v>#REF!</v>
      </c>
      <c r="I716" s="125" t="e">
        <f t="shared" ca="1" si="35"/>
        <v>#REF!</v>
      </c>
    </row>
    <row r="717" spans="1:9" hidden="1" x14ac:dyDescent="0.25">
      <c r="A717" s="103" t="s">
        <v>789</v>
      </c>
      <c r="B717" s="104" t="s">
        <v>2467</v>
      </c>
      <c r="C717" s="105" t="s">
        <v>2463</v>
      </c>
      <c r="D717" s="105">
        <v>0</v>
      </c>
      <c r="E717" s="124">
        <f ca="1">OFFSET(INDEX(Composições!A:J,MATCH(Orçamentária!A717,Composições!A:A,0),8),2,0)</f>
        <v>2050.8135468999999</v>
      </c>
      <c r="F717" s="125">
        <f t="shared" ca="1" si="33"/>
        <v>0</v>
      </c>
      <c r="G717" s="126" t="e">
        <f>IF(A717&lt;&gt;"",IF(AND(#REF!="Padrão",$H$4=#REF!),BDI!$B$17,IF(AND(#REF!="Padrão",$H$4=#REF!),BDI!#REF!,IF(AND(#REF!="Diferenciado",$H$4=#REF!),BDI!$E$17,IF(AND(#REF!="Diferenciado",$H$4=#REF!),BDI!#REF!,IF(#REF!="ZERO",0))))),"")</f>
        <v>#REF!</v>
      </c>
      <c r="H717" s="127" t="e">
        <f t="shared" ca="1" si="34"/>
        <v>#REF!</v>
      </c>
      <c r="I717" s="125" t="e">
        <f t="shared" ca="1" si="35"/>
        <v>#REF!</v>
      </c>
    </row>
    <row r="718" spans="1:9" hidden="1" x14ac:dyDescent="0.25">
      <c r="A718" s="103" t="s">
        <v>791</v>
      </c>
      <c r="B718" s="104" t="s">
        <v>2468</v>
      </c>
      <c r="C718" s="105" t="s">
        <v>2463</v>
      </c>
      <c r="D718" s="105">
        <v>0</v>
      </c>
      <c r="E718" s="124">
        <f ca="1">OFFSET(INDEX(Composições!A:J,MATCH(Orçamentária!A718,Composições!A:A,0),8),2,0)</f>
        <v>2442.6760771999998</v>
      </c>
      <c r="F718" s="125">
        <f t="shared" ca="1" si="33"/>
        <v>0</v>
      </c>
      <c r="G718" s="126" t="e">
        <f>IF(A718&lt;&gt;"",IF(AND(#REF!="Padrão",$H$4=#REF!),BDI!$B$17,IF(AND(#REF!="Padrão",$H$4=#REF!),BDI!#REF!,IF(AND(#REF!="Diferenciado",$H$4=#REF!),BDI!$E$17,IF(AND(#REF!="Diferenciado",$H$4=#REF!),BDI!#REF!,IF(#REF!="ZERO",0))))),"")</f>
        <v>#REF!</v>
      </c>
      <c r="H718" s="127" t="e">
        <f t="shared" ca="1" si="34"/>
        <v>#REF!</v>
      </c>
      <c r="I718" s="125" t="e">
        <f t="shared" ca="1" si="35"/>
        <v>#REF!</v>
      </c>
    </row>
    <row r="719" spans="1:9" hidden="1" x14ac:dyDescent="0.25">
      <c r="A719" s="103" t="s">
        <v>792</v>
      </c>
      <c r="B719" s="104" t="s">
        <v>2469</v>
      </c>
      <c r="C719" s="105" t="s">
        <v>2463</v>
      </c>
      <c r="D719" s="105">
        <v>0</v>
      </c>
      <c r="E719" s="124">
        <f ca="1">OFFSET(INDEX(Composições!A:J,MATCH(Orçamentária!A719,Composições!A:A,0),8),2,0)</f>
        <v>2442.6760771999998</v>
      </c>
      <c r="F719" s="125">
        <f t="shared" ca="1" si="33"/>
        <v>0</v>
      </c>
      <c r="G719" s="126" t="e">
        <f>IF(A719&lt;&gt;"",IF(AND(#REF!="Padrão",$H$4=#REF!),BDI!$B$17,IF(AND(#REF!="Padrão",$H$4=#REF!),BDI!#REF!,IF(AND(#REF!="Diferenciado",$H$4=#REF!),BDI!$E$17,IF(AND(#REF!="Diferenciado",$H$4=#REF!),BDI!#REF!,IF(#REF!="ZERO",0))))),"")</f>
        <v>#REF!</v>
      </c>
      <c r="H719" s="127" t="e">
        <f t="shared" ca="1" si="34"/>
        <v>#REF!</v>
      </c>
      <c r="I719" s="125" t="e">
        <f t="shared" ca="1" si="35"/>
        <v>#REF!</v>
      </c>
    </row>
    <row r="720" spans="1:9" hidden="1" x14ac:dyDescent="0.25">
      <c r="A720" s="103" t="s">
        <v>793</v>
      </c>
      <c r="B720" s="104" t="s">
        <v>2470</v>
      </c>
      <c r="C720" s="105" t="s">
        <v>2463</v>
      </c>
      <c r="D720" s="105">
        <v>0</v>
      </c>
      <c r="E720" s="124">
        <f ca="1">OFFSET(INDEX(Composições!A:J,MATCH(Orçamentária!A720,Composições!A:A,0),8),2,0)</f>
        <v>2590.8677447499999</v>
      </c>
      <c r="F720" s="125">
        <f t="shared" ca="1" si="33"/>
        <v>0</v>
      </c>
      <c r="G720" s="126" t="e">
        <f>IF(A720&lt;&gt;"",IF(AND(#REF!="Padrão",$H$4=#REF!),BDI!$B$17,IF(AND(#REF!="Padrão",$H$4=#REF!),BDI!#REF!,IF(AND(#REF!="Diferenciado",$H$4=#REF!),BDI!$E$17,IF(AND(#REF!="Diferenciado",$H$4=#REF!),BDI!#REF!,IF(#REF!="ZERO",0))))),"")</f>
        <v>#REF!</v>
      </c>
      <c r="H720" s="127" t="e">
        <f t="shared" ca="1" si="34"/>
        <v>#REF!</v>
      </c>
      <c r="I720" s="125" t="e">
        <f t="shared" ca="1" si="35"/>
        <v>#REF!</v>
      </c>
    </row>
    <row r="721" spans="1:9" hidden="1" x14ac:dyDescent="0.25">
      <c r="A721" s="103" t="s">
        <v>794</v>
      </c>
      <c r="B721" s="104" t="s">
        <v>2471</v>
      </c>
      <c r="C721" s="105" t="s">
        <v>2463</v>
      </c>
      <c r="D721" s="105">
        <v>0</v>
      </c>
      <c r="E721" s="124">
        <f ca="1">OFFSET(INDEX(Composições!A:J,MATCH(Orçamentária!A721,Composições!A:A,0),8),2,0)</f>
        <v>4344.3033815999997</v>
      </c>
      <c r="F721" s="125">
        <f t="shared" ca="1" si="33"/>
        <v>0</v>
      </c>
      <c r="G721" s="126" t="e">
        <f>IF(A721&lt;&gt;"",IF(AND(#REF!="Padrão",$H$4=#REF!),BDI!$B$17,IF(AND(#REF!="Padrão",$H$4=#REF!),BDI!#REF!,IF(AND(#REF!="Diferenciado",$H$4=#REF!),BDI!$E$17,IF(AND(#REF!="Diferenciado",$H$4=#REF!),BDI!#REF!,IF(#REF!="ZERO",0))))),"")</f>
        <v>#REF!</v>
      </c>
      <c r="H721" s="127" t="e">
        <f t="shared" ca="1" si="34"/>
        <v>#REF!</v>
      </c>
      <c r="I721" s="125" t="e">
        <f t="shared" ca="1" si="35"/>
        <v>#REF!</v>
      </c>
    </row>
    <row r="722" spans="1:9" hidden="1" x14ac:dyDescent="0.25">
      <c r="A722" s="103" t="s">
        <v>795</v>
      </c>
      <c r="B722" s="104" t="s">
        <v>2472</v>
      </c>
      <c r="C722" s="105" t="s">
        <v>2463</v>
      </c>
      <c r="D722" s="105">
        <v>0</v>
      </c>
      <c r="E722" s="124">
        <f ca="1">OFFSET(INDEX(Composições!A:J,MATCH(Orçamentária!A722,Composições!A:A,0),8),2,0)</f>
        <v>2605.7863689999995</v>
      </c>
      <c r="F722" s="125">
        <f t="shared" ca="1" si="33"/>
        <v>0</v>
      </c>
      <c r="G722" s="126" t="e">
        <f>IF(A722&lt;&gt;"",IF(AND(#REF!="Padrão",$H$4=#REF!),BDI!$B$17,IF(AND(#REF!="Padrão",$H$4=#REF!),BDI!#REF!,IF(AND(#REF!="Diferenciado",$H$4=#REF!),BDI!$E$17,IF(AND(#REF!="Diferenciado",$H$4=#REF!),BDI!#REF!,IF(#REF!="ZERO",0))))),"")</f>
        <v>#REF!</v>
      </c>
      <c r="H722" s="127" t="e">
        <f t="shared" ca="1" si="34"/>
        <v>#REF!</v>
      </c>
      <c r="I722" s="125" t="e">
        <f t="shared" ca="1" si="35"/>
        <v>#REF!</v>
      </c>
    </row>
    <row r="723" spans="1:9" hidden="1" x14ac:dyDescent="0.25">
      <c r="A723" s="103" t="s">
        <v>2473</v>
      </c>
      <c r="B723" s="104" t="s">
        <v>2474</v>
      </c>
      <c r="C723" s="105" t="s">
        <v>20</v>
      </c>
      <c r="D723" s="105">
        <v>0</v>
      </c>
      <c r="E723" s="124">
        <f ca="1">OFFSET(INDEX(Composições!A:J,MATCH(Orçamentária!A723,Composições!A:A,0),8),2,0)</f>
        <v>43.699999999999996</v>
      </c>
      <c r="F723" s="125">
        <f t="shared" ca="1" si="33"/>
        <v>0</v>
      </c>
      <c r="G723" s="126" t="e">
        <f>IF(A723&lt;&gt;"",IF(AND(#REF!="Padrão",$H$4=#REF!),BDI!$B$17,IF(AND(#REF!="Padrão",$H$4=#REF!),BDI!#REF!,IF(AND(#REF!="Diferenciado",$H$4=#REF!),BDI!$E$17,IF(AND(#REF!="Diferenciado",$H$4=#REF!),BDI!#REF!,IF(#REF!="ZERO",0))))),"")</f>
        <v>#REF!</v>
      </c>
      <c r="H723" s="127" t="e">
        <f t="shared" ca="1" si="34"/>
        <v>#REF!</v>
      </c>
      <c r="I723" s="125" t="e">
        <f t="shared" ca="1" si="35"/>
        <v>#REF!</v>
      </c>
    </row>
    <row r="724" spans="1:9" hidden="1" x14ac:dyDescent="0.25">
      <c r="A724" s="103" t="s">
        <v>2475</v>
      </c>
      <c r="B724" s="104" t="s">
        <v>2476</v>
      </c>
      <c r="C724" s="105" t="s">
        <v>20</v>
      </c>
      <c r="D724" s="105">
        <v>0</v>
      </c>
      <c r="E724" s="124" t="s">
        <v>523</v>
      </c>
      <c r="F724" s="125" t="str">
        <f t="shared" si="33"/>
        <v/>
      </c>
      <c r="G724" s="126" t="e">
        <f>IF(A724&lt;&gt;"",IF(AND(#REF!="Padrão",$H$4=#REF!),BDI!$B$17,IF(AND(#REF!="Padrão",$H$4=#REF!),BDI!#REF!,IF(AND(#REF!="Diferenciado",$H$4=#REF!),BDI!$E$17,IF(AND(#REF!="Diferenciado",$H$4=#REF!),BDI!#REF!,IF(#REF!="ZERO",0))))),"")</f>
        <v>#REF!</v>
      </c>
      <c r="H724" s="127" t="str">
        <f t="shared" si="34"/>
        <v/>
      </c>
      <c r="I724" s="125" t="str">
        <f t="shared" si="35"/>
        <v/>
      </c>
    </row>
    <row r="725" spans="1:9" hidden="1" x14ac:dyDescent="0.25">
      <c r="A725" s="103" t="s">
        <v>2477</v>
      </c>
      <c r="B725" s="104" t="s">
        <v>2478</v>
      </c>
      <c r="C725" s="105" t="s">
        <v>20</v>
      </c>
      <c r="D725" s="105">
        <v>0</v>
      </c>
      <c r="E725" s="124" t="s">
        <v>523</v>
      </c>
      <c r="F725" s="125" t="str">
        <f t="shared" si="33"/>
        <v/>
      </c>
      <c r="G725" s="126" t="e">
        <f>IF(A725&lt;&gt;"",IF(AND(#REF!="Padrão",$H$4=#REF!),BDI!$B$17,IF(AND(#REF!="Padrão",$H$4=#REF!),BDI!#REF!,IF(AND(#REF!="Diferenciado",$H$4=#REF!),BDI!$E$17,IF(AND(#REF!="Diferenciado",$H$4=#REF!),BDI!#REF!,IF(#REF!="ZERO",0))))),"")</f>
        <v>#REF!</v>
      </c>
      <c r="H725" s="127" t="str">
        <f t="shared" si="34"/>
        <v/>
      </c>
      <c r="I725" s="125" t="str">
        <f t="shared" si="35"/>
        <v/>
      </c>
    </row>
    <row r="726" spans="1:9" hidden="1" x14ac:dyDescent="0.25">
      <c r="A726" s="103" t="s">
        <v>2479</v>
      </c>
      <c r="B726" s="104" t="s">
        <v>3397</v>
      </c>
      <c r="C726" s="105" t="s">
        <v>20</v>
      </c>
      <c r="D726" s="105">
        <v>0</v>
      </c>
      <c r="E726" s="124" t="s">
        <v>523</v>
      </c>
      <c r="F726" s="125" t="str">
        <f t="shared" si="33"/>
        <v/>
      </c>
      <c r="G726" s="126" t="e">
        <f>IF(A726&lt;&gt;"",IF(AND(#REF!="Padrão",$H$4=#REF!),BDI!$B$17,IF(AND(#REF!="Padrão",$H$4=#REF!),BDI!#REF!,IF(AND(#REF!="Diferenciado",$H$4=#REF!),BDI!$E$17,IF(AND(#REF!="Diferenciado",$H$4=#REF!),BDI!#REF!,IF(#REF!="ZERO",0))))),"")</f>
        <v>#REF!</v>
      </c>
      <c r="H726" s="127" t="str">
        <f t="shared" si="34"/>
        <v/>
      </c>
      <c r="I726" s="125" t="str">
        <f t="shared" si="35"/>
        <v/>
      </c>
    </row>
    <row r="727" spans="1:9" hidden="1" x14ac:dyDescent="0.25">
      <c r="A727" s="103" t="s">
        <v>2480</v>
      </c>
      <c r="B727" s="104" t="s">
        <v>2481</v>
      </c>
      <c r="C727" s="105" t="s">
        <v>20</v>
      </c>
      <c r="D727" s="105">
        <v>0</v>
      </c>
      <c r="E727" s="124" t="s">
        <v>523</v>
      </c>
      <c r="F727" s="125" t="str">
        <f t="shared" si="33"/>
        <v/>
      </c>
      <c r="G727" s="126" t="e">
        <f>IF(A727&lt;&gt;"",IF(AND(#REF!="Padrão",$H$4=#REF!),BDI!$B$17,IF(AND(#REF!="Padrão",$H$4=#REF!),BDI!#REF!,IF(AND(#REF!="Diferenciado",$H$4=#REF!),BDI!$E$17,IF(AND(#REF!="Diferenciado",$H$4=#REF!),BDI!#REF!,IF(#REF!="ZERO",0))))),"")</f>
        <v>#REF!</v>
      </c>
      <c r="H727" s="127" t="str">
        <f t="shared" si="34"/>
        <v/>
      </c>
      <c r="I727" s="125" t="str">
        <f t="shared" si="35"/>
        <v/>
      </c>
    </row>
    <row r="728" spans="1:9" hidden="1" x14ac:dyDescent="0.25">
      <c r="A728" s="103" t="s">
        <v>2482</v>
      </c>
      <c r="B728" s="104" t="s">
        <v>2483</v>
      </c>
      <c r="C728" s="105" t="s">
        <v>20</v>
      </c>
      <c r="D728" s="105">
        <v>0</v>
      </c>
      <c r="E728" s="124" t="s">
        <v>523</v>
      </c>
      <c r="F728" s="125" t="str">
        <f t="shared" si="33"/>
        <v/>
      </c>
      <c r="G728" s="126" t="e">
        <f>IF(A728&lt;&gt;"",IF(AND(#REF!="Padrão",$H$4=#REF!),BDI!$B$17,IF(AND(#REF!="Padrão",$H$4=#REF!),BDI!#REF!,IF(AND(#REF!="Diferenciado",$H$4=#REF!),BDI!$E$17,IF(AND(#REF!="Diferenciado",$H$4=#REF!),BDI!#REF!,IF(#REF!="ZERO",0))))),"")</f>
        <v>#REF!</v>
      </c>
      <c r="H728" s="127" t="str">
        <f t="shared" si="34"/>
        <v/>
      </c>
      <c r="I728" s="125" t="str">
        <f t="shared" si="35"/>
        <v/>
      </c>
    </row>
    <row r="729" spans="1:9" hidden="1" x14ac:dyDescent="0.25">
      <c r="A729" s="103" t="s">
        <v>2484</v>
      </c>
      <c r="B729" s="104" t="s">
        <v>2485</v>
      </c>
      <c r="C729" s="105" t="s">
        <v>20</v>
      </c>
      <c r="D729" s="105">
        <v>0</v>
      </c>
      <c r="E729" s="124" t="s">
        <v>523</v>
      </c>
      <c r="F729" s="125" t="str">
        <f t="shared" si="33"/>
        <v/>
      </c>
      <c r="G729" s="126" t="e">
        <f>IF(A729&lt;&gt;"",IF(AND(#REF!="Padrão",$H$4=#REF!),BDI!$B$17,IF(AND(#REF!="Padrão",$H$4=#REF!),BDI!#REF!,IF(AND(#REF!="Diferenciado",$H$4=#REF!),BDI!$E$17,IF(AND(#REF!="Diferenciado",$H$4=#REF!),BDI!#REF!,IF(#REF!="ZERO",0))))),"")</f>
        <v>#REF!</v>
      </c>
      <c r="H729" s="127" t="str">
        <f t="shared" si="34"/>
        <v/>
      </c>
      <c r="I729" s="125" t="str">
        <f t="shared" si="35"/>
        <v/>
      </c>
    </row>
    <row r="730" spans="1:9" hidden="1" x14ac:dyDescent="0.25">
      <c r="A730" s="103" t="s">
        <v>2486</v>
      </c>
      <c r="B730" s="104" t="s">
        <v>6296</v>
      </c>
      <c r="C730" s="105" t="s">
        <v>20</v>
      </c>
      <c r="D730" s="105">
        <v>0</v>
      </c>
      <c r="E730" s="124" t="s">
        <v>523</v>
      </c>
      <c r="F730" s="125" t="str">
        <f t="shared" si="33"/>
        <v/>
      </c>
      <c r="G730" s="126" t="e">
        <f>IF(A730&lt;&gt;"",IF(AND(#REF!="Padrão",$H$4=#REF!),BDI!$B$17,IF(AND(#REF!="Padrão",$H$4=#REF!),BDI!#REF!,IF(AND(#REF!="Diferenciado",$H$4=#REF!),BDI!$E$17,IF(AND(#REF!="Diferenciado",$H$4=#REF!),BDI!#REF!,IF(#REF!="ZERO",0))))),"")</f>
        <v>#REF!</v>
      </c>
      <c r="H730" s="127" t="str">
        <f t="shared" si="34"/>
        <v/>
      </c>
      <c r="I730" s="125" t="str">
        <f t="shared" si="35"/>
        <v/>
      </c>
    </row>
    <row r="731" spans="1:9" hidden="1" x14ac:dyDescent="0.25">
      <c r="A731" s="103" t="s">
        <v>2487</v>
      </c>
      <c r="B731" s="104" t="s">
        <v>2488</v>
      </c>
      <c r="C731" s="105" t="s">
        <v>20</v>
      </c>
      <c r="D731" s="105">
        <v>0</v>
      </c>
      <c r="E731" s="124" t="s">
        <v>523</v>
      </c>
      <c r="F731" s="125" t="str">
        <f t="shared" si="33"/>
        <v/>
      </c>
      <c r="G731" s="126" t="e">
        <f>IF(A731&lt;&gt;"",IF(AND(#REF!="Padrão",$H$4=#REF!),BDI!$B$17,IF(AND(#REF!="Padrão",$H$4=#REF!),BDI!#REF!,IF(AND(#REF!="Diferenciado",$H$4=#REF!),BDI!$E$17,IF(AND(#REF!="Diferenciado",$H$4=#REF!),BDI!#REF!,IF(#REF!="ZERO",0))))),"")</f>
        <v>#REF!</v>
      </c>
      <c r="H731" s="127" t="str">
        <f t="shared" si="34"/>
        <v/>
      </c>
      <c r="I731" s="125" t="str">
        <f t="shared" si="35"/>
        <v/>
      </c>
    </row>
    <row r="732" spans="1:9" hidden="1" x14ac:dyDescent="0.25">
      <c r="A732" s="103" t="s">
        <v>2489</v>
      </c>
      <c r="B732" s="104" t="s">
        <v>2490</v>
      </c>
      <c r="C732" s="105" t="s">
        <v>20</v>
      </c>
      <c r="D732" s="105">
        <v>0</v>
      </c>
      <c r="E732" s="124" t="s">
        <v>523</v>
      </c>
      <c r="F732" s="125" t="str">
        <f t="shared" si="33"/>
        <v/>
      </c>
      <c r="G732" s="126" t="e">
        <f>IF(A732&lt;&gt;"",IF(AND(#REF!="Padrão",$H$4=#REF!),BDI!$B$17,IF(AND(#REF!="Padrão",$H$4=#REF!),BDI!#REF!,IF(AND(#REF!="Diferenciado",$H$4=#REF!),BDI!$E$17,IF(AND(#REF!="Diferenciado",$H$4=#REF!),BDI!#REF!,IF(#REF!="ZERO",0))))),"")</f>
        <v>#REF!</v>
      </c>
      <c r="H732" s="127" t="str">
        <f t="shared" si="34"/>
        <v/>
      </c>
      <c r="I732" s="125" t="str">
        <f t="shared" si="35"/>
        <v/>
      </c>
    </row>
    <row r="733" spans="1:9" hidden="1" x14ac:dyDescent="0.25">
      <c r="A733" s="103" t="s">
        <v>2491</v>
      </c>
      <c r="B733" s="104" t="s">
        <v>2492</v>
      </c>
      <c r="C733" s="105" t="s">
        <v>20</v>
      </c>
      <c r="D733" s="105">
        <v>0</v>
      </c>
      <c r="E733" s="124">
        <f ca="1">OFFSET(INDEX(Composições!A:J,MATCH(Orçamentária!A733,Composições!A:A,0),8),2,0)</f>
        <v>227.95249999999999</v>
      </c>
      <c r="F733" s="125">
        <f t="shared" ca="1" si="33"/>
        <v>0</v>
      </c>
      <c r="G733" s="126" t="e">
        <f>IF(A733&lt;&gt;"",IF(AND(#REF!="Padrão",$H$4=#REF!),BDI!$B$17,IF(AND(#REF!="Padrão",$H$4=#REF!),BDI!#REF!,IF(AND(#REF!="Diferenciado",$H$4=#REF!),BDI!$E$17,IF(AND(#REF!="Diferenciado",$H$4=#REF!),BDI!#REF!,IF(#REF!="ZERO",0))))),"")</f>
        <v>#REF!</v>
      </c>
      <c r="H733" s="127" t="e">
        <f t="shared" ca="1" si="34"/>
        <v>#REF!</v>
      </c>
      <c r="I733" s="125" t="e">
        <f t="shared" ca="1" si="35"/>
        <v>#REF!</v>
      </c>
    </row>
    <row r="734" spans="1:9" hidden="1" x14ac:dyDescent="0.25">
      <c r="A734" s="103" t="s">
        <v>2493</v>
      </c>
      <c r="B734" s="104" t="s">
        <v>2494</v>
      </c>
      <c r="C734" s="105" t="s">
        <v>20</v>
      </c>
      <c r="D734" s="105">
        <v>0</v>
      </c>
      <c r="E734" s="124" t="s">
        <v>523</v>
      </c>
      <c r="F734" s="125" t="str">
        <f t="shared" si="33"/>
        <v/>
      </c>
      <c r="G734" s="126" t="e">
        <f>IF(A734&lt;&gt;"",IF(AND(#REF!="Padrão",$H$4=#REF!),BDI!$B$17,IF(AND(#REF!="Padrão",$H$4=#REF!),BDI!#REF!,IF(AND(#REF!="Diferenciado",$H$4=#REF!),BDI!$E$17,IF(AND(#REF!="Diferenciado",$H$4=#REF!),BDI!#REF!,IF(#REF!="ZERO",0))))),"")</f>
        <v>#REF!</v>
      </c>
      <c r="H734" s="127" t="str">
        <f t="shared" si="34"/>
        <v/>
      </c>
      <c r="I734" s="125" t="str">
        <f t="shared" si="35"/>
        <v/>
      </c>
    </row>
    <row r="735" spans="1:9" hidden="1" x14ac:dyDescent="0.25">
      <c r="A735" s="103" t="s">
        <v>2495</v>
      </c>
      <c r="B735" s="104" t="s">
        <v>2496</v>
      </c>
      <c r="C735" s="105" t="s">
        <v>20</v>
      </c>
      <c r="D735" s="105">
        <v>0</v>
      </c>
      <c r="E735" s="124" t="s">
        <v>523</v>
      </c>
      <c r="F735" s="125" t="str">
        <f t="shared" si="33"/>
        <v/>
      </c>
      <c r="G735" s="126" t="e">
        <f>IF(A735&lt;&gt;"",IF(AND(#REF!="Padrão",$H$4=#REF!),BDI!$B$17,IF(AND(#REF!="Padrão",$H$4=#REF!),BDI!#REF!,IF(AND(#REF!="Diferenciado",$H$4=#REF!),BDI!$E$17,IF(AND(#REF!="Diferenciado",$H$4=#REF!),BDI!#REF!,IF(#REF!="ZERO",0))))),"")</f>
        <v>#REF!</v>
      </c>
      <c r="H735" s="127" t="str">
        <f t="shared" si="34"/>
        <v/>
      </c>
      <c r="I735" s="125" t="str">
        <f t="shared" si="35"/>
        <v/>
      </c>
    </row>
    <row r="736" spans="1:9" hidden="1" x14ac:dyDescent="0.25">
      <c r="A736" s="103" t="s">
        <v>2497</v>
      </c>
      <c r="B736" s="104" t="s">
        <v>6297</v>
      </c>
      <c r="C736" s="105" t="s">
        <v>20</v>
      </c>
      <c r="D736" s="105">
        <v>0</v>
      </c>
      <c r="E736" s="124" t="s">
        <v>523</v>
      </c>
      <c r="F736" s="125" t="str">
        <f t="shared" si="33"/>
        <v/>
      </c>
      <c r="G736" s="126" t="e">
        <f>IF(A736&lt;&gt;"",IF(AND(#REF!="Padrão",$H$4=#REF!),BDI!$B$17,IF(AND(#REF!="Padrão",$H$4=#REF!),BDI!#REF!,IF(AND(#REF!="Diferenciado",$H$4=#REF!),BDI!$E$17,IF(AND(#REF!="Diferenciado",$H$4=#REF!),BDI!#REF!,IF(#REF!="ZERO",0))))),"")</f>
        <v>#REF!</v>
      </c>
      <c r="H736" s="127" t="str">
        <f t="shared" si="34"/>
        <v/>
      </c>
      <c r="I736" s="125" t="str">
        <f t="shared" si="35"/>
        <v/>
      </c>
    </row>
    <row r="737" spans="1:9" hidden="1" x14ac:dyDescent="0.25">
      <c r="A737" s="103" t="s">
        <v>2498</v>
      </c>
      <c r="B737" s="104" t="s">
        <v>2499</v>
      </c>
      <c r="C737" s="105" t="s">
        <v>20</v>
      </c>
      <c r="D737" s="105">
        <v>0</v>
      </c>
      <c r="E737" s="124" t="s">
        <v>523</v>
      </c>
      <c r="F737" s="125" t="str">
        <f t="shared" si="33"/>
        <v/>
      </c>
      <c r="G737" s="126" t="e">
        <f>IF(A737&lt;&gt;"",IF(AND(#REF!="Padrão",$H$4=#REF!),BDI!$B$17,IF(AND(#REF!="Padrão",$H$4=#REF!),BDI!#REF!,IF(AND(#REF!="Diferenciado",$H$4=#REF!),BDI!$E$17,IF(AND(#REF!="Diferenciado",$H$4=#REF!),BDI!#REF!,IF(#REF!="ZERO",0))))),"")</f>
        <v>#REF!</v>
      </c>
      <c r="H737" s="127" t="str">
        <f t="shared" si="34"/>
        <v/>
      </c>
      <c r="I737" s="125" t="str">
        <f t="shared" si="35"/>
        <v/>
      </c>
    </row>
    <row r="738" spans="1:9" hidden="1" x14ac:dyDescent="0.25">
      <c r="A738" s="103" t="s">
        <v>2500</v>
      </c>
      <c r="B738" s="104" t="s">
        <v>2501</v>
      </c>
      <c r="C738" s="105" t="s">
        <v>20</v>
      </c>
      <c r="D738" s="105">
        <v>0</v>
      </c>
      <c r="E738" s="124" t="s">
        <v>523</v>
      </c>
      <c r="F738" s="125" t="str">
        <f t="shared" si="33"/>
        <v/>
      </c>
      <c r="G738" s="126" t="e">
        <f>IF(A738&lt;&gt;"",IF(AND(#REF!="Padrão",$H$4=#REF!),BDI!$B$17,IF(AND(#REF!="Padrão",$H$4=#REF!),BDI!#REF!,IF(AND(#REF!="Diferenciado",$H$4=#REF!),BDI!$E$17,IF(AND(#REF!="Diferenciado",$H$4=#REF!),BDI!#REF!,IF(#REF!="ZERO",0))))),"")</f>
        <v>#REF!</v>
      </c>
      <c r="H738" s="127" t="str">
        <f t="shared" si="34"/>
        <v/>
      </c>
      <c r="I738" s="125" t="str">
        <f t="shared" si="35"/>
        <v/>
      </c>
    </row>
    <row r="739" spans="1:9" hidden="1" x14ac:dyDescent="0.25">
      <c r="A739" s="103" t="s">
        <v>2502</v>
      </c>
      <c r="B739" s="104" t="s">
        <v>2503</v>
      </c>
      <c r="C739" s="105" t="s">
        <v>20</v>
      </c>
      <c r="D739" s="105">
        <v>0</v>
      </c>
      <c r="E739" s="124" t="s">
        <v>523</v>
      </c>
      <c r="F739" s="125" t="str">
        <f t="shared" si="33"/>
        <v/>
      </c>
      <c r="G739" s="126" t="e">
        <f>IF(A739&lt;&gt;"",IF(AND(#REF!="Padrão",$H$4=#REF!),BDI!$B$17,IF(AND(#REF!="Padrão",$H$4=#REF!),BDI!#REF!,IF(AND(#REF!="Diferenciado",$H$4=#REF!),BDI!$E$17,IF(AND(#REF!="Diferenciado",$H$4=#REF!),BDI!#REF!,IF(#REF!="ZERO",0))))),"")</f>
        <v>#REF!</v>
      </c>
      <c r="H739" s="127" t="str">
        <f t="shared" si="34"/>
        <v/>
      </c>
      <c r="I739" s="125" t="str">
        <f t="shared" si="35"/>
        <v/>
      </c>
    </row>
    <row r="740" spans="1:9" hidden="1" x14ac:dyDescent="0.25">
      <c r="A740" s="103" t="s">
        <v>2504</v>
      </c>
      <c r="B740" s="104" t="s">
        <v>6364</v>
      </c>
      <c r="C740" s="105" t="s">
        <v>20</v>
      </c>
      <c r="D740" s="105">
        <v>0</v>
      </c>
      <c r="E740" s="124" t="s">
        <v>523</v>
      </c>
      <c r="F740" s="125" t="str">
        <f t="shared" si="33"/>
        <v/>
      </c>
      <c r="G740" s="126" t="e">
        <f>IF(A740&lt;&gt;"",IF(AND(#REF!="Padrão",$H$4=#REF!),BDI!$B$17,IF(AND(#REF!="Padrão",$H$4=#REF!),BDI!#REF!,IF(AND(#REF!="Diferenciado",$H$4=#REF!),BDI!$E$17,IF(AND(#REF!="Diferenciado",$H$4=#REF!),BDI!#REF!,IF(#REF!="ZERO",0))))),"")</f>
        <v>#REF!</v>
      </c>
      <c r="H740" s="127" t="str">
        <f t="shared" si="34"/>
        <v/>
      </c>
      <c r="I740" s="125" t="str">
        <f t="shared" si="35"/>
        <v/>
      </c>
    </row>
    <row r="741" spans="1:9" hidden="1" x14ac:dyDescent="0.25">
      <c r="A741" s="103" t="s">
        <v>2505</v>
      </c>
      <c r="B741" s="104" t="s">
        <v>2506</v>
      </c>
      <c r="C741" s="105" t="s">
        <v>20</v>
      </c>
      <c r="D741" s="105">
        <v>0</v>
      </c>
      <c r="E741" s="124" t="s">
        <v>523</v>
      </c>
      <c r="F741" s="125" t="str">
        <f t="shared" si="33"/>
        <v/>
      </c>
      <c r="G741" s="126" t="e">
        <f>IF(A741&lt;&gt;"",IF(AND(#REF!="Padrão",$H$4=#REF!),BDI!$B$17,IF(AND(#REF!="Padrão",$H$4=#REF!),BDI!#REF!,IF(AND(#REF!="Diferenciado",$H$4=#REF!),BDI!$E$17,IF(AND(#REF!="Diferenciado",$H$4=#REF!),BDI!#REF!,IF(#REF!="ZERO",0))))),"")</f>
        <v>#REF!</v>
      </c>
      <c r="H741" s="127" t="str">
        <f t="shared" si="34"/>
        <v/>
      </c>
      <c r="I741" s="125" t="str">
        <f t="shared" si="35"/>
        <v/>
      </c>
    </row>
    <row r="742" spans="1:9" hidden="1" x14ac:dyDescent="0.25">
      <c r="A742" s="103" t="s">
        <v>2507</v>
      </c>
      <c r="B742" s="104" t="s">
        <v>2508</v>
      </c>
      <c r="C742" s="105" t="s">
        <v>20</v>
      </c>
      <c r="D742" s="105">
        <v>0</v>
      </c>
      <c r="E742" s="124">
        <f ca="1">OFFSET(INDEX(Composições!A:J,MATCH(Orçamentária!A742,Composições!A:A,0),8),2,0)</f>
        <v>56.467999999999996</v>
      </c>
      <c r="F742" s="125">
        <f t="shared" ca="1" si="33"/>
        <v>0</v>
      </c>
      <c r="G742" s="126" t="e">
        <f>IF(A742&lt;&gt;"",IF(AND(#REF!="Padrão",$H$4=#REF!),BDI!$B$17,IF(AND(#REF!="Padrão",$H$4=#REF!),BDI!#REF!,IF(AND(#REF!="Diferenciado",$H$4=#REF!),BDI!$E$17,IF(AND(#REF!="Diferenciado",$H$4=#REF!),BDI!#REF!,IF(#REF!="ZERO",0))))),"")</f>
        <v>#REF!</v>
      </c>
      <c r="H742" s="127" t="e">
        <f t="shared" ca="1" si="34"/>
        <v>#REF!</v>
      </c>
      <c r="I742" s="125" t="e">
        <f t="shared" ca="1" si="35"/>
        <v>#REF!</v>
      </c>
    </row>
    <row r="743" spans="1:9" hidden="1" x14ac:dyDescent="0.25">
      <c r="A743" s="103" t="s">
        <v>2509</v>
      </c>
      <c r="B743" s="104" t="s">
        <v>6298</v>
      </c>
      <c r="C743" s="105" t="s">
        <v>20</v>
      </c>
      <c r="D743" s="105">
        <v>0</v>
      </c>
      <c r="E743" s="124" t="s">
        <v>523</v>
      </c>
      <c r="F743" s="125" t="str">
        <f t="shared" si="33"/>
        <v/>
      </c>
      <c r="G743" s="126" t="e">
        <f>IF(A743&lt;&gt;"",IF(AND(#REF!="Padrão",$H$4=#REF!),BDI!$B$17,IF(AND(#REF!="Padrão",$H$4=#REF!),BDI!#REF!,IF(AND(#REF!="Diferenciado",$H$4=#REF!),BDI!$E$17,IF(AND(#REF!="Diferenciado",$H$4=#REF!),BDI!#REF!,IF(#REF!="ZERO",0))))),"")</f>
        <v>#REF!</v>
      </c>
      <c r="H743" s="127" t="str">
        <f t="shared" si="34"/>
        <v/>
      </c>
      <c r="I743" s="125" t="str">
        <f t="shared" si="35"/>
        <v/>
      </c>
    </row>
    <row r="744" spans="1:9" hidden="1" x14ac:dyDescent="0.25">
      <c r="A744" s="103" t="s">
        <v>2510</v>
      </c>
      <c r="B744" s="104" t="s">
        <v>2511</v>
      </c>
      <c r="C744" s="105" t="s">
        <v>20</v>
      </c>
      <c r="D744" s="105">
        <v>0</v>
      </c>
      <c r="E744" s="124" t="s">
        <v>523</v>
      </c>
      <c r="F744" s="125" t="str">
        <f t="shared" si="33"/>
        <v/>
      </c>
      <c r="G744" s="126" t="e">
        <f>IF(A744&lt;&gt;"",IF(AND(#REF!="Padrão",$H$4=#REF!),BDI!$B$17,IF(AND(#REF!="Padrão",$H$4=#REF!),BDI!#REF!,IF(AND(#REF!="Diferenciado",$H$4=#REF!),BDI!$E$17,IF(AND(#REF!="Diferenciado",$H$4=#REF!),BDI!#REF!,IF(#REF!="ZERO",0))))),"")</f>
        <v>#REF!</v>
      </c>
      <c r="H744" s="127" t="str">
        <f t="shared" si="34"/>
        <v/>
      </c>
      <c r="I744" s="125" t="str">
        <f t="shared" si="35"/>
        <v/>
      </c>
    </row>
    <row r="745" spans="1:9" hidden="1" x14ac:dyDescent="0.25">
      <c r="A745" s="103" t="s">
        <v>2512</v>
      </c>
      <c r="B745" s="104" t="s">
        <v>2513</v>
      </c>
      <c r="C745" s="105" t="s">
        <v>20</v>
      </c>
      <c r="D745" s="105">
        <v>0</v>
      </c>
      <c r="E745" s="124" t="s">
        <v>523</v>
      </c>
      <c r="F745" s="125" t="str">
        <f t="shared" si="33"/>
        <v/>
      </c>
      <c r="G745" s="126" t="e">
        <f>IF(A745&lt;&gt;"",IF(AND(#REF!="Padrão",$H$4=#REF!),BDI!$B$17,IF(AND(#REF!="Padrão",$H$4=#REF!),BDI!#REF!,IF(AND(#REF!="Diferenciado",$H$4=#REF!),BDI!$E$17,IF(AND(#REF!="Diferenciado",$H$4=#REF!),BDI!#REF!,IF(#REF!="ZERO",0))))),"")</f>
        <v>#REF!</v>
      </c>
      <c r="H745" s="127" t="str">
        <f t="shared" si="34"/>
        <v/>
      </c>
      <c r="I745" s="125" t="str">
        <f t="shared" si="35"/>
        <v/>
      </c>
    </row>
    <row r="746" spans="1:9" hidden="1" x14ac:dyDescent="0.25">
      <c r="A746" s="103" t="s">
        <v>2514</v>
      </c>
      <c r="B746" s="104" t="s">
        <v>2515</v>
      </c>
      <c r="C746" s="105" t="s">
        <v>20</v>
      </c>
      <c r="D746" s="105">
        <v>0</v>
      </c>
      <c r="E746" s="124" t="s">
        <v>523</v>
      </c>
      <c r="F746" s="125" t="str">
        <f t="shared" si="33"/>
        <v/>
      </c>
      <c r="G746" s="126" t="e">
        <f>IF(A746&lt;&gt;"",IF(AND(#REF!="Padrão",$H$4=#REF!),BDI!$B$17,IF(AND(#REF!="Padrão",$H$4=#REF!),BDI!#REF!,IF(AND(#REF!="Diferenciado",$H$4=#REF!),BDI!$E$17,IF(AND(#REF!="Diferenciado",$H$4=#REF!),BDI!#REF!,IF(#REF!="ZERO",0))))),"")</f>
        <v>#REF!</v>
      </c>
      <c r="H746" s="127" t="str">
        <f t="shared" si="34"/>
        <v/>
      </c>
      <c r="I746" s="125" t="str">
        <f t="shared" si="35"/>
        <v/>
      </c>
    </row>
    <row r="747" spans="1:9" hidden="1" x14ac:dyDescent="0.25">
      <c r="A747" s="103" t="s">
        <v>2516</v>
      </c>
      <c r="B747" s="104" t="s">
        <v>2517</v>
      </c>
      <c r="C747" s="105" t="s">
        <v>20</v>
      </c>
      <c r="D747" s="105">
        <v>0</v>
      </c>
      <c r="E747" s="124" t="s">
        <v>523</v>
      </c>
      <c r="F747" s="125" t="str">
        <f t="shared" si="33"/>
        <v/>
      </c>
      <c r="G747" s="126" t="e">
        <f>IF(A747&lt;&gt;"",IF(AND(#REF!="Padrão",$H$4=#REF!),BDI!$B$17,IF(AND(#REF!="Padrão",$H$4=#REF!),BDI!#REF!,IF(AND(#REF!="Diferenciado",$H$4=#REF!),BDI!$E$17,IF(AND(#REF!="Diferenciado",$H$4=#REF!),BDI!#REF!,IF(#REF!="ZERO",0))))),"")</f>
        <v>#REF!</v>
      </c>
      <c r="H747" s="127" t="str">
        <f t="shared" si="34"/>
        <v/>
      </c>
      <c r="I747" s="125" t="str">
        <f t="shared" si="35"/>
        <v/>
      </c>
    </row>
    <row r="748" spans="1:9" hidden="1" x14ac:dyDescent="0.25">
      <c r="A748" s="103" t="s">
        <v>2518</v>
      </c>
      <c r="B748" s="104" t="s">
        <v>2519</v>
      </c>
      <c r="C748" s="105" t="s">
        <v>20</v>
      </c>
      <c r="D748" s="105">
        <v>0</v>
      </c>
      <c r="E748" s="124" t="s">
        <v>523</v>
      </c>
      <c r="F748" s="125" t="str">
        <f t="shared" si="33"/>
        <v/>
      </c>
      <c r="G748" s="126" t="e">
        <f>IF(A748&lt;&gt;"",IF(AND(#REF!="Padrão",$H$4=#REF!),BDI!$B$17,IF(AND(#REF!="Padrão",$H$4=#REF!),BDI!#REF!,IF(AND(#REF!="Diferenciado",$H$4=#REF!),BDI!$E$17,IF(AND(#REF!="Diferenciado",$H$4=#REF!),BDI!#REF!,IF(#REF!="ZERO",0))))),"")</f>
        <v>#REF!</v>
      </c>
      <c r="H748" s="127" t="str">
        <f t="shared" si="34"/>
        <v/>
      </c>
      <c r="I748" s="125" t="str">
        <f t="shared" si="35"/>
        <v/>
      </c>
    </row>
    <row r="749" spans="1:9" hidden="1" x14ac:dyDescent="0.25">
      <c r="A749" s="103" t="s">
        <v>2520</v>
      </c>
      <c r="B749" s="104" t="s">
        <v>2521</v>
      </c>
      <c r="C749" s="105" t="s">
        <v>20</v>
      </c>
      <c r="D749" s="105">
        <v>0</v>
      </c>
      <c r="E749" s="124" t="s">
        <v>523</v>
      </c>
      <c r="F749" s="125" t="str">
        <f t="shared" si="33"/>
        <v/>
      </c>
      <c r="G749" s="126" t="e">
        <f>IF(A749&lt;&gt;"",IF(AND(#REF!="Padrão",$H$4=#REF!),BDI!$B$17,IF(AND(#REF!="Padrão",$H$4=#REF!),BDI!#REF!,IF(AND(#REF!="Diferenciado",$H$4=#REF!),BDI!$E$17,IF(AND(#REF!="Diferenciado",$H$4=#REF!),BDI!#REF!,IF(#REF!="ZERO",0))))),"")</f>
        <v>#REF!</v>
      </c>
      <c r="H749" s="127" t="str">
        <f t="shared" si="34"/>
        <v/>
      </c>
      <c r="I749" s="125" t="str">
        <f t="shared" si="35"/>
        <v/>
      </c>
    </row>
    <row r="750" spans="1:9" hidden="1" x14ac:dyDescent="0.25">
      <c r="A750" s="103" t="s">
        <v>2522</v>
      </c>
      <c r="B750" s="104" t="s">
        <v>2523</v>
      </c>
      <c r="C750" s="105" t="s">
        <v>20</v>
      </c>
      <c r="D750" s="105">
        <v>0</v>
      </c>
      <c r="E750" s="124">
        <f ca="1">OFFSET(INDEX(Composições!A:J,MATCH(Orçamentária!A750,Composições!A:A,0),8),2,0)</f>
        <v>22.799999999999997</v>
      </c>
      <c r="F750" s="125">
        <f t="shared" ca="1" si="33"/>
        <v>0</v>
      </c>
      <c r="G750" s="126" t="e">
        <f>IF(A750&lt;&gt;"",IF(AND(#REF!="Padrão",$H$4=#REF!),BDI!$B$17,IF(AND(#REF!="Padrão",$H$4=#REF!),BDI!#REF!,IF(AND(#REF!="Diferenciado",$H$4=#REF!),BDI!$E$17,IF(AND(#REF!="Diferenciado",$H$4=#REF!),BDI!#REF!,IF(#REF!="ZERO",0))))),"")</f>
        <v>#REF!</v>
      </c>
      <c r="H750" s="127" t="e">
        <f t="shared" ca="1" si="34"/>
        <v>#REF!</v>
      </c>
      <c r="I750" s="125" t="e">
        <f t="shared" ca="1" si="35"/>
        <v>#REF!</v>
      </c>
    </row>
    <row r="751" spans="1:9" hidden="1" x14ac:dyDescent="0.25">
      <c r="A751" s="103" t="s">
        <v>2524</v>
      </c>
      <c r="B751" s="104" t="s">
        <v>6299</v>
      </c>
      <c r="C751" s="105" t="s">
        <v>20</v>
      </c>
      <c r="D751" s="105">
        <v>0</v>
      </c>
      <c r="E751" s="124">
        <f ca="1">OFFSET(INDEX(Composições!A:J,MATCH(Orçamentária!A751,Composições!A:A,0),8),2,0)</f>
        <v>36.232999999999997</v>
      </c>
      <c r="F751" s="125">
        <f t="shared" ca="1" si="33"/>
        <v>0</v>
      </c>
      <c r="G751" s="126" t="e">
        <f>IF(A751&lt;&gt;"",IF(AND(#REF!="Padrão",$H$4=#REF!),BDI!$B$17,IF(AND(#REF!="Padrão",$H$4=#REF!),BDI!#REF!,IF(AND(#REF!="Diferenciado",$H$4=#REF!),BDI!$E$17,IF(AND(#REF!="Diferenciado",$H$4=#REF!),BDI!#REF!,IF(#REF!="ZERO",0))))),"")</f>
        <v>#REF!</v>
      </c>
      <c r="H751" s="127" t="e">
        <f t="shared" ca="1" si="34"/>
        <v>#REF!</v>
      </c>
      <c r="I751" s="125" t="e">
        <f t="shared" ca="1" si="35"/>
        <v>#REF!</v>
      </c>
    </row>
    <row r="752" spans="1:9" hidden="1" x14ac:dyDescent="0.25">
      <c r="A752" s="103" t="s">
        <v>2525</v>
      </c>
      <c r="B752" s="104" t="s">
        <v>2526</v>
      </c>
      <c r="C752" s="105" t="s">
        <v>20</v>
      </c>
      <c r="D752" s="105">
        <v>0</v>
      </c>
      <c r="E752" s="124" t="s">
        <v>523</v>
      </c>
      <c r="F752" s="125" t="str">
        <f t="shared" si="33"/>
        <v/>
      </c>
      <c r="G752" s="126" t="e">
        <f>IF(A752&lt;&gt;"",IF(AND(#REF!="Padrão",$H$4=#REF!),BDI!$B$17,IF(AND(#REF!="Padrão",$H$4=#REF!),BDI!#REF!,IF(AND(#REF!="Diferenciado",$H$4=#REF!),BDI!$E$17,IF(AND(#REF!="Diferenciado",$H$4=#REF!),BDI!#REF!,IF(#REF!="ZERO",0))))),"")</f>
        <v>#REF!</v>
      </c>
      <c r="H752" s="127" t="str">
        <f t="shared" si="34"/>
        <v/>
      </c>
      <c r="I752" s="125" t="str">
        <f t="shared" si="35"/>
        <v/>
      </c>
    </row>
    <row r="753" spans="1:9" hidden="1" x14ac:dyDescent="0.25">
      <c r="A753" s="103" t="s">
        <v>2527</v>
      </c>
      <c r="B753" s="104" t="s">
        <v>2528</v>
      </c>
      <c r="C753" s="105" t="s">
        <v>20</v>
      </c>
      <c r="D753" s="105">
        <v>0</v>
      </c>
      <c r="E753" s="124" t="s">
        <v>523</v>
      </c>
      <c r="F753" s="125" t="str">
        <f t="shared" si="33"/>
        <v/>
      </c>
      <c r="G753" s="126" t="e">
        <f>IF(A753&lt;&gt;"",IF(AND(#REF!="Padrão",$H$4=#REF!),BDI!$B$17,IF(AND(#REF!="Padrão",$H$4=#REF!),BDI!#REF!,IF(AND(#REF!="Diferenciado",$H$4=#REF!),BDI!$E$17,IF(AND(#REF!="Diferenciado",$H$4=#REF!),BDI!#REF!,IF(#REF!="ZERO",0))))),"")</f>
        <v>#REF!</v>
      </c>
      <c r="H753" s="127" t="str">
        <f t="shared" si="34"/>
        <v/>
      </c>
      <c r="I753" s="125" t="str">
        <f t="shared" si="35"/>
        <v/>
      </c>
    </row>
    <row r="754" spans="1:9" hidden="1" x14ac:dyDescent="0.25">
      <c r="A754" s="103" t="s">
        <v>2529</v>
      </c>
      <c r="B754" s="104" t="s">
        <v>2530</v>
      </c>
      <c r="C754" s="105" t="s">
        <v>20</v>
      </c>
      <c r="D754" s="105">
        <v>0</v>
      </c>
      <c r="E754" s="124" t="s">
        <v>523</v>
      </c>
      <c r="F754" s="125" t="str">
        <f t="shared" si="33"/>
        <v/>
      </c>
      <c r="G754" s="126" t="e">
        <f>IF(A754&lt;&gt;"",IF(AND(#REF!="Padrão",$H$4=#REF!),BDI!$B$17,IF(AND(#REF!="Padrão",$H$4=#REF!),BDI!#REF!,IF(AND(#REF!="Diferenciado",$H$4=#REF!),BDI!$E$17,IF(AND(#REF!="Diferenciado",$H$4=#REF!),BDI!#REF!,IF(#REF!="ZERO",0))))),"")</f>
        <v>#REF!</v>
      </c>
      <c r="H754" s="127" t="str">
        <f t="shared" si="34"/>
        <v/>
      </c>
      <c r="I754" s="125" t="str">
        <f t="shared" si="35"/>
        <v/>
      </c>
    </row>
    <row r="755" spans="1:9" hidden="1" x14ac:dyDescent="0.25">
      <c r="A755" s="103" t="s">
        <v>2531</v>
      </c>
      <c r="B755" s="104" t="s">
        <v>2532</v>
      </c>
      <c r="C755" s="105" t="s">
        <v>20</v>
      </c>
      <c r="D755" s="105">
        <v>0</v>
      </c>
      <c r="E755" s="124" t="s">
        <v>523</v>
      </c>
      <c r="F755" s="125" t="str">
        <f t="shared" si="33"/>
        <v/>
      </c>
      <c r="G755" s="126" t="e">
        <f>IF(A755&lt;&gt;"",IF(AND(#REF!="Padrão",$H$4=#REF!),BDI!$B$17,IF(AND(#REF!="Padrão",$H$4=#REF!),BDI!#REF!,IF(AND(#REF!="Diferenciado",$H$4=#REF!),BDI!$E$17,IF(AND(#REF!="Diferenciado",$H$4=#REF!),BDI!#REF!,IF(#REF!="ZERO",0))))),"")</f>
        <v>#REF!</v>
      </c>
      <c r="H755" s="127" t="str">
        <f t="shared" si="34"/>
        <v/>
      </c>
      <c r="I755" s="125" t="str">
        <f t="shared" si="35"/>
        <v/>
      </c>
    </row>
    <row r="756" spans="1:9" hidden="1" x14ac:dyDescent="0.25">
      <c r="A756" s="103" t="s">
        <v>2533</v>
      </c>
      <c r="B756" s="104" t="s">
        <v>2534</v>
      </c>
      <c r="C756" s="105" t="s">
        <v>20</v>
      </c>
      <c r="D756" s="105">
        <v>0</v>
      </c>
      <c r="E756" s="124" t="s">
        <v>523</v>
      </c>
      <c r="F756" s="125" t="str">
        <f t="shared" si="33"/>
        <v/>
      </c>
      <c r="G756" s="126" t="e">
        <f>IF(A756&lt;&gt;"",IF(AND(#REF!="Padrão",$H$4=#REF!),BDI!$B$17,IF(AND(#REF!="Padrão",$H$4=#REF!),BDI!#REF!,IF(AND(#REF!="Diferenciado",$H$4=#REF!),BDI!$E$17,IF(AND(#REF!="Diferenciado",$H$4=#REF!),BDI!#REF!,IF(#REF!="ZERO",0))))),"")</f>
        <v>#REF!</v>
      </c>
      <c r="H756" s="127" t="str">
        <f t="shared" si="34"/>
        <v/>
      </c>
      <c r="I756" s="125" t="str">
        <f t="shared" si="35"/>
        <v/>
      </c>
    </row>
    <row r="757" spans="1:9" hidden="1" x14ac:dyDescent="0.25">
      <c r="A757" s="103" t="s">
        <v>2535</v>
      </c>
      <c r="B757" s="104" t="s">
        <v>2536</v>
      </c>
      <c r="C757" s="105" t="s">
        <v>20</v>
      </c>
      <c r="D757" s="105">
        <v>0</v>
      </c>
      <c r="E757" s="124" t="s">
        <v>523</v>
      </c>
      <c r="F757" s="125" t="str">
        <f t="shared" si="33"/>
        <v/>
      </c>
      <c r="G757" s="126" t="e">
        <f>IF(A757&lt;&gt;"",IF(AND(#REF!="Padrão",$H$4=#REF!),BDI!$B$17,IF(AND(#REF!="Padrão",$H$4=#REF!),BDI!#REF!,IF(AND(#REF!="Diferenciado",$H$4=#REF!),BDI!$E$17,IF(AND(#REF!="Diferenciado",$H$4=#REF!),BDI!#REF!,IF(#REF!="ZERO",0))))),"")</f>
        <v>#REF!</v>
      </c>
      <c r="H757" s="127" t="str">
        <f t="shared" si="34"/>
        <v/>
      </c>
      <c r="I757" s="125" t="str">
        <f t="shared" si="35"/>
        <v/>
      </c>
    </row>
    <row r="758" spans="1:9" hidden="1" x14ac:dyDescent="0.25">
      <c r="A758" s="103" t="s">
        <v>2537</v>
      </c>
      <c r="B758" s="104" t="s">
        <v>2538</v>
      </c>
      <c r="C758" s="105" t="s">
        <v>20</v>
      </c>
      <c r="D758" s="105">
        <v>0</v>
      </c>
      <c r="E758" s="124" t="s">
        <v>523</v>
      </c>
      <c r="F758" s="125" t="str">
        <f t="shared" si="33"/>
        <v/>
      </c>
      <c r="G758" s="126" t="e">
        <f>IF(A758&lt;&gt;"",IF(AND(#REF!="Padrão",$H$4=#REF!),BDI!$B$17,IF(AND(#REF!="Padrão",$H$4=#REF!),BDI!#REF!,IF(AND(#REF!="Diferenciado",$H$4=#REF!),BDI!$E$17,IF(AND(#REF!="Diferenciado",$H$4=#REF!),BDI!#REF!,IF(#REF!="ZERO",0))))),"")</f>
        <v>#REF!</v>
      </c>
      <c r="H758" s="127" t="str">
        <f t="shared" si="34"/>
        <v/>
      </c>
      <c r="I758" s="125" t="str">
        <f t="shared" si="35"/>
        <v/>
      </c>
    </row>
    <row r="759" spans="1:9" hidden="1" x14ac:dyDescent="0.25">
      <c r="A759" s="103" t="s">
        <v>2539</v>
      </c>
      <c r="B759" s="104" t="s">
        <v>2540</v>
      </c>
      <c r="C759" s="105" t="s">
        <v>20</v>
      </c>
      <c r="D759" s="105">
        <v>0</v>
      </c>
      <c r="E759" s="124" t="s">
        <v>523</v>
      </c>
      <c r="F759" s="125" t="str">
        <f t="shared" si="33"/>
        <v/>
      </c>
      <c r="G759" s="126" t="e">
        <f>IF(A759&lt;&gt;"",IF(AND(#REF!="Padrão",$H$4=#REF!),BDI!$B$17,IF(AND(#REF!="Padrão",$H$4=#REF!),BDI!#REF!,IF(AND(#REF!="Diferenciado",$H$4=#REF!),BDI!$E$17,IF(AND(#REF!="Diferenciado",$H$4=#REF!),BDI!#REF!,IF(#REF!="ZERO",0))))),"")</f>
        <v>#REF!</v>
      </c>
      <c r="H759" s="127" t="str">
        <f t="shared" si="34"/>
        <v/>
      </c>
      <c r="I759" s="125" t="str">
        <f t="shared" si="35"/>
        <v/>
      </c>
    </row>
    <row r="760" spans="1:9" hidden="1" x14ac:dyDescent="0.25">
      <c r="A760" s="103" t="s">
        <v>2541</v>
      </c>
      <c r="B760" s="104" t="s">
        <v>2542</v>
      </c>
      <c r="C760" s="105" t="s">
        <v>20</v>
      </c>
      <c r="D760" s="105">
        <v>0</v>
      </c>
      <c r="E760" s="124" t="s">
        <v>523</v>
      </c>
      <c r="F760" s="125" t="str">
        <f t="shared" si="33"/>
        <v/>
      </c>
      <c r="G760" s="126" t="e">
        <f>IF(A760&lt;&gt;"",IF(AND(#REF!="Padrão",$H$4=#REF!),BDI!$B$17,IF(AND(#REF!="Padrão",$H$4=#REF!),BDI!#REF!,IF(AND(#REF!="Diferenciado",$H$4=#REF!),BDI!$E$17,IF(AND(#REF!="Diferenciado",$H$4=#REF!),BDI!#REF!,IF(#REF!="ZERO",0))))),"")</f>
        <v>#REF!</v>
      </c>
      <c r="H760" s="127" t="str">
        <f t="shared" si="34"/>
        <v/>
      </c>
      <c r="I760" s="125" t="str">
        <f t="shared" si="35"/>
        <v/>
      </c>
    </row>
    <row r="761" spans="1:9" hidden="1" x14ac:dyDescent="0.25">
      <c r="A761" s="103" t="s">
        <v>2543</v>
      </c>
      <c r="B761" s="104" t="s">
        <v>2544</v>
      </c>
      <c r="C761" s="105" t="s">
        <v>20</v>
      </c>
      <c r="D761" s="105">
        <v>0</v>
      </c>
      <c r="E761" s="124" t="s">
        <v>523</v>
      </c>
      <c r="F761" s="125" t="str">
        <f t="shared" si="33"/>
        <v/>
      </c>
      <c r="G761" s="126" t="e">
        <f>IF(A761&lt;&gt;"",IF(AND(#REF!="Padrão",$H$4=#REF!),BDI!$B$17,IF(AND(#REF!="Padrão",$H$4=#REF!),BDI!#REF!,IF(AND(#REF!="Diferenciado",$H$4=#REF!),BDI!$E$17,IF(AND(#REF!="Diferenciado",$H$4=#REF!),BDI!#REF!,IF(#REF!="ZERO",0))))),"")</f>
        <v>#REF!</v>
      </c>
      <c r="H761" s="127" t="str">
        <f t="shared" si="34"/>
        <v/>
      </c>
      <c r="I761" s="125" t="str">
        <f t="shared" si="35"/>
        <v/>
      </c>
    </row>
    <row r="762" spans="1:9" hidden="1" x14ac:dyDescent="0.25">
      <c r="A762" s="103" t="s">
        <v>2545</v>
      </c>
      <c r="B762" s="104" t="s">
        <v>2546</v>
      </c>
      <c r="C762" s="105" t="s">
        <v>20</v>
      </c>
      <c r="D762" s="105">
        <v>0</v>
      </c>
      <c r="E762" s="124" t="s">
        <v>523</v>
      </c>
      <c r="F762" s="125" t="str">
        <f t="shared" si="33"/>
        <v/>
      </c>
      <c r="G762" s="126" t="e">
        <f>IF(A762&lt;&gt;"",IF(AND(#REF!="Padrão",$H$4=#REF!),BDI!$B$17,IF(AND(#REF!="Padrão",$H$4=#REF!),BDI!#REF!,IF(AND(#REF!="Diferenciado",$H$4=#REF!),BDI!$E$17,IF(AND(#REF!="Diferenciado",$H$4=#REF!),BDI!#REF!,IF(#REF!="ZERO",0))))),"")</f>
        <v>#REF!</v>
      </c>
      <c r="H762" s="127" t="str">
        <f t="shared" si="34"/>
        <v/>
      </c>
      <c r="I762" s="125" t="str">
        <f t="shared" si="35"/>
        <v/>
      </c>
    </row>
    <row r="763" spans="1:9" hidden="1" x14ac:dyDescent="0.25">
      <c r="A763" s="103" t="s">
        <v>2547</v>
      </c>
      <c r="B763" s="104" t="s">
        <v>2548</v>
      </c>
      <c r="C763" s="105" t="s">
        <v>20</v>
      </c>
      <c r="D763" s="105">
        <v>0</v>
      </c>
      <c r="E763" s="124" t="s">
        <v>523</v>
      </c>
      <c r="F763" s="125" t="str">
        <f t="shared" si="33"/>
        <v/>
      </c>
      <c r="G763" s="126" t="e">
        <f>IF(A763&lt;&gt;"",IF(AND(#REF!="Padrão",$H$4=#REF!),BDI!$B$17,IF(AND(#REF!="Padrão",$H$4=#REF!),BDI!#REF!,IF(AND(#REF!="Diferenciado",$H$4=#REF!),BDI!$E$17,IF(AND(#REF!="Diferenciado",$H$4=#REF!),BDI!#REF!,IF(#REF!="ZERO",0))))),"")</f>
        <v>#REF!</v>
      </c>
      <c r="H763" s="127" t="str">
        <f t="shared" si="34"/>
        <v/>
      </c>
      <c r="I763" s="125" t="str">
        <f t="shared" si="35"/>
        <v/>
      </c>
    </row>
    <row r="764" spans="1:9" hidden="1" x14ac:dyDescent="0.25">
      <c r="A764" s="103" t="s">
        <v>2549</v>
      </c>
      <c r="B764" s="104" t="s">
        <v>2550</v>
      </c>
      <c r="C764" s="105" t="s">
        <v>20</v>
      </c>
      <c r="D764" s="105">
        <v>0</v>
      </c>
      <c r="E764" s="124" t="s">
        <v>523</v>
      </c>
      <c r="F764" s="125" t="str">
        <f t="shared" si="33"/>
        <v/>
      </c>
      <c r="G764" s="126" t="e">
        <f>IF(A764&lt;&gt;"",IF(AND(#REF!="Padrão",$H$4=#REF!),BDI!$B$17,IF(AND(#REF!="Padrão",$H$4=#REF!),BDI!#REF!,IF(AND(#REF!="Diferenciado",$H$4=#REF!),BDI!$E$17,IF(AND(#REF!="Diferenciado",$H$4=#REF!),BDI!#REF!,IF(#REF!="ZERO",0))))),"")</f>
        <v>#REF!</v>
      </c>
      <c r="H764" s="127" t="str">
        <f t="shared" si="34"/>
        <v/>
      </c>
      <c r="I764" s="125" t="str">
        <f t="shared" si="35"/>
        <v/>
      </c>
    </row>
    <row r="765" spans="1:9" hidden="1" x14ac:dyDescent="0.25">
      <c r="A765" s="103" t="s">
        <v>2551</v>
      </c>
      <c r="B765" s="104" t="s">
        <v>6300</v>
      </c>
      <c r="C765" s="105" t="s">
        <v>20</v>
      </c>
      <c r="D765" s="105">
        <v>0</v>
      </c>
      <c r="E765" s="124" t="s">
        <v>523</v>
      </c>
      <c r="F765" s="125" t="str">
        <f t="shared" si="33"/>
        <v/>
      </c>
      <c r="G765" s="126" t="e">
        <f>IF(A765&lt;&gt;"",IF(AND(#REF!="Padrão",$H$4=#REF!),BDI!$B$17,IF(AND(#REF!="Padrão",$H$4=#REF!),BDI!#REF!,IF(AND(#REF!="Diferenciado",$H$4=#REF!),BDI!$E$17,IF(AND(#REF!="Diferenciado",$H$4=#REF!),BDI!#REF!,IF(#REF!="ZERO",0))))),"")</f>
        <v>#REF!</v>
      </c>
      <c r="H765" s="127" t="str">
        <f t="shared" si="34"/>
        <v/>
      </c>
      <c r="I765" s="125" t="str">
        <f t="shared" si="35"/>
        <v/>
      </c>
    </row>
    <row r="766" spans="1:9" hidden="1" x14ac:dyDescent="0.25">
      <c r="A766" s="103" t="s">
        <v>2552</v>
      </c>
      <c r="B766" s="104" t="s">
        <v>2553</v>
      </c>
      <c r="C766" s="105" t="s">
        <v>20</v>
      </c>
      <c r="D766" s="105">
        <v>0</v>
      </c>
      <c r="E766" s="124" t="s">
        <v>523</v>
      </c>
      <c r="F766" s="125" t="str">
        <f t="shared" si="33"/>
        <v/>
      </c>
      <c r="G766" s="126" t="e">
        <f>IF(A766&lt;&gt;"",IF(AND(#REF!="Padrão",$H$4=#REF!),BDI!$B$17,IF(AND(#REF!="Padrão",$H$4=#REF!),BDI!#REF!,IF(AND(#REF!="Diferenciado",$H$4=#REF!),BDI!$E$17,IF(AND(#REF!="Diferenciado",$H$4=#REF!),BDI!#REF!,IF(#REF!="ZERO",0))))),"")</f>
        <v>#REF!</v>
      </c>
      <c r="H766" s="127" t="str">
        <f t="shared" si="34"/>
        <v/>
      </c>
      <c r="I766" s="125" t="str">
        <f t="shared" si="35"/>
        <v/>
      </c>
    </row>
    <row r="767" spans="1:9" hidden="1" x14ac:dyDescent="0.25">
      <c r="A767" s="103" t="s">
        <v>2554</v>
      </c>
      <c r="B767" s="104" t="s">
        <v>2555</v>
      </c>
      <c r="C767" s="105" t="s">
        <v>20</v>
      </c>
      <c r="D767" s="105">
        <v>0</v>
      </c>
      <c r="E767" s="124" t="s">
        <v>523</v>
      </c>
      <c r="F767" s="125" t="str">
        <f t="shared" si="33"/>
        <v/>
      </c>
      <c r="G767" s="126" t="e">
        <f>IF(A767&lt;&gt;"",IF(AND(#REF!="Padrão",$H$4=#REF!),BDI!$B$17,IF(AND(#REF!="Padrão",$H$4=#REF!),BDI!#REF!,IF(AND(#REF!="Diferenciado",$H$4=#REF!),BDI!$E$17,IF(AND(#REF!="Diferenciado",$H$4=#REF!),BDI!#REF!,IF(#REF!="ZERO",0))))),"")</f>
        <v>#REF!</v>
      </c>
      <c r="H767" s="127" t="str">
        <f t="shared" si="34"/>
        <v/>
      </c>
      <c r="I767" s="125" t="str">
        <f t="shared" si="35"/>
        <v/>
      </c>
    </row>
    <row r="768" spans="1:9" hidden="1" x14ac:dyDescent="0.25">
      <c r="A768" s="103" t="s">
        <v>2556</v>
      </c>
      <c r="B768" s="104" t="s">
        <v>2557</v>
      </c>
      <c r="C768" s="105" t="s">
        <v>20</v>
      </c>
      <c r="D768" s="105">
        <v>0</v>
      </c>
      <c r="E768" s="124" t="s">
        <v>523</v>
      </c>
      <c r="F768" s="125" t="str">
        <f t="shared" si="33"/>
        <v/>
      </c>
      <c r="G768" s="126" t="e">
        <f>IF(A768&lt;&gt;"",IF(AND(#REF!="Padrão",$H$4=#REF!),BDI!$B$17,IF(AND(#REF!="Padrão",$H$4=#REF!),BDI!#REF!,IF(AND(#REF!="Diferenciado",$H$4=#REF!),BDI!$E$17,IF(AND(#REF!="Diferenciado",$H$4=#REF!),BDI!#REF!,IF(#REF!="ZERO",0))))),"")</f>
        <v>#REF!</v>
      </c>
      <c r="H768" s="127" t="str">
        <f t="shared" si="34"/>
        <v/>
      </c>
      <c r="I768" s="125" t="str">
        <f t="shared" si="35"/>
        <v/>
      </c>
    </row>
    <row r="769" spans="1:9" hidden="1" x14ac:dyDescent="0.25">
      <c r="A769" s="103" t="s">
        <v>2558</v>
      </c>
      <c r="B769" s="104" t="s">
        <v>2559</v>
      </c>
      <c r="C769" s="105" t="s">
        <v>20</v>
      </c>
      <c r="D769" s="105">
        <v>0</v>
      </c>
      <c r="E769" s="124" t="s">
        <v>523</v>
      </c>
      <c r="F769" s="125" t="str">
        <f t="shared" si="33"/>
        <v/>
      </c>
      <c r="G769" s="126" t="e">
        <f>IF(A769&lt;&gt;"",IF(AND(#REF!="Padrão",$H$4=#REF!),BDI!$B$17,IF(AND(#REF!="Padrão",$H$4=#REF!),BDI!#REF!,IF(AND(#REF!="Diferenciado",$H$4=#REF!),BDI!$E$17,IF(AND(#REF!="Diferenciado",$H$4=#REF!),BDI!#REF!,IF(#REF!="ZERO",0))))),"")</f>
        <v>#REF!</v>
      </c>
      <c r="H769" s="127" t="str">
        <f t="shared" si="34"/>
        <v/>
      </c>
      <c r="I769" s="125" t="str">
        <f t="shared" si="35"/>
        <v/>
      </c>
    </row>
    <row r="770" spans="1:9" hidden="1" x14ac:dyDescent="0.25">
      <c r="A770" s="103" t="s">
        <v>2560</v>
      </c>
      <c r="B770" s="104" t="s">
        <v>2561</v>
      </c>
      <c r="C770" s="105" t="s">
        <v>20</v>
      </c>
      <c r="D770" s="105">
        <v>0</v>
      </c>
      <c r="E770" s="124" t="s">
        <v>523</v>
      </c>
      <c r="F770" s="125" t="str">
        <f t="shared" si="33"/>
        <v/>
      </c>
      <c r="G770" s="126" t="e">
        <f>IF(A770&lt;&gt;"",IF(AND(#REF!="Padrão",$H$4=#REF!),BDI!$B$17,IF(AND(#REF!="Padrão",$H$4=#REF!),BDI!#REF!,IF(AND(#REF!="Diferenciado",$H$4=#REF!),BDI!$E$17,IF(AND(#REF!="Diferenciado",$H$4=#REF!),BDI!#REF!,IF(#REF!="ZERO",0))))),"")</f>
        <v>#REF!</v>
      </c>
      <c r="H770" s="127" t="str">
        <f t="shared" si="34"/>
        <v/>
      </c>
      <c r="I770" s="125" t="str">
        <f t="shared" si="35"/>
        <v/>
      </c>
    </row>
    <row r="771" spans="1:9" hidden="1" x14ac:dyDescent="0.25">
      <c r="A771" s="103" t="s">
        <v>2562</v>
      </c>
      <c r="B771" s="104" t="s">
        <v>2563</v>
      </c>
      <c r="C771" s="105" t="s">
        <v>20</v>
      </c>
      <c r="D771" s="105">
        <v>0</v>
      </c>
      <c r="E771" s="124" t="s">
        <v>523</v>
      </c>
      <c r="F771" s="125" t="str">
        <f t="shared" si="33"/>
        <v/>
      </c>
      <c r="G771" s="126" t="e">
        <f>IF(A771&lt;&gt;"",IF(AND(#REF!="Padrão",$H$4=#REF!),BDI!$B$17,IF(AND(#REF!="Padrão",$H$4=#REF!),BDI!#REF!,IF(AND(#REF!="Diferenciado",$H$4=#REF!),BDI!$E$17,IF(AND(#REF!="Diferenciado",$H$4=#REF!),BDI!#REF!,IF(#REF!="ZERO",0))))),"")</f>
        <v>#REF!</v>
      </c>
      <c r="H771" s="127" t="str">
        <f t="shared" si="34"/>
        <v/>
      </c>
      <c r="I771" s="125" t="str">
        <f t="shared" si="35"/>
        <v/>
      </c>
    </row>
    <row r="772" spans="1:9" hidden="1" x14ac:dyDescent="0.25">
      <c r="A772" s="103" t="s">
        <v>2564</v>
      </c>
      <c r="B772" s="104" t="s">
        <v>2565</v>
      </c>
      <c r="C772" s="105" t="s">
        <v>20</v>
      </c>
      <c r="D772" s="105">
        <v>0</v>
      </c>
      <c r="E772" s="124" t="s">
        <v>523</v>
      </c>
      <c r="F772" s="125" t="str">
        <f t="shared" si="33"/>
        <v/>
      </c>
      <c r="G772" s="126" t="e">
        <f>IF(A772&lt;&gt;"",IF(AND(#REF!="Padrão",$H$4=#REF!),BDI!$B$17,IF(AND(#REF!="Padrão",$H$4=#REF!),BDI!#REF!,IF(AND(#REF!="Diferenciado",$H$4=#REF!),BDI!$E$17,IF(AND(#REF!="Diferenciado",$H$4=#REF!),BDI!#REF!,IF(#REF!="ZERO",0))))),"")</f>
        <v>#REF!</v>
      </c>
      <c r="H772" s="127" t="str">
        <f t="shared" si="34"/>
        <v/>
      </c>
      <c r="I772" s="125" t="str">
        <f t="shared" si="35"/>
        <v/>
      </c>
    </row>
    <row r="773" spans="1:9" hidden="1" x14ac:dyDescent="0.25">
      <c r="A773" s="103" t="s">
        <v>2566</v>
      </c>
      <c r="B773" s="104" t="s">
        <v>2567</v>
      </c>
      <c r="C773" s="105" t="s">
        <v>20</v>
      </c>
      <c r="D773" s="105">
        <v>0</v>
      </c>
      <c r="E773" s="124" t="s">
        <v>523</v>
      </c>
      <c r="F773" s="125" t="str">
        <f t="shared" si="33"/>
        <v/>
      </c>
      <c r="G773" s="126" t="e">
        <f>IF(A773&lt;&gt;"",IF(AND(#REF!="Padrão",$H$4=#REF!),BDI!$B$17,IF(AND(#REF!="Padrão",$H$4=#REF!),BDI!#REF!,IF(AND(#REF!="Diferenciado",$H$4=#REF!),BDI!$E$17,IF(AND(#REF!="Diferenciado",$H$4=#REF!),BDI!#REF!,IF(#REF!="ZERO",0))))),"")</f>
        <v>#REF!</v>
      </c>
      <c r="H773" s="127" t="str">
        <f t="shared" si="34"/>
        <v/>
      </c>
      <c r="I773" s="125" t="str">
        <f t="shared" si="35"/>
        <v/>
      </c>
    </row>
    <row r="774" spans="1:9" hidden="1" x14ac:dyDescent="0.25">
      <c r="A774" s="103" t="s">
        <v>2568</v>
      </c>
      <c r="B774" s="104" t="s">
        <v>2569</v>
      </c>
      <c r="C774" s="105" t="s">
        <v>20</v>
      </c>
      <c r="D774" s="105">
        <v>0</v>
      </c>
      <c r="E774" s="124">
        <f ca="1">OFFSET(INDEX(Composições!A:J,MATCH(Orçamentária!A774,Composições!A:A,0),8),2,0)</f>
        <v>45.828000000000003</v>
      </c>
      <c r="F774" s="125">
        <f t="shared" ca="1" si="33"/>
        <v>0</v>
      </c>
      <c r="G774" s="126" t="e">
        <f>IF(A774&lt;&gt;"",IF(AND(#REF!="Padrão",$H$4=#REF!),BDI!$B$17,IF(AND(#REF!="Padrão",$H$4=#REF!),BDI!#REF!,IF(AND(#REF!="Diferenciado",$H$4=#REF!),BDI!$E$17,IF(AND(#REF!="Diferenciado",$H$4=#REF!),BDI!#REF!,IF(#REF!="ZERO",0))))),"")</f>
        <v>#REF!</v>
      </c>
      <c r="H774" s="127" t="e">
        <f t="shared" ca="1" si="34"/>
        <v>#REF!</v>
      </c>
      <c r="I774" s="125" t="e">
        <f t="shared" ca="1" si="35"/>
        <v>#REF!</v>
      </c>
    </row>
    <row r="775" spans="1:9" hidden="1" x14ac:dyDescent="0.25">
      <c r="A775" s="103" t="s">
        <v>2570</v>
      </c>
      <c r="B775" s="104" t="s">
        <v>2571</v>
      </c>
      <c r="C775" s="105" t="s">
        <v>20</v>
      </c>
      <c r="D775" s="105">
        <v>0</v>
      </c>
      <c r="E775" s="124">
        <f ca="1">OFFSET(INDEX(Composições!A:J,MATCH(Orçamentária!A775,Composições!A:A,0),8),2,0)</f>
        <v>52.25</v>
      </c>
      <c r="F775" s="125">
        <f t="shared" ref="F775:F838" ca="1" si="36">IF(ISNUMBER(E775),D775*E775,"")</f>
        <v>0</v>
      </c>
      <c r="G775" s="126" t="e">
        <f>IF(A775&lt;&gt;"",IF(AND(#REF!="Padrão",$H$4=#REF!),BDI!$B$17,IF(AND(#REF!="Padrão",$H$4=#REF!),BDI!#REF!,IF(AND(#REF!="Diferenciado",$H$4=#REF!),BDI!$E$17,IF(AND(#REF!="Diferenciado",$H$4=#REF!),BDI!#REF!,IF(#REF!="ZERO",0))))),"")</f>
        <v>#REF!</v>
      </c>
      <c r="H775" s="127" t="e">
        <f t="shared" ref="H775:H838" ca="1" si="37">IF(ISNUMBER(E775),ROUND(E775*(1+G775),2),"")</f>
        <v>#REF!</v>
      </c>
      <c r="I775" s="125" t="e">
        <f t="shared" ref="I775:I838" ca="1" si="38">IF(ISNUMBER(E775),ROUND(H775*D775,2),"")</f>
        <v>#REF!</v>
      </c>
    </row>
    <row r="776" spans="1:9" hidden="1" x14ac:dyDescent="0.25">
      <c r="A776" s="103" t="s">
        <v>2572</v>
      </c>
      <c r="B776" s="104" t="s">
        <v>6301</v>
      </c>
      <c r="C776" s="105" t="s">
        <v>20</v>
      </c>
      <c r="D776" s="105">
        <v>0</v>
      </c>
      <c r="E776" s="124" t="s">
        <v>523</v>
      </c>
      <c r="F776" s="125" t="str">
        <f t="shared" si="36"/>
        <v/>
      </c>
      <c r="G776" s="126" t="e">
        <f>IF(A776&lt;&gt;"",IF(AND(#REF!="Padrão",$H$4=#REF!),BDI!$B$17,IF(AND(#REF!="Padrão",$H$4=#REF!),BDI!#REF!,IF(AND(#REF!="Diferenciado",$H$4=#REF!),BDI!$E$17,IF(AND(#REF!="Diferenciado",$H$4=#REF!),BDI!#REF!,IF(#REF!="ZERO",0))))),"")</f>
        <v>#REF!</v>
      </c>
      <c r="H776" s="127" t="str">
        <f t="shared" si="37"/>
        <v/>
      </c>
      <c r="I776" s="125" t="str">
        <f t="shared" si="38"/>
        <v/>
      </c>
    </row>
    <row r="777" spans="1:9" hidden="1" x14ac:dyDescent="0.25">
      <c r="A777" s="103" t="s">
        <v>2573</v>
      </c>
      <c r="B777" s="104" t="s">
        <v>2574</v>
      </c>
      <c r="C777" s="105" t="s">
        <v>20</v>
      </c>
      <c r="D777" s="105">
        <v>0</v>
      </c>
      <c r="E777" s="124">
        <f ca="1">OFFSET(INDEX(Composições!A:J,MATCH(Orçamentária!A777,Composições!A:A,0),8),2,0)</f>
        <v>122.607</v>
      </c>
      <c r="F777" s="125">
        <f t="shared" ca="1" si="36"/>
        <v>0</v>
      </c>
      <c r="G777" s="126" t="e">
        <f>IF(A777&lt;&gt;"",IF(AND(#REF!="Padrão",$H$4=#REF!),BDI!$B$17,IF(AND(#REF!="Padrão",$H$4=#REF!),BDI!#REF!,IF(AND(#REF!="Diferenciado",$H$4=#REF!),BDI!$E$17,IF(AND(#REF!="Diferenciado",$H$4=#REF!),BDI!#REF!,IF(#REF!="ZERO",0))))),"")</f>
        <v>#REF!</v>
      </c>
      <c r="H777" s="127" t="e">
        <f t="shared" ca="1" si="37"/>
        <v>#REF!</v>
      </c>
      <c r="I777" s="125" t="e">
        <f t="shared" ca="1" si="38"/>
        <v>#REF!</v>
      </c>
    </row>
    <row r="778" spans="1:9" hidden="1" x14ac:dyDescent="0.25">
      <c r="A778" s="103" t="s">
        <v>2575</v>
      </c>
      <c r="B778" s="104" t="s">
        <v>6365</v>
      </c>
      <c r="C778" s="105" t="s">
        <v>20</v>
      </c>
      <c r="D778" s="105">
        <v>0</v>
      </c>
      <c r="E778" s="124" t="s">
        <v>523</v>
      </c>
      <c r="F778" s="125" t="str">
        <f t="shared" si="36"/>
        <v/>
      </c>
      <c r="G778" s="126" t="e">
        <f>IF(A778&lt;&gt;"",IF(AND(#REF!="Padrão",$H$4=#REF!),BDI!$B$17,IF(AND(#REF!="Padrão",$H$4=#REF!),BDI!#REF!,IF(AND(#REF!="Diferenciado",$H$4=#REF!),BDI!$E$17,IF(AND(#REF!="Diferenciado",$H$4=#REF!),BDI!#REF!,IF(#REF!="ZERO",0))))),"")</f>
        <v>#REF!</v>
      </c>
      <c r="H778" s="127" t="str">
        <f t="shared" si="37"/>
        <v/>
      </c>
      <c r="I778" s="125" t="str">
        <f t="shared" si="38"/>
        <v/>
      </c>
    </row>
    <row r="779" spans="1:9" hidden="1" x14ac:dyDescent="0.25">
      <c r="A779" s="103" t="s">
        <v>2576</v>
      </c>
      <c r="B779" s="104" t="s">
        <v>2577</v>
      </c>
      <c r="C779" s="105" t="s">
        <v>20</v>
      </c>
      <c r="D779" s="105">
        <v>0</v>
      </c>
      <c r="E779" s="124" t="s">
        <v>523</v>
      </c>
      <c r="F779" s="125" t="str">
        <f t="shared" si="36"/>
        <v/>
      </c>
      <c r="G779" s="126" t="e">
        <f>IF(A779&lt;&gt;"",IF(AND(#REF!="Padrão",$H$4=#REF!),BDI!$B$17,IF(AND(#REF!="Padrão",$H$4=#REF!),BDI!#REF!,IF(AND(#REF!="Diferenciado",$H$4=#REF!),BDI!$E$17,IF(AND(#REF!="Diferenciado",$H$4=#REF!),BDI!#REF!,IF(#REF!="ZERO",0))))),"")</f>
        <v>#REF!</v>
      </c>
      <c r="H779" s="127" t="str">
        <f t="shared" si="37"/>
        <v/>
      </c>
      <c r="I779" s="125" t="str">
        <f t="shared" si="38"/>
        <v/>
      </c>
    </row>
    <row r="780" spans="1:9" hidden="1" x14ac:dyDescent="0.25">
      <c r="A780" s="103" t="s">
        <v>2578</v>
      </c>
      <c r="B780" s="104" t="s">
        <v>6302</v>
      </c>
      <c r="C780" s="105" t="s">
        <v>20</v>
      </c>
      <c r="D780" s="105">
        <v>0</v>
      </c>
      <c r="E780" s="124" t="s">
        <v>523</v>
      </c>
      <c r="F780" s="125" t="str">
        <f t="shared" si="36"/>
        <v/>
      </c>
      <c r="G780" s="126" t="e">
        <f>IF(A780&lt;&gt;"",IF(AND(#REF!="Padrão",$H$4=#REF!),BDI!$B$17,IF(AND(#REF!="Padrão",$H$4=#REF!),BDI!#REF!,IF(AND(#REF!="Diferenciado",$H$4=#REF!),BDI!$E$17,IF(AND(#REF!="Diferenciado",$H$4=#REF!),BDI!#REF!,IF(#REF!="ZERO",0))))),"")</f>
        <v>#REF!</v>
      </c>
      <c r="H780" s="127" t="str">
        <f t="shared" si="37"/>
        <v/>
      </c>
      <c r="I780" s="125" t="str">
        <f t="shared" si="38"/>
        <v/>
      </c>
    </row>
    <row r="781" spans="1:9" hidden="1" x14ac:dyDescent="0.25">
      <c r="A781" s="103" t="s">
        <v>2579</v>
      </c>
      <c r="B781" s="104" t="s">
        <v>2580</v>
      </c>
      <c r="C781" s="105" t="s">
        <v>20</v>
      </c>
      <c r="D781" s="105">
        <v>0</v>
      </c>
      <c r="E781" s="124" t="s">
        <v>523</v>
      </c>
      <c r="F781" s="125" t="str">
        <f t="shared" si="36"/>
        <v/>
      </c>
      <c r="G781" s="126" t="e">
        <f>IF(A781&lt;&gt;"",IF(AND(#REF!="Padrão",$H$4=#REF!),BDI!$B$17,IF(AND(#REF!="Padrão",$H$4=#REF!),BDI!#REF!,IF(AND(#REF!="Diferenciado",$H$4=#REF!),BDI!$E$17,IF(AND(#REF!="Diferenciado",$H$4=#REF!),BDI!#REF!,IF(#REF!="ZERO",0))))),"")</f>
        <v>#REF!</v>
      </c>
      <c r="H781" s="127" t="str">
        <f t="shared" si="37"/>
        <v/>
      </c>
      <c r="I781" s="125" t="str">
        <f t="shared" si="38"/>
        <v/>
      </c>
    </row>
    <row r="782" spans="1:9" hidden="1" x14ac:dyDescent="0.25">
      <c r="A782" s="103" t="s">
        <v>2581</v>
      </c>
      <c r="B782" s="104" t="s">
        <v>6366</v>
      </c>
      <c r="C782" s="105" t="s">
        <v>20</v>
      </c>
      <c r="D782" s="105">
        <v>0</v>
      </c>
      <c r="E782" s="124" t="s">
        <v>523</v>
      </c>
      <c r="F782" s="125" t="str">
        <f t="shared" si="36"/>
        <v/>
      </c>
      <c r="G782" s="126" t="e">
        <f>IF(A782&lt;&gt;"",IF(AND(#REF!="Padrão",$H$4=#REF!),BDI!$B$17,IF(AND(#REF!="Padrão",$H$4=#REF!),BDI!#REF!,IF(AND(#REF!="Diferenciado",$H$4=#REF!),BDI!$E$17,IF(AND(#REF!="Diferenciado",$H$4=#REF!),BDI!#REF!,IF(#REF!="ZERO",0))))),"")</f>
        <v>#REF!</v>
      </c>
      <c r="H782" s="127" t="str">
        <f t="shared" si="37"/>
        <v/>
      </c>
      <c r="I782" s="125" t="str">
        <f t="shared" si="38"/>
        <v/>
      </c>
    </row>
    <row r="783" spans="1:9" hidden="1" x14ac:dyDescent="0.25">
      <c r="A783" s="103" t="s">
        <v>2582</v>
      </c>
      <c r="B783" s="104" t="s">
        <v>2583</v>
      </c>
      <c r="C783" s="105" t="s">
        <v>20</v>
      </c>
      <c r="D783" s="105">
        <v>0</v>
      </c>
      <c r="E783" s="124" t="s">
        <v>523</v>
      </c>
      <c r="F783" s="125" t="str">
        <f t="shared" si="36"/>
        <v/>
      </c>
      <c r="G783" s="126" t="e">
        <f>IF(A783&lt;&gt;"",IF(AND(#REF!="Padrão",$H$4=#REF!),BDI!$B$17,IF(AND(#REF!="Padrão",$H$4=#REF!),BDI!#REF!,IF(AND(#REF!="Diferenciado",$H$4=#REF!),BDI!$E$17,IF(AND(#REF!="Diferenciado",$H$4=#REF!),BDI!#REF!,IF(#REF!="ZERO",0))))),"")</f>
        <v>#REF!</v>
      </c>
      <c r="H783" s="127" t="str">
        <f t="shared" si="37"/>
        <v/>
      </c>
      <c r="I783" s="125" t="str">
        <f t="shared" si="38"/>
        <v/>
      </c>
    </row>
    <row r="784" spans="1:9" hidden="1" x14ac:dyDescent="0.25">
      <c r="A784" s="103" t="s">
        <v>2584</v>
      </c>
      <c r="B784" s="104" t="s">
        <v>2585</v>
      </c>
      <c r="C784" s="105" t="s">
        <v>20</v>
      </c>
      <c r="D784" s="105">
        <v>0</v>
      </c>
      <c r="E784" s="124" t="s">
        <v>523</v>
      </c>
      <c r="F784" s="125" t="str">
        <f t="shared" si="36"/>
        <v/>
      </c>
      <c r="G784" s="126" t="e">
        <f>IF(A784&lt;&gt;"",IF(AND(#REF!="Padrão",$H$4=#REF!),BDI!$B$17,IF(AND(#REF!="Padrão",$H$4=#REF!),BDI!#REF!,IF(AND(#REF!="Diferenciado",$H$4=#REF!),BDI!$E$17,IF(AND(#REF!="Diferenciado",$H$4=#REF!),BDI!#REF!,IF(#REF!="ZERO",0))))),"")</f>
        <v>#REF!</v>
      </c>
      <c r="H784" s="127" t="str">
        <f t="shared" si="37"/>
        <v/>
      </c>
      <c r="I784" s="125" t="str">
        <f t="shared" si="38"/>
        <v/>
      </c>
    </row>
    <row r="785" spans="1:9" hidden="1" x14ac:dyDescent="0.25">
      <c r="A785" s="103" t="s">
        <v>2586</v>
      </c>
      <c r="B785" s="104" t="s">
        <v>2587</v>
      </c>
      <c r="C785" s="105" t="s">
        <v>20</v>
      </c>
      <c r="D785" s="105">
        <v>0</v>
      </c>
      <c r="E785" s="124" t="s">
        <v>523</v>
      </c>
      <c r="F785" s="125" t="str">
        <f t="shared" si="36"/>
        <v/>
      </c>
      <c r="G785" s="126" t="e">
        <f>IF(A785&lt;&gt;"",IF(AND(#REF!="Padrão",$H$4=#REF!),BDI!$B$17,IF(AND(#REF!="Padrão",$H$4=#REF!),BDI!#REF!,IF(AND(#REF!="Diferenciado",$H$4=#REF!),BDI!$E$17,IF(AND(#REF!="Diferenciado",$H$4=#REF!),BDI!#REF!,IF(#REF!="ZERO",0))))),"")</f>
        <v>#REF!</v>
      </c>
      <c r="H785" s="127" t="str">
        <f t="shared" si="37"/>
        <v/>
      </c>
      <c r="I785" s="125" t="str">
        <f t="shared" si="38"/>
        <v/>
      </c>
    </row>
    <row r="786" spans="1:9" hidden="1" x14ac:dyDescent="0.25">
      <c r="A786" s="103" t="s">
        <v>2588</v>
      </c>
      <c r="B786" s="104" t="s">
        <v>2589</v>
      </c>
      <c r="C786" s="105" t="s">
        <v>20</v>
      </c>
      <c r="D786" s="105">
        <v>0</v>
      </c>
      <c r="E786" s="124" t="s">
        <v>523</v>
      </c>
      <c r="F786" s="125" t="str">
        <f t="shared" si="36"/>
        <v/>
      </c>
      <c r="G786" s="126" t="e">
        <f>IF(A786&lt;&gt;"",IF(AND(#REF!="Padrão",$H$4=#REF!),BDI!$B$17,IF(AND(#REF!="Padrão",$H$4=#REF!),BDI!#REF!,IF(AND(#REF!="Diferenciado",$H$4=#REF!),BDI!$E$17,IF(AND(#REF!="Diferenciado",$H$4=#REF!),BDI!#REF!,IF(#REF!="ZERO",0))))),"")</f>
        <v>#REF!</v>
      </c>
      <c r="H786" s="127" t="str">
        <f t="shared" si="37"/>
        <v/>
      </c>
      <c r="I786" s="125" t="str">
        <f t="shared" si="38"/>
        <v/>
      </c>
    </row>
    <row r="787" spans="1:9" hidden="1" x14ac:dyDescent="0.25">
      <c r="A787" s="103" t="s">
        <v>2590</v>
      </c>
      <c r="B787" s="104" t="s">
        <v>2591</v>
      </c>
      <c r="C787" s="105" t="s">
        <v>20</v>
      </c>
      <c r="D787" s="105">
        <v>0</v>
      </c>
      <c r="E787" s="124" t="s">
        <v>523</v>
      </c>
      <c r="F787" s="125" t="str">
        <f t="shared" si="36"/>
        <v/>
      </c>
      <c r="G787" s="126" t="e">
        <f>IF(A787&lt;&gt;"",IF(AND(#REF!="Padrão",$H$4=#REF!),BDI!$B$17,IF(AND(#REF!="Padrão",$H$4=#REF!),BDI!#REF!,IF(AND(#REF!="Diferenciado",$H$4=#REF!),BDI!$E$17,IF(AND(#REF!="Diferenciado",$H$4=#REF!),BDI!#REF!,IF(#REF!="ZERO",0))))),"")</f>
        <v>#REF!</v>
      </c>
      <c r="H787" s="127" t="str">
        <f t="shared" si="37"/>
        <v/>
      </c>
      <c r="I787" s="125" t="str">
        <f t="shared" si="38"/>
        <v/>
      </c>
    </row>
    <row r="788" spans="1:9" hidden="1" x14ac:dyDescent="0.25">
      <c r="A788" s="103" t="s">
        <v>2592</v>
      </c>
      <c r="B788" s="104" t="s">
        <v>2593</v>
      </c>
      <c r="C788" s="105" t="s">
        <v>20</v>
      </c>
      <c r="D788" s="105">
        <v>0</v>
      </c>
      <c r="E788" s="124" t="s">
        <v>523</v>
      </c>
      <c r="F788" s="125" t="str">
        <f t="shared" si="36"/>
        <v/>
      </c>
      <c r="G788" s="126" t="e">
        <f>IF(A788&lt;&gt;"",IF(AND(#REF!="Padrão",$H$4=#REF!),BDI!$B$17,IF(AND(#REF!="Padrão",$H$4=#REF!),BDI!#REF!,IF(AND(#REF!="Diferenciado",$H$4=#REF!),BDI!$E$17,IF(AND(#REF!="Diferenciado",$H$4=#REF!),BDI!#REF!,IF(#REF!="ZERO",0))))),"")</f>
        <v>#REF!</v>
      </c>
      <c r="H788" s="127" t="str">
        <f t="shared" si="37"/>
        <v/>
      </c>
      <c r="I788" s="125" t="str">
        <f t="shared" si="38"/>
        <v/>
      </c>
    </row>
    <row r="789" spans="1:9" hidden="1" x14ac:dyDescent="0.25">
      <c r="A789" s="103" t="s">
        <v>2594</v>
      </c>
      <c r="B789" s="104" t="s">
        <v>2595</v>
      </c>
      <c r="C789" s="105" t="s">
        <v>20</v>
      </c>
      <c r="D789" s="105">
        <v>0</v>
      </c>
      <c r="E789" s="124" t="s">
        <v>523</v>
      </c>
      <c r="F789" s="125" t="str">
        <f t="shared" si="36"/>
        <v/>
      </c>
      <c r="G789" s="126" t="e">
        <f>IF(A789&lt;&gt;"",IF(AND(#REF!="Padrão",$H$4=#REF!),BDI!$B$17,IF(AND(#REF!="Padrão",$H$4=#REF!),BDI!#REF!,IF(AND(#REF!="Diferenciado",$H$4=#REF!),BDI!$E$17,IF(AND(#REF!="Diferenciado",$H$4=#REF!),BDI!#REF!,IF(#REF!="ZERO",0))))),"")</f>
        <v>#REF!</v>
      </c>
      <c r="H789" s="127" t="str">
        <f t="shared" si="37"/>
        <v/>
      </c>
      <c r="I789" s="125" t="str">
        <f t="shared" si="38"/>
        <v/>
      </c>
    </row>
    <row r="790" spans="1:9" hidden="1" x14ac:dyDescent="0.25">
      <c r="A790" s="103" t="s">
        <v>2596</v>
      </c>
      <c r="B790" s="104" t="s">
        <v>2597</v>
      </c>
      <c r="C790" s="105" t="s">
        <v>20</v>
      </c>
      <c r="D790" s="105">
        <v>0</v>
      </c>
      <c r="E790" s="124" t="s">
        <v>523</v>
      </c>
      <c r="F790" s="125" t="str">
        <f t="shared" si="36"/>
        <v/>
      </c>
      <c r="G790" s="126" t="e">
        <f>IF(A790&lt;&gt;"",IF(AND(#REF!="Padrão",$H$4=#REF!),BDI!$B$17,IF(AND(#REF!="Padrão",$H$4=#REF!),BDI!#REF!,IF(AND(#REF!="Diferenciado",$H$4=#REF!),BDI!$E$17,IF(AND(#REF!="Diferenciado",$H$4=#REF!),BDI!#REF!,IF(#REF!="ZERO",0))))),"")</f>
        <v>#REF!</v>
      </c>
      <c r="H790" s="127" t="str">
        <f t="shared" si="37"/>
        <v/>
      </c>
      <c r="I790" s="125" t="str">
        <f t="shared" si="38"/>
        <v/>
      </c>
    </row>
    <row r="791" spans="1:9" hidden="1" x14ac:dyDescent="0.25">
      <c r="A791" s="103" t="s">
        <v>2598</v>
      </c>
      <c r="B791" s="104" t="s">
        <v>2599</v>
      </c>
      <c r="C791" s="105" t="s">
        <v>20</v>
      </c>
      <c r="D791" s="105">
        <v>0</v>
      </c>
      <c r="E791" s="124" t="s">
        <v>523</v>
      </c>
      <c r="F791" s="125" t="str">
        <f t="shared" si="36"/>
        <v/>
      </c>
      <c r="G791" s="126" t="e">
        <f>IF(A791&lt;&gt;"",IF(AND(#REF!="Padrão",$H$4=#REF!),BDI!$B$17,IF(AND(#REF!="Padrão",$H$4=#REF!),BDI!#REF!,IF(AND(#REF!="Diferenciado",$H$4=#REF!),BDI!$E$17,IF(AND(#REF!="Diferenciado",$H$4=#REF!),BDI!#REF!,IF(#REF!="ZERO",0))))),"")</f>
        <v>#REF!</v>
      </c>
      <c r="H791" s="127" t="str">
        <f t="shared" si="37"/>
        <v/>
      </c>
      <c r="I791" s="125" t="str">
        <f t="shared" si="38"/>
        <v/>
      </c>
    </row>
    <row r="792" spans="1:9" hidden="1" x14ac:dyDescent="0.25">
      <c r="A792" s="103" t="s">
        <v>2600</v>
      </c>
      <c r="B792" s="104" t="s">
        <v>2601</v>
      </c>
      <c r="C792" s="105" t="s">
        <v>20</v>
      </c>
      <c r="D792" s="105">
        <v>0</v>
      </c>
      <c r="E792" s="124" t="s">
        <v>523</v>
      </c>
      <c r="F792" s="125" t="str">
        <f t="shared" si="36"/>
        <v/>
      </c>
      <c r="G792" s="126" t="e">
        <f>IF(A792&lt;&gt;"",IF(AND(#REF!="Padrão",$H$4=#REF!),BDI!$B$17,IF(AND(#REF!="Padrão",$H$4=#REF!),BDI!#REF!,IF(AND(#REF!="Diferenciado",$H$4=#REF!),BDI!$E$17,IF(AND(#REF!="Diferenciado",$H$4=#REF!),BDI!#REF!,IF(#REF!="ZERO",0))))),"")</f>
        <v>#REF!</v>
      </c>
      <c r="H792" s="127" t="str">
        <f t="shared" si="37"/>
        <v/>
      </c>
      <c r="I792" s="125" t="str">
        <f t="shared" si="38"/>
        <v/>
      </c>
    </row>
    <row r="793" spans="1:9" hidden="1" x14ac:dyDescent="0.25">
      <c r="A793" s="103" t="s">
        <v>2602</v>
      </c>
      <c r="B793" s="104" t="s">
        <v>2603</v>
      </c>
      <c r="C793" s="105" t="s">
        <v>20</v>
      </c>
      <c r="D793" s="105">
        <v>0</v>
      </c>
      <c r="E793" s="124" t="s">
        <v>523</v>
      </c>
      <c r="F793" s="125" t="str">
        <f t="shared" si="36"/>
        <v/>
      </c>
      <c r="G793" s="126" t="e">
        <f>IF(A793&lt;&gt;"",IF(AND(#REF!="Padrão",$H$4=#REF!),BDI!$B$17,IF(AND(#REF!="Padrão",$H$4=#REF!),BDI!#REF!,IF(AND(#REF!="Diferenciado",$H$4=#REF!),BDI!$E$17,IF(AND(#REF!="Diferenciado",$H$4=#REF!),BDI!#REF!,IF(#REF!="ZERO",0))))),"")</f>
        <v>#REF!</v>
      </c>
      <c r="H793" s="127" t="str">
        <f t="shared" si="37"/>
        <v/>
      </c>
      <c r="I793" s="125" t="str">
        <f t="shared" si="38"/>
        <v/>
      </c>
    </row>
    <row r="794" spans="1:9" hidden="1" x14ac:dyDescent="0.25">
      <c r="A794" s="103" t="s">
        <v>2604</v>
      </c>
      <c r="B794" s="104" t="s">
        <v>2605</v>
      </c>
      <c r="C794" s="105" t="s">
        <v>20</v>
      </c>
      <c r="D794" s="105">
        <v>0</v>
      </c>
      <c r="E794" s="124" t="s">
        <v>523</v>
      </c>
      <c r="F794" s="125" t="str">
        <f t="shared" si="36"/>
        <v/>
      </c>
      <c r="G794" s="126" t="e">
        <f>IF(A794&lt;&gt;"",IF(AND(#REF!="Padrão",$H$4=#REF!),BDI!$B$17,IF(AND(#REF!="Padrão",$H$4=#REF!),BDI!#REF!,IF(AND(#REF!="Diferenciado",$H$4=#REF!),BDI!$E$17,IF(AND(#REF!="Diferenciado",$H$4=#REF!),BDI!#REF!,IF(#REF!="ZERO",0))))),"")</f>
        <v>#REF!</v>
      </c>
      <c r="H794" s="127" t="str">
        <f t="shared" si="37"/>
        <v/>
      </c>
      <c r="I794" s="125" t="str">
        <f t="shared" si="38"/>
        <v/>
      </c>
    </row>
    <row r="795" spans="1:9" hidden="1" x14ac:dyDescent="0.25">
      <c r="A795" s="103" t="s">
        <v>2606</v>
      </c>
      <c r="B795" s="104" t="s">
        <v>2607</v>
      </c>
      <c r="C795" s="105" t="s">
        <v>20</v>
      </c>
      <c r="D795" s="105">
        <v>0</v>
      </c>
      <c r="E795" s="124" t="s">
        <v>523</v>
      </c>
      <c r="F795" s="125" t="str">
        <f t="shared" si="36"/>
        <v/>
      </c>
      <c r="G795" s="126" t="e">
        <f>IF(A795&lt;&gt;"",IF(AND(#REF!="Padrão",$H$4=#REF!),BDI!$B$17,IF(AND(#REF!="Padrão",$H$4=#REF!),BDI!#REF!,IF(AND(#REF!="Diferenciado",$H$4=#REF!),BDI!$E$17,IF(AND(#REF!="Diferenciado",$H$4=#REF!),BDI!#REF!,IF(#REF!="ZERO",0))))),"")</f>
        <v>#REF!</v>
      </c>
      <c r="H795" s="127" t="str">
        <f t="shared" si="37"/>
        <v/>
      </c>
      <c r="I795" s="125" t="str">
        <f t="shared" si="38"/>
        <v/>
      </c>
    </row>
    <row r="796" spans="1:9" hidden="1" x14ac:dyDescent="0.25">
      <c r="A796" s="103" t="s">
        <v>2608</v>
      </c>
      <c r="B796" s="104" t="s">
        <v>2609</v>
      </c>
      <c r="C796" s="105" t="s">
        <v>20</v>
      </c>
      <c r="D796" s="105">
        <v>0</v>
      </c>
      <c r="E796" s="124" t="s">
        <v>523</v>
      </c>
      <c r="F796" s="125" t="str">
        <f t="shared" si="36"/>
        <v/>
      </c>
      <c r="G796" s="126" t="e">
        <f>IF(A796&lt;&gt;"",IF(AND(#REF!="Padrão",$H$4=#REF!),BDI!$B$17,IF(AND(#REF!="Padrão",$H$4=#REF!),BDI!#REF!,IF(AND(#REF!="Diferenciado",$H$4=#REF!),BDI!$E$17,IF(AND(#REF!="Diferenciado",$H$4=#REF!),BDI!#REF!,IF(#REF!="ZERO",0))))),"")</f>
        <v>#REF!</v>
      </c>
      <c r="H796" s="127" t="str">
        <f t="shared" si="37"/>
        <v/>
      </c>
      <c r="I796" s="125" t="str">
        <f t="shared" si="38"/>
        <v/>
      </c>
    </row>
    <row r="797" spans="1:9" hidden="1" x14ac:dyDescent="0.25">
      <c r="A797" s="103" t="s">
        <v>2610</v>
      </c>
      <c r="B797" s="104" t="s">
        <v>2611</v>
      </c>
      <c r="C797" s="105" t="s">
        <v>20</v>
      </c>
      <c r="D797" s="105">
        <v>0</v>
      </c>
      <c r="E797" s="124" t="s">
        <v>523</v>
      </c>
      <c r="F797" s="125" t="str">
        <f t="shared" si="36"/>
        <v/>
      </c>
      <c r="G797" s="126" t="e">
        <f>IF(A797&lt;&gt;"",IF(AND(#REF!="Padrão",$H$4=#REF!),BDI!$B$17,IF(AND(#REF!="Padrão",$H$4=#REF!),BDI!#REF!,IF(AND(#REF!="Diferenciado",$H$4=#REF!),BDI!$E$17,IF(AND(#REF!="Diferenciado",$H$4=#REF!),BDI!#REF!,IF(#REF!="ZERO",0))))),"")</f>
        <v>#REF!</v>
      </c>
      <c r="H797" s="127" t="str">
        <f t="shared" si="37"/>
        <v/>
      </c>
      <c r="I797" s="125" t="str">
        <f t="shared" si="38"/>
        <v/>
      </c>
    </row>
    <row r="798" spans="1:9" hidden="1" x14ac:dyDescent="0.25">
      <c r="A798" s="103" t="s">
        <v>2612</v>
      </c>
      <c r="B798" s="104" t="s">
        <v>2613</v>
      </c>
      <c r="C798" s="105" t="s">
        <v>20</v>
      </c>
      <c r="D798" s="105">
        <v>0</v>
      </c>
      <c r="E798" s="124" t="s">
        <v>523</v>
      </c>
      <c r="F798" s="125" t="str">
        <f t="shared" si="36"/>
        <v/>
      </c>
      <c r="G798" s="126" t="e">
        <f>IF(A798&lt;&gt;"",IF(AND(#REF!="Padrão",$H$4=#REF!),BDI!$B$17,IF(AND(#REF!="Padrão",$H$4=#REF!),BDI!#REF!,IF(AND(#REF!="Diferenciado",$H$4=#REF!),BDI!$E$17,IF(AND(#REF!="Diferenciado",$H$4=#REF!),BDI!#REF!,IF(#REF!="ZERO",0))))),"")</f>
        <v>#REF!</v>
      </c>
      <c r="H798" s="127" t="str">
        <f t="shared" si="37"/>
        <v/>
      </c>
      <c r="I798" s="125" t="str">
        <f t="shared" si="38"/>
        <v/>
      </c>
    </row>
    <row r="799" spans="1:9" hidden="1" x14ac:dyDescent="0.25">
      <c r="A799" s="103" t="s">
        <v>2614</v>
      </c>
      <c r="B799" s="104" t="s">
        <v>2615</v>
      </c>
      <c r="C799" s="105" t="s">
        <v>20</v>
      </c>
      <c r="D799" s="105">
        <v>0</v>
      </c>
      <c r="E799" s="124" t="s">
        <v>523</v>
      </c>
      <c r="F799" s="125" t="str">
        <f t="shared" si="36"/>
        <v/>
      </c>
      <c r="G799" s="126" t="e">
        <f>IF(A799&lt;&gt;"",IF(AND(#REF!="Padrão",$H$4=#REF!),BDI!$B$17,IF(AND(#REF!="Padrão",$H$4=#REF!),BDI!#REF!,IF(AND(#REF!="Diferenciado",$H$4=#REF!),BDI!$E$17,IF(AND(#REF!="Diferenciado",$H$4=#REF!),BDI!#REF!,IF(#REF!="ZERO",0))))),"")</f>
        <v>#REF!</v>
      </c>
      <c r="H799" s="127" t="str">
        <f t="shared" si="37"/>
        <v/>
      </c>
      <c r="I799" s="125" t="str">
        <f t="shared" si="38"/>
        <v/>
      </c>
    </row>
    <row r="800" spans="1:9" hidden="1" x14ac:dyDescent="0.25">
      <c r="A800" s="103" t="s">
        <v>2616</v>
      </c>
      <c r="B800" s="104" t="s">
        <v>2617</v>
      </c>
      <c r="C800" s="105" t="s">
        <v>20</v>
      </c>
      <c r="D800" s="105">
        <v>0</v>
      </c>
      <c r="E800" s="124" t="s">
        <v>523</v>
      </c>
      <c r="F800" s="125" t="str">
        <f t="shared" si="36"/>
        <v/>
      </c>
      <c r="G800" s="126" t="e">
        <f>IF(A800&lt;&gt;"",IF(AND(#REF!="Padrão",$H$4=#REF!),BDI!$B$17,IF(AND(#REF!="Padrão",$H$4=#REF!),BDI!#REF!,IF(AND(#REF!="Diferenciado",$H$4=#REF!),BDI!$E$17,IF(AND(#REF!="Diferenciado",$H$4=#REF!),BDI!#REF!,IF(#REF!="ZERO",0))))),"")</f>
        <v>#REF!</v>
      </c>
      <c r="H800" s="127" t="str">
        <f t="shared" si="37"/>
        <v/>
      </c>
      <c r="I800" s="125" t="str">
        <f t="shared" si="38"/>
        <v/>
      </c>
    </row>
    <row r="801" spans="1:9" hidden="1" x14ac:dyDescent="0.25">
      <c r="A801" s="103" t="s">
        <v>2618</v>
      </c>
      <c r="B801" s="104" t="s">
        <v>2619</v>
      </c>
      <c r="C801" s="105" t="s">
        <v>20</v>
      </c>
      <c r="D801" s="105">
        <v>0</v>
      </c>
      <c r="E801" s="124" t="s">
        <v>523</v>
      </c>
      <c r="F801" s="125" t="str">
        <f t="shared" si="36"/>
        <v/>
      </c>
      <c r="G801" s="126" t="e">
        <f>IF(A801&lt;&gt;"",IF(AND(#REF!="Padrão",$H$4=#REF!),BDI!$B$17,IF(AND(#REF!="Padrão",$H$4=#REF!),BDI!#REF!,IF(AND(#REF!="Diferenciado",$H$4=#REF!),BDI!$E$17,IF(AND(#REF!="Diferenciado",$H$4=#REF!),BDI!#REF!,IF(#REF!="ZERO",0))))),"")</f>
        <v>#REF!</v>
      </c>
      <c r="H801" s="127" t="str">
        <f t="shared" si="37"/>
        <v/>
      </c>
      <c r="I801" s="125" t="str">
        <f t="shared" si="38"/>
        <v/>
      </c>
    </row>
    <row r="802" spans="1:9" hidden="1" x14ac:dyDescent="0.25">
      <c r="A802" s="103" t="s">
        <v>2620</v>
      </c>
      <c r="B802" s="104" t="s">
        <v>2621</v>
      </c>
      <c r="C802" s="105" t="s">
        <v>20</v>
      </c>
      <c r="D802" s="105">
        <v>0</v>
      </c>
      <c r="E802" s="124" t="s">
        <v>523</v>
      </c>
      <c r="F802" s="125" t="str">
        <f t="shared" si="36"/>
        <v/>
      </c>
      <c r="G802" s="126" t="e">
        <f>IF(A802&lt;&gt;"",IF(AND(#REF!="Padrão",$H$4=#REF!),BDI!$B$17,IF(AND(#REF!="Padrão",$H$4=#REF!),BDI!#REF!,IF(AND(#REF!="Diferenciado",$H$4=#REF!),BDI!$E$17,IF(AND(#REF!="Diferenciado",$H$4=#REF!),BDI!#REF!,IF(#REF!="ZERO",0))))),"")</f>
        <v>#REF!</v>
      </c>
      <c r="H802" s="127" t="str">
        <f t="shared" si="37"/>
        <v/>
      </c>
      <c r="I802" s="125" t="str">
        <f t="shared" si="38"/>
        <v/>
      </c>
    </row>
    <row r="803" spans="1:9" hidden="1" x14ac:dyDescent="0.25">
      <c r="A803" s="103" t="s">
        <v>2622</v>
      </c>
      <c r="B803" s="104" t="s">
        <v>2623</v>
      </c>
      <c r="C803" s="105" t="s">
        <v>20</v>
      </c>
      <c r="D803" s="105">
        <v>0</v>
      </c>
      <c r="E803" s="124" t="s">
        <v>523</v>
      </c>
      <c r="F803" s="125" t="str">
        <f t="shared" si="36"/>
        <v/>
      </c>
      <c r="G803" s="126" t="e">
        <f>IF(A803&lt;&gt;"",IF(AND(#REF!="Padrão",$H$4=#REF!),BDI!$B$17,IF(AND(#REF!="Padrão",$H$4=#REF!),BDI!#REF!,IF(AND(#REF!="Diferenciado",$H$4=#REF!),BDI!$E$17,IF(AND(#REF!="Diferenciado",$H$4=#REF!),BDI!#REF!,IF(#REF!="ZERO",0))))),"")</f>
        <v>#REF!</v>
      </c>
      <c r="H803" s="127" t="str">
        <f t="shared" si="37"/>
        <v/>
      </c>
      <c r="I803" s="125" t="str">
        <f t="shared" si="38"/>
        <v/>
      </c>
    </row>
    <row r="804" spans="1:9" hidden="1" x14ac:dyDescent="0.25">
      <c r="A804" s="103" t="s">
        <v>2624</v>
      </c>
      <c r="B804" s="104" t="s">
        <v>2625</v>
      </c>
      <c r="C804" s="105" t="s">
        <v>20</v>
      </c>
      <c r="D804" s="105">
        <v>0</v>
      </c>
      <c r="E804" s="124" t="s">
        <v>523</v>
      </c>
      <c r="F804" s="125" t="str">
        <f t="shared" si="36"/>
        <v/>
      </c>
      <c r="G804" s="126" t="e">
        <f>IF(A804&lt;&gt;"",IF(AND(#REF!="Padrão",$H$4=#REF!),BDI!$B$17,IF(AND(#REF!="Padrão",$H$4=#REF!),BDI!#REF!,IF(AND(#REF!="Diferenciado",$H$4=#REF!),BDI!$E$17,IF(AND(#REF!="Diferenciado",$H$4=#REF!),BDI!#REF!,IF(#REF!="ZERO",0))))),"")</f>
        <v>#REF!</v>
      </c>
      <c r="H804" s="127" t="str">
        <f t="shared" si="37"/>
        <v/>
      </c>
      <c r="I804" s="125" t="str">
        <f t="shared" si="38"/>
        <v/>
      </c>
    </row>
    <row r="805" spans="1:9" hidden="1" x14ac:dyDescent="0.25">
      <c r="A805" s="103" t="s">
        <v>2626</v>
      </c>
      <c r="B805" s="104" t="s">
        <v>2627</v>
      </c>
      <c r="C805" s="105" t="s">
        <v>20</v>
      </c>
      <c r="D805" s="105">
        <v>0</v>
      </c>
      <c r="E805" s="124" t="s">
        <v>523</v>
      </c>
      <c r="F805" s="125" t="str">
        <f t="shared" si="36"/>
        <v/>
      </c>
      <c r="G805" s="126" t="e">
        <f>IF(A805&lt;&gt;"",IF(AND(#REF!="Padrão",$H$4=#REF!),BDI!$B$17,IF(AND(#REF!="Padrão",$H$4=#REF!),BDI!#REF!,IF(AND(#REF!="Diferenciado",$H$4=#REF!),BDI!$E$17,IF(AND(#REF!="Diferenciado",$H$4=#REF!),BDI!#REF!,IF(#REF!="ZERO",0))))),"")</f>
        <v>#REF!</v>
      </c>
      <c r="H805" s="127" t="str">
        <f t="shared" si="37"/>
        <v/>
      </c>
      <c r="I805" s="125" t="str">
        <f t="shared" si="38"/>
        <v/>
      </c>
    </row>
    <row r="806" spans="1:9" hidden="1" x14ac:dyDescent="0.25">
      <c r="A806" s="103" t="s">
        <v>2628</v>
      </c>
      <c r="B806" s="104" t="s">
        <v>2629</v>
      </c>
      <c r="C806" s="105" t="s">
        <v>20</v>
      </c>
      <c r="D806" s="105">
        <v>0</v>
      </c>
      <c r="E806" s="124" t="s">
        <v>523</v>
      </c>
      <c r="F806" s="125" t="str">
        <f t="shared" si="36"/>
        <v/>
      </c>
      <c r="G806" s="126" t="e">
        <f>IF(A806&lt;&gt;"",IF(AND(#REF!="Padrão",$H$4=#REF!),BDI!$B$17,IF(AND(#REF!="Padrão",$H$4=#REF!),BDI!#REF!,IF(AND(#REF!="Diferenciado",$H$4=#REF!),BDI!$E$17,IF(AND(#REF!="Diferenciado",$H$4=#REF!),BDI!#REF!,IF(#REF!="ZERO",0))))),"")</f>
        <v>#REF!</v>
      </c>
      <c r="H806" s="127" t="str">
        <f t="shared" si="37"/>
        <v/>
      </c>
      <c r="I806" s="125" t="str">
        <f t="shared" si="38"/>
        <v/>
      </c>
    </row>
    <row r="807" spans="1:9" hidden="1" x14ac:dyDescent="0.25">
      <c r="A807" s="103" t="s">
        <v>2630</v>
      </c>
      <c r="B807" s="104" t="s">
        <v>2631</v>
      </c>
      <c r="C807" s="105" t="s">
        <v>20</v>
      </c>
      <c r="D807" s="105">
        <v>0</v>
      </c>
      <c r="E807" s="124" t="s">
        <v>523</v>
      </c>
      <c r="F807" s="125" t="str">
        <f t="shared" si="36"/>
        <v/>
      </c>
      <c r="G807" s="126" t="e">
        <f>IF(A807&lt;&gt;"",IF(AND(#REF!="Padrão",$H$4=#REF!),BDI!$B$17,IF(AND(#REF!="Padrão",$H$4=#REF!),BDI!#REF!,IF(AND(#REF!="Diferenciado",$H$4=#REF!),BDI!$E$17,IF(AND(#REF!="Diferenciado",$H$4=#REF!),BDI!#REF!,IF(#REF!="ZERO",0))))),"")</f>
        <v>#REF!</v>
      </c>
      <c r="H807" s="127" t="str">
        <f t="shared" si="37"/>
        <v/>
      </c>
      <c r="I807" s="125" t="str">
        <f t="shared" si="38"/>
        <v/>
      </c>
    </row>
    <row r="808" spans="1:9" hidden="1" x14ac:dyDescent="0.25">
      <c r="A808" s="103" t="s">
        <v>2632</v>
      </c>
      <c r="B808" s="104" t="s">
        <v>2633</v>
      </c>
      <c r="C808" s="105" t="s">
        <v>20</v>
      </c>
      <c r="D808" s="105">
        <v>0</v>
      </c>
      <c r="E808" s="124" t="s">
        <v>523</v>
      </c>
      <c r="F808" s="125" t="str">
        <f t="shared" si="36"/>
        <v/>
      </c>
      <c r="G808" s="126" t="e">
        <f>IF(A808&lt;&gt;"",IF(AND(#REF!="Padrão",$H$4=#REF!),BDI!$B$17,IF(AND(#REF!="Padrão",$H$4=#REF!),BDI!#REF!,IF(AND(#REF!="Diferenciado",$H$4=#REF!),BDI!$E$17,IF(AND(#REF!="Diferenciado",$H$4=#REF!),BDI!#REF!,IF(#REF!="ZERO",0))))),"")</f>
        <v>#REF!</v>
      </c>
      <c r="H808" s="127" t="str">
        <f t="shared" si="37"/>
        <v/>
      </c>
      <c r="I808" s="125" t="str">
        <f t="shared" si="38"/>
        <v/>
      </c>
    </row>
    <row r="809" spans="1:9" hidden="1" x14ac:dyDescent="0.25">
      <c r="A809" s="103" t="s">
        <v>2634</v>
      </c>
      <c r="B809" s="104" t="s">
        <v>2635</v>
      </c>
      <c r="C809" s="105" t="s">
        <v>20</v>
      </c>
      <c r="D809" s="105">
        <v>0</v>
      </c>
      <c r="E809" s="124" t="s">
        <v>523</v>
      </c>
      <c r="F809" s="125" t="str">
        <f t="shared" si="36"/>
        <v/>
      </c>
      <c r="G809" s="126" t="e">
        <f>IF(A809&lt;&gt;"",IF(AND(#REF!="Padrão",$H$4=#REF!),BDI!$B$17,IF(AND(#REF!="Padrão",$H$4=#REF!),BDI!#REF!,IF(AND(#REF!="Diferenciado",$H$4=#REF!),BDI!$E$17,IF(AND(#REF!="Diferenciado",$H$4=#REF!),BDI!#REF!,IF(#REF!="ZERO",0))))),"")</f>
        <v>#REF!</v>
      </c>
      <c r="H809" s="127" t="str">
        <f t="shared" si="37"/>
        <v/>
      </c>
      <c r="I809" s="125" t="str">
        <f t="shared" si="38"/>
        <v/>
      </c>
    </row>
    <row r="810" spans="1:9" hidden="1" x14ac:dyDescent="0.25">
      <c r="A810" s="103" t="s">
        <v>2636</v>
      </c>
      <c r="B810" s="104" t="s">
        <v>2637</v>
      </c>
      <c r="C810" s="105" t="s">
        <v>20</v>
      </c>
      <c r="D810" s="105">
        <v>0</v>
      </c>
      <c r="E810" s="124" t="s">
        <v>523</v>
      </c>
      <c r="F810" s="125" t="str">
        <f t="shared" si="36"/>
        <v/>
      </c>
      <c r="G810" s="126" t="e">
        <f>IF(A810&lt;&gt;"",IF(AND(#REF!="Padrão",$H$4=#REF!),BDI!$B$17,IF(AND(#REF!="Padrão",$H$4=#REF!),BDI!#REF!,IF(AND(#REF!="Diferenciado",$H$4=#REF!),BDI!$E$17,IF(AND(#REF!="Diferenciado",$H$4=#REF!),BDI!#REF!,IF(#REF!="ZERO",0))))),"")</f>
        <v>#REF!</v>
      </c>
      <c r="H810" s="127" t="str">
        <f t="shared" si="37"/>
        <v/>
      </c>
      <c r="I810" s="125" t="str">
        <f t="shared" si="38"/>
        <v/>
      </c>
    </row>
    <row r="811" spans="1:9" hidden="1" x14ac:dyDescent="0.25">
      <c r="A811" s="103" t="s">
        <v>2638</v>
      </c>
      <c r="B811" s="104" t="s">
        <v>2639</v>
      </c>
      <c r="C811" s="105" t="s">
        <v>20</v>
      </c>
      <c r="D811" s="105">
        <v>0</v>
      </c>
      <c r="E811" s="124" t="s">
        <v>523</v>
      </c>
      <c r="F811" s="125" t="str">
        <f t="shared" si="36"/>
        <v/>
      </c>
      <c r="G811" s="126" t="e">
        <f>IF(A811&lt;&gt;"",IF(AND(#REF!="Padrão",$H$4=#REF!),BDI!$B$17,IF(AND(#REF!="Padrão",$H$4=#REF!),BDI!#REF!,IF(AND(#REF!="Diferenciado",$H$4=#REF!),BDI!$E$17,IF(AND(#REF!="Diferenciado",$H$4=#REF!),BDI!#REF!,IF(#REF!="ZERO",0))))),"")</f>
        <v>#REF!</v>
      </c>
      <c r="H811" s="127" t="str">
        <f t="shared" si="37"/>
        <v/>
      </c>
      <c r="I811" s="125" t="str">
        <f t="shared" si="38"/>
        <v/>
      </c>
    </row>
    <row r="812" spans="1:9" hidden="1" x14ac:dyDescent="0.25">
      <c r="A812" s="103" t="s">
        <v>2640</v>
      </c>
      <c r="B812" s="104" t="s">
        <v>2641</v>
      </c>
      <c r="C812" s="105" t="s">
        <v>20</v>
      </c>
      <c r="D812" s="105">
        <v>0</v>
      </c>
      <c r="E812" s="124" t="s">
        <v>523</v>
      </c>
      <c r="F812" s="125" t="str">
        <f t="shared" si="36"/>
        <v/>
      </c>
      <c r="G812" s="126" t="e">
        <f>IF(A812&lt;&gt;"",IF(AND(#REF!="Padrão",$H$4=#REF!),BDI!$B$17,IF(AND(#REF!="Padrão",$H$4=#REF!),BDI!#REF!,IF(AND(#REF!="Diferenciado",$H$4=#REF!),BDI!$E$17,IF(AND(#REF!="Diferenciado",$H$4=#REF!),BDI!#REF!,IF(#REF!="ZERO",0))))),"")</f>
        <v>#REF!</v>
      </c>
      <c r="H812" s="127" t="str">
        <f t="shared" si="37"/>
        <v/>
      </c>
      <c r="I812" s="125" t="str">
        <f t="shared" si="38"/>
        <v/>
      </c>
    </row>
    <row r="813" spans="1:9" hidden="1" x14ac:dyDescent="0.25">
      <c r="A813" s="103" t="s">
        <v>2642</v>
      </c>
      <c r="B813" s="104" t="s">
        <v>2643</v>
      </c>
      <c r="C813" s="105" t="s">
        <v>20</v>
      </c>
      <c r="D813" s="105">
        <v>0</v>
      </c>
      <c r="E813" s="124" t="s">
        <v>523</v>
      </c>
      <c r="F813" s="125" t="str">
        <f t="shared" si="36"/>
        <v/>
      </c>
      <c r="G813" s="126" t="e">
        <f>IF(A813&lt;&gt;"",IF(AND(#REF!="Padrão",$H$4=#REF!),BDI!$B$17,IF(AND(#REF!="Padrão",$H$4=#REF!),BDI!#REF!,IF(AND(#REF!="Diferenciado",$H$4=#REF!),BDI!$E$17,IF(AND(#REF!="Diferenciado",$H$4=#REF!),BDI!#REF!,IF(#REF!="ZERO",0))))),"")</f>
        <v>#REF!</v>
      </c>
      <c r="H813" s="127" t="str">
        <f t="shared" si="37"/>
        <v/>
      </c>
      <c r="I813" s="125" t="str">
        <f t="shared" si="38"/>
        <v/>
      </c>
    </row>
    <row r="814" spans="1:9" hidden="1" x14ac:dyDescent="0.25">
      <c r="A814" s="103" t="s">
        <v>2644</v>
      </c>
      <c r="B814" s="104" t="s">
        <v>2645</v>
      </c>
      <c r="C814" s="105" t="s">
        <v>20</v>
      </c>
      <c r="D814" s="105">
        <v>0</v>
      </c>
      <c r="E814" s="124" t="s">
        <v>523</v>
      </c>
      <c r="F814" s="125" t="str">
        <f t="shared" si="36"/>
        <v/>
      </c>
      <c r="G814" s="126" t="e">
        <f>IF(A814&lt;&gt;"",IF(AND(#REF!="Padrão",$H$4=#REF!),BDI!$B$17,IF(AND(#REF!="Padrão",$H$4=#REF!),BDI!#REF!,IF(AND(#REF!="Diferenciado",$H$4=#REF!),BDI!$E$17,IF(AND(#REF!="Diferenciado",$H$4=#REF!),BDI!#REF!,IF(#REF!="ZERO",0))))),"")</f>
        <v>#REF!</v>
      </c>
      <c r="H814" s="127" t="str">
        <f t="shared" si="37"/>
        <v/>
      </c>
      <c r="I814" s="125" t="str">
        <f t="shared" si="38"/>
        <v/>
      </c>
    </row>
    <row r="815" spans="1:9" hidden="1" x14ac:dyDescent="0.25">
      <c r="A815" s="103" t="s">
        <v>2646</v>
      </c>
      <c r="B815" s="104" t="s">
        <v>2647</v>
      </c>
      <c r="C815" s="105" t="s">
        <v>20</v>
      </c>
      <c r="D815" s="105">
        <v>0</v>
      </c>
      <c r="E815" s="124" t="s">
        <v>523</v>
      </c>
      <c r="F815" s="125" t="str">
        <f t="shared" si="36"/>
        <v/>
      </c>
      <c r="G815" s="126" t="e">
        <f>IF(A815&lt;&gt;"",IF(AND(#REF!="Padrão",$H$4=#REF!),BDI!$B$17,IF(AND(#REF!="Padrão",$H$4=#REF!),BDI!#REF!,IF(AND(#REF!="Diferenciado",$H$4=#REF!),BDI!$E$17,IF(AND(#REF!="Diferenciado",$H$4=#REF!),BDI!#REF!,IF(#REF!="ZERO",0))))),"")</f>
        <v>#REF!</v>
      </c>
      <c r="H815" s="127" t="str">
        <f t="shared" si="37"/>
        <v/>
      </c>
      <c r="I815" s="125" t="str">
        <f t="shared" si="38"/>
        <v/>
      </c>
    </row>
    <row r="816" spans="1:9" hidden="1" x14ac:dyDescent="0.25">
      <c r="A816" s="103" t="s">
        <v>2648</v>
      </c>
      <c r="B816" s="104" t="s">
        <v>2649</v>
      </c>
      <c r="C816" s="105" t="s">
        <v>20</v>
      </c>
      <c r="D816" s="105">
        <v>0</v>
      </c>
      <c r="E816" s="124" t="s">
        <v>523</v>
      </c>
      <c r="F816" s="125" t="str">
        <f t="shared" si="36"/>
        <v/>
      </c>
      <c r="G816" s="126" t="e">
        <f>IF(A816&lt;&gt;"",IF(AND(#REF!="Padrão",$H$4=#REF!),BDI!$B$17,IF(AND(#REF!="Padrão",$H$4=#REF!),BDI!#REF!,IF(AND(#REF!="Diferenciado",$H$4=#REF!),BDI!$E$17,IF(AND(#REF!="Diferenciado",$H$4=#REF!),BDI!#REF!,IF(#REF!="ZERO",0))))),"")</f>
        <v>#REF!</v>
      </c>
      <c r="H816" s="127" t="str">
        <f t="shared" si="37"/>
        <v/>
      </c>
      <c r="I816" s="125" t="str">
        <f t="shared" si="38"/>
        <v/>
      </c>
    </row>
    <row r="817" spans="1:9" hidden="1" x14ac:dyDescent="0.25">
      <c r="A817" s="103" t="s">
        <v>2650</v>
      </c>
      <c r="B817" s="104" t="s">
        <v>2651</v>
      </c>
      <c r="C817" s="105" t="s">
        <v>20</v>
      </c>
      <c r="D817" s="105">
        <v>0</v>
      </c>
      <c r="E817" s="124" t="s">
        <v>523</v>
      </c>
      <c r="F817" s="125" t="str">
        <f t="shared" si="36"/>
        <v/>
      </c>
      <c r="G817" s="126" t="e">
        <f>IF(A817&lt;&gt;"",IF(AND(#REF!="Padrão",$H$4=#REF!),BDI!$B$17,IF(AND(#REF!="Padrão",$H$4=#REF!),BDI!#REF!,IF(AND(#REF!="Diferenciado",$H$4=#REF!),BDI!$E$17,IF(AND(#REF!="Diferenciado",$H$4=#REF!),BDI!#REF!,IF(#REF!="ZERO",0))))),"")</f>
        <v>#REF!</v>
      </c>
      <c r="H817" s="127" t="str">
        <f t="shared" si="37"/>
        <v/>
      </c>
      <c r="I817" s="125" t="str">
        <f t="shared" si="38"/>
        <v/>
      </c>
    </row>
    <row r="818" spans="1:9" hidden="1" x14ac:dyDescent="0.25">
      <c r="A818" s="103" t="s">
        <v>2652</v>
      </c>
      <c r="B818" s="104" t="s">
        <v>2653</v>
      </c>
      <c r="C818" s="105" t="s">
        <v>20</v>
      </c>
      <c r="D818" s="105">
        <v>0</v>
      </c>
      <c r="E818" s="124" t="s">
        <v>523</v>
      </c>
      <c r="F818" s="125" t="str">
        <f t="shared" si="36"/>
        <v/>
      </c>
      <c r="G818" s="126" t="e">
        <f>IF(A818&lt;&gt;"",IF(AND(#REF!="Padrão",$H$4=#REF!),BDI!$B$17,IF(AND(#REF!="Padrão",$H$4=#REF!),BDI!#REF!,IF(AND(#REF!="Diferenciado",$H$4=#REF!),BDI!$E$17,IF(AND(#REF!="Diferenciado",$H$4=#REF!),BDI!#REF!,IF(#REF!="ZERO",0))))),"")</f>
        <v>#REF!</v>
      </c>
      <c r="H818" s="127" t="str">
        <f t="shared" si="37"/>
        <v/>
      </c>
      <c r="I818" s="125" t="str">
        <f t="shared" si="38"/>
        <v/>
      </c>
    </row>
    <row r="819" spans="1:9" hidden="1" x14ac:dyDescent="0.25">
      <c r="A819" s="103" t="s">
        <v>2654</v>
      </c>
      <c r="B819" s="104" t="s">
        <v>2655</v>
      </c>
      <c r="C819" s="105" t="s">
        <v>20</v>
      </c>
      <c r="D819" s="105">
        <v>0</v>
      </c>
      <c r="E819" s="124">
        <f ca="1">OFFSET(INDEX(Composições!A:J,MATCH(Orçamentária!A819,Composições!A:A,0),8),2,0)</f>
        <v>22.8095</v>
      </c>
      <c r="F819" s="125">
        <f t="shared" ca="1" si="36"/>
        <v>0</v>
      </c>
      <c r="G819" s="126" t="e">
        <f>IF(A819&lt;&gt;"",IF(AND(#REF!="Padrão",$H$4=#REF!),BDI!$B$17,IF(AND(#REF!="Padrão",$H$4=#REF!),BDI!#REF!,IF(AND(#REF!="Diferenciado",$H$4=#REF!),BDI!$E$17,IF(AND(#REF!="Diferenciado",$H$4=#REF!),BDI!#REF!,IF(#REF!="ZERO",0))))),"")</f>
        <v>#REF!</v>
      </c>
      <c r="H819" s="127" t="e">
        <f t="shared" ca="1" si="37"/>
        <v>#REF!</v>
      </c>
      <c r="I819" s="125" t="e">
        <f t="shared" ca="1" si="38"/>
        <v>#REF!</v>
      </c>
    </row>
    <row r="820" spans="1:9" hidden="1" x14ac:dyDescent="0.25">
      <c r="A820" s="103" t="s">
        <v>2656</v>
      </c>
      <c r="B820" s="104" t="s">
        <v>2657</v>
      </c>
      <c r="C820" s="105" t="s">
        <v>20</v>
      </c>
      <c r="D820" s="105">
        <v>0</v>
      </c>
      <c r="E820" s="124">
        <f ca="1">OFFSET(INDEX(Composições!A:J,MATCH(Orçamentária!A820,Composições!A:A,0),8),2,0)</f>
        <v>18.6295</v>
      </c>
      <c r="F820" s="125">
        <f t="shared" ca="1" si="36"/>
        <v>0</v>
      </c>
      <c r="G820" s="126" t="e">
        <f>IF(A820&lt;&gt;"",IF(AND(#REF!="Padrão",$H$4=#REF!),BDI!$B$17,IF(AND(#REF!="Padrão",$H$4=#REF!),BDI!#REF!,IF(AND(#REF!="Diferenciado",$H$4=#REF!),BDI!$E$17,IF(AND(#REF!="Diferenciado",$H$4=#REF!),BDI!#REF!,IF(#REF!="ZERO",0))))),"")</f>
        <v>#REF!</v>
      </c>
      <c r="H820" s="127" t="e">
        <f t="shared" ca="1" si="37"/>
        <v>#REF!</v>
      </c>
      <c r="I820" s="125" t="e">
        <f t="shared" ca="1" si="38"/>
        <v>#REF!</v>
      </c>
    </row>
    <row r="821" spans="1:9" hidden="1" x14ac:dyDescent="0.25">
      <c r="A821" s="103" t="s">
        <v>2658</v>
      </c>
      <c r="B821" s="104" t="s">
        <v>2659</v>
      </c>
      <c r="C821" s="105" t="s">
        <v>20</v>
      </c>
      <c r="D821" s="105">
        <v>0</v>
      </c>
      <c r="E821" s="124" t="s">
        <v>523</v>
      </c>
      <c r="F821" s="125" t="str">
        <f t="shared" si="36"/>
        <v/>
      </c>
      <c r="G821" s="126" t="e">
        <f>IF(A821&lt;&gt;"",IF(AND(#REF!="Padrão",$H$4=#REF!),BDI!$B$17,IF(AND(#REF!="Padrão",$H$4=#REF!),BDI!#REF!,IF(AND(#REF!="Diferenciado",$H$4=#REF!),BDI!$E$17,IF(AND(#REF!="Diferenciado",$H$4=#REF!),BDI!#REF!,IF(#REF!="ZERO",0))))),"")</f>
        <v>#REF!</v>
      </c>
      <c r="H821" s="127" t="str">
        <f t="shared" si="37"/>
        <v/>
      </c>
      <c r="I821" s="125" t="str">
        <f t="shared" si="38"/>
        <v/>
      </c>
    </row>
    <row r="822" spans="1:9" hidden="1" x14ac:dyDescent="0.25">
      <c r="A822" s="103" t="s">
        <v>2660</v>
      </c>
      <c r="B822" s="104" t="s">
        <v>2661</v>
      </c>
      <c r="C822" s="105" t="s">
        <v>20</v>
      </c>
      <c r="D822" s="105">
        <v>0</v>
      </c>
      <c r="E822" s="124" t="s">
        <v>523</v>
      </c>
      <c r="F822" s="125" t="str">
        <f t="shared" si="36"/>
        <v/>
      </c>
      <c r="G822" s="126" t="e">
        <f>IF(A822&lt;&gt;"",IF(AND(#REF!="Padrão",$H$4=#REF!),BDI!$B$17,IF(AND(#REF!="Padrão",$H$4=#REF!),BDI!#REF!,IF(AND(#REF!="Diferenciado",$H$4=#REF!),BDI!$E$17,IF(AND(#REF!="Diferenciado",$H$4=#REF!),BDI!#REF!,IF(#REF!="ZERO",0))))),"")</f>
        <v>#REF!</v>
      </c>
      <c r="H822" s="127" t="str">
        <f t="shared" si="37"/>
        <v/>
      </c>
      <c r="I822" s="125" t="str">
        <f t="shared" si="38"/>
        <v/>
      </c>
    </row>
    <row r="823" spans="1:9" hidden="1" x14ac:dyDescent="0.25">
      <c r="A823" s="103" t="s">
        <v>2662</v>
      </c>
      <c r="B823" s="104" t="s">
        <v>2663</v>
      </c>
      <c r="C823" s="105" t="s">
        <v>20</v>
      </c>
      <c r="D823" s="105">
        <v>0</v>
      </c>
      <c r="E823" s="124" t="s">
        <v>523</v>
      </c>
      <c r="F823" s="125" t="str">
        <f t="shared" si="36"/>
        <v/>
      </c>
      <c r="G823" s="126" t="e">
        <f>IF(A823&lt;&gt;"",IF(AND(#REF!="Padrão",$H$4=#REF!),BDI!$B$17,IF(AND(#REF!="Padrão",$H$4=#REF!),BDI!#REF!,IF(AND(#REF!="Diferenciado",$H$4=#REF!),BDI!$E$17,IF(AND(#REF!="Diferenciado",$H$4=#REF!),BDI!#REF!,IF(#REF!="ZERO",0))))),"")</f>
        <v>#REF!</v>
      </c>
      <c r="H823" s="127" t="str">
        <f t="shared" si="37"/>
        <v/>
      </c>
      <c r="I823" s="125" t="str">
        <f t="shared" si="38"/>
        <v/>
      </c>
    </row>
    <row r="824" spans="1:9" hidden="1" x14ac:dyDescent="0.25">
      <c r="A824" s="103" t="s">
        <v>2664</v>
      </c>
      <c r="B824" s="104" t="s">
        <v>2665</v>
      </c>
      <c r="C824" s="105" t="s">
        <v>20</v>
      </c>
      <c r="D824" s="105">
        <v>0</v>
      </c>
      <c r="E824" s="124" t="s">
        <v>523</v>
      </c>
      <c r="F824" s="125" t="str">
        <f t="shared" si="36"/>
        <v/>
      </c>
      <c r="G824" s="126" t="e">
        <f>IF(A824&lt;&gt;"",IF(AND(#REF!="Padrão",$H$4=#REF!),BDI!$B$17,IF(AND(#REF!="Padrão",$H$4=#REF!),BDI!#REF!,IF(AND(#REF!="Diferenciado",$H$4=#REF!),BDI!$E$17,IF(AND(#REF!="Diferenciado",$H$4=#REF!),BDI!#REF!,IF(#REF!="ZERO",0))))),"")</f>
        <v>#REF!</v>
      </c>
      <c r="H824" s="127" t="str">
        <f t="shared" si="37"/>
        <v/>
      </c>
      <c r="I824" s="125" t="str">
        <f t="shared" si="38"/>
        <v/>
      </c>
    </row>
    <row r="825" spans="1:9" hidden="1" x14ac:dyDescent="0.25">
      <c r="A825" s="103" t="s">
        <v>2666</v>
      </c>
      <c r="B825" s="104" t="s">
        <v>2667</v>
      </c>
      <c r="C825" s="105" t="s">
        <v>20</v>
      </c>
      <c r="D825" s="105">
        <v>0</v>
      </c>
      <c r="E825" s="124" t="s">
        <v>523</v>
      </c>
      <c r="F825" s="125" t="str">
        <f t="shared" si="36"/>
        <v/>
      </c>
      <c r="G825" s="126" t="e">
        <f>IF(A825&lt;&gt;"",IF(AND(#REF!="Padrão",$H$4=#REF!),BDI!$B$17,IF(AND(#REF!="Padrão",$H$4=#REF!),BDI!#REF!,IF(AND(#REF!="Diferenciado",$H$4=#REF!),BDI!$E$17,IF(AND(#REF!="Diferenciado",$H$4=#REF!),BDI!#REF!,IF(#REF!="ZERO",0))))),"")</f>
        <v>#REF!</v>
      </c>
      <c r="H825" s="127" t="str">
        <f t="shared" si="37"/>
        <v/>
      </c>
      <c r="I825" s="125" t="str">
        <f t="shared" si="38"/>
        <v/>
      </c>
    </row>
    <row r="826" spans="1:9" hidden="1" x14ac:dyDescent="0.25">
      <c r="A826" s="103" t="s">
        <v>2668</v>
      </c>
      <c r="B826" s="104" t="s">
        <v>2669</v>
      </c>
      <c r="C826" s="105" t="s">
        <v>2670</v>
      </c>
      <c r="D826" s="105">
        <v>0</v>
      </c>
      <c r="E826" s="124" t="s">
        <v>523</v>
      </c>
      <c r="F826" s="125" t="str">
        <f t="shared" si="36"/>
        <v/>
      </c>
      <c r="G826" s="126" t="e">
        <f>IF(A826&lt;&gt;"",IF(AND(#REF!="Padrão",$H$4=#REF!),BDI!$B$17,IF(AND(#REF!="Padrão",$H$4=#REF!),BDI!#REF!,IF(AND(#REF!="Diferenciado",$H$4=#REF!),BDI!$E$17,IF(AND(#REF!="Diferenciado",$H$4=#REF!),BDI!#REF!,IF(#REF!="ZERO",0))))),"")</f>
        <v>#REF!</v>
      </c>
      <c r="H826" s="127" t="str">
        <f t="shared" si="37"/>
        <v/>
      </c>
      <c r="I826" s="125" t="str">
        <f t="shared" si="38"/>
        <v/>
      </c>
    </row>
    <row r="827" spans="1:9" hidden="1" x14ac:dyDescent="0.25">
      <c r="A827" s="103" t="s">
        <v>2671</v>
      </c>
      <c r="B827" s="104" t="s">
        <v>6303</v>
      </c>
      <c r="C827" s="105" t="s">
        <v>20</v>
      </c>
      <c r="D827" s="105">
        <v>0</v>
      </c>
      <c r="E827" s="124" t="s">
        <v>523</v>
      </c>
      <c r="F827" s="125" t="str">
        <f t="shared" si="36"/>
        <v/>
      </c>
      <c r="G827" s="126" t="e">
        <f>IF(A827&lt;&gt;"",IF(AND(#REF!="Padrão",$H$4=#REF!),BDI!$B$17,IF(AND(#REF!="Padrão",$H$4=#REF!),BDI!#REF!,IF(AND(#REF!="Diferenciado",$H$4=#REF!),BDI!$E$17,IF(AND(#REF!="Diferenciado",$H$4=#REF!),BDI!#REF!,IF(#REF!="ZERO",0))))),"")</f>
        <v>#REF!</v>
      </c>
      <c r="H827" s="127" t="str">
        <f t="shared" si="37"/>
        <v/>
      </c>
      <c r="I827" s="125" t="str">
        <f t="shared" si="38"/>
        <v/>
      </c>
    </row>
    <row r="828" spans="1:9" ht="25.5" hidden="1" x14ac:dyDescent="0.25">
      <c r="A828" s="103" t="s">
        <v>2672</v>
      </c>
      <c r="B828" s="104" t="s">
        <v>2673</v>
      </c>
      <c r="C828" s="105" t="s">
        <v>2674</v>
      </c>
      <c r="D828" s="105">
        <v>0</v>
      </c>
      <c r="E828" s="124" t="s">
        <v>523</v>
      </c>
      <c r="F828" s="125" t="str">
        <f t="shared" si="36"/>
        <v/>
      </c>
      <c r="G828" s="126" t="e">
        <f>IF(A828&lt;&gt;"",IF(AND(#REF!="Padrão",$H$4=#REF!),BDI!$B$17,IF(AND(#REF!="Padrão",$H$4=#REF!),BDI!#REF!,IF(AND(#REF!="Diferenciado",$H$4=#REF!),BDI!$E$17,IF(AND(#REF!="Diferenciado",$H$4=#REF!),BDI!#REF!,IF(#REF!="ZERO",0))))),"")</f>
        <v>#REF!</v>
      </c>
      <c r="H828" s="127" t="str">
        <f t="shared" si="37"/>
        <v/>
      </c>
      <c r="I828" s="125" t="str">
        <f t="shared" si="38"/>
        <v/>
      </c>
    </row>
    <row r="829" spans="1:9" ht="25.5" hidden="1" x14ac:dyDescent="0.25">
      <c r="A829" s="103" t="s">
        <v>2675</v>
      </c>
      <c r="B829" s="104" t="s">
        <v>2676</v>
      </c>
      <c r="C829" s="105" t="s">
        <v>2674</v>
      </c>
      <c r="D829" s="105">
        <v>0</v>
      </c>
      <c r="E829" s="124" t="s">
        <v>523</v>
      </c>
      <c r="F829" s="125" t="str">
        <f t="shared" si="36"/>
        <v/>
      </c>
      <c r="G829" s="126" t="e">
        <f>IF(A829&lt;&gt;"",IF(AND(#REF!="Padrão",$H$4=#REF!),BDI!$B$17,IF(AND(#REF!="Padrão",$H$4=#REF!),BDI!#REF!,IF(AND(#REF!="Diferenciado",$H$4=#REF!),BDI!$E$17,IF(AND(#REF!="Diferenciado",$H$4=#REF!),BDI!#REF!,IF(#REF!="ZERO",0))))),"")</f>
        <v>#REF!</v>
      </c>
      <c r="H829" s="127" t="str">
        <f t="shared" si="37"/>
        <v/>
      </c>
      <c r="I829" s="125" t="str">
        <f t="shared" si="38"/>
        <v/>
      </c>
    </row>
    <row r="830" spans="1:9" hidden="1" x14ac:dyDescent="0.25">
      <c r="A830" s="103" t="s">
        <v>2677</v>
      </c>
      <c r="B830" s="104" t="s">
        <v>6304</v>
      </c>
      <c r="C830" s="105" t="s">
        <v>20</v>
      </c>
      <c r="D830" s="105">
        <v>0</v>
      </c>
      <c r="E830" s="124" t="s">
        <v>523</v>
      </c>
      <c r="F830" s="125" t="str">
        <f t="shared" si="36"/>
        <v/>
      </c>
      <c r="G830" s="126" t="e">
        <f>IF(A830&lt;&gt;"",IF(AND(#REF!="Padrão",$H$4=#REF!),BDI!$B$17,IF(AND(#REF!="Padrão",$H$4=#REF!),BDI!#REF!,IF(AND(#REF!="Diferenciado",$H$4=#REF!),BDI!$E$17,IF(AND(#REF!="Diferenciado",$H$4=#REF!),BDI!#REF!,IF(#REF!="ZERO",0))))),"")</f>
        <v>#REF!</v>
      </c>
      <c r="H830" s="127" t="str">
        <f t="shared" si="37"/>
        <v/>
      </c>
      <c r="I830" s="125" t="str">
        <f t="shared" si="38"/>
        <v/>
      </c>
    </row>
    <row r="831" spans="1:9" hidden="1" x14ac:dyDescent="0.25">
      <c r="A831" s="103" t="s">
        <v>2678</v>
      </c>
      <c r="B831" s="104" t="s">
        <v>2679</v>
      </c>
      <c r="C831" s="105" t="s">
        <v>2674</v>
      </c>
      <c r="D831" s="105">
        <v>0</v>
      </c>
      <c r="E831" s="124" t="s">
        <v>523</v>
      </c>
      <c r="F831" s="125" t="str">
        <f t="shared" si="36"/>
        <v/>
      </c>
      <c r="G831" s="126" t="e">
        <f>IF(A831&lt;&gt;"",IF(AND(#REF!="Padrão",$H$4=#REF!),BDI!$B$17,IF(AND(#REF!="Padrão",$H$4=#REF!),BDI!#REF!,IF(AND(#REF!="Diferenciado",$H$4=#REF!),BDI!$E$17,IF(AND(#REF!="Diferenciado",$H$4=#REF!),BDI!#REF!,IF(#REF!="ZERO",0))))),"")</f>
        <v>#REF!</v>
      </c>
      <c r="H831" s="127" t="str">
        <f t="shared" si="37"/>
        <v/>
      </c>
      <c r="I831" s="125" t="str">
        <f t="shared" si="38"/>
        <v/>
      </c>
    </row>
    <row r="832" spans="1:9" hidden="1" x14ac:dyDescent="0.25">
      <c r="A832" s="103" t="s">
        <v>2680</v>
      </c>
      <c r="B832" s="104" t="s">
        <v>6305</v>
      </c>
      <c r="C832" s="105" t="s">
        <v>1924</v>
      </c>
      <c r="D832" s="105">
        <v>0</v>
      </c>
      <c r="E832" s="124" t="s">
        <v>523</v>
      </c>
      <c r="F832" s="125" t="str">
        <f t="shared" si="36"/>
        <v/>
      </c>
      <c r="G832" s="126" t="e">
        <f>IF(A832&lt;&gt;"",IF(AND(#REF!="Padrão",$H$4=#REF!),BDI!$B$17,IF(AND(#REF!="Padrão",$H$4=#REF!),BDI!#REF!,IF(AND(#REF!="Diferenciado",$H$4=#REF!),BDI!$E$17,IF(AND(#REF!="Diferenciado",$H$4=#REF!),BDI!#REF!,IF(#REF!="ZERO",0))))),"")</f>
        <v>#REF!</v>
      </c>
      <c r="H832" s="127" t="str">
        <f t="shared" si="37"/>
        <v/>
      </c>
      <c r="I832" s="125" t="str">
        <f t="shared" si="38"/>
        <v/>
      </c>
    </row>
    <row r="833" spans="1:9" hidden="1" x14ac:dyDescent="0.25">
      <c r="A833" s="103" t="s">
        <v>2681</v>
      </c>
      <c r="B833" s="104" t="s">
        <v>6306</v>
      </c>
      <c r="C833" s="105" t="s">
        <v>1924</v>
      </c>
      <c r="D833" s="105">
        <v>0</v>
      </c>
      <c r="E833" s="124">
        <f ca="1">OFFSET(INDEX(Composições!A:J,MATCH(Orçamentária!A833,Composições!A:A,0),8),2,0)</f>
        <v>42.645499999999998</v>
      </c>
      <c r="F833" s="125">
        <f t="shared" ca="1" si="36"/>
        <v>0</v>
      </c>
      <c r="G833" s="126" t="e">
        <f>IF(A833&lt;&gt;"",IF(AND(#REF!="Padrão",$H$4=#REF!),BDI!$B$17,IF(AND(#REF!="Padrão",$H$4=#REF!),BDI!#REF!,IF(AND(#REF!="Diferenciado",$H$4=#REF!),BDI!$E$17,IF(AND(#REF!="Diferenciado",$H$4=#REF!),BDI!#REF!,IF(#REF!="ZERO",0))))),"")</f>
        <v>#REF!</v>
      </c>
      <c r="H833" s="127" t="e">
        <f t="shared" ca="1" si="37"/>
        <v>#REF!</v>
      </c>
      <c r="I833" s="125" t="e">
        <f t="shared" ca="1" si="38"/>
        <v>#REF!</v>
      </c>
    </row>
    <row r="834" spans="1:9" hidden="1" x14ac:dyDescent="0.25">
      <c r="A834" s="103" t="s">
        <v>2682</v>
      </c>
      <c r="B834" s="104" t="s">
        <v>2683</v>
      </c>
      <c r="C834" s="105" t="s">
        <v>20</v>
      </c>
      <c r="D834" s="105">
        <v>0</v>
      </c>
      <c r="E834" s="124">
        <f ca="1">OFFSET(INDEX(Composições!A:J,MATCH(Orçamentária!A834,Composições!A:A,0),8),2,0)</f>
        <v>19.247</v>
      </c>
      <c r="F834" s="125">
        <f t="shared" ca="1" si="36"/>
        <v>0</v>
      </c>
      <c r="G834" s="126" t="e">
        <f>IF(A834&lt;&gt;"",IF(AND(#REF!="Padrão",$H$4=#REF!),BDI!$B$17,IF(AND(#REF!="Padrão",$H$4=#REF!),BDI!#REF!,IF(AND(#REF!="Diferenciado",$H$4=#REF!),BDI!$E$17,IF(AND(#REF!="Diferenciado",$H$4=#REF!),BDI!#REF!,IF(#REF!="ZERO",0))))),"")</f>
        <v>#REF!</v>
      </c>
      <c r="H834" s="127" t="e">
        <f t="shared" ca="1" si="37"/>
        <v>#REF!</v>
      </c>
      <c r="I834" s="125" t="e">
        <f t="shared" ca="1" si="38"/>
        <v>#REF!</v>
      </c>
    </row>
    <row r="835" spans="1:9" hidden="1" x14ac:dyDescent="0.25">
      <c r="A835" s="103" t="s">
        <v>2684</v>
      </c>
      <c r="B835" s="104" t="s">
        <v>2685</v>
      </c>
      <c r="C835" s="105" t="s">
        <v>20</v>
      </c>
      <c r="D835" s="105">
        <v>0</v>
      </c>
      <c r="E835" s="124" t="s">
        <v>523</v>
      </c>
      <c r="F835" s="125" t="str">
        <f t="shared" si="36"/>
        <v/>
      </c>
      <c r="G835" s="126" t="e">
        <f>IF(A835&lt;&gt;"",IF(AND(#REF!="Padrão",$H$4=#REF!),BDI!$B$17,IF(AND(#REF!="Padrão",$H$4=#REF!),BDI!#REF!,IF(AND(#REF!="Diferenciado",$H$4=#REF!),BDI!$E$17,IF(AND(#REF!="Diferenciado",$H$4=#REF!),BDI!#REF!,IF(#REF!="ZERO",0))))),"")</f>
        <v>#REF!</v>
      </c>
      <c r="H835" s="127" t="str">
        <f t="shared" si="37"/>
        <v/>
      </c>
      <c r="I835" s="125" t="str">
        <f t="shared" si="38"/>
        <v/>
      </c>
    </row>
    <row r="836" spans="1:9" hidden="1" x14ac:dyDescent="0.25">
      <c r="A836" s="103" t="s">
        <v>2686</v>
      </c>
      <c r="B836" s="104" t="s">
        <v>2687</v>
      </c>
      <c r="C836" s="105" t="s">
        <v>20</v>
      </c>
      <c r="D836" s="105">
        <v>0</v>
      </c>
      <c r="E836" s="124" t="s">
        <v>523</v>
      </c>
      <c r="F836" s="125" t="str">
        <f t="shared" si="36"/>
        <v/>
      </c>
      <c r="G836" s="126" t="e">
        <f>IF(A836&lt;&gt;"",IF(AND(#REF!="Padrão",$H$4=#REF!),BDI!$B$17,IF(AND(#REF!="Padrão",$H$4=#REF!),BDI!#REF!,IF(AND(#REF!="Diferenciado",$H$4=#REF!),BDI!$E$17,IF(AND(#REF!="Diferenciado",$H$4=#REF!),BDI!#REF!,IF(#REF!="ZERO",0))))),"")</f>
        <v>#REF!</v>
      </c>
      <c r="H836" s="127" t="str">
        <f t="shared" si="37"/>
        <v/>
      </c>
      <c r="I836" s="125" t="str">
        <f t="shared" si="38"/>
        <v/>
      </c>
    </row>
    <row r="837" spans="1:9" hidden="1" x14ac:dyDescent="0.25">
      <c r="A837" s="103" t="s">
        <v>2688</v>
      </c>
      <c r="B837" s="104" t="s">
        <v>2689</v>
      </c>
      <c r="C837" s="105" t="s">
        <v>2674</v>
      </c>
      <c r="D837" s="105">
        <v>0</v>
      </c>
      <c r="E837" s="124" t="s">
        <v>523</v>
      </c>
      <c r="F837" s="125" t="str">
        <f t="shared" si="36"/>
        <v/>
      </c>
      <c r="G837" s="126" t="e">
        <f>IF(A837&lt;&gt;"",IF(AND(#REF!="Padrão",$H$4=#REF!),BDI!$B$17,IF(AND(#REF!="Padrão",$H$4=#REF!),BDI!#REF!,IF(AND(#REF!="Diferenciado",$H$4=#REF!),BDI!$E$17,IF(AND(#REF!="Diferenciado",$H$4=#REF!),BDI!#REF!,IF(#REF!="ZERO",0))))),"")</f>
        <v>#REF!</v>
      </c>
      <c r="H837" s="127" t="str">
        <f t="shared" si="37"/>
        <v/>
      </c>
      <c r="I837" s="125" t="str">
        <f t="shared" si="38"/>
        <v/>
      </c>
    </row>
    <row r="838" spans="1:9" hidden="1" x14ac:dyDescent="0.25">
      <c r="A838" s="103" t="s">
        <v>2690</v>
      </c>
      <c r="B838" s="104" t="s">
        <v>2691</v>
      </c>
      <c r="C838" s="105" t="s">
        <v>2674</v>
      </c>
      <c r="D838" s="105">
        <v>0</v>
      </c>
      <c r="E838" s="124" t="s">
        <v>523</v>
      </c>
      <c r="F838" s="125" t="str">
        <f t="shared" si="36"/>
        <v/>
      </c>
      <c r="G838" s="126" t="e">
        <f>IF(A838&lt;&gt;"",IF(AND(#REF!="Padrão",$H$4=#REF!),BDI!$B$17,IF(AND(#REF!="Padrão",$H$4=#REF!),BDI!#REF!,IF(AND(#REF!="Diferenciado",$H$4=#REF!),BDI!$E$17,IF(AND(#REF!="Diferenciado",$H$4=#REF!),BDI!#REF!,IF(#REF!="ZERO",0))))),"")</f>
        <v>#REF!</v>
      </c>
      <c r="H838" s="127" t="str">
        <f t="shared" si="37"/>
        <v/>
      </c>
      <c r="I838" s="125" t="str">
        <f t="shared" si="38"/>
        <v/>
      </c>
    </row>
    <row r="839" spans="1:9" hidden="1" x14ac:dyDescent="0.25">
      <c r="A839" s="103" t="s">
        <v>2692</v>
      </c>
      <c r="B839" s="104" t="s">
        <v>2693</v>
      </c>
      <c r="C839" s="105" t="s">
        <v>1924</v>
      </c>
      <c r="D839" s="105">
        <v>0</v>
      </c>
      <c r="E839" s="124" t="s">
        <v>523</v>
      </c>
      <c r="F839" s="125" t="str">
        <f t="shared" ref="F839:F902" si="39">IF(ISNUMBER(E839),D839*E839,"")</f>
        <v/>
      </c>
      <c r="G839" s="126" t="e">
        <f>IF(A839&lt;&gt;"",IF(AND(#REF!="Padrão",$H$4=#REF!),BDI!$B$17,IF(AND(#REF!="Padrão",$H$4=#REF!),BDI!#REF!,IF(AND(#REF!="Diferenciado",$H$4=#REF!),BDI!$E$17,IF(AND(#REF!="Diferenciado",$H$4=#REF!),BDI!#REF!,IF(#REF!="ZERO",0))))),"")</f>
        <v>#REF!</v>
      </c>
      <c r="H839" s="127" t="str">
        <f t="shared" ref="H839:H902" si="40">IF(ISNUMBER(E839),ROUND(E839*(1+G839),2),"")</f>
        <v/>
      </c>
      <c r="I839" s="125" t="str">
        <f t="shared" ref="I839:I902" si="41">IF(ISNUMBER(E839),ROUND(H839*D839,2),"")</f>
        <v/>
      </c>
    </row>
    <row r="840" spans="1:9" hidden="1" x14ac:dyDescent="0.25">
      <c r="A840" s="103" t="s">
        <v>2694</v>
      </c>
      <c r="B840" s="104" t="s">
        <v>2695</v>
      </c>
      <c r="C840" s="105" t="s">
        <v>2674</v>
      </c>
      <c r="D840" s="105">
        <v>0</v>
      </c>
      <c r="E840" s="124" t="s">
        <v>523</v>
      </c>
      <c r="F840" s="125" t="str">
        <f t="shared" si="39"/>
        <v/>
      </c>
      <c r="G840" s="126" t="e">
        <f>IF(A840&lt;&gt;"",IF(AND(#REF!="Padrão",$H$4=#REF!),BDI!$B$17,IF(AND(#REF!="Padrão",$H$4=#REF!),BDI!#REF!,IF(AND(#REF!="Diferenciado",$H$4=#REF!),BDI!$E$17,IF(AND(#REF!="Diferenciado",$H$4=#REF!),BDI!#REF!,IF(#REF!="ZERO",0))))),"")</f>
        <v>#REF!</v>
      </c>
      <c r="H840" s="127" t="str">
        <f t="shared" si="40"/>
        <v/>
      </c>
      <c r="I840" s="125" t="str">
        <f t="shared" si="41"/>
        <v/>
      </c>
    </row>
    <row r="841" spans="1:9" hidden="1" x14ac:dyDescent="0.25">
      <c r="A841" s="103" t="s">
        <v>2696</v>
      </c>
      <c r="B841" s="104" t="s">
        <v>6307</v>
      </c>
      <c r="C841" s="105" t="s">
        <v>20</v>
      </c>
      <c r="D841" s="105">
        <v>0</v>
      </c>
      <c r="E841" s="124" t="s">
        <v>523</v>
      </c>
      <c r="F841" s="125" t="str">
        <f t="shared" si="39"/>
        <v/>
      </c>
      <c r="G841" s="126" t="e">
        <f>IF(A841&lt;&gt;"",IF(AND(#REF!="Padrão",$H$4=#REF!),BDI!$B$17,IF(AND(#REF!="Padrão",$H$4=#REF!),BDI!#REF!,IF(AND(#REF!="Diferenciado",$H$4=#REF!),BDI!$E$17,IF(AND(#REF!="Diferenciado",$H$4=#REF!),BDI!#REF!,IF(#REF!="ZERO",0))))),"")</f>
        <v>#REF!</v>
      </c>
      <c r="H841" s="127" t="str">
        <f t="shared" si="40"/>
        <v/>
      </c>
      <c r="I841" s="125" t="str">
        <f t="shared" si="41"/>
        <v/>
      </c>
    </row>
    <row r="842" spans="1:9" hidden="1" x14ac:dyDescent="0.25">
      <c r="A842" s="103" t="s">
        <v>2697</v>
      </c>
      <c r="B842" s="104" t="s">
        <v>6367</v>
      </c>
      <c r="C842" s="105" t="s">
        <v>20</v>
      </c>
      <c r="D842" s="105">
        <v>0</v>
      </c>
      <c r="E842" s="124" t="s">
        <v>523</v>
      </c>
      <c r="F842" s="125" t="str">
        <f t="shared" si="39"/>
        <v/>
      </c>
      <c r="G842" s="126" t="e">
        <f>IF(A842&lt;&gt;"",IF(AND(#REF!="Padrão",$H$4=#REF!),BDI!$B$17,IF(AND(#REF!="Padrão",$H$4=#REF!),BDI!#REF!,IF(AND(#REF!="Diferenciado",$H$4=#REF!),BDI!$E$17,IF(AND(#REF!="Diferenciado",$H$4=#REF!),BDI!#REF!,IF(#REF!="ZERO",0))))),"")</f>
        <v>#REF!</v>
      </c>
      <c r="H842" s="127" t="str">
        <f t="shared" si="40"/>
        <v/>
      </c>
      <c r="I842" s="125" t="str">
        <f t="shared" si="41"/>
        <v/>
      </c>
    </row>
    <row r="843" spans="1:9" hidden="1" x14ac:dyDescent="0.25">
      <c r="A843" s="103" t="s">
        <v>2698</v>
      </c>
      <c r="B843" s="104" t="s">
        <v>2699</v>
      </c>
      <c r="C843" s="105" t="s">
        <v>20</v>
      </c>
      <c r="D843" s="105">
        <v>0</v>
      </c>
      <c r="E843" s="124" t="s">
        <v>523</v>
      </c>
      <c r="F843" s="125" t="str">
        <f t="shared" si="39"/>
        <v/>
      </c>
      <c r="G843" s="126" t="e">
        <f>IF(A843&lt;&gt;"",IF(AND(#REF!="Padrão",$H$4=#REF!),BDI!$B$17,IF(AND(#REF!="Padrão",$H$4=#REF!),BDI!#REF!,IF(AND(#REF!="Diferenciado",$H$4=#REF!),BDI!$E$17,IF(AND(#REF!="Diferenciado",$H$4=#REF!),BDI!#REF!,IF(#REF!="ZERO",0))))),"")</f>
        <v>#REF!</v>
      </c>
      <c r="H843" s="127" t="str">
        <f t="shared" si="40"/>
        <v/>
      </c>
      <c r="I843" s="125" t="str">
        <f t="shared" si="41"/>
        <v/>
      </c>
    </row>
    <row r="844" spans="1:9" hidden="1" x14ac:dyDescent="0.25">
      <c r="A844" s="103" t="s">
        <v>2700</v>
      </c>
      <c r="B844" s="104" t="s">
        <v>6368</v>
      </c>
      <c r="C844" s="105" t="s">
        <v>20</v>
      </c>
      <c r="D844" s="105">
        <v>0</v>
      </c>
      <c r="E844" s="124" t="s">
        <v>523</v>
      </c>
      <c r="F844" s="125" t="str">
        <f t="shared" si="39"/>
        <v/>
      </c>
      <c r="G844" s="126" t="e">
        <f>IF(A844&lt;&gt;"",IF(AND(#REF!="Padrão",$H$4=#REF!),BDI!$B$17,IF(AND(#REF!="Padrão",$H$4=#REF!),BDI!#REF!,IF(AND(#REF!="Diferenciado",$H$4=#REF!),BDI!$E$17,IF(AND(#REF!="Diferenciado",$H$4=#REF!),BDI!#REF!,IF(#REF!="ZERO",0))))),"")</f>
        <v>#REF!</v>
      </c>
      <c r="H844" s="127" t="str">
        <f t="shared" si="40"/>
        <v/>
      </c>
      <c r="I844" s="125" t="str">
        <f t="shared" si="41"/>
        <v/>
      </c>
    </row>
    <row r="845" spans="1:9" hidden="1" x14ac:dyDescent="0.25">
      <c r="A845" s="103" t="s">
        <v>2701</v>
      </c>
      <c r="B845" s="104" t="s">
        <v>2702</v>
      </c>
      <c r="C845" s="105" t="s">
        <v>20</v>
      </c>
      <c r="D845" s="105">
        <v>0</v>
      </c>
      <c r="E845" s="124">
        <f ca="1">OFFSET(INDEX(Composições!A:J,MATCH(Orçamentária!A845,Composições!A:A,0),8),2,0)</f>
        <v>198.08449999999999</v>
      </c>
      <c r="F845" s="125">
        <f t="shared" ca="1" si="39"/>
        <v>0</v>
      </c>
      <c r="G845" s="126" t="e">
        <f>IF(A845&lt;&gt;"",IF(AND(#REF!="Padrão",$H$4=#REF!),BDI!$B$17,IF(AND(#REF!="Padrão",$H$4=#REF!),BDI!#REF!,IF(AND(#REF!="Diferenciado",$H$4=#REF!),BDI!$E$17,IF(AND(#REF!="Diferenciado",$H$4=#REF!),BDI!#REF!,IF(#REF!="ZERO",0))))),"")</f>
        <v>#REF!</v>
      </c>
      <c r="H845" s="127" t="e">
        <f t="shared" ca="1" si="40"/>
        <v>#REF!</v>
      </c>
      <c r="I845" s="125" t="e">
        <f t="shared" ca="1" si="41"/>
        <v>#REF!</v>
      </c>
    </row>
    <row r="846" spans="1:9" hidden="1" x14ac:dyDescent="0.25">
      <c r="A846" s="103" t="s">
        <v>2703</v>
      </c>
      <c r="B846" s="104" t="s">
        <v>6369</v>
      </c>
      <c r="C846" s="105" t="s">
        <v>20</v>
      </c>
      <c r="D846" s="105">
        <v>0</v>
      </c>
      <c r="E846" s="124">
        <f ca="1">OFFSET(INDEX(Composições!A:J,MATCH(Orçamentária!A846,Composições!A:A,0),8),2,0)</f>
        <v>174.02099999999999</v>
      </c>
      <c r="F846" s="125">
        <f t="shared" ca="1" si="39"/>
        <v>0</v>
      </c>
      <c r="G846" s="126" t="e">
        <f>IF(A846&lt;&gt;"",IF(AND(#REF!="Padrão",$H$4=#REF!),BDI!$B$17,IF(AND(#REF!="Padrão",$H$4=#REF!),BDI!#REF!,IF(AND(#REF!="Diferenciado",$H$4=#REF!),BDI!$E$17,IF(AND(#REF!="Diferenciado",$H$4=#REF!),BDI!#REF!,IF(#REF!="ZERO",0))))),"")</f>
        <v>#REF!</v>
      </c>
      <c r="H846" s="127" t="e">
        <f t="shared" ca="1" si="40"/>
        <v>#REF!</v>
      </c>
      <c r="I846" s="125" t="e">
        <f t="shared" ca="1" si="41"/>
        <v>#REF!</v>
      </c>
    </row>
    <row r="847" spans="1:9" hidden="1" x14ac:dyDescent="0.25">
      <c r="A847" s="103" t="s">
        <v>2704</v>
      </c>
      <c r="B847" s="104" t="s">
        <v>6370</v>
      </c>
      <c r="C847" s="105" t="s">
        <v>20</v>
      </c>
      <c r="D847" s="105">
        <v>0</v>
      </c>
      <c r="E847" s="124" t="s">
        <v>523</v>
      </c>
      <c r="F847" s="125" t="str">
        <f t="shared" si="39"/>
        <v/>
      </c>
      <c r="G847" s="126" t="e">
        <f>IF(A847&lt;&gt;"",IF(AND(#REF!="Padrão",$H$4=#REF!),BDI!$B$17,IF(AND(#REF!="Padrão",$H$4=#REF!),BDI!#REF!,IF(AND(#REF!="Diferenciado",$H$4=#REF!),BDI!$E$17,IF(AND(#REF!="Diferenciado",$H$4=#REF!),BDI!#REF!,IF(#REF!="ZERO",0))))),"")</f>
        <v>#REF!</v>
      </c>
      <c r="H847" s="127" t="str">
        <f t="shared" si="40"/>
        <v/>
      </c>
      <c r="I847" s="125" t="str">
        <f t="shared" si="41"/>
        <v/>
      </c>
    </row>
    <row r="848" spans="1:9" hidden="1" x14ac:dyDescent="0.25">
      <c r="A848" s="103" t="s">
        <v>2705</v>
      </c>
      <c r="B848" s="104" t="s">
        <v>2706</v>
      </c>
      <c r="C848" s="105" t="s">
        <v>2674</v>
      </c>
      <c r="D848" s="105">
        <v>0</v>
      </c>
      <c r="E848" s="124" t="s">
        <v>523</v>
      </c>
      <c r="F848" s="125" t="str">
        <f t="shared" si="39"/>
        <v/>
      </c>
      <c r="G848" s="126" t="e">
        <f>IF(A848&lt;&gt;"",IF(AND(#REF!="Padrão",$H$4=#REF!),BDI!$B$17,IF(AND(#REF!="Padrão",$H$4=#REF!),BDI!#REF!,IF(AND(#REF!="Diferenciado",$H$4=#REF!),BDI!$E$17,IF(AND(#REF!="Diferenciado",$H$4=#REF!),BDI!#REF!,IF(#REF!="ZERO",0))))),"")</f>
        <v>#REF!</v>
      </c>
      <c r="H848" s="127" t="str">
        <f t="shared" si="40"/>
        <v/>
      </c>
      <c r="I848" s="125" t="str">
        <f t="shared" si="41"/>
        <v/>
      </c>
    </row>
    <row r="849" spans="1:9" hidden="1" x14ac:dyDescent="0.25">
      <c r="A849" s="103" t="s">
        <v>796</v>
      </c>
      <c r="B849" s="104" t="s">
        <v>2707</v>
      </c>
      <c r="C849" s="105" t="s">
        <v>95</v>
      </c>
      <c r="D849" s="105">
        <v>0</v>
      </c>
      <c r="E849" s="124">
        <f ca="1">OFFSET(INDEX(Composições!A:J,MATCH(Orçamentária!A849,Composições!A:A,0),8),2,0)</f>
        <v>34.912500000000001</v>
      </c>
      <c r="F849" s="125">
        <f t="shared" ca="1" si="39"/>
        <v>0</v>
      </c>
      <c r="G849" s="126" t="e">
        <f>IF(A849&lt;&gt;"",IF(AND(#REF!="Padrão",$H$4=#REF!),BDI!$B$17,IF(AND(#REF!="Padrão",$H$4=#REF!),BDI!#REF!,IF(AND(#REF!="Diferenciado",$H$4=#REF!),BDI!$E$17,IF(AND(#REF!="Diferenciado",$H$4=#REF!),BDI!#REF!,IF(#REF!="ZERO",0))))),"")</f>
        <v>#REF!</v>
      </c>
      <c r="H849" s="127" t="e">
        <f t="shared" ca="1" si="40"/>
        <v>#REF!</v>
      </c>
      <c r="I849" s="125" t="e">
        <f t="shared" ca="1" si="41"/>
        <v>#REF!</v>
      </c>
    </row>
    <row r="850" spans="1:9" hidden="1" x14ac:dyDescent="0.25">
      <c r="A850" s="103" t="s">
        <v>798</v>
      </c>
      <c r="B850" s="104" t="s">
        <v>2708</v>
      </c>
      <c r="C850" s="105" t="s">
        <v>95</v>
      </c>
      <c r="D850" s="105">
        <v>0</v>
      </c>
      <c r="E850" s="124">
        <f ca="1">OFFSET(INDEX(Composições!A:J,MATCH(Orçamentária!A850,Composições!A:A,0),8),2,0)</f>
        <v>281.72709800000001</v>
      </c>
      <c r="F850" s="125">
        <f t="shared" ca="1" si="39"/>
        <v>0</v>
      </c>
      <c r="G850" s="126" t="e">
        <f>IF(A850&lt;&gt;"",IF(AND(#REF!="Padrão",$H$4=#REF!),BDI!$B$17,IF(AND(#REF!="Padrão",$H$4=#REF!),BDI!#REF!,IF(AND(#REF!="Diferenciado",$H$4=#REF!),BDI!$E$17,IF(AND(#REF!="Diferenciado",$H$4=#REF!),BDI!#REF!,IF(#REF!="ZERO",0))))),"")</f>
        <v>#REF!</v>
      </c>
      <c r="H850" s="127" t="e">
        <f t="shared" ca="1" si="40"/>
        <v>#REF!</v>
      </c>
      <c r="I850" s="125" t="e">
        <f t="shared" ca="1" si="41"/>
        <v>#REF!</v>
      </c>
    </row>
    <row r="851" spans="1:9" hidden="1" x14ac:dyDescent="0.25">
      <c r="A851" s="103" t="s">
        <v>800</v>
      </c>
      <c r="B851" s="104" t="s">
        <v>2709</v>
      </c>
      <c r="C851" s="105" t="s">
        <v>95</v>
      </c>
      <c r="D851" s="105">
        <v>0</v>
      </c>
      <c r="E851" s="124">
        <f ca="1">OFFSET(INDEX(Composições!A:J,MATCH(Orçamentária!A851,Composições!A:A,0),8),2,0)</f>
        <v>144.5615</v>
      </c>
      <c r="F851" s="125">
        <f t="shared" ca="1" si="39"/>
        <v>0</v>
      </c>
      <c r="G851" s="126" t="e">
        <f>IF(A851&lt;&gt;"",IF(AND(#REF!="Padrão",$H$4=#REF!),BDI!$B$17,IF(AND(#REF!="Padrão",$H$4=#REF!),BDI!#REF!,IF(AND(#REF!="Diferenciado",$H$4=#REF!),BDI!$E$17,IF(AND(#REF!="Diferenciado",$H$4=#REF!),BDI!#REF!,IF(#REF!="ZERO",0))))),"")</f>
        <v>#REF!</v>
      </c>
      <c r="H851" s="127" t="e">
        <f t="shared" ca="1" si="40"/>
        <v>#REF!</v>
      </c>
      <c r="I851" s="125" t="e">
        <f t="shared" ca="1" si="41"/>
        <v>#REF!</v>
      </c>
    </row>
    <row r="852" spans="1:9" hidden="1" x14ac:dyDescent="0.25">
      <c r="A852" s="103" t="s">
        <v>2710</v>
      </c>
      <c r="B852" s="104" t="s">
        <v>2711</v>
      </c>
      <c r="C852" s="105" t="s">
        <v>93</v>
      </c>
      <c r="D852" s="105">
        <v>0</v>
      </c>
      <c r="E852" s="124">
        <f ca="1">OFFSET(INDEX(Composições!A:J,MATCH(Orçamentária!A852,Composições!A:A,0),8),2,0)</f>
        <v>20.691000000000003</v>
      </c>
      <c r="F852" s="125">
        <f t="shared" ca="1" si="39"/>
        <v>0</v>
      </c>
      <c r="G852" s="126" t="e">
        <f>IF(A852&lt;&gt;"",IF(AND(#REF!="Padrão",$H$4=#REF!),BDI!$B$17,IF(AND(#REF!="Padrão",$H$4=#REF!),BDI!#REF!,IF(AND(#REF!="Diferenciado",$H$4=#REF!),BDI!$E$17,IF(AND(#REF!="Diferenciado",$H$4=#REF!),BDI!#REF!,IF(#REF!="ZERO",0))))),"")</f>
        <v>#REF!</v>
      </c>
      <c r="H852" s="127" t="e">
        <f t="shared" ca="1" si="40"/>
        <v>#REF!</v>
      </c>
      <c r="I852" s="125" t="e">
        <f t="shared" ca="1" si="41"/>
        <v>#REF!</v>
      </c>
    </row>
    <row r="853" spans="1:9" hidden="1" x14ac:dyDescent="0.25">
      <c r="A853" s="103" t="s">
        <v>2712</v>
      </c>
      <c r="B853" s="104" t="s">
        <v>2713</v>
      </c>
      <c r="C853" s="105" t="s">
        <v>93</v>
      </c>
      <c r="D853" s="105">
        <v>0</v>
      </c>
      <c r="E853" s="124">
        <f ca="1">OFFSET(INDEX(Composições!A:J,MATCH(Orçamentária!A853,Composições!A:A,0),8),2,0)</f>
        <v>31.0365</v>
      </c>
      <c r="F853" s="125">
        <f t="shared" ca="1" si="39"/>
        <v>0</v>
      </c>
      <c r="G853" s="126" t="e">
        <f>IF(A853&lt;&gt;"",IF(AND(#REF!="Padrão",$H$4=#REF!),BDI!$B$17,IF(AND(#REF!="Padrão",$H$4=#REF!),BDI!#REF!,IF(AND(#REF!="Diferenciado",$H$4=#REF!),BDI!$E$17,IF(AND(#REF!="Diferenciado",$H$4=#REF!),BDI!#REF!,IF(#REF!="ZERO",0))))),"")</f>
        <v>#REF!</v>
      </c>
      <c r="H853" s="127" t="e">
        <f t="shared" ca="1" si="40"/>
        <v>#REF!</v>
      </c>
      <c r="I853" s="125" t="e">
        <f t="shared" ca="1" si="41"/>
        <v>#REF!</v>
      </c>
    </row>
    <row r="854" spans="1:9" hidden="1" x14ac:dyDescent="0.25">
      <c r="A854" s="103" t="s">
        <v>802</v>
      </c>
      <c r="B854" s="104" t="s">
        <v>2714</v>
      </c>
      <c r="C854" s="105" t="s">
        <v>95</v>
      </c>
      <c r="D854" s="105">
        <v>0</v>
      </c>
      <c r="E854" s="124">
        <f ca="1">OFFSET(INDEX(Composições!A:J,MATCH(Orçamentária!A854,Composições!A:A,0),8),2,0)</f>
        <v>323.13057750000002</v>
      </c>
      <c r="F854" s="125">
        <f t="shared" ca="1" si="39"/>
        <v>0</v>
      </c>
      <c r="G854" s="126" t="e">
        <f>IF(A854&lt;&gt;"",IF(AND(#REF!="Padrão",$H$4=#REF!),BDI!$B$17,IF(AND(#REF!="Padrão",$H$4=#REF!),BDI!#REF!,IF(AND(#REF!="Diferenciado",$H$4=#REF!),BDI!$E$17,IF(AND(#REF!="Diferenciado",$H$4=#REF!),BDI!#REF!,IF(#REF!="ZERO",0))))),"")</f>
        <v>#REF!</v>
      </c>
      <c r="H854" s="127" t="e">
        <f t="shared" ca="1" si="40"/>
        <v>#REF!</v>
      </c>
      <c r="I854" s="125" t="e">
        <f t="shared" ca="1" si="41"/>
        <v>#REF!</v>
      </c>
    </row>
    <row r="855" spans="1:9" hidden="1" x14ac:dyDescent="0.25">
      <c r="A855" s="103" t="s">
        <v>804</v>
      </c>
      <c r="B855" s="104" t="s">
        <v>2715</v>
      </c>
      <c r="C855" s="105" t="s">
        <v>20</v>
      </c>
      <c r="D855" s="105">
        <v>0</v>
      </c>
      <c r="E855" s="124">
        <f ca="1">OFFSET(INDEX(Composições!A:J,MATCH(Orçamentária!A855,Composições!A:A,0),8),2,0)</f>
        <v>3.4442249999999999</v>
      </c>
      <c r="F855" s="125">
        <f t="shared" ca="1" si="39"/>
        <v>0</v>
      </c>
      <c r="G855" s="126" t="e">
        <f>IF(A855&lt;&gt;"",IF(AND(#REF!="Padrão",$H$4=#REF!),BDI!$B$17,IF(AND(#REF!="Padrão",$H$4=#REF!),BDI!#REF!,IF(AND(#REF!="Diferenciado",$H$4=#REF!),BDI!$E$17,IF(AND(#REF!="Diferenciado",$H$4=#REF!),BDI!#REF!,IF(#REF!="ZERO",0))))),"")</f>
        <v>#REF!</v>
      </c>
      <c r="H855" s="127" t="e">
        <f t="shared" ca="1" si="40"/>
        <v>#REF!</v>
      </c>
      <c r="I855" s="125" t="e">
        <f t="shared" ca="1" si="41"/>
        <v>#REF!</v>
      </c>
    </row>
    <row r="856" spans="1:9" hidden="1" x14ac:dyDescent="0.25">
      <c r="A856" s="103" t="s">
        <v>806</v>
      </c>
      <c r="B856" s="104" t="s">
        <v>2716</v>
      </c>
      <c r="C856" s="105" t="s">
        <v>20</v>
      </c>
      <c r="D856" s="105">
        <v>0</v>
      </c>
      <c r="E856" s="124">
        <f ca="1">OFFSET(INDEX(Composições!A:J,MATCH(Orçamentária!A856,Composições!A:A,0),8),2,0)</f>
        <v>6.8884499999999997</v>
      </c>
      <c r="F856" s="125">
        <f t="shared" ca="1" si="39"/>
        <v>0</v>
      </c>
      <c r="G856" s="126" t="e">
        <f>IF(A856&lt;&gt;"",IF(AND(#REF!="Padrão",$H$4=#REF!),BDI!$B$17,IF(AND(#REF!="Padrão",$H$4=#REF!),BDI!#REF!,IF(AND(#REF!="Diferenciado",$H$4=#REF!),BDI!$E$17,IF(AND(#REF!="Diferenciado",$H$4=#REF!),BDI!#REF!,IF(#REF!="ZERO",0))))),"")</f>
        <v>#REF!</v>
      </c>
      <c r="H856" s="127" t="e">
        <f t="shared" ca="1" si="40"/>
        <v>#REF!</v>
      </c>
      <c r="I856" s="125" t="e">
        <f t="shared" ca="1" si="41"/>
        <v>#REF!</v>
      </c>
    </row>
    <row r="857" spans="1:9" hidden="1" x14ac:dyDescent="0.25">
      <c r="A857" s="103" t="s">
        <v>808</v>
      </c>
      <c r="B857" s="104" t="s">
        <v>2717</v>
      </c>
      <c r="C857" s="105" t="s">
        <v>20</v>
      </c>
      <c r="D857" s="105">
        <v>0</v>
      </c>
      <c r="E857" s="124">
        <f ca="1">OFFSET(INDEX(Composições!A:J,MATCH(Orçamentária!A857,Composições!A:A,0),8),2,0)</f>
        <v>3.4442249999999999</v>
      </c>
      <c r="F857" s="125">
        <f t="shared" ca="1" si="39"/>
        <v>0</v>
      </c>
      <c r="G857" s="126" t="e">
        <f>IF(A857&lt;&gt;"",IF(AND(#REF!="Padrão",$H$4=#REF!),BDI!$B$17,IF(AND(#REF!="Padrão",$H$4=#REF!),BDI!#REF!,IF(AND(#REF!="Diferenciado",$H$4=#REF!),BDI!$E$17,IF(AND(#REF!="Diferenciado",$H$4=#REF!),BDI!#REF!,IF(#REF!="ZERO",0))))),"")</f>
        <v>#REF!</v>
      </c>
      <c r="H857" s="127" t="e">
        <f t="shared" ca="1" si="40"/>
        <v>#REF!</v>
      </c>
      <c r="I857" s="125" t="e">
        <f t="shared" ca="1" si="41"/>
        <v>#REF!</v>
      </c>
    </row>
    <row r="858" spans="1:9" hidden="1" x14ac:dyDescent="0.25">
      <c r="A858" s="103" t="s">
        <v>810</v>
      </c>
      <c r="B858" s="104" t="s">
        <v>2718</v>
      </c>
      <c r="C858" s="105" t="s">
        <v>20</v>
      </c>
      <c r="D858" s="105">
        <v>0</v>
      </c>
      <c r="E858" s="124">
        <f ca="1">OFFSET(INDEX(Composições!A:J,MATCH(Orçamentária!A858,Composições!A:A,0),8),2,0)</f>
        <v>6.8884499999999997</v>
      </c>
      <c r="F858" s="125">
        <f t="shared" ca="1" si="39"/>
        <v>0</v>
      </c>
      <c r="G858" s="126" t="e">
        <f>IF(A858&lt;&gt;"",IF(AND(#REF!="Padrão",$H$4=#REF!),BDI!$B$17,IF(AND(#REF!="Padrão",$H$4=#REF!),BDI!#REF!,IF(AND(#REF!="Diferenciado",$H$4=#REF!),BDI!$E$17,IF(AND(#REF!="Diferenciado",$H$4=#REF!),BDI!#REF!,IF(#REF!="ZERO",0))))),"")</f>
        <v>#REF!</v>
      </c>
      <c r="H858" s="127" t="e">
        <f t="shared" ca="1" si="40"/>
        <v>#REF!</v>
      </c>
      <c r="I858" s="125" t="e">
        <f t="shared" ca="1" si="41"/>
        <v>#REF!</v>
      </c>
    </row>
    <row r="859" spans="1:9" hidden="1" x14ac:dyDescent="0.25">
      <c r="A859" s="103" t="s">
        <v>813</v>
      </c>
      <c r="B859" s="104" t="s">
        <v>2719</v>
      </c>
      <c r="C859" s="105" t="s">
        <v>20</v>
      </c>
      <c r="D859" s="105">
        <v>0</v>
      </c>
      <c r="E859" s="124">
        <f ca="1">OFFSET(INDEX(Composições!A:J,MATCH(Orçamentária!A859,Composições!A:A,0),8),2,0)</f>
        <v>3.4442249999999999</v>
      </c>
      <c r="F859" s="125">
        <f t="shared" ca="1" si="39"/>
        <v>0</v>
      </c>
      <c r="G859" s="126" t="e">
        <f>IF(A859&lt;&gt;"",IF(AND(#REF!="Padrão",$H$4=#REF!),BDI!$B$17,IF(AND(#REF!="Padrão",$H$4=#REF!),BDI!#REF!,IF(AND(#REF!="Diferenciado",$H$4=#REF!),BDI!$E$17,IF(AND(#REF!="Diferenciado",$H$4=#REF!),BDI!#REF!,IF(#REF!="ZERO",0))))),"")</f>
        <v>#REF!</v>
      </c>
      <c r="H859" s="127" t="e">
        <f t="shared" ca="1" si="40"/>
        <v>#REF!</v>
      </c>
      <c r="I859" s="125" t="e">
        <f t="shared" ca="1" si="41"/>
        <v>#REF!</v>
      </c>
    </row>
    <row r="860" spans="1:9" hidden="1" x14ac:dyDescent="0.25">
      <c r="A860" s="103" t="s">
        <v>815</v>
      </c>
      <c r="B860" s="104" t="s">
        <v>2720</v>
      </c>
      <c r="C860" s="105" t="s">
        <v>20</v>
      </c>
      <c r="D860" s="105">
        <v>0</v>
      </c>
      <c r="E860" s="124">
        <f ca="1">OFFSET(INDEX(Composições!A:J,MATCH(Orçamentária!A860,Composições!A:A,0),8),2,0)</f>
        <v>9.1846000000000014</v>
      </c>
      <c r="F860" s="125">
        <f t="shared" ca="1" si="39"/>
        <v>0</v>
      </c>
      <c r="G860" s="126" t="e">
        <f>IF(A860&lt;&gt;"",IF(AND(#REF!="Padrão",$H$4=#REF!),BDI!$B$17,IF(AND(#REF!="Padrão",$H$4=#REF!),BDI!#REF!,IF(AND(#REF!="Diferenciado",$H$4=#REF!),BDI!$E$17,IF(AND(#REF!="Diferenciado",$H$4=#REF!),BDI!#REF!,IF(#REF!="ZERO",0))))),"")</f>
        <v>#REF!</v>
      </c>
      <c r="H860" s="127" t="e">
        <f t="shared" ca="1" si="40"/>
        <v>#REF!</v>
      </c>
      <c r="I860" s="125" t="e">
        <f t="shared" ca="1" si="41"/>
        <v>#REF!</v>
      </c>
    </row>
    <row r="861" spans="1:9" hidden="1" x14ac:dyDescent="0.25">
      <c r="A861" s="103" t="s">
        <v>817</v>
      </c>
      <c r="B861" s="104" t="s">
        <v>2721</v>
      </c>
      <c r="C861" s="105" t="s">
        <v>20</v>
      </c>
      <c r="D861" s="105">
        <v>0</v>
      </c>
      <c r="E861" s="124">
        <f ca="1">OFFSET(INDEX(Composições!A:J,MATCH(Orçamentária!A861,Composições!A:A,0),8),2,0)</f>
        <v>9.1846000000000014</v>
      </c>
      <c r="F861" s="125">
        <f t="shared" ca="1" si="39"/>
        <v>0</v>
      </c>
      <c r="G861" s="126" t="e">
        <f>IF(A861&lt;&gt;"",IF(AND(#REF!="Padrão",$H$4=#REF!),BDI!$B$17,IF(AND(#REF!="Padrão",$H$4=#REF!),BDI!#REF!,IF(AND(#REF!="Diferenciado",$H$4=#REF!),BDI!$E$17,IF(AND(#REF!="Diferenciado",$H$4=#REF!),BDI!#REF!,IF(#REF!="ZERO",0))))),"")</f>
        <v>#REF!</v>
      </c>
      <c r="H861" s="127" t="e">
        <f t="shared" ca="1" si="40"/>
        <v>#REF!</v>
      </c>
      <c r="I861" s="125" t="e">
        <f t="shared" ca="1" si="41"/>
        <v>#REF!</v>
      </c>
    </row>
    <row r="862" spans="1:9" hidden="1" x14ac:dyDescent="0.25">
      <c r="A862" s="103" t="s">
        <v>819</v>
      </c>
      <c r="B862" s="104" t="s">
        <v>2722</v>
      </c>
      <c r="C862" s="105" t="s">
        <v>20</v>
      </c>
      <c r="D862" s="105">
        <v>0</v>
      </c>
      <c r="E862" s="124">
        <f ca="1">OFFSET(INDEX(Composições!A:J,MATCH(Orçamentária!A862,Composições!A:A,0),8),2,0)</f>
        <v>9.1846000000000014</v>
      </c>
      <c r="F862" s="125">
        <f t="shared" ca="1" si="39"/>
        <v>0</v>
      </c>
      <c r="G862" s="126" t="e">
        <f>IF(A862&lt;&gt;"",IF(AND(#REF!="Padrão",$H$4=#REF!),BDI!$B$17,IF(AND(#REF!="Padrão",$H$4=#REF!),BDI!#REF!,IF(AND(#REF!="Diferenciado",$H$4=#REF!),BDI!$E$17,IF(AND(#REF!="Diferenciado",$H$4=#REF!),BDI!#REF!,IF(#REF!="ZERO",0))))),"")</f>
        <v>#REF!</v>
      </c>
      <c r="H862" s="127" t="e">
        <f t="shared" ca="1" si="40"/>
        <v>#REF!</v>
      </c>
      <c r="I862" s="125" t="e">
        <f t="shared" ca="1" si="41"/>
        <v>#REF!</v>
      </c>
    </row>
    <row r="863" spans="1:9" hidden="1" x14ac:dyDescent="0.25">
      <c r="A863" s="103" t="s">
        <v>821</v>
      </c>
      <c r="B863" s="104" t="s">
        <v>2723</v>
      </c>
      <c r="C863" s="105" t="s">
        <v>20</v>
      </c>
      <c r="D863" s="105">
        <v>0</v>
      </c>
      <c r="E863" s="124">
        <f ca="1">OFFSET(INDEX(Composições!A:J,MATCH(Orçamentária!A863,Composições!A:A,0),8),2,0)</f>
        <v>5.7403750000000002</v>
      </c>
      <c r="F863" s="125">
        <f t="shared" ca="1" si="39"/>
        <v>0</v>
      </c>
      <c r="G863" s="126" t="e">
        <f>IF(A863&lt;&gt;"",IF(AND(#REF!="Padrão",$H$4=#REF!),BDI!$B$17,IF(AND(#REF!="Padrão",$H$4=#REF!),BDI!#REF!,IF(AND(#REF!="Diferenciado",$H$4=#REF!),BDI!$E$17,IF(AND(#REF!="Diferenciado",$H$4=#REF!),BDI!#REF!,IF(#REF!="ZERO",0))))),"")</f>
        <v>#REF!</v>
      </c>
      <c r="H863" s="127" t="e">
        <f t="shared" ca="1" si="40"/>
        <v>#REF!</v>
      </c>
      <c r="I863" s="125" t="e">
        <f t="shared" ca="1" si="41"/>
        <v>#REF!</v>
      </c>
    </row>
    <row r="864" spans="1:9" hidden="1" x14ac:dyDescent="0.25">
      <c r="A864" s="103" t="s">
        <v>823</v>
      </c>
      <c r="B864" s="104" t="s">
        <v>2724</v>
      </c>
      <c r="C864" s="105" t="s">
        <v>20</v>
      </c>
      <c r="D864" s="105">
        <v>0</v>
      </c>
      <c r="E864" s="124">
        <f ca="1">OFFSET(INDEX(Composições!A:J,MATCH(Orçamentária!A864,Composições!A:A,0),8),2,0)</f>
        <v>5.7403750000000002</v>
      </c>
      <c r="F864" s="125">
        <f t="shared" ca="1" si="39"/>
        <v>0</v>
      </c>
      <c r="G864" s="126" t="e">
        <f>IF(A864&lt;&gt;"",IF(AND(#REF!="Padrão",$H$4=#REF!),BDI!$B$17,IF(AND(#REF!="Padrão",$H$4=#REF!),BDI!#REF!,IF(AND(#REF!="Diferenciado",$H$4=#REF!),BDI!$E$17,IF(AND(#REF!="Diferenciado",$H$4=#REF!),BDI!#REF!,IF(#REF!="ZERO",0))))),"")</f>
        <v>#REF!</v>
      </c>
      <c r="H864" s="127" t="e">
        <f t="shared" ca="1" si="40"/>
        <v>#REF!</v>
      </c>
      <c r="I864" s="125" t="e">
        <f t="shared" ca="1" si="41"/>
        <v>#REF!</v>
      </c>
    </row>
    <row r="865" spans="1:9" hidden="1" x14ac:dyDescent="0.25">
      <c r="A865" s="103" t="s">
        <v>825</v>
      </c>
      <c r="B865" s="104" t="s">
        <v>2725</v>
      </c>
      <c r="C865" s="105" t="s">
        <v>20</v>
      </c>
      <c r="D865" s="105">
        <v>0</v>
      </c>
      <c r="E865" s="124">
        <f ca="1">OFFSET(INDEX(Composições!A:J,MATCH(Orçamentária!A865,Composições!A:A,0),8),2,0)</f>
        <v>5.7403750000000002</v>
      </c>
      <c r="F865" s="125">
        <f t="shared" ca="1" si="39"/>
        <v>0</v>
      </c>
      <c r="G865" s="126" t="e">
        <f>IF(A865&lt;&gt;"",IF(AND(#REF!="Padrão",$H$4=#REF!),BDI!$B$17,IF(AND(#REF!="Padrão",$H$4=#REF!),BDI!#REF!,IF(AND(#REF!="Diferenciado",$H$4=#REF!),BDI!$E$17,IF(AND(#REF!="Diferenciado",$H$4=#REF!),BDI!#REF!,IF(#REF!="ZERO",0))))),"")</f>
        <v>#REF!</v>
      </c>
      <c r="H865" s="127" t="e">
        <f t="shared" ca="1" si="40"/>
        <v>#REF!</v>
      </c>
      <c r="I865" s="125" t="e">
        <f t="shared" ca="1" si="41"/>
        <v>#REF!</v>
      </c>
    </row>
    <row r="866" spans="1:9" hidden="1" x14ac:dyDescent="0.25">
      <c r="A866" s="103" t="s">
        <v>827</v>
      </c>
      <c r="B866" s="104" t="s">
        <v>2726</v>
      </c>
      <c r="C866" s="105" t="s">
        <v>20</v>
      </c>
      <c r="D866" s="105">
        <v>0</v>
      </c>
      <c r="E866" s="124">
        <f ca="1">OFFSET(INDEX(Composições!A:J,MATCH(Orçamentária!A866,Composições!A:A,0),8),2,0)</f>
        <v>5.7403750000000002</v>
      </c>
      <c r="F866" s="125">
        <f t="shared" ca="1" si="39"/>
        <v>0</v>
      </c>
      <c r="G866" s="126" t="e">
        <f>IF(A866&lt;&gt;"",IF(AND(#REF!="Padrão",$H$4=#REF!),BDI!$B$17,IF(AND(#REF!="Padrão",$H$4=#REF!),BDI!#REF!,IF(AND(#REF!="Diferenciado",$H$4=#REF!),BDI!$E$17,IF(AND(#REF!="Diferenciado",$H$4=#REF!),BDI!#REF!,IF(#REF!="ZERO",0))))),"")</f>
        <v>#REF!</v>
      </c>
      <c r="H866" s="127" t="e">
        <f t="shared" ca="1" si="40"/>
        <v>#REF!</v>
      </c>
      <c r="I866" s="125" t="e">
        <f t="shared" ca="1" si="41"/>
        <v>#REF!</v>
      </c>
    </row>
    <row r="867" spans="1:9" hidden="1" x14ac:dyDescent="0.25">
      <c r="A867" s="103" t="s">
        <v>829</v>
      </c>
      <c r="B867" s="104" t="s">
        <v>2727</v>
      </c>
      <c r="C867" s="105" t="s">
        <v>20</v>
      </c>
      <c r="D867" s="105">
        <v>0</v>
      </c>
      <c r="E867" s="124">
        <f ca="1">OFFSET(INDEX(Composições!A:J,MATCH(Orçamentária!A867,Composições!A:A,0),8),2,0)</f>
        <v>74.2930305</v>
      </c>
      <c r="F867" s="125">
        <f t="shared" ca="1" si="39"/>
        <v>0</v>
      </c>
      <c r="G867" s="126" t="e">
        <f>IF(A867&lt;&gt;"",IF(AND(#REF!="Padrão",$H$4=#REF!),BDI!$B$17,IF(AND(#REF!="Padrão",$H$4=#REF!),BDI!#REF!,IF(AND(#REF!="Diferenciado",$H$4=#REF!),BDI!$E$17,IF(AND(#REF!="Diferenciado",$H$4=#REF!),BDI!#REF!,IF(#REF!="ZERO",0))))),"")</f>
        <v>#REF!</v>
      </c>
      <c r="H867" s="127" t="e">
        <f t="shared" ca="1" si="40"/>
        <v>#REF!</v>
      </c>
      <c r="I867" s="125" t="e">
        <f t="shared" ca="1" si="41"/>
        <v>#REF!</v>
      </c>
    </row>
    <row r="868" spans="1:9" hidden="1" x14ac:dyDescent="0.25">
      <c r="A868" s="103" t="s">
        <v>830</v>
      </c>
      <c r="B868" s="104" t="s">
        <v>2728</v>
      </c>
      <c r="C868" s="105" t="s">
        <v>20</v>
      </c>
      <c r="D868" s="105">
        <v>0</v>
      </c>
      <c r="E868" s="124">
        <f ca="1">OFFSET(INDEX(Composições!A:J,MATCH(Orçamentária!A868,Composições!A:A,0),8),2,0)</f>
        <v>4.5923000000000007</v>
      </c>
      <c r="F868" s="125">
        <f t="shared" ca="1" si="39"/>
        <v>0</v>
      </c>
      <c r="G868" s="126" t="e">
        <f>IF(A868&lt;&gt;"",IF(AND(#REF!="Padrão",$H$4=#REF!),BDI!$B$17,IF(AND(#REF!="Padrão",$H$4=#REF!),BDI!#REF!,IF(AND(#REF!="Diferenciado",$H$4=#REF!),BDI!$E$17,IF(AND(#REF!="Diferenciado",$H$4=#REF!),BDI!#REF!,IF(#REF!="ZERO",0))))),"")</f>
        <v>#REF!</v>
      </c>
      <c r="H868" s="127" t="e">
        <f t="shared" ca="1" si="40"/>
        <v>#REF!</v>
      </c>
      <c r="I868" s="125" t="e">
        <f t="shared" ca="1" si="41"/>
        <v>#REF!</v>
      </c>
    </row>
    <row r="869" spans="1:9" hidden="1" x14ac:dyDescent="0.25">
      <c r="A869" s="103" t="s">
        <v>832</v>
      </c>
      <c r="B869" s="104" t="s">
        <v>2729</v>
      </c>
      <c r="C869" s="105" t="s">
        <v>20</v>
      </c>
      <c r="D869" s="105">
        <v>0</v>
      </c>
      <c r="E869" s="124">
        <f ca="1">OFFSET(INDEX(Composições!A:J,MATCH(Orçamentária!A869,Composições!A:A,0),8),2,0)</f>
        <v>9.1846000000000014</v>
      </c>
      <c r="F869" s="125">
        <f t="shared" ca="1" si="39"/>
        <v>0</v>
      </c>
      <c r="G869" s="126" t="e">
        <f>IF(A869&lt;&gt;"",IF(AND(#REF!="Padrão",$H$4=#REF!),BDI!$B$17,IF(AND(#REF!="Padrão",$H$4=#REF!),BDI!#REF!,IF(AND(#REF!="Diferenciado",$H$4=#REF!),BDI!$E$17,IF(AND(#REF!="Diferenciado",$H$4=#REF!),BDI!#REF!,IF(#REF!="ZERO",0))))),"")</f>
        <v>#REF!</v>
      </c>
      <c r="H869" s="127" t="e">
        <f t="shared" ca="1" si="40"/>
        <v>#REF!</v>
      </c>
      <c r="I869" s="125" t="e">
        <f t="shared" ca="1" si="41"/>
        <v>#REF!</v>
      </c>
    </row>
    <row r="870" spans="1:9" hidden="1" x14ac:dyDescent="0.25">
      <c r="A870" s="103" t="s">
        <v>834</v>
      </c>
      <c r="B870" s="104" t="s">
        <v>2730</v>
      </c>
      <c r="C870" s="105" t="s">
        <v>20</v>
      </c>
      <c r="D870" s="105">
        <v>0</v>
      </c>
      <c r="E870" s="124">
        <f ca="1">OFFSET(INDEX(Composições!A:J,MATCH(Orçamentária!A870,Composições!A:A,0),8),2,0)</f>
        <v>6.8884499999999997</v>
      </c>
      <c r="F870" s="125">
        <f t="shared" ca="1" si="39"/>
        <v>0</v>
      </c>
      <c r="G870" s="126" t="e">
        <f>IF(A870&lt;&gt;"",IF(AND(#REF!="Padrão",$H$4=#REF!),BDI!$B$17,IF(AND(#REF!="Padrão",$H$4=#REF!),BDI!#REF!,IF(AND(#REF!="Diferenciado",$H$4=#REF!),BDI!$E$17,IF(AND(#REF!="Diferenciado",$H$4=#REF!),BDI!#REF!,IF(#REF!="ZERO",0))))),"")</f>
        <v>#REF!</v>
      </c>
      <c r="H870" s="127" t="e">
        <f t="shared" ca="1" si="40"/>
        <v>#REF!</v>
      </c>
      <c r="I870" s="125" t="e">
        <f t="shared" ca="1" si="41"/>
        <v>#REF!</v>
      </c>
    </row>
    <row r="871" spans="1:9" hidden="1" x14ac:dyDescent="0.25">
      <c r="A871" s="103" t="s">
        <v>836</v>
      </c>
      <c r="B871" s="104" t="s">
        <v>2731</v>
      </c>
      <c r="C871" s="105" t="s">
        <v>93</v>
      </c>
      <c r="D871" s="105">
        <v>0</v>
      </c>
      <c r="E871" s="124">
        <f ca="1">OFFSET(INDEX(Composições!A:J,MATCH(Orçamentária!A871,Composições!A:A,0),8),2,0)</f>
        <v>12.418780000000002</v>
      </c>
      <c r="F871" s="125">
        <f t="shared" ca="1" si="39"/>
        <v>0</v>
      </c>
      <c r="G871" s="126" t="e">
        <f>IF(A871&lt;&gt;"",IF(AND(#REF!="Padrão",$H$4=#REF!),BDI!$B$17,IF(AND(#REF!="Padrão",$H$4=#REF!),BDI!#REF!,IF(AND(#REF!="Diferenciado",$H$4=#REF!),BDI!$E$17,IF(AND(#REF!="Diferenciado",$H$4=#REF!),BDI!#REF!,IF(#REF!="ZERO",0))))),"")</f>
        <v>#REF!</v>
      </c>
      <c r="H871" s="127" t="e">
        <f t="shared" ca="1" si="40"/>
        <v>#REF!</v>
      </c>
      <c r="I871" s="125" t="e">
        <f t="shared" ca="1" si="41"/>
        <v>#REF!</v>
      </c>
    </row>
    <row r="872" spans="1:9" hidden="1" x14ac:dyDescent="0.25">
      <c r="A872" s="103" t="s">
        <v>840</v>
      </c>
      <c r="B872" s="104" t="s">
        <v>2732</v>
      </c>
      <c r="C872" s="105" t="s">
        <v>93</v>
      </c>
      <c r="D872" s="105">
        <v>0</v>
      </c>
      <c r="E872" s="124">
        <f ca="1">OFFSET(INDEX(Composições!A:J,MATCH(Orçamentária!A872,Composições!A:A,0),8),2,0)</f>
        <v>38.729866000000001</v>
      </c>
      <c r="F872" s="125">
        <f t="shared" ca="1" si="39"/>
        <v>0</v>
      </c>
      <c r="G872" s="126" t="e">
        <f>IF(A872&lt;&gt;"",IF(AND(#REF!="Padrão",$H$4=#REF!),BDI!$B$17,IF(AND(#REF!="Padrão",$H$4=#REF!),BDI!#REF!,IF(AND(#REF!="Diferenciado",$H$4=#REF!),BDI!$E$17,IF(AND(#REF!="Diferenciado",$H$4=#REF!),BDI!#REF!,IF(#REF!="ZERO",0))))),"")</f>
        <v>#REF!</v>
      </c>
      <c r="H872" s="127" t="e">
        <f t="shared" ca="1" si="40"/>
        <v>#REF!</v>
      </c>
      <c r="I872" s="125" t="e">
        <f t="shared" ca="1" si="41"/>
        <v>#REF!</v>
      </c>
    </row>
    <row r="873" spans="1:9" hidden="1" x14ac:dyDescent="0.25">
      <c r="A873" s="103" t="s">
        <v>843</v>
      </c>
      <c r="B873" s="104" t="s">
        <v>2733</v>
      </c>
      <c r="C873" s="105" t="s">
        <v>93</v>
      </c>
      <c r="D873" s="105">
        <v>0</v>
      </c>
      <c r="E873" s="124">
        <f ca="1">OFFSET(INDEX(Composições!A:J,MATCH(Orçamentária!A873,Composições!A:A,0),8),2,0)</f>
        <v>16.167252000000001</v>
      </c>
      <c r="F873" s="125">
        <f t="shared" ca="1" si="39"/>
        <v>0</v>
      </c>
      <c r="G873" s="126" t="e">
        <f>IF(A873&lt;&gt;"",IF(AND(#REF!="Padrão",$H$4=#REF!),BDI!$B$17,IF(AND(#REF!="Padrão",$H$4=#REF!),BDI!#REF!,IF(AND(#REF!="Diferenciado",$H$4=#REF!),BDI!$E$17,IF(AND(#REF!="Diferenciado",$H$4=#REF!),BDI!#REF!,IF(#REF!="ZERO",0))))),"")</f>
        <v>#REF!</v>
      </c>
      <c r="H873" s="127" t="e">
        <f t="shared" ca="1" si="40"/>
        <v>#REF!</v>
      </c>
      <c r="I873" s="125" t="e">
        <f t="shared" ca="1" si="41"/>
        <v>#REF!</v>
      </c>
    </row>
    <row r="874" spans="1:9" hidden="1" x14ac:dyDescent="0.25">
      <c r="A874" s="103" t="s">
        <v>845</v>
      </c>
      <c r="B874" s="104" t="s">
        <v>2734</v>
      </c>
      <c r="C874" s="105" t="s">
        <v>93</v>
      </c>
      <c r="D874" s="105">
        <v>0</v>
      </c>
      <c r="E874" s="124">
        <f ca="1">OFFSET(INDEX(Composições!A:J,MATCH(Orçamentária!A874,Composições!A:A,0),8),2,0)</f>
        <v>25.466041999999998</v>
      </c>
      <c r="F874" s="125">
        <f t="shared" ca="1" si="39"/>
        <v>0</v>
      </c>
      <c r="G874" s="126" t="e">
        <f>IF(A874&lt;&gt;"",IF(AND(#REF!="Padrão",$H$4=#REF!),BDI!$B$17,IF(AND(#REF!="Padrão",$H$4=#REF!),BDI!#REF!,IF(AND(#REF!="Diferenciado",$H$4=#REF!),BDI!$E$17,IF(AND(#REF!="Diferenciado",$H$4=#REF!),BDI!#REF!,IF(#REF!="ZERO",0))))),"")</f>
        <v>#REF!</v>
      </c>
      <c r="H874" s="127" t="e">
        <f t="shared" ca="1" si="40"/>
        <v>#REF!</v>
      </c>
      <c r="I874" s="125" t="e">
        <f t="shared" ca="1" si="41"/>
        <v>#REF!</v>
      </c>
    </row>
    <row r="875" spans="1:9" hidden="1" x14ac:dyDescent="0.25">
      <c r="A875" s="103" t="s">
        <v>846</v>
      </c>
      <c r="B875" s="104" t="s">
        <v>2735</v>
      </c>
      <c r="C875" s="105" t="s">
        <v>93</v>
      </c>
      <c r="D875" s="105">
        <v>0</v>
      </c>
      <c r="E875" s="124">
        <f ca="1">OFFSET(INDEX(Composições!A:J,MATCH(Orçamentária!A875,Composições!A:A,0),8),2,0)</f>
        <v>7.9753450000000008</v>
      </c>
      <c r="F875" s="125">
        <f t="shared" ca="1" si="39"/>
        <v>0</v>
      </c>
      <c r="G875" s="126" t="e">
        <f>IF(A875&lt;&gt;"",IF(AND(#REF!="Padrão",$H$4=#REF!),BDI!$B$17,IF(AND(#REF!="Padrão",$H$4=#REF!),BDI!#REF!,IF(AND(#REF!="Diferenciado",$H$4=#REF!),BDI!$E$17,IF(AND(#REF!="Diferenciado",$H$4=#REF!),BDI!#REF!,IF(#REF!="ZERO",0))))),"")</f>
        <v>#REF!</v>
      </c>
      <c r="H875" s="127" t="e">
        <f t="shared" ca="1" si="40"/>
        <v>#REF!</v>
      </c>
      <c r="I875" s="125" t="e">
        <f t="shared" ca="1" si="41"/>
        <v>#REF!</v>
      </c>
    </row>
    <row r="876" spans="1:9" hidden="1" x14ac:dyDescent="0.25">
      <c r="A876" s="103" t="s">
        <v>848</v>
      </c>
      <c r="B876" s="104" t="s">
        <v>2736</v>
      </c>
      <c r="C876" s="105" t="s">
        <v>20</v>
      </c>
      <c r="D876" s="105">
        <v>0</v>
      </c>
      <c r="E876" s="124">
        <f ca="1">OFFSET(INDEX(Composições!A:J,MATCH(Orçamentária!A876,Composições!A:A,0),8),2,0)</f>
        <v>6.8884499999999997</v>
      </c>
      <c r="F876" s="125">
        <f t="shared" ca="1" si="39"/>
        <v>0</v>
      </c>
      <c r="G876" s="126" t="e">
        <f>IF(A876&lt;&gt;"",IF(AND(#REF!="Padrão",$H$4=#REF!),BDI!$B$17,IF(AND(#REF!="Padrão",$H$4=#REF!),BDI!#REF!,IF(AND(#REF!="Diferenciado",$H$4=#REF!),BDI!$E$17,IF(AND(#REF!="Diferenciado",$H$4=#REF!),BDI!#REF!,IF(#REF!="ZERO",0))))),"")</f>
        <v>#REF!</v>
      </c>
      <c r="H876" s="127" t="e">
        <f t="shared" ca="1" si="40"/>
        <v>#REF!</v>
      </c>
      <c r="I876" s="125" t="e">
        <f t="shared" ca="1" si="41"/>
        <v>#REF!</v>
      </c>
    </row>
    <row r="877" spans="1:9" hidden="1" x14ac:dyDescent="0.25">
      <c r="A877" s="103" t="s">
        <v>850</v>
      </c>
      <c r="B877" s="104" t="s">
        <v>2737</v>
      </c>
      <c r="C877" s="105" t="s">
        <v>93</v>
      </c>
      <c r="D877" s="105">
        <v>0</v>
      </c>
      <c r="E877" s="124">
        <f ca="1">OFFSET(INDEX(Composições!A:J,MATCH(Orçamentária!A877,Composições!A:A,0),8),2,0)</f>
        <v>6.8884499999999997</v>
      </c>
      <c r="F877" s="125">
        <f t="shared" ca="1" si="39"/>
        <v>0</v>
      </c>
      <c r="G877" s="126" t="e">
        <f>IF(A877&lt;&gt;"",IF(AND(#REF!="Padrão",$H$4=#REF!),BDI!$B$17,IF(AND(#REF!="Padrão",$H$4=#REF!),BDI!#REF!,IF(AND(#REF!="Diferenciado",$H$4=#REF!),BDI!$E$17,IF(AND(#REF!="Diferenciado",$H$4=#REF!),BDI!#REF!,IF(#REF!="ZERO",0))))),"")</f>
        <v>#REF!</v>
      </c>
      <c r="H877" s="127" t="e">
        <f t="shared" ca="1" si="40"/>
        <v>#REF!</v>
      </c>
      <c r="I877" s="125" t="e">
        <f t="shared" ca="1" si="41"/>
        <v>#REF!</v>
      </c>
    </row>
    <row r="878" spans="1:9" hidden="1" x14ac:dyDescent="0.25">
      <c r="A878" s="103" t="s">
        <v>852</v>
      </c>
      <c r="B878" s="104" t="s">
        <v>2738</v>
      </c>
      <c r="C878" s="105" t="s">
        <v>20</v>
      </c>
      <c r="D878" s="105">
        <v>0</v>
      </c>
      <c r="E878" s="124">
        <f ca="1">OFFSET(INDEX(Composições!A:J,MATCH(Orçamentária!A878,Composições!A:A,0),8),2,0)</f>
        <v>3.4442249999999999</v>
      </c>
      <c r="F878" s="125">
        <f t="shared" ca="1" si="39"/>
        <v>0</v>
      </c>
      <c r="G878" s="126" t="e">
        <f>IF(A878&lt;&gt;"",IF(AND(#REF!="Padrão",$H$4=#REF!),BDI!$B$17,IF(AND(#REF!="Padrão",$H$4=#REF!),BDI!#REF!,IF(AND(#REF!="Diferenciado",$H$4=#REF!),BDI!$E$17,IF(AND(#REF!="Diferenciado",$H$4=#REF!),BDI!#REF!,IF(#REF!="ZERO",0))))),"")</f>
        <v>#REF!</v>
      </c>
      <c r="H878" s="127" t="e">
        <f t="shared" ca="1" si="40"/>
        <v>#REF!</v>
      </c>
      <c r="I878" s="125" t="e">
        <f t="shared" ca="1" si="41"/>
        <v>#REF!</v>
      </c>
    </row>
    <row r="879" spans="1:9" hidden="1" x14ac:dyDescent="0.25">
      <c r="A879" s="103" t="s">
        <v>854</v>
      </c>
      <c r="B879" s="104" t="s">
        <v>2739</v>
      </c>
      <c r="C879" s="105" t="s">
        <v>20</v>
      </c>
      <c r="D879" s="105">
        <v>0</v>
      </c>
      <c r="E879" s="124">
        <f ca="1">OFFSET(INDEX(Composições!A:J,MATCH(Orçamentária!A879,Composições!A:A,0),8),2,0)</f>
        <v>3.4442249999999999</v>
      </c>
      <c r="F879" s="125">
        <f t="shared" ca="1" si="39"/>
        <v>0</v>
      </c>
      <c r="G879" s="126" t="e">
        <f>IF(A879&lt;&gt;"",IF(AND(#REF!="Padrão",$H$4=#REF!),BDI!$B$17,IF(AND(#REF!="Padrão",$H$4=#REF!),BDI!#REF!,IF(AND(#REF!="Diferenciado",$H$4=#REF!),BDI!$E$17,IF(AND(#REF!="Diferenciado",$H$4=#REF!),BDI!#REF!,IF(#REF!="ZERO",0))))),"")</f>
        <v>#REF!</v>
      </c>
      <c r="H879" s="127" t="e">
        <f t="shared" ca="1" si="40"/>
        <v>#REF!</v>
      </c>
      <c r="I879" s="125" t="e">
        <f t="shared" ca="1" si="41"/>
        <v>#REF!</v>
      </c>
    </row>
    <row r="880" spans="1:9" hidden="1" x14ac:dyDescent="0.25">
      <c r="A880" s="103" t="s">
        <v>856</v>
      </c>
      <c r="B880" s="104" t="s">
        <v>2740</v>
      </c>
      <c r="C880" s="105" t="s">
        <v>20</v>
      </c>
      <c r="D880" s="105">
        <v>0</v>
      </c>
      <c r="E880" s="124">
        <f ca="1">OFFSET(INDEX(Composições!A:J,MATCH(Orçamentária!A880,Composições!A:A,0),8),2,0)</f>
        <v>2.2961500000000004</v>
      </c>
      <c r="F880" s="125">
        <f t="shared" ca="1" si="39"/>
        <v>0</v>
      </c>
      <c r="G880" s="126" t="e">
        <f>IF(A880&lt;&gt;"",IF(AND(#REF!="Padrão",$H$4=#REF!),BDI!$B$17,IF(AND(#REF!="Padrão",$H$4=#REF!),BDI!#REF!,IF(AND(#REF!="Diferenciado",$H$4=#REF!),BDI!$E$17,IF(AND(#REF!="Diferenciado",$H$4=#REF!),BDI!#REF!,IF(#REF!="ZERO",0))))),"")</f>
        <v>#REF!</v>
      </c>
      <c r="H880" s="127" t="e">
        <f t="shared" ca="1" si="40"/>
        <v>#REF!</v>
      </c>
      <c r="I880" s="125" t="e">
        <f t="shared" ca="1" si="41"/>
        <v>#REF!</v>
      </c>
    </row>
    <row r="881" spans="1:9" hidden="1" x14ac:dyDescent="0.25">
      <c r="A881" s="103" t="s">
        <v>858</v>
      </c>
      <c r="B881" s="104" t="s">
        <v>2741</v>
      </c>
      <c r="C881" s="105" t="s">
        <v>20</v>
      </c>
      <c r="D881" s="105">
        <v>0</v>
      </c>
      <c r="E881" s="124">
        <f ca="1">OFFSET(INDEX(Composições!A:J,MATCH(Orçamentária!A881,Composições!A:A,0),8),2,0)</f>
        <v>9.1846000000000014</v>
      </c>
      <c r="F881" s="125">
        <f t="shared" ca="1" si="39"/>
        <v>0</v>
      </c>
      <c r="G881" s="126" t="e">
        <f>IF(A881&lt;&gt;"",IF(AND(#REF!="Padrão",$H$4=#REF!),BDI!$B$17,IF(AND(#REF!="Padrão",$H$4=#REF!),BDI!#REF!,IF(AND(#REF!="Diferenciado",$H$4=#REF!),BDI!$E$17,IF(AND(#REF!="Diferenciado",$H$4=#REF!),BDI!#REF!,IF(#REF!="ZERO",0))))),"")</f>
        <v>#REF!</v>
      </c>
      <c r="H881" s="127" t="e">
        <f t="shared" ca="1" si="40"/>
        <v>#REF!</v>
      </c>
      <c r="I881" s="125" t="e">
        <f t="shared" ca="1" si="41"/>
        <v>#REF!</v>
      </c>
    </row>
    <row r="882" spans="1:9" hidden="1" x14ac:dyDescent="0.25">
      <c r="A882" s="103" t="s">
        <v>860</v>
      </c>
      <c r="B882" s="104" t="s">
        <v>2742</v>
      </c>
      <c r="C882" s="105" t="s">
        <v>20</v>
      </c>
      <c r="D882" s="105">
        <v>0</v>
      </c>
      <c r="E882" s="124">
        <f ca="1">OFFSET(INDEX(Composições!A:J,MATCH(Orçamentária!A882,Composições!A:A,0),8),2,0)</f>
        <v>9.1846000000000014</v>
      </c>
      <c r="F882" s="125">
        <f t="shared" ca="1" si="39"/>
        <v>0</v>
      </c>
      <c r="G882" s="126" t="e">
        <f>IF(A882&lt;&gt;"",IF(AND(#REF!="Padrão",$H$4=#REF!),BDI!$B$17,IF(AND(#REF!="Padrão",$H$4=#REF!),BDI!#REF!,IF(AND(#REF!="Diferenciado",$H$4=#REF!),BDI!$E$17,IF(AND(#REF!="Diferenciado",$H$4=#REF!),BDI!#REF!,IF(#REF!="ZERO",0))))),"")</f>
        <v>#REF!</v>
      </c>
      <c r="H882" s="127" t="e">
        <f t="shared" ca="1" si="40"/>
        <v>#REF!</v>
      </c>
      <c r="I882" s="125" t="e">
        <f t="shared" ca="1" si="41"/>
        <v>#REF!</v>
      </c>
    </row>
    <row r="883" spans="1:9" hidden="1" x14ac:dyDescent="0.25">
      <c r="A883" s="103" t="s">
        <v>862</v>
      </c>
      <c r="B883" s="104" t="s">
        <v>2743</v>
      </c>
      <c r="C883" s="105" t="s">
        <v>20</v>
      </c>
      <c r="D883" s="105">
        <v>0</v>
      </c>
      <c r="E883" s="124">
        <f ca="1">OFFSET(INDEX(Composições!A:J,MATCH(Orçamentária!A883,Composições!A:A,0),8),2,0)</f>
        <v>6.8884499999999997</v>
      </c>
      <c r="F883" s="125">
        <f t="shared" ca="1" si="39"/>
        <v>0</v>
      </c>
      <c r="G883" s="126" t="e">
        <f>IF(A883&lt;&gt;"",IF(AND(#REF!="Padrão",$H$4=#REF!),BDI!$B$17,IF(AND(#REF!="Padrão",$H$4=#REF!),BDI!#REF!,IF(AND(#REF!="Diferenciado",$H$4=#REF!),BDI!$E$17,IF(AND(#REF!="Diferenciado",$H$4=#REF!),BDI!#REF!,IF(#REF!="ZERO",0))))),"")</f>
        <v>#REF!</v>
      </c>
      <c r="H883" s="127" t="e">
        <f t="shared" ca="1" si="40"/>
        <v>#REF!</v>
      </c>
      <c r="I883" s="125" t="e">
        <f t="shared" ca="1" si="41"/>
        <v>#REF!</v>
      </c>
    </row>
    <row r="884" spans="1:9" hidden="1" x14ac:dyDescent="0.25">
      <c r="A884" s="103" t="s">
        <v>864</v>
      </c>
      <c r="B884" s="104" t="s">
        <v>2744</v>
      </c>
      <c r="C884" s="105" t="s">
        <v>20</v>
      </c>
      <c r="D884" s="105">
        <v>0</v>
      </c>
      <c r="E884" s="124">
        <f ca="1">OFFSET(INDEX(Composições!A:J,MATCH(Orçamentária!A884,Composições!A:A,0),8),2,0)</f>
        <v>4.5923000000000007</v>
      </c>
      <c r="F884" s="125">
        <f t="shared" ca="1" si="39"/>
        <v>0</v>
      </c>
      <c r="G884" s="126" t="e">
        <f>IF(A884&lt;&gt;"",IF(AND(#REF!="Padrão",$H$4=#REF!),BDI!$B$17,IF(AND(#REF!="Padrão",$H$4=#REF!),BDI!#REF!,IF(AND(#REF!="Diferenciado",$H$4=#REF!),BDI!$E$17,IF(AND(#REF!="Diferenciado",$H$4=#REF!),BDI!#REF!,IF(#REF!="ZERO",0))))),"")</f>
        <v>#REF!</v>
      </c>
      <c r="H884" s="127" t="e">
        <f t="shared" ca="1" si="40"/>
        <v>#REF!</v>
      </c>
      <c r="I884" s="125" t="e">
        <f t="shared" ca="1" si="41"/>
        <v>#REF!</v>
      </c>
    </row>
    <row r="885" spans="1:9" hidden="1" x14ac:dyDescent="0.25">
      <c r="A885" s="103" t="s">
        <v>866</v>
      </c>
      <c r="B885" s="104" t="s">
        <v>2745</v>
      </c>
      <c r="C885" s="105" t="s">
        <v>20</v>
      </c>
      <c r="D885" s="105">
        <v>0</v>
      </c>
      <c r="E885" s="124">
        <f ca="1">OFFSET(INDEX(Composições!A:J,MATCH(Orçamentária!A885,Composições!A:A,0),8),2,0)</f>
        <v>4.5923000000000007</v>
      </c>
      <c r="F885" s="125">
        <f t="shared" ca="1" si="39"/>
        <v>0</v>
      </c>
      <c r="G885" s="126" t="e">
        <f>IF(A885&lt;&gt;"",IF(AND(#REF!="Padrão",$H$4=#REF!),BDI!$B$17,IF(AND(#REF!="Padrão",$H$4=#REF!),BDI!#REF!,IF(AND(#REF!="Diferenciado",$H$4=#REF!),BDI!$E$17,IF(AND(#REF!="Diferenciado",$H$4=#REF!),BDI!#REF!,IF(#REF!="ZERO",0))))),"")</f>
        <v>#REF!</v>
      </c>
      <c r="H885" s="127" t="e">
        <f t="shared" ca="1" si="40"/>
        <v>#REF!</v>
      </c>
      <c r="I885" s="125" t="e">
        <f t="shared" ca="1" si="41"/>
        <v>#REF!</v>
      </c>
    </row>
    <row r="886" spans="1:9" hidden="1" x14ac:dyDescent="0.25">
      <c r="A886" s="103" t="s">
        <v>868</v>
      </c>
      <c r="B886" s="104" t="s">
        <v>869</v>
      </c>
      <c r="C886" s="105" t="s">
        <v>95</v>
      </c>
      <c r="D886" s="105">
        <v>0</v>
      </c>
      <c r="E886" s="124">
        <f ca="1">OFFSET(INDEX(Composições!A:J,MATCH(Orçamentária!A886,Composições!A:A,0),8),2,0)</f>
        <v>611.59243450000008</v>
      </c>
      <c r="F886" s="125">
        <f t="shared" ca="1" si="39"/>
        <v>0</v>
      </c>
      <c r="G886" s="126" t="e">
        <f>IF(A886&lt;&gt;"",IF(AND(#REF!="Padrão",$H$4=#REF!),BDI!$B$17,IF(AND(#REF!="Padrão",$H$4=#REF!),BDI!#REF!,IF(AND(#REF!="Diferenciado",$H$4=#REF!),BDI!$E$17,IF(AND(#REF!="Diferenciado",$H$4=#REF!),BDI!#REF!,IF(#REF!="ZERO",0))))),"")</f>
        <v>#REF!</v>
      </c>
      <c r="H886" s="127" t="e">
        <f t="shared" ca="1" si="40"/>
        <v>#REF!</v>
      </c>
      <c r="I886" s="125" t="e">
        <f t="shared" ca="1" si="41"/>
        <v>#REF!</v>
      </c>
    </row>
    <row r="887" spans="1:9" hidden="1" x14ac:dyDescent="0.25">
      <c r="A887" s="103" t="s">
        <v>2746</v>
      </c>
      <c r="B887" s="104" t="s">
        <v>2747</v>
      </c>
      <c r="C887" s="105" t="s">
        <v>20</v>
      </c>
      <c r="D887" s="105">
        <v>0</v>
      </c>
      <c r="E887" s="124" t="s">
        <v>523</v>
      </c>
      <c r="F887" s="125" t="str">
        <f t="shared" si="39"/>
        <v/>
      </c>
      <c r="G887" s="126" t="e">
        <f>IF(A887&lt;&gt;"",IF(AND(#REF!="Padrão",$H$4=#REF!),BDI!$B$17,IF(AND(#REF!="Padrão",$H$4=#REF!),BDI!#REF!,IF(AND(#REF!="Diferenciado",$H$4=#REF!),BDI!$E$17,IF(AND(#REF!="Diferenciado",$H$4=#REF!),BDI!#REF!,IF(#REF!="ZERO",0))))),"")</f>
        <v>#REF!</v>
      </c>
      <c r="H887" s="127" t="str">
        <f t="shared" si="40"/>
        <v/>
      </c>
      <c r="I887" s="125" t="str">
        <f t="shared" si="41"/>
        <v/>
      </c>
    </row>
    <row r="888" spans="1:9" hidden="1" x14ac:dyDescent="0.25">
      <c r="A888" s="103" t="s">
        <v>870</v>
      </c>
      <c r="B888" s="104" t="s">
        <v>6308</v>
      </c>
      <c r="C888" s="105" t="s">
        <v>20</v>
      </c>
      <c r="D888" s="105">
        <v>0</v>
      </c>
      <c r="E888" s="124">
        <f ca="1">OFFSET(INDEX(Composições!A:J,MATCH(Orçamentária!A888,Composições!A:A,0),8),2,0)</f>
        <v>4.5923000000000007</v>
      </c>
      <c r="F888" s="125">
        <f t="shared" ca="1" si="39"/>
        <v>0</v>
      </c>
      <c r="G888" s="126" t="e">
        <f>IF(A888&lt;&gt;"",IF(AND(#REF!="Padrão",$H$4=#REF!),BDI!$B$17,IF(AND(#REF!="Padrão",$H$4=#REF!),BDI!#REF!,IF(AND(#REF!="Diferenciado",$H$4=#REF!),BDI!$E$17,IF(AND(#REF!="Diferenciado",$H$4=#REF!),BDI!#REF!,IF(#REF!="ZERO",0))))),"")</f>
        <v>#REF!</v>
      </c>
      <c r="H888" s="127" t="e">
        <f t="shared" ca="1" si="40"/>
        <v>#REF!</v>
      </c>
      <c r="I888" s="125" t="e">
        <f t="shared" ca="1" si="41"/>
        <v>#REF!</v>
      </c>
    </row>
    <row r="889" spans="1:9" hidden="1" x14ac:dyDescent="0.25">
      <c r="A889" s="103" t="s">
        <v>872</v>
      </c>
      <c r="B889" s="104" t="s">
        <v>2748</v>
      </c>
      <c r="C889" s="105" t="s">
        <v>20</v>
      </c>
      <c r="D889" s="105">
        <v>0</v>
      </c>
      <c r="E889" s="124">
        <f ca="1">OFFSET(INDEX(Composições!A:J,MATCH(Orçamentária!A889,Composições!A:A,0),8),2,0)</f>
        <v>4.5923000000000007</v>
      </c>
      <c r="F889" s="125">
        <f t="shared" ca="1" si="39"/>
        <v>0</v>
      </c>
      <c r="G889" s="126" t="e">
        <f>IF(A889&lt;&gt;"",IF(AND(#REF!="Padrão",$H$4=#REF!),BDI!$B$17,IF(AND(#REF!="Padrão",$H$4=#REF!),BDI!#REF!,IF(AND(#REF!="Diferenciado",$H$4=#REF!),BDI!$E$17,IF(AND(#REF!="Diferenciado",$H$4=#REF!),BDI!#REF!,IF(#REF!="ZERO",0))))),"")</f>
        <v>#REF!</v>
      </c>
      <c r="H889" s="127" t="e">
        <f t="shared" ca="1" si="40"/>
        <v>#REF!</v>
      </c>
      <c r="I889" s="125" t="e">
        <f t="shared" ca="1" si="41"/>
        <v>#REF!</v>
      </c>
    </row>
    <row r="890" spans="1:9" hidden="1" x14ac:dyDescent="0.25">
      <c r="A890" s="103" t="s">
        <v>874</v>
      </c>
      <c r="B890" s="104" t="s">
        <v>2749</v>
      </c>
      <c r="C890" s="105" t="s">
        <v>20</v>
      </c>
      <c r="D890" s="105">
        <v>0</v>
      </c>
      <c r="E890" s="124">
        <f ca="1">OFFSET(INDEX(Composições!A:J,MATCH(Orçamentária!A890,Composições!A:A,0),8),2,0)</f>
        <v>4.5923000000000007</v>
      </c>
      <c r="F890" s="125">
        <f t="shared" ca="1" si="39"/>
        <v>0</v>
      </c>
      <c r="G890" s="126" t="e">
        <f>IF(A890&lt;&gt;"",IF(AND(#REF!="Padrão",$H$4=#REF!),BDI!$B$17,IF(AND(#REF!="Padrão",$H$4=#REF!),BDI!#REF!,IF(AND(#REF!="Diferenciado",$H$4=#REF!),BDI!$E$17,IF(AND(#REF!="Diferenciado",$H$4=#REF!),BDI!#REF!,IF(#REF!="ZERO",0))))),"")</f>
        <v>#REF!</v>
      </c>
      <c r="H890" s="127" t="e">
        <f t="shared" ca="1" si="40"/>
        <v>#REF!</v>
      </c>
      <c r="I890" s="125" t="e">
        <f t="shared" ca="1" si="41"/>
        <v>#REF!</v>
      </c>
    </row>
    <row r="891" spans="1:9" hidden="1" x14ac:dyDescent="0.25">
      <c r="A891" s="103" t="s">
        <v>876</v>
      </c>
      <c r="B891" s="104" t="s">
        <v>2750</v>
      </c>
      <c r="C891" s="105" t="s">
        <v>20</v>
      </c>
      <c r="D891" s="105">
        <v>0</v>
      </c>
      <c r="E891" s="124">
        <f ca="1">OFFSET(INDEX(Composições!A:J,MATCH(Orçamentária!A891,Composições!A:A,0),8),2,0)</f>
        <v>34.442250000000001</v>
      </c>
      <c r="F891" s="125">
        <f t="shared" ca="1" si="39"/>
        <v>0</v>
      </c>
      <c r="G891" s="126" t="e">
        <f>IF(A891&lt;&gt;"",IF(AND(#REF!="Padrão",$H$4=#REF!),BDI!$B$17,IF(AND(#REF!="Padrão",$H$4=#REF!),BDI!#REF!,IF(AND(#REF!="Diferenciado",$H$4=#REF!),BDI!$E$17,IF(AND(#REF!="Diferenciado",$H$4=#REF!),BDI!#REF!,IF(#REF!="ZERO",0))))),"")</f>
        <v>#REF!</v>
      </c>
      <c r="H891" s="127" t="e">
        <f t="shared" ca="1" si="40"/>
        <v>#REF!</v>
      </c>
      <c r="I891" s="125" t="e">
        <f t="shared" ca="1" si="41"/>
        <v>#REF!</v>
      </c>
    </row>
    <row r="892" spans="1:9" hidden="1" x14ac:dyDescent="0.25">
      <c r="A892" s="103" t="s">
        <v>878</v>
      </c>
      <c r="B892" s="104" t="s">
        <v>2751</v>
      </c>
      <c r="C892" s="105" t="s">
        <v>20</v>
      </c>
      <c r="D892" s="105">
        <v>0</v>
      </c>
      <c r="E892" s="124">
        <f ca="1">OFFSET(INDEX(Composições!A:J,MATCH(Orçamentária!A892,Composições!A:A,0),8),2,0)</f>
        <v>34.442250000000001</v>
      </c>
      <c r="F892" s="125">
        <f t="shared" ca="1" si="39"/>
        <v>0</v>
      </c>
      <c r="G892" s="126" t="e">
        <f>IF(A892&lt;&gt;"",IF(AND(#REF!="Padrão",$H$4=#REF!),BDI!$B$17,IF(AND(#REF!="Padrão",$H$4=#REF!),BDI!#REF!,IF(AND(#REF!="Diferenciado",$H$4=#REF!),BDI!$E$17,IF(AND(#REF!="Diferenciado",$H$4=#REF!),BDI!#REF!,IF(#REF!="ZERO",0))))),"")</f>
        <v>#REF!</v>
      </c>
      <c r="H892" s="127" t="e">
        <f t="shared" ca="1" si="40"/>
        <v>#REF!</v>
      </c>
      <c r="I892" s="125" t="e">
        <f t="shared" ca="1" si="41"/>
        <v>#REF!</v>
      </c>
    </row>
    <row r="893" spans="1:9" hidden="1" x14ac:dyDescent="0.25">
      <c r="A893" s="103" t="s">
        <v>880</v>
      </c>
      <c r="B893" s="104" t="s">
        <v>2752</v>
      </c>
      <c r="C893" s="105" t="s">
        <v>20</v>
      </c>
      <c r="D893" s="105">
        <v>0</v>
      </c>
      <c r="E893" s="124">
        <f ca="1">OFFSET(INDEX(Composições!A:J,MATCH(Orçamentária!A893,Composições!A:A,0),8),2,0)</f>
        <v>22.961500000000001</v>
      </c>
      <c r="F893" s="125">
        <f t="shared" ca="1" si="39"/>
        <v>0</v>
      </c>
      <c r="G893" s="126" t="e">
        <f>IF(A893&lt;&gt;"",IF(AND(#REF!="Padrão",$H$4=#REF!),BDI!$B$17,IF(AND(#REF!="Padrão",$H$4=#REF!),BDI!#REF!,IF(AND(#REF!="Diferenciado",$H$4=#REF!),BDI!$E$17,IF(AND(#REF!="Diferenciado",$H$4=#REF!),BDI!#REF!,IF(#REF!="ZERO",0))))),"")</f>
        <v>#REF!</v>
      </c>
      <c r="H893" s="127" t="e">
        <f t="shared" ca="1" si="40"/>
        <v>#REF!</v>
      </c>
      <c r="I893" s="125" t="e">
        <f t="shared" ca="1" si="41"/>
        <v>#REF!</v>
      </c>
    </row>
    <row r="894" spans="1:9" hidden="1" x14ac:dyDescent="0.25">
      <c r="A894" s="103" t="s">
        <v>882</v>
      </c>
      <c r="B894" s="104" t="s">
        <v>2753</v>
      </c>
      <c r="C894" s="105" t="s">
        <v>20</v>
      </c>
      <c r="D894" s="105">
        <v>0</v>
      </c>
      <c r="E894" s="124">
        <f ca="1">OFFSET(INDEX(Composições!A:J,MATCH(Orçamentária!A894,Composições!A:A,0),8),2,0)</f>
        <v>2.2961500000000004</v>
      </c>
      <c r="F894" s="125">
        <f t="shared" ca="1" si="39"/>
        <v>0</v>
      </c>
      <c r="G894" s="126" t="e">
        <f>IF(A894&lt;&gt;"",IF(AND(#REF!="Padrão",$H$4=#REF!),BDI!$B$17,IF(AND(#REF!="Padrão",$H$4=#REF!),BDI!#REF!,IF(AND(#REF!="Diferenciado",$H$4=#REF!),BDI!$E$17,IF(AND(#REF!="Diferenciado",$H$4=#REF!),BDI!#REF!,IF(#REF!="ZERO",0))))),"")</f>
        <v>#REF!</v>
      </c>
      <c r="H894" s="127" t="e">
        <f t="shared" ca="1" si="40"/>
        <v>#REF!</v>
      </c>
      <c r="I894" s="125" t="e">
        <f t="shared" ca="1" si="41"/>
        <v>#REF!</v>
      </c>
    </row>
    <row r="895" spans="1:9" hidden="1" x14ac:dyDescent="0.25">
      <c r="A895" s="103" t="s">
        <v>884</v>
      </c>
      <c r="B895" s="104" t="s">
        <v>6309</v>
      </c>
      <c r="C895" s="105" t="s">
        <v>20</v>
      </c>
      <c r="D895" s="105">
        <v>0</v>
      </c>
      <c r="E895" s="124">
        <f ca="1">OFFSET(INDEX(Composições!A:J,MATCH(Orçamentária!A895,Composições!A:A,0),8),2,0)</f>
        <v>4.5923000000000007</v>
      </c>
      <c r="F895" s="125">
        <f t="shared" ca="1" si="39"/>
        <v>0</v>
      </c>
      <c r="G895" s="126" t="e">
        <f>IF(A895&lt;&gt;"",IF(AND(#REF!="Padrão",$H$4=#REF!),BDI!$B$17,IF(AND(#REF!="Padrão",$H$4=#REF!),BDI!#REF!,IF(AND(#REF!="Diferenciado",$H$4=#REF!),BDI!$E$17,IF(AND(#REF!="Diferenciado",$H$4=#REF!),BDI!#REF!,IF(#REF!="ZERO",0))))),"")</f>
        <v>#REF!</v>
      </c>
      <c r="H895" s="127" t="e">
        <f t="shared" ca="1" si="40"/>
        <v>#REF!</v>
      </c>
      <c r="I895" s="125" t="e">
        <f t="shared" ca="1" si="41"/>
        <v>#REF!</v>
      </c>
    </row>
    <row r="896" spans="1:9" hidden="1" x14ac:dyDescent="0.25">
      <c r="A896" s="103" t="s">
        <v>886</v>
      </c>
      <c r="B896" s="104" t="s">
        <v>2754</v>
      </c>
      <c r="C896" s="105" t="s">
        <v>20</v>
      </c>
      <c r="D896" s="105">
        <v>0</v>
      </c>
      <c r="E896" s="124">
        <f ca="1">OFFSET(INDEX(Composições!A:J,MATCH(Orçamentária!A896,Composições!A:A,0),8),2,0)</f>
        <v>4.5923000000000007</v>
      </c>
      <c r="F896" s="125">
        <f t="shared" ca="1" si="39"/>
        <v>0</v>
      </c>
      <c r="G896" s="126" t="e">
        <f>IF(A896&lt;&gt;"",IF(AND(#REF!="Padrão",$H$4=#REF!),BDI!$B$17,IF(AND(#REF!="Padrão",$H$4=#REF!),BDI!#REF!,IF(AND(#REF!="Diferenciado",$H$4=#REF!),BDI!$E$17,IF(AND(#REF!="Diferenciado",$H$4=#REF!),BDI!#REF!,IF(#REF!="ZERO",0))))),"")</f>
        <v>#REF!</v>
      </c>
      <c r="H896" s="127" t="e">
        <f t="shared" ca="1" si="40"/>
        <v>#REF!</v>
      </c>
      <c r="I896" s="125" t="e">
        <f t="shared" ca="1" si="41"/>
        <v>#REF!</v>
      </c>
    </row>
    <row r="897" spans="1:9" hidden="1" x14ac:dyDescent="0.25">
      <c r="A897" s="103" t="s">
        <v>888</v>
      </c>
      <c r="B897" s="104" t="s">
        <v>2755</v>
      </c>
      <c r="C897" s="105" t="s">
        <v>93</v>
      </c>
      <c r="D897" s="105">
        <v>0</v>
      </c>
      <c r="E897" s="124">
        <f ca="1">OFFSET(INDEX(Composições!A:J,MATCH(Orçamentária!A897,Composições!A:A,0),8),2,0)</f>
        <v>40.877150999999998</v>
      </c>
      <c r="F897" s="125">
        <f t="shared" ca="1" si="39"/>
        <v>0</v>
      </c>
      <c r="G897" s="126" t="e">
        <f>IF(A897&lt;&gt;"",IF(AND(#REF!="Padrão",$H$4=#REF!),BDI!$B$17,IF(AND(#REF!="Padrão",$H$4=#REF!),BDI!#REF!,IF(AND(#REF!="Diferenciado",$H$4=#REF!),BDI!$E$17,IF(AND(#REF!="Diferenciado",$H$4=#REF!),BDI!#REF!,IF(#REF!="ZERO",0))))),"")</f>
        <v>#REF!</v>
      </c>
      <c r="H897" s="127" t="e">
        <f t="shared" ca="1" si="40"/>
        <v>#REF!</v>
      </c>
      <c r="I897" s="125" t="e">
        <f t="shared" ca="1" si="41"/>
        <v>#REF!</v>
      </c>
    </row>
    <row r="898" spans="1:9" hidden="1" x14ac:dyDescent="0.25">
      <c r="A898" s="103" t="s">
        <v>890</v>
      </c>
      <c r="B898" s="104" t="s">
        <v>2756</v>
      </c>
      <c r="C898" s="105" t="s">
        <v>93</v>
      </c>
      <c r="D898" s="105">
        <v>0</v>
      </c>
      <c r="E898" s="124">
        <f ca="1">OFFSET(INDEX(Composições!A:J,MATCH(Orçamentária!A898,Composições!A:A,0),8),2,0)</f>
        <v>4.5923000000000007</v>
      </c>
      <c r="F898" s="125">
        <f t="shared" ca="1" si="39"/>
        <v>0</v>
      </c>
      <c r="G898" s="126" t="e">
        <f>IF(A898&lt;&gt;"",IF(AND(#REF!="Padrão",$H$4=#REF!),BDI!$B$17,IF(AND(#REF!="Padrão",$H$4=#REF!),BDI!#REF!,IF(AND(#REF!="Diferenciado",$H$4=#REF!),BDI!$E$17,IF(AND(#REF!="Diferenciado",$H$4=#REF!),BDI!#REF!,IF(#REF!="ZERO",0))))),"")</f>
        <v>#REF!</v>
      </c>
      <c r="H898" s="127" t="e">
        <f t="shared" ca="1" si="40"/>
        <v>#REF!</v>
      </c>
      <c r="I898" s="125" t="e">
        <f t="shared" ca="1" si="41"/>
        <v>#REF!</v>
      </c>
    </row>
    <row r="899" spans="1:9" hidden="1" x14ac:dyDescent="0.25">
      <c r="A899" s="103" t="s">
        <v>892</v>
      </c>
      <c r="B899" s="104" t="s">
        <v>2757</v>
      </c>
      <c r="C899" s="105" t="s">
        <v>93</v>
      </c>
      <c r="D899" s="105">
        <v>0</v>
      </c>
      <c r="E899" s="124">
        <f ca="1">OFFSET(INDEX(Composições!A:J,MATCH(Orçamentária!A899,Composições!A:A,0),8),2,0)</f>
        <v>11.790298</v>
      </c>
      <c r="F899" s="125">
        <f t="shared" ca="1" si="39"/>
        <v>0</v>
      </c>
      <c r="G899" s="126" t="e">
        <f>IF(A899&lt;&gt;"",IF(AND(#REF!="Padrão",$H$4=#REF!),BDI!$B$17,IF(AND(#REF!="Padrão",$H$4=#REF!),BDI!#REF!,IF(AND(#REF!="Diferenciado",$H$4=#REF!),BDI!$E$17,IF(AND(#REF!="Diferenciado",$H$4=#REF!),BDI!#REF!,IF(#REF!="ZERO",0))))),"")</f>
        <v>#REF!</v>
      </c>
      <c r="H899" s="127" t="e">
        <f t="shared" ca="1" si="40"/>
        <v>#REF!</v>
      </c>
      <c r="I899" s="125" t="e">
        <f t="shared" ca="1" si="41"/>
        <v>#REF!</v>
      </c>
    </row>
    <row r="900" spans="1:9" hidden="1" x14ac:dyDescent="0.25">
      <c r="A900" s="103" t="s">
        <v>895</v>
      </c>
      <c r="B900" s="104" t="s">
        <v>2758</v>
      </c>
      <c r="C900" s="105" t="s">
        <v>20</v>
      </c>
      <c r="D900" s="105">
        <v>0</v>
      </c>
      <c r="E900" s="124">
        <f ca="1">OFFSET(INDEX(Composições!A:J,MATCH(Orçamentária!A900,Composições!A:A,0),8),2,0)</f>
        <v>34.442250000000001</v>
      </c>
      <c r="F900" s="125">
        <f t="shared" ca="1" si="39"/>
        <v>0</v>
      </c>
      <c r="G900" s="126" t="e">
        <f>IF(A900&lt;&gt;"",IF(AND(#REF!="Padrão",$H$4=#REF!),BDI!$B$17,IF(AND(#REF!="Padrão",$H$4=#REF!),BDI!#REF!,IF(AND(#REF!="Diferenciado",$H$4=#REF!),BDI!$E$17,IF(AND(#REF!="Diferenciado",$H$4=#REF!),BDI!#REF!,IF(#REF!="ZERO",0))))),"")</f>
        <v>#REF!</v>
      </c>
      <c r="H900" s="127" t="e">
        <f t="shared" ca="1" si="40"/>
        <v>#REF!</v>
      </c>
      <c r="I900" s="125" t="e">
        <f t="shared" ca="1" si="41"/>
        <v>#REF!</v>
      </c>
    </row>
    <row r="901" spans="1:9" hidden="1" x14ac:dyDescent="0.25">
      <c r="A901" s="103" t="s">
        <v>896</v>
      </c>
      <c r="B901" s="104" t="s">
        <v>2759</v>
      </c>
      <c r="C901" s="105" t="s">
        <v>95</v>
      </c>
      <c r="D901" s="105">
        <v>0</v>
      </c>
      <c r="E901" s="124">
        <f ca="1">OFFSET(INDEX(Composições!A:J,MATCH(Orçamentária!A901,Composições!A:A,0),8),2,0)</f>
        <v>91.196209499999995</v>
      </c>
      <c r="F901" s="125">
        <f t="shared" ca="1" si="39"/>
        <v>0</v>
      </c>
      <c r="G901" s="126" t="e">
        <f>IF(A901&lt;&gt;"",IF(AND(#REF!="Padrão",$H$4=#REF!),BDI!$B$17,IF(AND(#REF!="Padrão",$H$4=#REF!),BDI!#REF!,IF(AND(#REF!="Diferenciado",$H$4=#REF!),BDI!$E$17,IF(AND(#REF!="Diferenciado",$H$4=#REF!),BDI!#REF!,IF(#REF!="ZERO",0))))),"")</f>
        <v>#REF!</v>
      </c>
      <c r="H901" s="127" t="e">
        <f t="shared" ca="1" si="40"/>
        <v>#REF!</v>
      </c>
      <c r="I901" s="125" t="e">
        <f t="shared" ca="1" si="41"/>
        <v>#REF!</v>
      </c>
    </row>
    <row r="902" spans="1:9" hidden="1" x14ac:dyDescent="0.25">
      <c r="A902" s="103" t="s">
        <v>898</v>
      </c>
      <c r="B902" s="104" t="s">
        <v>2760</v>
      </c>
      <c r="C902" s="105" t="s">
        <v>20</v>
      </c>
      <c r="D902" s="105">
        <v>0</v>
      </c>
      <c r="E902" s="124">
        <f ca="1">OFFSET(INDEX(Composições!A:J,MATCH(Orçamentária!A902,Composições!A:A,0),8),2,0)</f>
        <v>9.1846000000000014</v>
      </c>
      <c r="F902" s="125">
        <f t="shared" ca="1" si="39"/>
        <v>0</v>
      </c>
      <c r="G902" s="126" t="e">
        <f>IF(A902&lt;&gt;"",IF(AND(#REF!="Padrão",$H$4=#REF!),BDI!$B$17,IF(AND(#REF!="Padrão",$H$4=#REF!),BDI!#REF!,IF(AND(#REF!="Diferenciado",$H$4=#REF!),BDI!$E$17,IF(AND(#REF!="Diferenciado",$H$4=#REF!),BDI!#REF!,IF(#REF!="ZERO",0))))),"")</f>
        <v>#REF!</v>
      </c>
      <c r="H902" s="127" t="e">
        <f t="shared" ca="1" si="40"/>
        <v>#REF!</v>
      </c>
      <c r="I902" s="125" t="e">
        <f t="shared" ca="1" si="41"/>
        <v>#REF!</v>
      </c>
    </row>
    <row r="903" spans="1:9" hidden="1" x14ac:dyDescent="0.25">
      <c r="A903" s="103" t="s">
        <v>900</v>
      </c>
      <c r="B903" s="104" t="s">
        <v>2761</v>
      </c>
      <c r="C903" s="105" t="s">
        <v>42</v>
      </c>
      <c r="D903" s="105">
        <v>0</v>
      </c>
      <c r="E903" s="124">
        <f ca="1">OFFSET(INDEX(Composições!A:J,MATCH(Orçamentária!A903,Composições!A:A,0),8),2,0)</f>
        <v>4.2674617499999998</v>
      </c>
      <c r="F903" s="125">
        <f t="shared" ref="F903:F966" ca="1" si="42">IF(ISNUMBER(E903),D903*E903,"")</f>
        <v>0</v>
      </c>
      <c r="G903" s="126" t="e">
        <f>IF(A903&lt;&gt;"",IF(AND(#REF!="Padrão",$H$4=#REF!),BDI!$B$17,IF(AND(#REF!="Padrão",$H$4=#REF!),BDI!#REF!,IF(AND(#REF!="Diferenciado",$H$4=#REF!),BDI!$E$17,IF(AND(#REF!="Diferenciado",$H$4=#REF!),BDI!#REF!,IF(#REF!="ZERO",0))))),"")</f>
        <v>#REF!</v>
      </c>
      <c r="H903" s="127" t="e">
        <f t="shared" ref="H903:H966" ca="1" si="43">IF(ISNUMBER(E903),ROUND(E903*(1+G903),2),"")</f>
        <v>#REF!</v>
      </c>
      <c r="I903" s="125" t="e">
        <f t="shared" ref="I903:I966" ca="1" si="44">IF(ISNUMBER(E903),ROUND(H903*D903,2),"")</f>
        <v>#REF!</v>
      </c>
    </row>
    <row r="904" spans="1:9" hidden="1" x14ac:dyDescent="0.25">
      <c r="A904" s="103" t="s">
        <v>906</v>
      </c>
      <c r="B904" s="104" t="s">
        <v>2762</v>
      </c>
      <c r="C904" s="105" t="s">
        <v>20</v>
      </c>
      <c r="D904" s="105">
        <v>0</v>
      </c>
      <c r="E904" s="124">
        <f ca="1">OFFSET(INDEX(Composições!A:J,MATCH(Orçamentária!A904,Composições!A:A,0),8),2,0)</f>
        <v>4.5923000000000007</v>
      </c>
      <c r="F904" s="125">
        <f t="shared" ca="1" si="42"/>
        <v>0</v>
      </c>
      <c r="G904" s="126" t="e">
        <f>IF(A904&lt;&gt;"",IF(AND(#REF!="Padrão",$H$4=#REF!),BDI!$B$17,IF(AND(#REF!="Padrão",$H$4=#REF!),BDI!#REF!,IF(AND(#REF!="Diferenciado",$H$4=#REF!),BDI!$E$17,IF(AND(#REF!="Diferenciado",$H$4=#REF!),BDI!#REF!,IF(#REF!="ZERO",0))))),"")</f>
        <v>#REF!</v>
      </c>
      <c r="H904" s="127" t="e">
        <f t="shared" ca="1" si="43"/>
        <v>#REF!</v>
      </c>
      <c r="I904" s="125" t="e">
        <f t="shared" ca="1" si="44"/>
        <v>#REF!</v>
      </c>
    </row>
    <row r="905" spans="1:9" hidden="1" x14ac:dyDescent="0.25">
      <c r="A905" s="103" t="s">
        <v>908</v>
      </c>
      <c r="B905" s="104" t="s">
        <v>2763</v>
      </c>
      <c r="C905" s="105" t="s">
        <v>20</v>
      </c>
      <c r="D905" s="105">
        <v>0</v>
      </c>
      <c r="E905" s="124">
        <f ca="1">OFFSET(INDEX(Composições!A:J,MATCH(Orçamentária!A905,Composições!A:A,0),8),2,0)</f>
        <v>6.8884499999999997</v>
      </c>
      <c r="F905" s="125">
        <f t="shared" ca="1" si="42"/>
        <v>0</v>
      </c>
      <c r="G905" s="126" t="e">
        <f>IF(A905&lt;&gt;"",IF(AND(#REF!="Padrão",$H$4=#REF!),BDI!$B$17,IF(AND(#REF!="Padrão",$H$4=#REF!),BDI!#REF!,IF(AND(#REF!="Diferenciado",$H$4=#REF!),BDI!$E$17,IF(AND(#REF!="Diferenciado",$H$4=#REF!),BDI!#REF!,IF(#REF!="ZERO",0))))),"")</f>
        <v>#REF!</v>
      </c>
      <c r="H905" s="127" t="e">
        <f t="shared" ca="1" si="43"/>
        <v>#REF!</v>
      </c>
      <c r="I905" s="125" t="e">
        <f t="shared" ca="1" si="44"/>
        <v>#REF!</v>
      </c>
    </row>
    <row r="906" spans="1:9" hidden="1" x14ac:dyDescent="0.25">
      <c r="A906" s="103" t="s">
        <v>910</v>
      </c>
      <c r="B906" s="104" t="s">
        <v>2764</v>
      </c>
      <c r="C906" s="105" t="s">
        <v>20</v>
      </c>
      <c r="D906" s="105">
        <v>0</v>
      </c>
      <c r="E906" s="124">
        <f ca="1">OFFSET(INDEX(Composições!A:J,MATCH(Orçamentária!A906,Composições!A:A,0),8),2,0)</f>
        <v>6.8884499999999997</v>
      </c>
      <c r="F906" s="125">
        <f t="shared" ca="1" si="42"/>
        <v>0</v>
      </c>
      <c r="G906" s="126" t="e">
        <f>IF(A906&lt;&gt;"",IF(AND(#REF!="Padrão",$H$4=#REF!),BDI!$B$17,IF(AND(#REF!="Padrão",$H$4=#REF!),BDI!#REF!,IF(AND(#REF!="Diferenciado",$H$4=#REF!),BDI!$E$17,IF(AND(#REF!="Diferenciado",$H$4=#REF!),BDI!#REF!,IF(#REF!="ZERO",0))))),"")</f>
        <v>#REF!</v>
      </c>
      <c r="H906" s="127" t="e">
        <f t="shared" ca="1" si="43"/>
        <v>#REF!</v>
      </c>
      <c r="I906" s="125" t="e">
        <f t="shared" ca="1" si="44"/>
        <v>#REF!</v>
      </c>
    </row>
    <row r="907" spans="1:9" hidden="1" x14ac:dyDescent="0.25">
      <c r="A907" s="103" t="s">
        <v>912</v>
      </c>
      <c r="B907" s="104" t="s">
        <v>2765</v>
      </c>
      <c r="C907" s="105" t="s">
        <v>20</v>
      </c>
      <c r="D907" s="105">
        <v>0</v>
      </c>
      <c r="E907" s="124">
        <f ca="1">OFFSET(INDEX(Composições!A:J,MATCH(Orçamentária!A907,Composições!A:A,0),8),2,0)</f>
        <v>6.8884499999999997</v>
      </c>
      <c r="F907" s="125">
        <f t="shared" ca="1" si="42"/>
        <v>0</v>
      </c>
      <c r="G907" s="126" t="e">
        <f>IF(A907&lt;&gt;"",IF(AND(#REF!="Padrão",$H$4=#REF!),BDI!$B$17,IF(AND(#REF!="Padrão",$H$4=#REF!),BDI!#REF!,IF(AND(#REF!="Diferenciado",$H$4=#REF!),BDI!$E$17,IF(AND(#REF!="Diferenciado",$H$4=#REF!),BDI!#REF!,IF(#REF!="ZERO",0))))),"")</f>
        <v>#REF!</v>
      </c>
      <c r="H907" s="127" t="e">
        <f t="shared" ca="1" si="43"/>
        <v>#REF!</v>
      </c>
      <c r="I907" s="125" t="e">
        <f t="shared" ca="1" si="44"/>
        <v>#REF!</v>
      </c>
    </row>
    <row r="908" spans="1:9" hidden="1" x14ac:dyDescent="0.25">
      <c r="A908" s="103" t="s">
        <v>914</v>
      </c>
      <c r="B908" s="104" t="s">
        <v>2766</v>
      </c>
      <c r="C908" s="105" t="s">
        <v>20</v>
      </c>
      <c r="D908" s="105">
        <v>0</v>
      </c>
      <c r="E908" s="124">
        <f ca="1">OFFSET(INDEX(Composições!A:J,MATCH(Orçamentária!A908,Composições!A:A,0),8),2,0)</f>
        <v>3.4442249999999999</v>
      </c>
      <c r="F908" s="125">
        <f t="shared" ca="1" si="42"/>
        <v>0</v>
      </c>
      <c r="G908" s="126" t="e">
        <f>IF(A908&lt;&gt;"",IF(AND(#REF!="Padrão",$H$4=#REF!),BDI!$B$17,IF(AND(#REF!="Padrão",$H$4=#REF!),BDI!#REF!,IF(AND(#REF!="Diferenciado",$H$4=#REF!),BDI!$E$17,IF(AND(#REF!="Diferenciado",$H$4=#REF!),BDI!#REF!,IF(#REF!="ZERO",0))))),"")</f>
        <v>#REF!</v>
      </c>
      <c r="H908" s="127" t="e">
        <f t="shared" ca="1" si="43"/>
        <v>#REF!</v>
      </c>
      <c r="I908" s="125" t="e">
        <f t="shared" ca="1" si="44"/>
        <v>#REF!</v>
      </c>
    </row>
    <row r="909" spans="1:9" hidden="1" x14ac:dyDescent="0.25">
      <c r="A909" s="103" t="s">
        <v>916</v>
      </c>
      <c r="B909" s="104" t="s">
        <v>2767</v>
      </c>
      <c r="C909" s="105" t="s">
        <v>20</v>
      </c>
      <c r="D909" s="105">
        <v>0</v>
      </c>
      <c r="E909" s="124">
        <f ca="1">OFFSET(INDEX(Composições!A:J,MATCH(Orçamentária!A909,Composições!A:A,0),8),2,0)</f>
        <v>3.4442249999999999</v>
      </c>
      <c r="F909" s="125">
        <f t="shared" ca="1" si="42"/>
        <v>0</v>
      </c>
      <c r="G909" s="126" t="e">
        <f>IF(A909&lt;&gt;"",IF(AND(#REF!="Padrão",$H$4=#REF!),BDI!$B$17,IF(AND(#REF!="Padrão",$H$4=#REF!),BDI!#REF!,IF(AND(#REF!="Diferenciado",$H$4=#REF!),BDI!$E$17,IF(AND(#REF!="Diferenciado",$H$4=#REF!),BDI!#REF!,IF(#REF!="ZERO",0))))),"")</f>
        <v>#REF!</v>
      </c>
      <c r="H909" s="127" t="e">
        <f t="shared" ca="1" si="43"/>
        <v>#REF!</v>
      </c>
      <c r="I909" s="125" t="e">
        <f t="shared" ca="1" si="44"/>
        <v>#REF!</v>
      </c>
    </row>
    <row r="910" spans="1:9" hidden="1" x14ac:dyDescent="0.25">
      <c r="A910" s="103" t="s">
        <v>918</v>
      </c>
      <c r="B910" s="104" t="s">
        <v>2768</v>
      </c>
      <c r="C910" s="105" t="s">
        <v>20</v>
      </c>
      <c r="D910" s="105">
        <v>0</v>
      </c>
      <c r="E910" s="124">
        <f ca="1">OFFSET(INDEX(Composições!A:J,MATCH(Orçamentária!A910,Composições!A:A,0),8),2,0)</f>
        <v>3.4442249999999999</v>
      </c>
      <c r="F910" s="125">
        <f t="shared" ca="1" si="42"/>
        <v>0</v>
      </c>
      <c r="G910" s="126" t="e">
        <f>IF(A910&lt;&gt;"",IF(AND(#REF!="Padrão",$H$4=#REF!),BDI!$B$17,IF(AND(#REF!="Padrão",$H$4=#REF!),BDI!#REF!,IF(AND(#REF!="Diferenciado",$H$4=#REF!),BDI!$E$17,IF(AND(#REF!="Diferenciado",$H$4=#REF!),BDI!#REF!,IF(#REF!="ZERO",0))))),"")</f>
        <v>#REF!</v>
      </c>
      <c r="H910" s="127" t="e">
        <f t="shared" ca="1" si="43"/>
        <v>#REF!</v>
      </c>
      <c r="I910" s="125" t="e">
        <f t="shared" ca="1" si="44"/>
        <v>#REF!</v>
      </c>
    </row>
    <row r="911" spans="1:9" hidden="1" x14ac:dyDescent="0.25">
      <c r="A911" s="103" t="s">
        <v>920</v>
      </c>
      <c r="B911" s="104" t="s">
        <v>2769</v>
      </c>
      <c r="C911" s="105" t="s">
        <v>20</v>
      </c>
      <c r="D911" s="105">
        <v>0</v>
      </c>
      <c r="E911" s="124">
        <f ca="1">OFFSET(INDEX(Composições!A:J,MATCH(Orçamentária!A911,Composições!A:A,0),8),2,0)</f>
        <v>3.4442249999999999</v>
      </c>
      <c r="F911" s="125">
        <f t="shared" ca="1" si="42"/>
        <v>0</v>
      </c>
      <c r="G911" s="126" t="e">
        <f>IF(A911&lt;&gt;"",IF(AND(#REF!="Padrão",$H$4=#REF!),BDI!$B$17,IF(AND(#REF!="Padrão",$H$4=#REF!),BDI!#REF!,IF(AND(#REF!="Diferenciado",$H$4=#REF!),BDI!$E$17,IF(AND(#REF!="Diferenciado",$H$4=#REF!),BDI!#REF!,IF(#REF!="ZERO",0))))),"")</f>
        <v>#REF!</v>
      </c>
      <c r="H911" s="127" t="e">
        <f t="shared" ca="1" si="43"/>
        <v>#REF!</v>
      </c>
      <c r="I911" s="125" t="e">
        <f t="shared" ca="1" si="44"/>
        <v>#REF!</v>
      </c>
    </row>
    <row r="912" spans="1:9" hidden="1" x14ac:dyDescent="0.25">
      <c r="A912" s="103" t="s">
        <v>922</v>
      </c>
      <c r="B912" s="104" t="s">
        <v>2770</v>
      </c>
      <c r="C912" s="105" t="s">
        <v>20</v>
      </c>
      <c r="D912" s="105">
        <v>0</v>
      </c>
      <c r="E912" s="124">
        <f ca="1">OFFSET(INDEX(Composições!A:J,MATCH(Orçamentária!A912,Composições!A:A,0),8),2,0)</f>
        <v>9.1846000000000014</v>
      </c>
      <c r="F912" s="125">
        <f t="shared" ca="1" si="42"/>
        <v>0</v>
      </c>
      <c r="G912" s="126" t="e">
        <f>IF(A912&lt;&gt;"",IF(AND(#REF!="Padrão",$H$4=#REF!),BDI!$B$17,IF(AND(#REF!="Padrão",$H$4=#REF!),BDI!#REF!,IF(AND(#REF!="Diferenciado",$H$4=#REF!),BDI!$E$17,IF(AND(#REF!="Diferenciado",$H$4=#REF!),BDI!#REF!,IF(#REF!="ZERO",0))))),"")</f>
        <v>#REF!</v>
      </c>
      <c r="H912" s="127" t="e">
        <f t="shared" ca="1" si="43"/>
        <v>#REF!</v>
      </c>
      <c r="I912" s="125" t="e">
        <f t="shared" ca="1" si="44"/>
        <v>#REF!</v>
      </c>
    </row>
    <row r="913" spans="1:9" hidden="1" x14ac:dyDescent="0.25">
      <c r="A913" s="103" t="s">
        <v>924</v>
      </c>
      <c r="B913" s="104" t="s">
        <v>2771</v>
      </c>
      <c r="C913" s="105" t="s">
        <v>2772</v>
      </c>
      <c r="D913" s="105">
        <v>0</v>
      </c>
      <c r="E913" s="124">
        <f ca="1">OFFSET(INDEX(Composições!A:J,MATCH(Orçamentária!A913,Composições!A:A,0),8),2,0)</f>
        <v>53.8062805</v>
      </c>
      <c r="F913" s="125">
        <f t="shared" ca="1" si="42"/>
        <v>0</v>
      </c>
      <c r="G913" s="126" t="e">
        <f>IF(A913&lt;&gt;"",IF(AND(#REF!="Padrão",$H$4=#REF!),BDI!$B$17,IF(AND(#REF!="Padrão",$H$4=#REF!),BDI!#REF!,IF(AND(#REF!="Diferenciado",$H$4=#REF!),BDI!$E$17,IF(AND(#REF!="Diferenciado",$H$4=#REF!),BDI!#REF!,IF(#REF!="ZERO",0))))),"")</f>
        <v>#REF!</v>
      </c>
      <c r="H913" s="127" t="e">
        <f t="shared" ca="1" si="43"/>
        <v>#REF!</v>
      </c>
      <c r="I913" s="125" t="e">
        <f t="shared" ca="1" si="44"/>
        <v>#REF!</v>
      </c>
    </row>
    <row r="914" spans="1:9" hidden="1" x14ac:dyDescent="0.25">
      <c r="A914" s="103" t="s">
        <v>925</v>
      </c>
      <c r="B914" s="104" t="s">
        <v>2773</v>
      </c>
      <c r="C914" s="105" t="s">
        <v>95</v>
      </c>
      <c r="D914" s="105">
        <v>0</v>
      </c>
      <c r="E914" s="124">
        <f ca="1">OFFSET(INDEX(Composições!A:J,MATCH(Orçamentária!A914,Composições!A:A,0),8),2,0)</f>
        <v>131.18074999999999</v>
      </c>
      <c r="F914" s="125">
        <f t="shared" ca="1" si="42"/>
        <v>0</v>
      </c>
      <c r="G914" s="126" t="e">
        <f>IF(A914&lt;&gt;"",IF(AND(#REF!="Padrão",$H$4=#REF!),BDI!$B$17,IF(AND(#REF!="Padrão",$H$4=#REF!),BDI!#REF!,IF(AND(#REF!="Diferenciado",$H$4=#REF!),BDI!$E$17,IF(AND(#REF!="Diferenciado",$H$4=#REF!),BDI!#REF!,IF(#REF!="ZERO",0))))),"")</f>
        <v>#REF!</v>
      </c>
      <c r="H914" s="127" t="e">
        <f t="shared" ca="1" si="43"/>
        <v>#REF!</v>
      </c>
      <c r="I914" s="125" t="e">
        <f t="shared" ca="1" si="44"/>
        <v>#REF!</v>
      </c>
    </row>
    <row r="915" spans="1:9" hidden="1" x14ac:dyDescent="0.25">
      <c r="A915" s="103" t="s">
        <v>927</v>
      </c>
      <c r="B915" s="104" t="s">
        <v>2774</v>
      </c>
      <c r="C915" s="105" t="s">
        <v>95</v>
      </c>
      <c r="D915" s="105">
        <v>0</v>
      </c>
      <c r="E915" s="124">
        <f ca="1">OFFSET(INDEX(Composições!A:J,MATCH(Orçamentária!A915,Composições!A:A,0),8),2,0)</f>
        <v>188.12375</v>
      </c>
      <c r="F915" s="125">
        <f t="shared" ca="1" si="42"/>
        <v>0</v>
      </c>
      <c r="G915" s="126" t="e">
        <f>IF(A915&lt;&gt;"",IF(AND(#REF!="Padrão",$H$4=#REF!),BDI!$B$17,IF(AND(#REF!="Padrão",$H$4=#REF!),BDI!#REF!,IF(AND(#REF!="Diferenciado",$H$4=#REF!),BDI!$E$17,IF(AND(#REF!="Diferenciado",$H$4=#REF!),BDI!#REF!,IF(#REF!="ZERO",0))))),"")</f>
        <v>#REF!</v>
      </c>
      <c r="H915" s="127" t="e">
        <f t="shared" ca="1" si="43"/>
        <v>#REF!</v>
      </c>
      <c r="I915" s="125" t="e">
        <f t="shared" ca="1" si="44"/>
        <v>#REF!</v>
      </c>
    </row>
    <row r="916" spans="1:9" hidden="1" x14ac:dyDescent="0.25">
      <c r="A916" s="103" t="s">
        <v>929</v>
      </c>
      <c r="B916" s="104" t="s">
        <v>2775</v>
      </c>
      <c r="C916" s="105" t="s">
        <v>93</v>
      </c>
      <c r="D916" s="105">
        <v>0</v>
      </c>
      <c r="E916" s="124">
        <f ca="1">OFFSET(INDEX(Composições!A:J,MATCH(Orçamentária!A916,Composições!A:A,0),8),2,0)</f>
        <v>28.036875000000002</v>
      </c>
      <c r="F916" s="125">
        <f t="shared" ca="1" si="42"/>
        <v>0</v>
      </c>
      <c r="G916" s="126" t="e">
        <f>IF(A916&lt;&gt;"",IF(AND(#REF!="Padrão",$H$4=#REF!),BDI!$B$17,IF(AND(#REF!="Padrão",$H$4=#REF!),BDI!#REF!,IF(AND(#REF!="Diferenciado",$H$4=#REF!),BDI!$E$17,IF(AND(#REF!="Diferenciado",$H$4=#REF!),BDI!#REF!,IF(#REF!="ZERO",0))))),"")</f>
        <v>#REF!</v>
      </c>
      <c r="H916" s="127" t="e">
        <f t="shared" ca="1" si="43"/>
        <v>#REF!</v>
      </c>
      <c r="I916" s="125" t="e">
        <f t="shared" ca="1" si="44"/>
        <v>#REF!</v>
      </c>
    </row>
    <row r="917" spans="1:9" hidden="1" x14ac:dyDescent="0.25">
      <c r="A917" s="103" t="s">
        <v>930</v>
      </c>
      <c r="B917" s="104" t="s">
        <v>2776</v>
      </c>
      <c r="C917" s="105" t="s">
        <v>95</v>
      </c>
      <c r="D917" s="105">
        <v>0</v>
      </c>
      <c r="E917" s="124">
        <f ca="1">OFFSET(INDEX(Composições!A:J,MATCH(Orçamentária!A917,Composições!A:A,0),8),2,0)</f>
        <v>52.862750000000005</v>
      </c>
      <c r="F917" s="125">
        <f t="shared" ca="1" si="42"/>
        <v>0</v>
      </c>
      <c r="G917" s="126" t="e">
        <f>IF(A917&lt;&gt;"",IF(AND(#REF!="Padrão",$H$4=#REF!),BDI!$B$17,IF(AND(#REF!="Padrão",$H$4=#REF!),BDI!#REF!,IF(AND(#REF!="Diferenciado",$H$4=#REF!),BDI!$E$17,IF(AND(#REF!="Diferenciado",$H$4=#REF!),BDI!#REF!,IF(#REF!="ZERO",0))))),"")</f>
        <v>#REF!</v>
      </c>
      <c r="H917" s="127" t="e">
        <f t="shared" ca="1" si="43"/>
        <v>#REF!</v>
      </c>
      <c r="I917" s="125" t="e">
        <f t="shared" ca="1" si="44"/>
        <v>#REF!</v>
      </c>
    </row>
    <row r="918" spans="1:9" hidden="1" x14ac:dyDescent="0.25">
      <c r="A918" s="103" t="s">
        <v>932</v>
      </c>
      <c r="B918" s="104" t="s">
        <v>933</v>
      </c>
      <c r="C918" s="105" t="s">
        <v>95</v>
      </c>
      <c r="D918" s="105">
        <v>0</v>
      </c>
      <c r="E918" s="124">
        <f ca="1">OFFSET(INDEX(Composições!A:J,MATCH(Orçamentária!A918,Composições!A:A,0),8),2,0)</f>
        <v>52.862750000000005</v>
      </c>
      <c r="F918" s="125">
        <f t="shared" ca="1" si="42"/>
        <v>0</v>
      </c>
      <c r="G918" s="126" t="e">
        <f>IF(A918&lt;&gt;"",IF(AND(#REF!="Padrão",$H$4=#REF!),BDI!$B$17,IF(AND(#REF!="Padrão",$H$4=#REF!),BDI!#REF!,IF(AND(#REF!="Diferenciado",$H$4=#REF!),BDI!$E$17,IF(AND(#REF!="Diferenciado",$H$4=#REF!),BDI!#REF!,IF(#REF!="ZERO",0))))),"")</f>
        <v>#REF!</v>
      </c>
      <c r="H918" s="127" t="e">
        <f t="shared" ca="1" si="43"/>
        <v>#REF!</v>
      </c>
      <c r="I918" s="125" t="e">
        <f t="shared" ca="1" si="44"/>
        <v>#REF!</v>
      </c>
    </row>
    <row r="919" spans="1:9" hidden="1" x14ac:dyDescent="0.25">
      <c r="A919" s="103" t="s">
        <v>934</v>
      </c>
      <c r="B919" s="104" t="s">
        <v>2777</v>
      </c>
      <c r="C919" s="105" t="s">
        <v>20</v>
      </c>
      <c r="D919" s="105">
        <v>0</v>
      </c>
      <c r="E919" s="124">
        <f ca="1">OFFSET(INDEX(Composições!A:J,MATCH(Orçamentária!A919,Composições!A:A,0),8),2,0)</f>
        <v>7.9201499999999996</v>
      </c>
      <c r="F919" s="125">
        <f t="shared" ca="1" si="42"/>
        <v>0</v>
      </c>
      <c r="G919" s="126" t="e">
        <f>IF(A919&lt;&gt;"",IF(AND(#REF!="Padrão",$H$4=#REF!),BDI!$B$17,IF(AND(#REF!="Padrão",$H$4=#REF!),BDI!#REF!,IF(AND(#REF!="Diferenciado",$H$4=#REF!),BDI!$E$17,IF(AND(#REF!="Diferenciado",$H$4=#REF!),BDI!#REF!,IF(#REF!="ZERO",0))))),"")</f>
        <v>#REF!</v>
      </c>
      <c r="H919" s="127" t="e">
        <f t="shared" ca="1" si="43"/>
        <v>#REF!</v>
      </c>
      <c r="I919" s="125" t="e">
        <f t="shared" ca="1" si="44"/>
        <v>#REF!</v>
      </c>
    </row>
    <row r="920" spans="1:9" hidden="1" x14ac:dyDescent="0.25">
      <c r="A920" s="103" t="s">
        <v>935</v>
      </c>
      <c r="B920" s="104" t="s">
        <v>6310</v>
      </c>
      <c r="C920" s="105" t="s">
        <v>109</v>
      </c>
      <c r="D920" s="105">
        <v>0</v>
      </c>
      <c r="E920" s="124">
        <f ca="1">OFFSET(INDEX(Composições!A:J,MATCH(Orçamentária!A920,Composições!A:A,0),8),2,0)</f>
        <v>4046.6615026499999</v>
      </c>
      <c r="F920" s="125">
        <f t="shared" ca="1" si="42"/>
        <v>0</v>
      </c>
      <c r="G920" s="126" t="e">
        <f>IF(A920&lt;&gt;"",IF(AND(#REF!="Padrão",$H$4=#REF!),BDI!$B$17,IF(AND(#REF!="Padrão",$H$4=#REF!),BDI!#REF!,IF(AND(#REF!="Diferenciado",$H$4=#REF!),BDI!$E$17,IF(AND(#REF!="Diferenciado",$H$4=#REF!),BDI!#REF!,IF(#REF!="ZERO",0))))),"")</f>
        <v>#REF!</v>
      </c>
      <c r="H920" s="127" t="e">
        <f t="shared" ca="1" si="43"/>
        <v>#REF!</v>
      </c>
      <c r="I920" s="125" t="e">
        <f t="shared" ca="1" si="44"/>
        <v>#REF!</v>
      </c>
    </row>
    <row r="921" spans="1:9" hidden="1" x14ac:dyDescent="0.25">
      <c r="A921" s="103" t="s">
        <v>937</v>
      </c>
      <c r="B921" s="104" t="s">
        <v>6373</v>
      </c>
      <c r="C921" s="105" t="s">
        <v>42</v>
      </c>
      <c r="D921" s="105">
        <v>0</v>
      </c>
      <c r="E921" s="124">
        <f ca="1">OFFSET(INDEX(Composições!A:J,MATCH(Orçamentária!A921,Composições!A:A,0),8),2,0)</f>
        <v>2.5788890000000002</v>
      </c>
      <c r="F921" s="125">
        <f t="shared" ca="1" si="42"/>
        <v>0</v>
      </c>
      <c r="G921" s="126" t="e">
        <f>IF(A921&lt;&gt;"",IF(AND(#REF!="Padrão",$H$4=#REF!),BDI!$B$17,IF(AND(#REF!="Padrão",$H$4=#REF!),BDI!#REF!,IF(AND(#REF!="Diferenciado",$H$4=#REF!),BDI!$E$17,IF(AND(#REF!="Diferenciado",$H$4=#REF!),BDI!#REF!,IF(#REF!="ZERO",0))))),"")</f>
        <v>#REF!</v>
      </c>
      <c r="H921" s="127" t="e">
        <f t="shared" ca="1" si="43"/>
        <v>#REF!</v>
      </c>
      <c r="I921" s="125" t="e">
        <f t="shared" ca="1" si="44"/>
        <v>#REF!</v>
      </c>
    </row>
    <row r="922" spans="1:9" hidden="1" x14ac:dyDescent="0.25">
      <c r="A922" s="103" t="s">
        <v>939</v>
      </c>
      <c r="B922" s="104" t="s">
        <v>6374</v>
      </c>
      <c r="C922" s="105" t="s">
        <v>42</v>
      </c>
      <c r="D922" s="105">
        <v>0</v>
      </c>
      <c r="E922" s="124">
        <f ca="1">OFFSET(INDEX(Composições!A:J,MATCH(Orçamentária!A922,Composições!A:A,0),8),2,0)</f>
        <v>1.4547397499999999</v>
      </c>
      <c r="F922" s="125">
        <f t="shared" ca="1" si="42"/>
        <v>0</v>
      </c>
      <c r="G922" s="126" t="e">
        <f>IF(A922&lt;&gt;"",IF(AND(#REF!="Padrão",$H$4=#REF!),BDI!$B$17,IF(AND(#REF!="Padrão",$H$4=#REF!),BDI!#REF!,IF(AND(#REF!="Diferenciado",$H$4=#REF!),BDI!$E$17,IF(AND(#REF!="Diferenciado",$H$4=#REF!),BDI!#REF!,IF(#REF!="ZERO",0))))),"")</f>
        <v>#REF!</v>
      </c>
      <c r="H922" s="127" t="e">
        <f t="shared" ca="1" si="43"/>
        <v>#REF!</v>
      </c>
      <c r="I922" s="125" t="e">
        <f t="shared" ca="1" si="44"/>
        <v>#REF!</v>
      </c>
    </row>
    <row r="923" spans="1:9" hidden="1" x14ac:dyDescent="0.25">
      <c r="A923" s="103" t="s">
        <v>941</v>
      </c>
      <c r="B923" s="104" t="s">
        <v>2778</v>
      </c>
      <c r="C923" s="105" t="s">
        <v>20</v>
      </c>
      <c r="D923" s="105">
        <v>0</v>
      </c>
      <c r="E923" s="124">
        <f ca="1">OFFSET(INDEX(Composições!A:J,MATCH(Orçamentária!A923,Composições!A:A,0),8),2,0)</f>
        <v>22.760100000000001</v>
      </c>
      <c r="F923" s="125">
        <f t="shared" ca="1" si="42"/>
        <v>0</v>
      </c>
      <c r="G923" s="126" t="e">
        <f>IF(A923&lt;&gt;"",IF(AND(#REF!="Padrão",$H$4=#REF!),BDI!$B$17,IF(AND(#REF!="Padrão",$H$4=#REF!),BDI!#REF!,IF(AND(#REF!="Diferenciado",$H$4=#REF!),BDI!$E$17,IF(AND(#REF!="Diferenciado",$H$4=#REF!),BDI!#REF!,IF(#REF!="ZERO",0))))),"")</f>
        <v>#REF!</v>
      </c>
      <c r="H923" s="127" t="e">
        <f t="shared" ca="1" si="43"/>
        <v>#REF!</v>
      </c>
      <c r="I923" s="125" t="e">
        <f t="shared" ca="1" si="44"/>
        <v>#REF!</v>
      </c>
    </row>
    <row r="924" spans="1:9" hidden="1" x14ac:dyDescent="0.25">
      <c r="A924" s="103" t="s">
        <v>942</v>
      </c>
      <c r="B924" s="104" t="s">
        <v>2779</v>
      </c>
      <c r="C924" s="105" t="s">
        <v>109</v>
      </c>
      <c r="D924" s="105">
        <v>0</v>
      </c>
      <c r="E924" s="124">
        <f ca="1">OFFSET(INDEX(Composições!A:J,MATCH(Orçamentária!A924,Composições!A:A,0),8),2,0)</f>
        <v>72.871498000000003</v>
      </c>
      <c r="F924" s="125">
        <f t="shared" ca="1" si="42"/>
        <v>0</v>
      </c>
      <c r="G924" s="126" t="e">
        <f>IF(A924&lt;&gt;"",IF(AND(#REF!="Padrão",$H$4=#REF!),BDI!$B$17,IF(AND(#REF!="Padrão",$H$4=#REF!),BDI!#REF!,IF(AND(#REF!="Diferenciado",$H$4=#REF!),BDI!$E$17,IF(AND(#REF!="Diferenciado",$H$4=#REF!),BDI!#REF!,IF(#REF!="ZERO",0))))),"")</f>
        <v>#REF!</v>
      </c>
      <c r="H924" s="127" t="e">
        <f t="shared" ca="1" si="43"/>
        <v>#REF!</v>
      </c>
      <c r="I924" s="125" t="e">
        <f t="shared" ca="1" si="44"/>
        <v>#REF!</v>
      </c>
    </row>
    <row r="925" spans="1:9" hidden="1" x14ac:dyDescent="0.25">
      <c r="A925" s="103" t="s">
        <v>943</v>
      </c>
      <c r="B925" s="104" t="s">
        <v>2780</v>
      </c>
      <c r="C925" s="105" t="s">
        <v>109</v>
      </c>
      <c r="D925" s="105">
        <v>0</v>
      </c>
      <c r="E925" s="124">
        <f ca="1">OFFSET(INDEX(Composições!A:J,MATCH(Orçamentária!A925,Composições!A:A,0),8),2,0)</f>
        <v>27.083293500000003</v>
      </c>
      <c r="F925" s="125">
        <f t="shared" ca="1" si="42"/>
        <v>0</v>
      </c>
      <c r="G925" s="126" t="e">
        <f>IF(A925&lt;&gt;"",IF(AND(#REF!="Padrão",$H$4=#REF!),BDI!$B$17,IF(AND(#REF!="Padrão",$H$4=#REF!),BDI!#REF!,IF(AND(#REF!="Diferenciado",$H$4=#REF!),BDI!$E$17,IF(AND(#REF!="Diferenciado",$H$4=#REF!),BDI!#REF!,IF(#REF!="ZERO",0))))),"")</f>
        <v>#REF!</v>
      </c>
      <c r="H925" s="127" t="e">
        <f t="shared" ca="1" si="43"/>
        <v>#REF!</v>
      </c>
      <c r="I925" s="125" t="e">
        <f t="shared" ca="1" si="44"/>
        <v>#REF!</v>
      </c>
    </row>
    <row r="926" spans="1:9" hidden="1" x14ac:dyDescent="0.25">
      <c r="A926" s="103" t="s">
        <v>949</v>
      </c>
      <c r="B926" s="104" t="s">
        <v>2781</v>
      </c>
      <c r="C926" s="105" t="s">
        <v>109</v>
      </c>
      <c r="D926" s="105">
        <v>0</v>
      </c>
      <c r="E926" s="124">
        <f ca="1">OFFSET(INDEX(Composições!A:J,MATCH(Orçamentária!A926,Composições!A:A,0),8),2,0)</f>
        <v>188.85962475000002</v>
      </c>
      <c r="F926" s="125">
        <f t="shared" ca="1" si="42"/>
        <v>0</v>
      </c>
      <c r="G926" s="126" t="e">
        <f>IF(A926&lt;&gt;"",IF(AND(#REF!="Padrão",$H$4=#REF!),BDI!$B$17,IF(AND(#REF!="Padrão",$H$4=#REF!),BDI!#REF!,IF(AND(#REF!="Diferenciado",$H$4=#REF!),BDI!$E$17,IF(AND(#REF!="Diferenciado",$H$4=#REF!),BDI!#REF!,IF(#REF!="ZERO",0))))),"")</f>
        <v>#REF!</v>
      </c>
      <c r="H926" s="127" t="e">
        <f t="shared" ca="1" si="43"/>
        <v>#REF!</v>
      </c>
      <c r="I926" s="125" t="e">
        <f t="shared" ca="1" si="44"/>
        <v>#REF!</v>
      </c>
    </row>
    <row r="927" spans="1:9" hidden="1" x14ac:dyDescent="0.25">
      <c r="A927" s="103" t="s">
        <v>954</v>
      </c>
      <c r="B927" s="104" t="s">
        <v>6371</v>
      </c>
      <c r="C927" s="105" t="s">
        <v>93</v>
      </c>
      <c r="D927" s="105">
        <v>0</v>
      </c>
      <c r="E927" s="124">
        <f ca="1">OFFSET(INDEX(Composições!A:J,MATCH(Orçamentária!A927,Composições!A:A,0),8),2,0)</f>
        <v>61.143870549999995</v>
      </c>
      <c r="F927" s="125">
        <f t="shared" ca="1" si="42"/>
        <v>0</v>
      </c>
      <c r="G927" s="126" t="e">
        <f>IF(A927&lt;&gt;"",IF(AND(#REF!="Padrão",$H$4=#REF!),BDI!$B$17,IF(AND(#REF!="Padrão",$H$4=#REF!),BDI!#REF!,IF(AND(#REF!="Diferenciado",$H$4=#REF!),BDI!$E$17,IF(AND(#REF!="Diferenciado",$H$4=#REF!),BDI!#REF!,IF(#REF!="ZERO",0))))),"")</f>
        <v>#REF!</v>
      </c>
      <c r="H927" s="127" t="e">
        <f t="shared" ca="1" si="43"/>
        <v>#REF!</v>
      </c>
      <c r="I927" s="125" t="e">
        <f t="shared" ca="1" si="44"/>
        <v>#REF!</v>
      </c>
    </row>
    <row r="928" spans="1:9" hidden="1" x14ac:dyDescent="0.25">
      <c r="A928" s="103" t="s">
        <v>958</v>
      </c>
      <c r="B928" s="104" t="s">
        <v>2782</v>
      </c>
      <c r="C928" s="105" t="s">
        <v>93</v>
      </c>
      <c r="D928" s="105">
        <v>0</v>
      </c>
      <c r="E928" s="124">
        <f ca="1">OFFSET(INDEX(Composições!A:J,MATCH(Orçamentária!A928,Composições!A:A,0),8),2,0)</f>
        <v>76.621692349999989</v>
      </c>
      <c r="F928" s="125">
        <f t="shared" ca="1" si="42"/>
        <v>0</v>
      </c>
      <c r="G928" s="126" t="e">
        <f>IF(A928&lt;&gt;"",IF(AND(#REF!="Padrão",$H$4=#REF!),BDI!$B$17,IF(AND(#REF!="Padrão",$H$4=#REF!),BDI!#REF!,IF(AND(#REF!="Diferenciado",$H$4=#REF!),BDI!$E$17,IF(AND(#REF!="Diferenciado",$H$4=#REF!),BDI!#REF!,IF(#REF!="ZERO",0))))),"")</f>
        <v>#REF!</v>
      </c>
      <c r="H928" s="127" t="e">
        <f t="shared" ca="1" si="43"/>
        <v>#REF!</v>
      </c>
      <c r="I928" s="125" t="e">
        <f t="shared" ca="1" si="44"/>
        <v>#REF!</v>
      </c>
    </row>
    <row r="929" spans="1:9" hidden="1" x14ac:dyDescent="0.25">
      <c r="A929" s="103" t="s">
        <v>960</v>
      </c>
      <c r="B929" s="104" t="s">
        <v>6372</v>
      </c>
      <c r="C929" s="105" t="s">
        <v>93</v>
      </c>
      <c r="D929" s="105">
        <v>0</v>
      </c>
      <c r="E929" s="124">
        <f ca="1">OFFSET(INDEX(Composições!A:J,MATCH(Orçamentária!A929,Composições!A:A,0),8),2,0)</f>
        <v>139.92893424999997</v>
      </c>
      <c r="F929" s="125">
        <f t="shared" ca="1" si="42"/>
        <v>0</v>
      </c>
      <c r="G929" s="126" t="e">
        <f>IF(A929&lt;&gt;"",IF(AND(#REF!="Padrão",$H$4=#REF!),BDI!$B$17,IF(AND(#REF!="Padrão",$H$4=#REF!),BDI!#REF!,IF(AND(#REF!="Diferenciado",$H$4=#REF!),BDI!$E$17,IF(AND(#REF!="Diferenciado",$H$4=#REF!),BDI!#REF!,IF(#REF!="ZERO",0))))),"")</f>
        <v>#REF!</v>
      </c>
      <c r="H929" s="127" t="e">
        <f t="shared" ca="1" si="43"/>
        <v>#REF!</v>
      </c>
      <c r="I929" s="125" t="e">
        <f t="shared" ca="1" si="44"/>
        <v>#REF!</v>
      </c>
    </row>
    <row r="930" spans="1:9" hidden="1" x14ac:dyDescent="0.25">
      <c r="A930" s="103" t="s">
        <v>962</v>
      </c>
      <c r="B930" s="104" t="s">
        <v>6375</v>
      </c>
      <c r="C930" s="105" t="s">
        <v>20</v>
      </c>
      <c r="D930" s="105">
        <v>0</v>
      </c>
      <c r="E930" s="124">
        <f ca="1">OFFSET(INDEX(Composições!A:J,MATCH(Orçamentária!A930,Composições!A:A,0),8),2,0)</f>
        <v>648.14929615000005</v>
      </c>
      <c r="F930" s="125">
        <f t="shared" ca="1" si="42"/>
        <v>0</v>
      </c>
      <c r="G930" s="126" t="e">
        <f>IF(A930&lt;&gt;"",IF(AND(#REF!="Padrão",$H$4=#REF!),BDI!$B$17,IF(AND(#REF!="Padrão",$H$4=#REF!),BDI!#REF!,IF(AND(#REF!="Diferenciado",$H$4=#REF!),BDI!$E$17,IF(AND(#REF!="Diferenciado",$H$4=#REF!),BDI!#REF!,IF(#REF!="ZERO",0))))),"")</f>
        <v>#REF!</v>
      </c>
      <c r="H930" s="127" t="e">
        <f t="shared" ca="1" si="43"/>
        <v>#REF!</v>
      </c>
      <c r="I930" s="125" t="e">
        <f t="shared" ca="1" si="44"/>
        <v>#REF!</v>
      </c>
    </row>
    <row r="931" spans="1:9" hidden="1" x14ac:dyDescent="0.25">
      <c r="A931" s="103" t="s">
        <v>964</v>
      </c>
      <c r="B931" s="104" t="s">
        <v>2783</v>
      </c>
      <c r="C931" s="105" t="s">
        <v>20</v>
      </c>
      <c r="D931" s="105">
        <v>0</v>
      </c>
      <c r="E931" s="124">
        <f ca="1">OFFSET(INDEX(Composições!A:J,MATCH(Orçamentária!A931,Composições!A:A,0),8),2,0)</f>
        <v>1.8420500000000002</v>
      </c>
      <c r="F931" s="125">
        <f t="shared" ca="1" si="42"/>
        <v>0</v>
      </c>
      <c r="G931" s="126" t="e">
        <f>IF(A931&lt;&gt;"",IF(AND(#REF!="Padrão",$H$4=#REF!),BDI!$B$17,IF(AND(#REF!="Padrão",$H$4=#REF!),BDI!#REF!,IF(AND(#REF!="Diferenciado",$H$4=#REF!),BDI!$E$17,IF(AND(#REF!="Diferenciado",$H$4=#REF!),BDI!#REF!,IF(#REF!="ZERO",0))))),"")</f>
        <v>#REF!</v>
      </c>
      <c r="H931" s="127" t="e">
        <f t="shared" ca="1" si="43"/>
        <v>#REF!</v>
      </c>
      <c r="I931" s="125" t="e">
        <f t="shared" ca="1" si="44"/>
        <v>#REF!</v>
      </c>
    </row>
    <row r="932" spans="1:9" hidden="1" x14ac:dyDescent="0.25">
      <c r="A932" s="103" t="s">
        <v>967</v>
      </c>
      <c r="B932" s="104" t="s">
        <v>2784</v>
      </c>
      <c r="C932" s="105" t="s">
        <v>20</v>
      </c>
      <c r="D932" s="105">
        <v>0</v>
      </c>
      <c r="E932" s="124">
        <f ca="1">OFFSET(INDEX(Composições!A:J,MATCH(Orçamentária!A932,Composições!A:A,0),8),2,0)</f>
        <v>11.735517199999997</v>
      </c>
      <c r="F932" s="125">
        <f t="shared" ca="1" si="42"/>
        <v>0</v>
      </c>
      <c r="G932" s="126" t="e">
        <f>IF(A932&lt;&gt;"",IF(AND(#REF!="Padrão",$H$4=#REF!),BDI!$B$17,IF(AND(#REF!="Padrão",$H$4=#REF!),BDI!#REF!,IF(AND(#REF!="Diferenciado",$H$4=#REF!),BDI!$E$17,IF(AND(#REF!="Diferenciado",$H$4=#REF!),BDI!#REF!,IF(#REF!="ZERO",0))))),"")</f>
        <v>#REF!</v>
      </c>
      <c r="H932" s="127" t="e">
        <f t="shared" ca="1" si="43"/>
        <v>#REF!</v>
      </c>
      <c r="I932" s="125" t="e">
        <f t="shared" ca="1" si="44"/>
        <v>#REF!</v>
      </c>
    </row>
    <row r="933" spans="1:9" hidden="1" x14ac:dyDescent="0.25">
      <c r="A933" s="103" t="s">
        <v>969</v>
      </c>
      <c r="B933" s="104" t="s">
        <v>4030</v>
      </c>
      <c r="C933" s="105" t="s">
        <v>93</v>
      </c>
      <c r="D933" s="105">
        <v>0</v>
      </c>
      <c r="E933" s="124">
        <f ca="1">OFFSET(INDEX(Composições!A:J,MATCH(Orçamentária!A933,Composições!A:A,0),8),2,0)</f>
        <v>2.8867459999999996</v>
      </c>
      <c r="F933" s="125">
        <f t="shared" ca="1" si="42"/>
        <v>0</v>
      </c>
      <c r="G933" s="126" t="e">
        <f>IF(A933&lt;&gt;"",IF(AND(#REF!="Padrão",$H$4=#REF!),BDI!$B$17,IF(AND(#REF!="Padrão",$H$4=#REF!),BDI!#REF!,IF(AND(#REF!="Diferenciado",$H$4=#REF!),BDI!$E$17,IF(AND(#REF!="Diferenciado",$H$4=#REF!),BDI!#REF!,IF(#REF!="ZERO",0))))),"")</f>
        <v>#REF!</v>
      </c>
      <c r="H933" s="127" t="e">
        <f t="shared" ca="1" si="43"/>
        <v>#REF!</v>
      </c>
      <c r="I933" s="125" t="e">
        <f t="shared" ca="1" si="44"/>
        <v>#REF!</v>
      </c>
    </row>
    <row r="934" spans="1:9" hidden="1" x14ac:dyDescent="0.25">
      <c r="A934" s="103" t="s">
        <v>971</v>
      </c>
      <c r="B934" s="104" t="s">
        <v>4031</v>
      </c>
      <c r="C934" s="105" t="s">
        <v>93</v>
      </c>
      <c r="D934" s="105">
        <v>0</v>
      </c>
      <c r="E934" s="124">
        <f ca="1">OFFSET(INDEX(Composições!A:J,MATCH(Orçamentária!A934,Composições!A:A,0),8),2,0)</f>
        <v>3.2877409999999996</v>
      </c>
      <c r="F934" s="125">
        <f t="shared" ca="1" si="42"/>
        <v>0</v>
      </c>
      <c r="G934" s="126" t="e">
        <f>IF(A934&lt;&gt;"",IF(AND(#REF!="Padrão",$H$4=#REF!),BDI!$B$17,IF(AND(#REF!="Padrão",$H$4=#REF!),BDI!#REF!,IF(AND(#REF!="Diferenciado",$H$4=#REF!),BDI!$E$17,IF(AND(#REF!="Diferenciado",$H$4=#REF!),BDI!#REF!,IF(#REF!="ZERO",0))))),"")</f>
        <v>#REF!</v>
      </c>
      <c r="H934" s="127" t="e">
        <f t="shared" ca="1" si="43"/>
        <v>#REF!</v>
      </c>
      <c r="I934" s="125" t="e">
        <f t="shared" ca="1" si="44"/>
        <v>#REF!</v>
      </c>
    </row>
    <row r="935" spans="1:9" hidden="1" x14ac:dyDescent="0.25">
      <c r="A935" s="103" t="s">
        <v>973</v>
      </c>
      <c r="B935" s="104" t="s">
        <v>4032</v>
      </c>
      <c r="C935" s="105" t="s">
        <v>93</v>
      </c>
      <c r="D935" s="105">
        <v>0</v>
      </c>
      <c r="E935" s="124">
        <f ca="1">OFFSET(INDEX(Composições!A:J,MATCH(Orçamentária!A935,Composições!A:A,0),8),2,0)</f>
        <v>3.9115109999999995</v>
      </c>
      <c r="F935" s="125">
        <f t="shared" ca="1" si="42"/>
        <v>0</v>
      </c>
      <c r="G935" s="126" t="e">
        <f>IF(A935&lt;&gt;"",IF(AND(#REF!="Padrão",$H$4=#REF!),BDI!$B$17,IF(AND(#REF!="Padrão",$H$4=#REF!),BDI!#REF!,IF(AND(#REF!="Diferenciado",$H$4=#REF!),BDI!$E$17,IF(AND(#REF!="Diferenciado",$H$4=#REF!),BDI!#REF!,IF(#REF!="ZERO",0))))),"")</f>
        <v>#REF!</v>
      </c>
      <c r="H935" s="127" t="e">
        <f t="shared" ca="1" si="43"/>
        <v>#REF!</v>
      </c>
      <c r="I935" s="125" t="e">
        <f t="shared" ca="1" si="44"/>
        <v>#REF!</v>
      </c>
    </row>
    <row r="936" spans="1:9" hidden="1" x14ac:dyDescent="0.25">
      <c r="A936" s="103" t="s">
        <v>975</v>
      </c>
      <c r="B936" s="104" t="s">
        <v>4033</v>
      </c>
      <c r="C936" s="105" t="s">
        <v>93</v>
      </c>
      <c r="D936" s="105">
        <v>0</v>
      </c>
      <c r="E936" s="124">
        <f ca="1">OFFSET(INDEX(Composições!A:J,MATCH(Orçamentária!A936,Composições!A:A,0),8),2,0)</f>
        <v>4.7135009999999991</v>
      </c>
      <c r="F936" s="125">
        <f t="shared" ca="1" si="42"/>
        <v>0</v>
      </c>
      <c r="G936" s="126" t="e">
        <f>IF(A936&lt;&gt;"",IF(AND(#REF!="Padrão",$H$4=#REF!),BDI!$B$17,IF(AND(#REF!="Padrão",$H$4=#REF!),BDI!#REF!,IF(AND(#REF!="Diferenciado",$H$4=#REF!),BDI!$E$17,IF(AND(#REF!="Diferenciado",$H$4=#REF!),BDI!#REF!,IF(#REF!="ZERO",0))))),"")</f>
        <v>#REF!</v>
      </c>
      <c r="H936" s="127" t="e">
        <f t="shared" ca="1" si="43"/>
        <v>#REF!</v>
      </c>
      <c r="I936" s="125" t="e">
        <f t="shared" ca="1" si="44"/>
        <v>#REF!</v>
      </c>
    </row>
    <row r="937" spans="1:9" hidden="1" x14ac:dyDescent="0.25">
      <c r="A937" s="103" t="s">
        <v>977</v>
      </c>
      <c r="B937" s="104" t="s">
        <v>4034</v>
      </c>
      <c r="C937" s="105" t="s">
        <v>93</v>
      </c>
      <c r="D937" s="105">
        <v>0</v>
      </c>
      <c r="E937" s="124">
        <f ca="1">OFFSET(INDEX(Composições!A:J,MATCH(Orçamentária!A937,Composições!A:A,0),8),2,0)</f>
        <v>5.7382659999999994</v>
      </c>
      <c r="F937" s="125">
        <f t="shared" ca="1" si="42"/>
        <v>0</v>
      </c>
      <c r="G937" s="126" t="e">
        <f>IF(A937&lt;&gt;"",IF(AND(#REF!="Padrão",$H$4=#REF!),BDI!$B$17,IF(AND(#REF!="Padrão",$H$4=#REF!),BDI!#REF!,IF(AND(#REF!="Diferenciado",$H$4=#REF!),BDI!$E$17,IF(AND(#REF!="Diferenciado",$H$4=#REF!),BDI!#REF!,IF(#REF!="ZERO",0))))),"")</f>
        <v>#REF!</v>
      </c>
      <c r="H937" s="127" t="e">
        <f t="shared" ca="1" si="43"/>
        <v>#REF!</v>
      </c>
      <c r="I937" s="125" t="e">
        <f t="shared" ca="1" si="44"/>
        <v>#REF!</v>
      </c>
    </row>
    <row r="938" spans="1:9" hidden="1" x14ac:dyDescent="0.25">
      <c r="A938" s="103" t="s">
        <v>979</v>
      </c>
      <c r="B938" s="104" t="s">
        <v>4035</v>
      </c>
      <c r="C938" s="105" t="s">
        <v>93</v>
      </c>
      <c r="D938" s="105">
        <v>0</v>
      </c>
      <c r="E938" s="124">
        <f ca="1">OFFSET(INDEX(Composições!A:J,MATCH(Orçamentária!A938,Composições!A:A,0),8),2,0)</f>
        <v>6.8075859999999997</v>
      </c>
      <c r="F938" s="125">
        <f t="shared" ca="1" si="42"/>
        <v>0</v>
      </c>
      <c r="G938" s="126" t="e">
        <f>IF(A938&lt;&gt;"",IF(AND(#REF!="Padrão",$H$4=#REF!),BDI!$B$17,IF(AND(#REF!="Padrão",$H$4=#REF!),BDI!#REF!,IF(AND(#REF!="Diferenciado",$H$4=#REF!),BDI!$E$17,IF(AND(#REF!="Diferenciado",$H$4=#REF!),BDI!#REF!,IF(#REF!="ZERO",0))))),"")</f>
        <v>#REF!</v>
      </c>
      <c r="H938" s="127" t="e">
        <f t="shared" ca="1" si="43"/>
        <v>#REF!</v>
      </c>
      <c r="I938" s="125" t="e">
        <f t="shared" ca="1" si="44"/>
        <v>#REF!</v>
      </c>
    </row>
    <row r="939" spans="1:9" hidden="1" x14ac:dyDescent="0.25">
      <c r="A939" s="103" t="s">
        <v>981</v>
      </c>
      <c r="B939" s="104" t="s">
        <v>4036</v>
      </c>
      <c r="C939" s="105" t="s">
        <v>93</v>
      </c>
      <c r="D939" s="105">
        <v>0</v>
      </c>
      <c r="E939" s="124">
        <f ca="1">OFFSET(INDEX(Composições!A:J,MATCH(Orçamentária!A939,Composições!A:A,0),8),2,0)</f>
        <v>8.0105709999999988</v>
      </c>
      <c r="F939" s="125">
        <f t="shared" ca="1" si="42"/>
        <v>0</v>
      </c>
      <c r="G939" s="126" t="e">
        <f>IF(A939&lt;&gt;"",IF(AND(#REF!="Padrão",$H$4=#REF!),BDI!$B$17,IF(AND(#REF!="Padrão",$H$4=#REF!),BDI!#REF!,IF(AND(#REF!="Diferenciado",$H$4=#REF!),BDI!$E$17,IF(AND(#REF!="Diferenciado",$H$4=#REF!),BDI!#REF!,IF(#REF!="ZERO",0))))),"")</f>
        <v>#REF!</v>
      </c>
      <c r="H939" s="127" t="e">
        <f t="shared" ca="1" si="43"/>
        <v>#REF!</v>
      </c>
      <c r="I939" s="125" t="e">
        <f t="shared" ca="1" si="44"/>
        <v>#REF!</v>
      </c>
    </row>
    <row r="940" spans="1:9" hidden="1" x14ac:dyDescent="0.25">
      <c r="A940" s="103" t="s">
        <v>983</v>
      </c>
      <c r="B940" s="104" t="s">
        <v>4037</v>
      </c>
      <c r="C940" s="105" t="s">
        <v>93</v>
      </c>
      <c r="D940" s="105">
        <v>0</v>
      </c>
      <c r="E940" s="124">
        <f ca="1">OFFSET(INDEX(Composições!A:J,MATCH(Orçamentária!A940,Composições!A:A,0),8),2,0)</f>
        <v>9.4808859999999981</v>
      </c>
      <c r="F940" s="125">
        <f t="shared" ca="1" si="42"/>
        <v>0</v>
      </c>
      <c r="G940" s="126" t="e">
        <f>IF(A940&lt;&gt;"",IF(AND(#REF!="Padrão",$H$4=#REF!),BDI!$B$17,IF(AND(#REF!="Padrão",$H$4=#REF!),BDI!#REF!,IF(AND(#REF!="Diferenciado",$H$4=#REF!),BDI!$E$17,IF(AND(#REF!="Diferenciado",$H$4=#REF!),BDI!#REF!,IF(#REF!="ZERO",0))))),"")</f>
        <v>#REF!</v>
      </c>
      <c r="H940" s="127" t="e">
        <f t="shared" ca="1" si="43"/>
        <v>#REF!</v>
      </c>
      <c r="I940" s="125" t="e">
        <f t="shared" ca="1" si="44"/>
        <v>#REF!</v>
      </c>
    </row>
    <row r="941" spans="1:9" hidden="1" x14ac:dyDescent="0.25">
      <c r="A941" s="103" t="s">
        <v>985</v>
      </c>
      <c r="B941" s="104" t="s">
        <v>4038</v>
      </c>
      <c r="C941" s="105" t="s">
        <v>93</v>
      </c>
      <c r="D941" s="105">
        <v>0</v>
      </c>
      <c r="E941" s="124">
        <f ca="1">OFFSET(INDEX(Composições!A:J,MATCH(Orçamentária!A941,Composições!A:A,0),8),2,0)</f>
        <v>11.753190999999999</v>
      </c>
      <c r="F941" s="125">
        <f t="shared" ca="1" si="42"/>
        <v>0</v>
      </c>
      <c r="G941" s="126" t="e">
        <f>IF(A941&lt;&gt;"",IF(AND(#REF!="Padrão",$H$4=#REF!),BDI!$B$17,IF(AND(#REF!="Padrão",$H$4=#REF!),BDI!#REF!,IF(AND(#REF!="Diferenciado",$H$4=#REF!),BDI!$E$17,IF(AND(#REF!="Diferenciado",$H$4=#REF!),BDI!#REF!,IF(#REF!="ZERO",0))))),"")</f>
        <v>#REF!</v>
      </c>
      <c r="H941" s="127" t="e">
        <f t="shared" ca="1" si="43"/>
        <v>#REF!</v>
      </c>
      <c r="I941" s="125" t="e">
        <f t="shared" ca="1" si="44"/>
        <v>#REF!</v>
      </c>
    </row>
    <row r="942" spans="1:9" hidden="1" x14ac:dyDescent="0.25">
      <c r="A942" s="103" t="s">
        <v>987</v>
      </c>
      <c r="B942" s="104" t="s">
        <v>2785</v>
      </c>
      <c r="C942" s="105" t="s">
        <v>95</v>
      </c>
      <c r="D942" s="105">
        <v>0</v>
      </c>
      <c r="E942" s="124">
        <f ca="1">OFFSET(INDEX(Composições!A:J,MATCH(Orçamentária!A942,Composições!A:A,0),8),2,0)</f>
        <v>8.559499785869999</v>
      </c>
      <c r="F942" s="125">
        <f t="shared" ca="1" si="42"/>
        <v>0</v>
      </c>
      <c r="G942" s="126" t="e">
        <f>IF(A942&lt;&gt;"",IF(AND(#REF!="Padrão",$H$4=#REF!),BDI!$B$17,IF(AND(#REF!="Padrão",$H$4=#REF!),BDI!#REF!,IF(AND(#REF!="Diferenciado",$H$4=#REF!),BDI!$E$17,IF(AND(#REF!="Diferenciado",$H$4=#REF!),BDI!#REF!,IF(#REF!="ZERO",0))))),"")</f>
        <v>#REF!</v>
      </c>
      <c r="H942" s="127" t="e">
        <f t="shared" ca="1" si="43"/>
        <v>#REF!</v>
      </c>
      <c r="I942" s="125" t="e">
        <f t="shared" ca="1" si="44"/>
        <v>#REF!</v>
      </c>
    </row>
    <row r="943" spans="1:9" hidden="1" x14ac:dyDescent="0.25">
      <c r="A943" s="103" t="s">
        <v>991</v>
      </c>
      <c r="B943" s="104" t="s">
        <v>2786</v>
      </c>
      <c r="C943" s="105" t="s">
        <v>93</v>
      </c>
      <c r="D943" s="105">
        <v>0</v>
      </c>
      <c r="E943" s="124">
        <f ca="1">OFFSET(INDEX(Composições!A:J,MATCH(Orçamentária!A943,Composições!A:A,0),8),2,0)</f>
        <v>15.839204083799999</v>
      </c>
      <c r="F943" s="125">
        <f t="shared" ca="1" si="42"/>
        <v>0</v>
      </c>
      <c r="G943" s="126" t="e">
        <f>IF(A943&lt;&gt;"",IF(AND(#REF!="Padrão",$H$4=#REF!),BDI!$B$17,IF(AND(#REF!="Padrão",$H$4=#REF!),BDI!#REF!,IF(AND(#REF!="Diferenciado",$H$4=#REF!),BDI!$E$17,IF(AND(#REF!="Diferenciado",$H$4=#REF!),BDI!#REF!,IF(#REF!="ZERO",0))))),"")</f>
        <v>#REF!</v>
      </c>
      <c r="H943" s="127" t="e">
        <f t="shared" ca="1" si="43"/>
        <v>#REF!</v>
      </c>
      <c r="I943" s="125" t="e">
        <f t="shared" ca="1" si="44"/>
        <v>#REF!</v>
      </c>
    </row>
    <row r="944" spans="1:9" hidden="1" x14ac:dyDescent="0.25">
      <c r="A944" s="103" t="s">
        <v>2787</v>
      </c>
      <c r="B944" s="104" t="s">
        <v>2788</v>
      </c>
      <c r="C944" s="105" t="s">
        <v>20</v>
      </c>
      <c r="D944" s="105">
        <v>0</v>
      </c>
      <c r="E944" s="124" t="s">
        <v>523</v>
      </c>
      <c r="F944" s="125" t="str">
        <f t="shared" si="42"/>
        <v/>
      </c>
      <c r="G944" s="126" t="e">
        <f>IF(A944&lt;&gt;"",IF(AND(#REF!="Padrão",$H$4=#REF!),BDI!$B$17,IF(AND(#REF!="Padrão",$H$4=#REF!),BDI!#REF!,IF(AND(#REF!="Diferenciado",$H$4=#REF!),BDI!$E$17,IF(AND(#REF!="Diferenciado",$H$4=#REF!),BDI!#REF!,IF(#REF!="ZERO",0))))),"")</f>
        <v>#REF!</v>
      </c>
      <c r="H944" s="127" t="str">
        <f t="shared" si="43"/>
        <v/>
      </c>
      <c r="I944" s="125" t="str">
        <f t="shared" si="44"/>
        <v/>
      </c>
    </row>
    <row r="945" spans="1:9" hidden="1" x14ac:dyDescent="0.25">
      <c r="A945" s="103" t="s">
        <v>992</v>
      </c>
      <c r="B945" s="104" t="s">
        <v>6311</v>
      </c>
      <c r="C945" s="105" t="s">
        <v>1510</v>
      </c>
      <c r="D945" s="105">
        <v>0</v>
      </c>
      <c r="E945" s="124">
        <f ca="1">OFFSET(INDEX(Composições!A:J,MATCH(Orçamentária!A945,Composições!A:A,0),8),2,0)</f>
        <v>4.4796072000000002</v>
      </c>
      <c r="F945" s="125">
        <f t="shared" ca="1" si="42"/>
        <v>0</v>
      </c>
      <c r="G945" s="126" t="e">
        <f>IF(A945&lt;&gt;"",IF(AND(#REF!="Padrão",$H$4=#REF!),BDI!$B$17,IF(AND(#REF!="Padrão",$H$4=#REF!),BDI!#REF!,IF(AND(#REF!="Diferenciado",$H$4=#REF!),BDI!$E$17,IF(AND(#REF!="Diferenciado",$H$4=#REF!),BDI!#REF!,IF(#REF!="ZERO",0))))),"")</f>
        <v>#REF!</v>
      </c>
      <c r="H945" s="127" t="e">
        <f t="shared" ca="1" si="43"/>
        <v>#REF!</v>
      </c>
      <c r="I945" s="125" t="e">
        <f t="shared" ca="1" si="44"/>
        <v>#REF!</v>
      </c>
    </row>
    <row r="946" spans="1:9" hidden="1" x14ac:dyDescent="0.25">
      <c r="A946" s="103" t="s">
        <v>2789</v>
      </c>
      <c r="B946" s="104" t="s">
        <v>2790</v>
      </c>
      <c r="C946" s="105" t="s">
        <v>2670</v>
      </c>
      <c r="D946" s="105">
        <v>0</v>
      </c>
      <c r="E946" s="124" t="s">
        <v>523</v>
      </c>
      <c r="F946" s="125" t="str">
        <f t="shared" si="42"/>
        <v/>
      </c>
      <c r="G946" s="126" t="e">
        <f>IF(A946&lt;&gt;"",IF(AND(#REF!="Padrão",$H$4=#REF!),BDI!$B$17,IF(AND(#REF!="Padrão",$H$4=#REF!),BDI!#REF!,IF(AND(#REF!="Diferenciado",$H$4=#REF!),BDI!$E$17,IF(AND(#REF!="Diferenciado",$H$4=#REF!),BDI!#REF!,IF(#REF!="ZERO",0))))),"")</f>
        <v>#REF!</v>
      </c>
      <c r="H946" s="127" t="str">
        <f t="shared" si="43"/>
        <v/>
      </c>
      <c r="I946" s="125" t="str">
        <f t="shared" si="44"/>
        <v/>
      </c>
    </row>
    <row r="947" spans="1:9" hidden="1" x14ac:dyDescent="0.25">
      <c r="A947" s="103" t="s">
        <v>998</v>
      </c>
      <c r="B947" s="104" t="s">
        <v>2791</v>
      </c>
      <c r="C947" s="105" t="s">
        <v>20</v>
      </c>
      <c r="D947" s="105">
        <v>0</v>
      </c>
      <c r="E947" s="124">
        <f ca="1">OFFSET(INDEX(Composições!A:J,MATCH(Orçamentária!A947,Composições!A:A,0),8),2,0)</f>
        <v>159.81375</v>
      </c>
      <c r="F947" s="125">
        <f t="shared" ca="1" si="42"/>
        <v>0</v>
      </c>
      <c r="G947" s="126" t="e">
        <f>IF(A947&lt;&gt;"",IF(AND(#REF!="Padrão",$H$4=#REF!),BDI!$B$17,IF(AND(#REF!="Padrão",$H$4=#REF!),BDI!#REF!,IF(AND(#REF!="Diferenciado",$H$4=#REF!),BDI!$E$17,IF(AND(#REF!="Diferenciado",$H$4=#REF!),BDI!#REF!,IF(#REF!="ZERO",0))))),"")</f>
        <v>#REF!</v>
      </c>
      <c r="H947" s="127" t="e">
        <f t="shared" ca="1" si="43"/>
        <v>#REF!</v>
      </c>
      <c r="I947" s="125" t="e">
        <f t="shared" ca="1" si="44"/>
        <v>#REF!</v>
      </c>
    </row>
    <row r="948" spans="1:9" hidden="1" x14ac:dyDescent="0.25">
      <c r="A948" s="103" t="s">
        <v>999</v>
      </c>
      <c r="B948" s="104" t="s">
        <v>2792</v>
      </c>
      <c r="C948" s="105" t="s">
        <v>20</v>
      </c>
      <c r="D948" s="105">
        <v>0</v>
      </c>
      <c r="E948" s="124">
        <f ca="1">OFFSET(INDEX(Composições!A:J,MATCH(Orçamentária!A948,Composições!A:A,0),8),2,0)</f>
        <v>6.6569843999999989</v>
      </c>
      <c r="F948" s="125">
        <f t="shared" ca="1" si="42"/>
        <v>0</v>
      </c>
      <c r="G948" s="126" t="e">
        <f>IF(A948&lt;&gt;"",IF(AND(#REF!="Padrão",$H$4=#REF!),BDI!$B$17,IF(AND(#REF!="Padrão",$H$4=#REF!),BDI!#REF!,IF(AND(#REF!="Diferenciado",$H$4=#REF!),BDI!$E$17,IF(AND(#REF!="Diferenciado",$H$4=#REF!),BDI!#REF!,IF(#REF!="ZERO",0))))),"")</f>
        <v>#REF!</v>
      </c>
      <c r="H948" s="127" t="e">
        <f t="shared" ca="1" si="43"/>
        <v>#REF!</v>
      </c>
      <c r="I948" s="125" t="e">
        <f t="shared" ca="1" si="44"/>
        <v>#REF!</v>
      </c>
    </row>
    <row r="949" spans="1:9" hidden="1" x14ac:dyDescent="0.25">
      <c r="A949" s="103" t="s">
        <v>1001</v>
      </c>
      <c r="B949" s="104" t="s">
        <v>2793</v>
      </c>
      <c r="C949" s="105" t="s">
        <v>20</v>
      </c>
      <c r="D949" s="105">
        <v>0</v>
      </c>
      <c r="E949" s="124">
        <f ca="1">OFFSET(INDEX(Composições!A:J,MATCH(Orçamentária!A949,Composições!A:A,0),8),2,0)</f>
        <v>4.9530263999999997</v>
      </c>
      <c r="F949" s="125">
        <f t="shared" ca="1" si="42"/>
        <v>0</v>
      </c>
      <c r="G949" s="126" t="e">
        <f>IF(A949&lt;&gt;"",IF(AND(#REF!="Padrão",$H$4=#REF!),BDI!$B$17,IF(AND(#REF!="Padrão",$H$4=#REF!),BDI!#REF!,IF(AND(#REF!="Diferenciado",$H$4=#REF!),BDI!$E$17,IF(AND(#REF!="Diferenciado",$H$4=#REF!),BDI!#REF!,IF(#REF!="ZERO",0))))),"")</f>
        <v>#REF!</v>
      </c>
      <c r="H949" s="127" t="e">
        <f t="shared" ca="1" si="43"/>
        <v>#REF!</v>
      </c>
      <c r="I949" s="125" t="e">
        <f t="shared" ca="1" si="44"/>
        <v>#REF!</v>
      </c>
    </row>
    <row r="950" spans="1:9" hidden="1" x14ac:dyDescent="0.25">
      <c r="A950" s="103" t="s">
        <v>2794</v>
      </c>
      <c r="B950" s="104" t="s">
        <v>2795</v>
      </c>
      <c r="C950" s="105" t="s">
        <v>20</v>
      </c>
      <c r="D950" s="105">
        <v>0</v>
      </c>
      <c r="E950" s="124" t="s">
        <v>523</v>
      </c>
      <c r="F950" s="125" t="str">
        <f t="shared" si="42"/>
        <v/>
      </c>
      <c r="G950" s="126" t="e">
        <f>IF(A950&lt;&gt;"",IF(AND(#REF!="Padrão",$H$4=#REF!),BDI!$B$17,IF(AND(#REF!="Padrão",$H$4=#REF!),BDI!#REF!,IF(AND(#REF!="Diferenciado",$H$4=#REF!),BDI!$E$17,IF(AND(#REF!="Diferenciado",$H$4=#REF!),BDI!#REF!,IF(#REF!="ZERO",0))))),"")</f>
        <v>#REF!</v>
      </c>
      <c r="H950" s="127" t="str">
        <f t="shared" si="43"/>
        <v/>
      </c>
      <c r="I950" s="125" t="str">
        <f t="shared" si="44"/>
        <v/>
      </c>
    </row>
    <row r="951" spans="1:9" hidden="1" x14ac:dyDescent="0.25">
      <c r="A951" s="103" t="s">
        <v>1003</v>
      </c>
      <c r="B951" s="104" t="s">
        <v>2796</v>
      </c>
      <c r="C951" s="105" t="s">
        <v>20</v>
      </c>
      <c r="D951" s="105">
        <v>0</v>
      </c>
      <c r="E951" s="124">
        <f ca="1">OFFSET(INDEX(Composições!A:J,MATCH(Orçamentária!A951,Composições!A:A,0),8),2,0)</f>
        <v>248.613194943038</v>
      </c>
      <c r="F951" s="125">
        <f t="shared" ca="1" si="42"/>
        <v>0</v>
      </c>
      <c r="G951" s="126" t="e">
        <f>IF(A951&lt;&gt;"",IF(AND(#REF!="Padrão",$H$4=#REF!),BDI!$B$17,IF(AND(#REF!="Padrão",$H$4=#REF!),BDI!#REF!,IF(AND(#REF!="Diferenciado",$H$4=#REF!),BDI!$E$17,IF(AND(#REF!="Diferenciado",$H$4=#REF!),BDI!#REF!,IF(#REF!="ZERO",0))))),"")</f>
        <v>#REF!</v>
      </c>
      <c r="H951" s="127" t="e">
        <f t="shared" ca="1" si="43"/>
        <v>#REF!</v>
      </c>
      <c r="I951" s="125" t="e">
        <f t="shared" ca="1" si="44"/>
        <v>#REF!</v>
      </c>
    </row>
    <row r="952" spans="1:9" hidden="1" x14ac:dyDescent="0.25">
      <c r="A952" s="103" t="s">
        <v>1006</v>
      </c>
      <c r="B952" s="104" t="s">
        <v>2797</v>
      </c>
      <c r="C952" s="105" t="s">
        <v>2798</v>
      </c>
      <c r="D952" s="105">
        <v>0</v>
      </c>
      <c r="E952" s="124">
        <f ca="1">OFFSET(INDEX(Composições!A:J,MATCH(Orçamentária!A952,Composições!A:A,0),8),2,0)</f>
        <v>90.867500000000007</v>
      </c>
      <c r="F952" s="125">
        <f t="shared" ca="1" si="42"/>
        <v>0</v>
      </c>
      <c r="G952" s="126" t="e">
        <f>IF(A952&lt;&gt;"",IF(AND(#REF!="Padrão",$H$4=#REF!),BDI!$B$17,IF(AND(#REF!="Padrão",$H$4=#REF!),BDI!#REF!,IF(AND(#REF!="Diferenciado",$H$4=#REF!),BDI!$E$17,IF(AND(#REF!="Diferenciado",$H$4=#REF!),BDI!#REF!,IF(#REF!="ZERO",0))))),"")</f>
        <v>#REF!</v>
      </c>
      <c r="H952" s="127" t="e">
        <f t="shared" ca="1" si="43"/>
        <v>#REF!</v>
      </c>
      <c r="I952" s="125" t="e">
        <f t="shared" ca="1" si="44"/>
        <v>#REF!</v>
      </c>
    </row>
    <row r="953" spans="1:9" hidden="1" x14ac:dyDescent="0.25">
      <c r="A953" s="103" t="s">
        <v>1008</v>
      </c>
      <c r="B953" s="104" t="s">
        <v>2799</v>
      </c>
      <c r="C953" s="105" t="s">
        <v>2800</v>
      </c>
      <c r="D953" s="105">
        <v>0</v>
      </c>
      <c r="E953" s="124">
        <f ca="1">OFFSET(INDEX(Composições!A:J,MATCH(Orçamentária!A953,Composições!A:A,0),8),2,0)</f>
        <v>522.5</v>
      </c>
      <c r="F953" s="125">
        <f t="shared" ca="1" si="42"/>
        <v>0</v>
      </c>
      <c r="G953" s="126" t="e">
        <f>IF(A953&lt;&gt;"",IF(AND(#REF!="Padrão",$H$4=#REF!),BDI!$B$17,IF(AND(#REF!="Padrão",$H$4=#REF!),BDI!#REF!,IF(AND(#REF!="Diferenciado",$H$4=#REF!),BDI!$E$17,IF(AND(#REF!="Diferenciado",$H$4=#REF!),BDI!#REF!,IF(#REF!="ZERO",0))))),"")</f>
        <v>#REF!</v>
      </c>
      <c r="H953" s="127" t="e">
        <f t="shared" ca="1" si="43"/>
        <v>#REF!</v>
      </c>
      <c r="I953" s="125" t="e">
        <f t="shared" ca="1" si="44"/>
        <v>#REF!</v>
      </c>
    </row>
    <row r="954" spans="1:9" hidden="1" x14ac:dyDescent="0.25">
      <c r="A954" s="103" t="s">
        <v>2801</v>
      </c>
      <c r="B954" s="104" t="s">
        <v>2802</v>
      </c>
      <c r="C954" s="105" t="s">
        <v>2800</v>
      </c>
      <c r="D954" s="105">
        <v>0</v>
      </c>
      <c r="E954" s="124" t="s">
        <v>523</v>
      </c>
      <c r="F954" s="125" t="str">
        <f t="shared" si="42"/>
        <v/>
      </c>
      <c r="G954" s="126" t="e">
        <f>IF(A954&lt;&gt;"",IF(AND(#REF!="Padrão",$H$4=#REF!),BDI!$B$17,IF(AND(#REF!="Padrão",$H$4=#REF!),BDI!#REF!,IF(AND(#REF!="Diferenciado",$H$4=#REF!),BDI!$E$17,IF(AND(#REF!="Diferenciado",$H$4=#REF!),BDI!#REF!,IF(#REF!="ZERO",0))))),"")</f>
        <v>#REF!</v>
      </c>
      <c r="H954" s="127" t="str">
        <f t="shared" si="43"/>
        <v/>
      </c>
      <c r="I954" s="125" t="str">
        <f t="shared" si="44"/>
        <v/>
      </c>
    </row>
    <row r="955" spans="1:9" hidden="1" x14ac:dyDescent="0.25">
      <c r="A955" s="103" t="s">
        <v>1010</v>
      </c>
      <c r="B955" s="104" t="s">
        <v>2803</v>
      </c>
      <c r="C955" s="105" t="s">
        <v>95</v>
      </c>
      <c r="D955" s="105">
        <v>0</v>
      </c>
      <c r="E955" s="124">
        <f ca="1">OFFSET(INDEX(Composições!A:J,MATCH(Orçamentária!A955,Composições!A:A,0),8),2,0)</f>
        <v>1.6808920000000001</v>
      </c>
      <c r="F955" s="125">
        <f t="shared" ca="1" si="42"/>
        <v>0</v>
      </c>
      <c r="G955" s="126" t="e">
        <f>IF(A955&lt;&gt;"",IF(AND(#REF!="Padrão",$H$4=#REF!),BDI!$B$17,IF(AND(#REF!="Padrão",$H$4=#REF!),BDI!#REF!,IF(AND(#REF!="Diferenciado",$H$4=#REF!),BDI!$E$17,IF(AND(#REF!="Diferenciado",$H$4=#REF!),BDI!#REF!,IF(#REF!="ZERO",0))))),"")</f>
        <v>#REF!</v>
      </c>
      <c r="H955" s="127" t="e">
        <f t="shared" ca="1" si="43"/>
        <v>#REF!</v>
      </c>
      <c r="I955" s="125" t="e">
        <f t="shared" ca="1" si="44"/>
        <v>#REF!</v>
      </c>
    </row>
    <row r="956" spans="1:9" hidden="1" x14ac:dyDescent="0.25">
      <c r="A956" s="103" t="s">
        <v>1012</v>
      </c>
      <c r="B956" s="104" t="s">
        <v>2804</v>
      </c>
      <c r="C956" s="105" t="s">
        <v>95</v>
      </c>
      <c r="D956" s="105">
        <v>0</v>
      </c>
      <c r="E956" s="124">
        <f ca="1">OFFSET(INDEX(Composições!A:J,MATCH(Orçamentária!A956,Composições!A:A,0),8),2,0)</f>
        <v>6.1987500000000004</v>
      </c>
      <c r="F956" s="125">
        <f t="shared" ca="1" si="42"/>
        <v>0</v>
      </c>
      <c r="G956" s="126" t="e">
        <f>IF(A956&lt;&gt;"",IF(AND(#REF!="Padrão",$H$4=#REF!),BDI!$B$17,IF(AND(#REF!="Padrão",$H$4=#REF!),BDI!#REF!,IF(AND(#REF!="Diferenciado",$H$4=#REF!),BDI!$E$17,IF(AND(#REF!="Diferenciado",$H$4=#REF!),BDI!#REF!,IF(#REF!="ZERO",0))))),"")</f>
        <v>#REF!</v>
      </c>
      <c r="H956" s="127" t="e">
        <f t="shared" ca="1" si="43"/>
        <v>#REF!</v>
      </c>
      <c r="I956" s="125" t="e">
        <f t="shared" ca="1" si="44"/>
        <v>#REF!</v>
      </c>
    </row>
    <row r="957" spans="1:9" hidden="1" x14ac:dyDescent="0.25">
      <c r="A957" s="103" t="s">
        <v>1013</v>
      </c>
      <c r="B957" s="104" t="s">
        <v>2805</v>
      </c>
      <c r="C957" s="105" t="s">
        <v>95</v>
      </c>
      <c r="D957" s="105">
        <v>0</v>
      </c>
      <c r="E957" s="124">
        <f ca="1">OFFSET(INDEX(Composições!A:J,MATCH(Orçamentária!A957,Composições!A:A,0),8),2,0)</f>
        <v>23.025625000000002</v>
      </c>
      <c r="F957" s="125">
        <f t="shared" ca="1" si="42"/>
        <v>0</v>
      </c>
      <c r="G957" s="126" t="e">
        <f>IF(A957&lt;&gt;"",IF(AND(#REF!="Padrão",$H$4=#REF!),BDI!$B$17,IF(AND(#REF!="Padrão",$H$4=#REF!),BDI!#REF!,IF(AND(#REF!="Diferenciado",$H$4=#REF!),BDI!$E$17,IF(AND(#REF!="Diferenciado",$H$4=#REF!),BDI!#REF!,IF(#REF!="ZERO",0))))),"")</f>
        <v>#REF!</v>
      </c>
      <c r="H957" s="127" t="e">
        <f t="shared" ca="1" si="43"/>
        <v>#REF!</v>
      </c>
      <c r="I957" s="125" t="e">
        <f t="shared" ca="1" si="44"/>
        <v>#REF!</v>
      </c>
    </row>
    <row r="958" spans="1:9" hidden="1" x14ac:dyDescent="0.25">
      <c r="A958" s="103" t="s">
        <v>1014</v>
      </c>
      <c r="B958" s="104" t="s">
        <v>2806</v>
      </c>
      <c r="C958" s="105" t="s">
        <v>95</v>
      </c>
      <c r="D958" s="105">
        <v>0</v>
      </c>
      <c r="E958" s="124">
        <f ca="1">OFFSET(INDEX(Composições!A:J,MATCH(Orçamentária!A958,Composições!A:A,0),8),2,0)</f>
        <v>48.407221499999999</v>
      </c>
      <c r="F958" s="125">
        <f t="shared" ca="1" si="42"/>
        <v>0</v>
      </c>
      <c r="G958" s="126" t="e">
        <f>IF(A958&lt;&gt;"",IF(AND(#REF!="Padrão",$H$4=#REF!),BDI!$B$17,IF(AND(#REF!="Padrão",$H$4=#REF!),BDI!#REF!,IF(AND(#REF!="Diferenciado",$H$4=#REF!),BDI!$E$17,IF(AND(#REF!="Diferenciado",$H$4=#REF!),BDI!#REF!,IF(#REF!="ZERO",0))))),"")</f>
        <v>#REF!</v>
      </c>
      <c r="H958" s="127" t="e">
        <f t="shared" ca="1" si="43"/>
        <v>#REF!</v>
      </c>
      <c r="I958" s="125" t="e">
        <f t="shared" ca="1" si="44"/>
        <v>#REF!</v>
      </c>
    </row>
    <row r="959" spans="1:9" hidden="1" x14ac:dyDescent="0.25">
      <c r="A959" s="103" t="s">
        <v>1018</v>
      </c>
      <c r="B959" s="104" t="s">
        <v>2807</v>
      </c>
      <c r="C959" s="105" t="s">
        <v>95</v>
      </c>
      <c r="D959" s="105">
        <v>0</v>
      </c>
      <c r="E959" s="124">
        <f ca="1">OFFSET(INDEX(Composições!A:J,MATCH(Orçamentária!A959,Composições!A:A,0),8),2,0)</f>
        <v>50.680602553125013</v>
      </c>
      <c r="F959" s="125">
        <f t="shared" ca="1" si="42"/>
        <v>0</v>
      </c>
      <c r="G959" s="126" t="e">
        <f>IF(A959&lt;&gt;"",IF(AND(#REF!="Padrão",$H$4=#REF!),BDI!$B$17,IF(AND(#REF!="Padrão",$H$4=#REF!),BDI!#REF!,IF(AND(#REF!="Diferenciado",$H$4=#REF!),BDI!$E$17,IF(AND(#REF!="Diferenciado",$H$4=#REF!),BDI!#REF!,IF(#REF!="ZERO",0))))),"")</f>
        <v>#REF!</v>
      </c>
      <c r="H959" s="127" t="e">
        <f t="shared" ca="1" si="43"/>
        <v>#REF!</v>
      </c>
      <c r="I959" s="125" t="e">
        <f t="shared" ca="1" si="44"/>
        <v>#REF!</v>
      </c>
    </row>
    <row r="960" spans="1:9" hidden="1" x14ac:dyDescent="0.25">
      <c r="A960" s="103" t="s">
        <v>1021</v>
      </c>
      <c r="B960" s="104" t="s">
        <v>2808</v>
      </c>
      <c r="C960" s="105" t="s">
        <v>95</v>
      </c>
      <c r="D960" s="105">
        <v>0</v>
      </c>
      <c r="E960" s="124">
        <f ca="1">OFFSET(INDEX(Composições!A:J,MATCH(Orçamentária!A960,Composições!A:A,0),8),2,0)</f>
        <v>64.292392553124998</v>
      </c>
      <c r="F960" s="125">
        <f t="shared" ca="1" si="42"/>
        <v>0</v>
      </c>
      <c r="G960" s="126" t="e">
        <f>IF(A960&lt;&gt;"",IF(AND(#REF!="Padrão",$H$4=#REF!),BDI!$B$17,IF(AND(#REF!="Padrão",$H$4=#REF!),BDI!#REF!,IF(AND(#REF!="Diferenciado",$H$4=#REF!),BDI!$E$17,IF(AND(#REF!="Diferenciado",$H$4=#REF!),BDI!#REF!,IF(#REF!="ZERO",0))))),"")</f>
        <v>#REF!</v>
      </c>
      <c r="H960" s="127" t="e">
        <f t="shared" ca="1" si="43"/>
        <v>#REF!</v>
      </c>
      <c r="I960" s="125" t="e">
        <f t="shared" ca="1" si="44"/>
        <v>#REF!</v>
      </c>
    </row>
    <row r="961" spans="1:9" hidden="1" x14ac:dyDescent="0.25">
      <c r="A961" s="103" t="s">
        <v>1023</v>
      </c>
      <c r="B961" s="104" t="s">
        <v>2809</v>
      </c>
      <c r="C961" s="105" t="s">
        <v>95</v>
      </c>
      <c r="D961" s="105">
        <v>0</v>
      </c>
      <c r="E961" s="124">
        <f ca="1">OFFSET(INDEX(Composições!A:J,MATCH(Orçamentária!A961,Composições!A:A,0),8),2,0)</f>
        <v>17.286200000000001</v>
      </c>
      <c r="F961" s="125">
        <f t="shared" ca="1" si="42"/>
        <v>0</v>
      </c>
      <c r="G961" s="126" t="e">
        <f>IF(A961&lt;&gt;"",IF(AND(#REF!="Padrão",$H$4=#REF!),BDI!$B$17,IF(AND(#REF!="Padrão",$H$4=#REF!),BDI!#REF!,IF(AND(#REF!="Diferenciado",$H$4=#REF!),BDI!$E$17,IF(AND(#REF!="Diferenciado",$H$4=#REF!),BDI!#REF!,IF(#REF!="ZERO",0))))),"")</f>
        <v>#REF!</v>
      </c>
      <c r="H961" s="127" t="e">
        <f t="shared" ca="1" si="43"/>
        <v>#REF!</v>
      </c>
      <c r="I961" s="125" t="e">
        <f t="shared" ca="1" si="44"/>
        <v>#REF!</v>
      </c>
    </row>
    <row r="962" spans="1:9" hidden="1" x14ac:dyDescent="0.25">
      <c r="A962" s="103" t="s">
        <v>1024</v>
      </c>
      <c r="B962" s="104" t="s">
        <v>2810</v>
      </c>
      <c r="C962" s="105" t="s">
        <v>95</v>
      </c>
      <c r="D962" s="105">
        <v>0</v>
      </c>
      <c r="E962" s="124">
        <f ca="1">OFFSET(INDEX(Composições!A:J,MATCH(Orçamentária!A962,Composições!A:A,0),8),2,0)</f>
        <v>51.858600000000003</v>
      </c>
      <c r="F962" s="125">
        <f t="shared" ca="1" si="42"/>
        <v>0</v>
      </c>
      <c r="G962" s="126" t="e">
        <f>IF(A962&lt;&gt;"",IF(AND(#REF!="Padrão",$H$4=#REF!),BDI!$B$17,IF(AND(#REF!="Padrão",$H$4=#REF!),BDI!#REF!,IF(AND(#REF!="Diferenciado",$H$4=#REF!),BDI!$E$17,IF(AND(#REF!="Diferenciado",$H$4=#REF!),BDI!#REF!,IF(#REF!="ZERO",0))))),"")</f>
        <v>#REF!</v>
      </c>
      <c r="H962" s="127" t="e">
        <f t="shared" ca="1" si="43"/>
        <v>#REF!</v>
      </c>
      <c r="I962" s="125" t="e">
        <f t="shared" ca="1" si="44"/>
        <v>#REF!</v>
      </c>
    </row>
    <row r="963" spans="1:9" hidden="1" x14ac:dyDescent="0.25">
      <c r="A963" s="103" t="s">
        <v>1025</v>
      </c>
      <c r="B963" s="104" t="s">
        <v>2811</v>
      </c>
      <c r="C963" s="105" t="s">
        <v>95</v>
      </c>
      <c r="D963" s="105">
        <v>0</v>
      </c>
      <c r="E963" s="124">
        <f ca="1">OFFSET(INDEX(Composições!A:J,MATCH(Orçamentária!A963,Composições!A:A,0),8),2,0)</f>
        <v>8.8212250000000001</v>
      </c>
      <c r="F963" s="125">
        <f t="shared" ca="1" si="42"/>
        <v>0</v>
      </c>
      <c r="G963" s="126" t="e">
        <f>IF(A963&lt;&gt;"",IF(AND(#REF!="Padrão",$H$4=#REF!),BDI!$B$17,IF(AND(#REF!="Padrão",$H$4=#REF!),BDI!#REF!,IF(AND(#REF!="Diferenciado",$H$4=#REF!),BDI!$E$17,IF(AND(#REF!="Diferenciado",$H$4=#REF!),BDI!#REF!,IF(#REF!="ZERO",0))))),"")</f>
        <v>#REF!</v>
      </c>
      <c r="H963" s="127" t="e">
        <f t="shared" ca="1" si="43"/>
        <v>#REF!</v>
      </c>
      <c r="I963" s="125" t="e">
        <f t="shared" ca="1" si="44"/>
        <v>#REF!</v>
      </c>
    </row>
    <row r="964" spans="1:9" hidden="1" x14ac:dyDescent="0.25">
      <c r="A964" s="103" t="s">
        <v>1027</v>
      </c>
      <c r="B964" s="104" t="s">
        <v>2812</v>
      </c>
      <c r="C964" s="105" t="s">
        <v>95</v>
      </c>
      <c r="D964" s="105">
        <v>0</v>
      </c>
      <c r="E964" s="124">
        <f ca="1">OFFSET(INDEX(Composições!A:J,MATCH(Orçamentária!A964,Composições!A:A,0),8),2,0)</f>
        <v>5.5261500000000003</v>
      </c>
      <c r="F964" s="125">
        <f t="shared" ca="1" si="42"/>
        <v>0</v>
      </c>
      <c r="G964" s="126" t="e">
        <f>IF(A964&lt;&gt;"",IF(AND(#REF!="Padrão",$H$4=#REF!),BDI!$B$17,IF(AND(#REF!="Padrão",$H$4=#REF!),BDI!#REF!,IF(AND(#REF!="Diferenciado",$H$4=#REF!),BDI!$E$17,IF(AND(#REF!="Diferenciado",$H$4=#REF!),BDI!#REF!,IF(#REF!="ZERO",0))))),"")</f>
        <v>#REF!</v>
      </c>
      <c r="H964" s="127" t="e">
        <f t="shared" ca="1" si="43"/>
        <v>#REF!</v>
      </c>
      <c r="I964" s="125" t="e">
        <f t="shared" ca="1" si="44"/>
        <v>#REF!</v>
      </c>
    </row>
    <row r="965" spans="1:9" ht="25.5" hidden="1" x14ac:dyDescent="0.25">
      <c r="A965" s="103" t="s">
        <v>1028</v>
      </c>
      <c r="B965" s="104" t="s">
        <v>2813</v>
      </c>
      <c r="C965" s="105" t="s">
        <v>20</v>
      </c>
      <c r="D965" s="105">
        <v>0</v>
      </c>
      <c r="E965" s="124">
        <f ca="1">OFFSET(INDEX(Composições!A:J,MATCH(Orçamentária!A965,Composições!A:A,0),8),2,0)</f>
        <v>1.8420500000000002</v>
      </c>
      <c r="F965" s="125">
        <f t="shared" ca="1" si="42"/>
        <v>0</v>
      </c>
      <c r="G965" s="126" t="e">
        <f>IF(A965&lt;&gt;"",IF(AND(#REF!="Padrão",$H$4=#REF!),BDI!$B$17,IF(AND(#REF!="Padrão",$H$4=#REF!),BDI!#REF!,IF(AND(#REF!="Diferenciado",$H$4=#REF!),BDI!$E$17,IF(AND(#REF!="Diferenciado",$H$4=#REF!),BDI!#REF!,IF(#REF!="ZERO",0))))),"")</f>
        <v>#REF!</v>
      </c>
      <c r="H965" s="127" t="e">
        <f t="shared" ca="1" si="43"/>
        <v>#REF!</v>
      </c>
      <c r="I965" s="125" t="e">
        <f t="shared" ca="1" si="44"/>
        <v>#REF!</v>
      </c>
    </row>
    <row r="966" spans="1:9" ht="25.5" hidden="1" x14ac:dyDescent="0.25">
      <c r="A966" s="103" t="s">
        <v>1029</v>
      </c>
      <c r="B966" s="104" t="s">
        <v>2814</v>
      </c>
      <c r="C966" s="105" t="s">
        <v>20</v>
      </c>
      <c r="D966" s="105">
        <v>0</v>
      </c>
      <c r="E966" s="124">
        <f ca="1">OFFSET(INDEX(Composições!A:J,MATCH(Orçamentária!A966,Composições!A:A,0),8),2,0)</f>
        <v>8.9356898121559212</v>
      </c>
      <c r="F966" s="125">
        <f t="shared" ca="1" si="42"/>
        <v>0</v>
      </c>
      <c r="G966" s="126" t="e">
        <f>IF(A966&lt;&gt;"",IF(AND(#REF!="Padrão",$H$4=#REF!),BDI!$B$17,IF(AND(#REF!="Padrão",$H$4=#REF!),BDI!#REF!,IF(AND(#REF!="Diferenciado",$H$4=#REF!),BDI!$E$17,IF(AND(#REF!="Diferenciado",$H$4=#REF!),BDI!#REF!,IF(#REF!="ZERO",0))))),"")</f>
        <v>#REF!</v>
      </c>
      <c r="H966" s="127" t="e">
        <f t="shared" ca="1" si="43"/>
        <v>#REF!</v>
      </c>
      <c r="I966" s="125" t="e">
        <f t="shared" ca="1" si="44"/>
        <v>#REF!</v>
      </c>
    </row>
    <row r="967" spans="1:9" hidden="1" x14ac:dyDescent="0.25">
      <c r="A967" s="103" t="s">
        <v>1035</v>
      </c>
      <c r="B967" s="104" t="s">
        <v>2815</v>
      </c>
      <c r="C967" s="105" t="s">
        <v>20</v>
      </c>
      <c r="D967" s="105">
        <v>0</v>
      </c>
      <c r="E967" s="124">
        <f ca="1">OFFSET(INDEX(Composições!A:J,MATCH(Orçamentária!A967,Composições!A:A,0),8),2,0)</f>
        <v>8.9356898121559212</v>
      </c>
      <c r="F967" s="125">
        <f t="shared" ref="F967:F1030" ca="1" si="45">IF(ISNUMBER(E967),D967*E967,"")</f>
        <v>0</v>
      </c>
      <c r="G967" s="126" t="e">
        <f>IF(A967&lt;&gt;"",IF(AND(#REF!="Padrão",$H$4=#REF!),BDI!$B$17,IF(AND(#REF!="Padrão",$H$4=#REF!),BDI!#REF!,IF(AND(#REF!="Diferenciado",$H$4=#REF!),BDI!$E$17,IF(AND(#REF!="Diferenciado",$H$4=#REF!),BDI!#REF!,IF(#REF!="ZERO",0))))),"")</f>
        <v>#REF!</v>
      </c>
      <c r="H967" s="127" t="e">
        <f t="shared" ref="H967:H1030" ca="1" si="46">IF(ISNUMBER(E967),ROUND(E967*(1+G967),2),"")</f>
        <v>#REF!</v>
      </c>
      <c r="I967" s="125" t="e">
        <f t="shared" ref="I967:I1030" ca="1" si="47">IF(ISNUMBER(E967),ROUND(H967*D967,2),"")</f>
        <v>#REF!</v>
      </c>
    </row>
    <row r="968" spans="1:9" hidden="1" x14ac:dyDescent="0.25">
      <c r="A968" s="103" t="s">
        <v>2816</v>
      </c>
      <c r="B968" s="104" t="s">
        <v>2817</v>
      </c>
      <c r="C968" s="105" t="s">
        <v>20</v>
      </c>
      <c r="D968" s="105">
        <v>0</v>
      </c>
      <c r="E968" s="124">
        <f ca="1">OFFSET(INDEX(Composições!A:J,MATCH(Orçamentária!A968,Composições!A:A,0),8),2,0)</f>
        <v>8.9356898121559212</v>
      </c>
      <c r="F968" s="125">
        <f t="shared" ca="1" si="45"/>
        <v>0</v>
      </c>
      <c r="G968" s="126" t="e">
        <f>IF(A968&lt;&gt;"",IF(AND(#REF!="Padrão",$H$4=#REF!),BDI!$B$17,IF(AND(#REF!="Padrão",$H$4=#REF!),BDI!#REF!,IF(AND(#REF!="Diferenciado",$H$4=#REF!),BDI!$E$17,IF(AND(#REF!="Diferenciado",$H$4=#REF!),BDI!#REF!,IF(#REF!="ZERO",0))))),"")</f>
        <v>#REF!</v>
      </c>
      <c r="H968" s="127" t="e">
        <f t="shared" ca="1" si="46"/>
        <v>#REF!</v>
      </c>
      <c r="I968" s="125" t="e">
        <f t="shared" ca="1" si="47"/>
        <v>#REF!</v>
      </c>
    </row>
    <row r="969" spans="1:9" hidden="1" x14ac:dyDescent="0.25">
      <c r="A969" s="103" t="s">
        <v>1037</v>
      </c>
      <c r="B969" s="104" t="s">
        <v>6376</v>
      </c>
      <c r="C969" s="105" t="s">
        <v>95</v>
      </c>
      <c r="D969" s="105">
        <v>0</v>
      </c>
      <c r="E969" s="124">
        <f ca="1">OFFSET(INDEX(Composições!A:J,MATCH(Orçamentária!A969,Composições!A:A,0),8),2,0)</f>
        <v>52.668000000000006</v>
      </c>
      <c r="F969" s="125">
        <f t="shared" ca="1" si="45"/>
        <v>0</v>
      </c>
      <c r="G969" s="126" t="e">
        <f>IF(A969&lt;&gt;"",IF(AND(#REF!="Padrão",$H$4=#REF!),BDI!$B$17,IF(AND(#REF!="Padrão",$H$4=#REF!),BDI!#REF!,IF(AND(#REF!="Diferenciado",$H$4=#REF!),BDI!$E$17,IF(AND(#REF!="Diferenciado",$H$4=#REF!),BDI!#REF!,IF(#REF!="ZERO",0))))),"")</f>
        <v>#REF!</v>
      </c>
      <c r="H969" s="127" t="e">
        <f t="shared" ca="1" si="46"/>
        <v>#REF!</v>
      </c>
      <c r="I969" s="125" t="e">
        <f t="shared" ca="1" si="47"/>
        <v>#REF!</v>
      </c>
    </row>
    <row r="970" spans="1:9" hidden="1" x14ac:dyDescent="0.25">
      <c r="A970" s="103" t="s">
        <v>1039</v>
      </c>
      <c r="B970" s="104" t="s">
        <v>6377</v>
      </c>
      <c r="C970" s="105" t="s">
        <v>95</v>
      </c>
      <c r="D970" s="105">
        <v>0</v>
      </c>
      <c r="E970" s="124">
        <f ca="1">OFFSET(INDEX(Composições!A:J,MATCH(Orçamentária!A970,Composições!A:A,0),8),2,0)</f>
        <v>72.625122453038983</v>
      </c>
      <c r="F970" s="125">
        <f t="shared" ca="1" si="45"/>
        <v>0</v>
      </c>
      <c r="G970" s="126" t="e">
        <f>IF(A970&lt;&gt;"",IF(AND(#REF!="Padrão",$H$4=#REF!),BDI!$B$17,IF(AND(#REF!="Padrão",$H$4=#REF!),BDI!#REF!,IF(AND(#REF!="Diferenciado",$H$4=#REF!),BDI!$E$17,IF(AND(#REF!="Diferenciado",$H$4=#REF!),BDI!#REF!,IF(#REF!="ZERO",0))))),"")</f>
        <v>#REF!</v>
      </c>
      <c r="H970" s="127" t="e">
        <f t="shared" ca="1" si="46"/>
        <v>#REF!</v>
      </c>
      <c r="I970" s="125" t="e">
        <f t="shared" ca="1" si="47"/>
        <v>#REF!</v>
      </c>
    </row>
    <row r="971" spans="1:9" hidden="1" x14ac:dyDescent="0.25">
      <c r="A971" s="103" t="s">
        <v>1044</v>
      </c>
      <c r="B971" s="104" t="s">
        <v>6378</v>
      </c>
      <c r="C971" s="105" t="s">
        <v>95</v>
      </c>
      <c r="D971" s="105">
        <v>0</v>
      </c>
      <c r="E971" s="124">
        <f ca="1">OFFSET(INDEX(Composições!A:J,MATCH(Orçamentária!A971,Composições!A:A,0),8),2,0)</f>
        <v>52.668000000000006</v>
      </c>
      <c r="F971" s="125">
        <f t="shared" ca="1" si="45"/>
        <v>0</v>
      </c>
      <c r="G971" s="126" t="e">
        <f>IF(A971&lt;&gt;"",IF(AND(#REF!="Padrão",$H$4=#REF!),BDI!$B$17,IF(AND(#REF!="Padrão",$H$4=#REF!),BDI!#REF!,IF(AND(#REF!="Diferenciado",$H$4=#REF!),BDI!$E$17,IF(AND(#REF!="Diferenciado",$H$4=#REF!),BDI!#REF!,IF(#REF!="ZERO",0))))),"")</f>
        <v>#REF!</v>
      </c>
      <c r="H971" s="127" t="e">
        <f t="shared" ca="1" si="46"/>
        <v>#REF!</v>
      </c>
      <c r="I971" s="125" t="e">
        <f t="shared" ca="1" si="47"/>
        <v>#REF!</v>
      </c>
    </row>
    <row r="972" spans="1:9" hidden="1" x14ac:dyDescent="0.25">
      <c r="A972" s="103" t="s">
        <v>1046</v>
      </c>
      <c r="B972" s="104" t="s">
        <v>6379</v>
      </c>
      <c r="C972" s="105" t="s">
        <v>95</v>
      </c>
      <c r="D972" s="105">
        <v>0</v>
      </c>
      <c r="E972" s="124">
        <f ca="1">OFFSET(INDEX(Composições!A:J,MATCH(Orçamentária!A972,Composições!A:A,0),8),2,0)</f>
        <v>72.625122453038983</v>
      </c>
      <c r="F972" s="125">
        <f t="shared" ca="1" si="45"/>
        <v>0</v>
      </c>
      <c r="G972" s="126" t="e">
        <f>IF(A972&lt;&gt;"",IF(AND(#REF!="Padrão",$H$4=#REF!),BDI!$B$17,IF(AND(#REF!="Padrão",$H$4=#REF!),BDI!#REF!,IF(AND(#REF!="Diferenciado",$H$4=#REF!),BDI!$E$17,IF(AND(#REF!="Diferenciado",$H$4=#REF!),BDI!#REF!,IF(#REF!="ZERO",0))))),"")</f>
        <v>#REF!</v>
      </c>
      <c r="H972" s="127" t="e">
        <f t="shared" ca="1" si="46"/>
        <v>#REF!</v>
      </c>
      <c r="I972" s="125" t="e">
        <f t="shared" ca="1" si="47"/>
        <v>#REF!</v>
      </c>
    </row>
    <row r="973" spans="1:9" ht="25.5" hidden="1" x14ac:dyDescent="0.25">
      <c r="A973" s="103" t="s">
        <v>1047</v>
      </c>
      <c r="B973" s="104" t="s">
        <v>6380</v>
      </c>
      <c r="C973" s="105" t="s">
        <v>95</v>
      </c>
      <c r="D973" s="105">
        <v>0</v>
      </c>
      <c r="E973" s="124">
        <f ca="1">OFFSET(INDEX(Composições!A:J,MATCH(Orçamentária!A973,Composições!A:A,0),8),2,0)</f>
        <v>8.0408000000000008</v>
      </c>
      <c r="F973" s="125">
        <f t="shared" ca="1" si="45"/>
        <v>0</v>
      </c>
      <c r="G973" s="126" t="e">
        <f>IF(A973&lt;&gt;"",IF(AND(#REF!="Padrão",$H$4=#REF!),BDI!$B$17,IF(AND(#REF!="Padrão",$H$4=#REF!),BDI!#REF!,IF(AND(#REF!="Diferenciado",$H$4=#REF!),BDI!$E$17,IF(AND(#REF!="Diferenciado",$H$4=#REF!),BDI!#REF!,IF(#REF!="ZERO",0))))),"")</f>
        <v>#REF!</v>
      </c>
      <c r="H973" s="127" t="e">
        <f t="shared" ca="1" si="46"/>
        <v>#REF!</v>
      </c>
      <c r="I973" s="125" t="e">
        <f t="shared" ca="1" si="47"/>
        <v>#REF!</v>
      </c>
    </row>
    <row r="974" spans="1:9" ht="25.5" hidden="1" x14ac:dyDescent="0.25">
      <c r="A974" s="103" t="s">
        <v>2818</v>
      </c>
      <c r="B974" s="104" t="s">
        <v>6381</v>
      </c>
      <c r="C974" s="105" t="s">
        <v>95</v>
      </c>
      <c r="D974" s="105">
        <v>0</v>
      </c>
      <c r="E974" s="124">
        <f ca="1">OFFSET(INDEX(Composições!A:J,MATCH(Orçamentária!A974,Composições!A:A,0),8),2,0)</f>
        <v>8.0408000000000008</v>
      </c>
      <c r="F974" s="125">
        <f t="shared" ca="1" si="45"/>
        <v>0</v>
      </c>
      <c r="G974" s="126" t="e">
        <f>IF(A974&lt;&gt;"",IF(AND(#REF!="Padrão",$H$4=#REF!),BDI!$B$17,IF(AND(#REF!="Padrão",$H$4=#REF!),BDI!#REF!,IF(AND(#REF!="Diferenciado",$H$4=#REF!),BDI!$E$17,IF(AND(#REF!="Diferenciado",$H$4=#REF!),BDI!#REF!,IF(#REF!="ZERO",0))))),"")</f>
        <v>#REF!</v>
      </c>
      <c r="H974" s="127" t="e">
        <f t="shared" ca="1" si="46"/>
        <v>#REF!</v>
      </c>
      <c r="I974" s="125" t="e">
        <f t="shared" ca="1" si="47"/>
        <v>#REF!</v>
      </c>
    </row>
    <row r="975" spans="1:9" hidden="1" x14ac:dyDescent="0.25">
      <c r="A975" s="103" t="s">
        <v>1049</v>
      </c>
      <c r="B975" s="104" t="s">
        <v>2819</v>
      </c>
      <c r="C975" s="105" t="s">
        <v>95</v>
      </c>
      <c r="D975" s="105">
        <v>0</v>
      </c>
      <c r="E975" s="124">
        <f ca="1">OFFSET(INDEX(Composições!A:J,MATCH(Orçamentária!A975,Composições!A:A,0),8),2,0)</f>
        <v>52.668000000000006</v>
      </c>
      <c r="F975" s="125">
        <f t="shared" ca="1" si="45"/>
        <v>0</v>
      </c>
      <c r="G975" s="126" t="e">
        <f>IF(A975&lt;&gt;"",IF(AND(#REF!="Padrão",$H$4=#REF!),BDI!$B$17,IF(AND(#REF!="Padrão",$H$4=#REF!),BDI!#REF!,IF(AND(#REF!="Diferenciado",$H$4=#REF!),BDI!$E$17,IF(AND(#REF!="Diferenciado",$H$4=#REF!),BDI!#REF!,IF(#REF!="ZERO",0))))),"")</f>
        <v>#REF!</v>
      </c>
      <c r="H975" s="127" t="e">
        <f t="shared" ca="1" si="46"/>
        <v>#REF!</v>
      </c>
      <c r="I975" s="125" t="e">
        <f t="shared" ca="1" si="47"/>
        <v>#REF!</v>
      </c>
    </row>
    <row r="976" spans="1:9" ht="25.5" hidden="1" x14ac:dyDescent="0.25">
      <c r="A976" s="103" t="s">
        <v>1050</v>
      </c>
      <c r="B976" s="104" t="s">
        <v>2820</v>
      </c>
      <c r="C976" s="105" t="s">
        <v>95</v>
      </c>
      <c r="D976" s="105">
        <v>0</v>
      </c>
      <c r="E976" s="124">
        <f ca="1">OFFSET(INDEX(Composições!A:J,MATCH(Orçamentária!A976,Composições!A:A,0),8),2,0)</f>
        <v>72.625122453038983</v>
      </c>
      <c r="F976" s="125">
        <f t="shared" ca="1" si="45"/>
        <v>0</v>
      </c>
      <c r="G976" s="126" t="e">
        <f>IF(A976&lt;&gt;"",IF(AND(#REF!="Padrão",$H$4=#REF!),BDI!$B$17,IF(AND(#REF!="Padrão",$H$4=#REF!),BDI!#REF!,IF(AND(#REF!="Diferenciado",$H$4=#REF!),BDI!$E$17,IF(AND(#REF!="Diferenciado",$H$4=#REF!),BDI!#REF!,IF(#REF!="ZERO",0))))),"")</f>
        <v>#REF!</v>
      </c>
      <c r="H976" s="127" t="e">
        <f t="shared" ca="1" si="46"/>
        <v>#REF!</v>
      </c>
      <c r="I976" s="125" t="e">
        <f t="shared" ca="1" si="47"/>
        <v>#REF!</v>
      </c>
    </row>
    <row r="977" spans="1:9" hidden="1" x14ac:dyDescent="0.25">
      <c r="A977" s="103" t="s">
        <v>1051</v>
      </c>
      <c r="B977" s="104" t="s">
        <v>2821</v>
      </c>
      <c r="C977" s="105" t="s">
        <v>95</v>
      </c>
      <c r="D977" s="105">
        <v>0</v>
      </c>
      <c r="E977" s="124">
        <f ca="1">OFFSET(INDEX(Composições!A:J,MATCH(Orçamentária!A977,Composições!A:A,0),8),2,0)</f>
        <v>12.425050000000001</v>
      </c>
      <c r="F977" s="125">
        <f t="shared" ca="1" si="45"/>
        <v>0</v>
      </c>
      <c r="G977" s="126" t="e">
        <f>IF(A977&lt;&gt;"",IF(AND(#REF!="Padrão",$H$4=#REF!),BDI!$B$17,IF(AND(#REF!="Padrão",$H$4=#REF!),BDI!#REF!,IF(AND(#REF!="Diferenciado",$H$4=#REF!),BDI!$E$17,IF(AND(#REF!="Diferenciado",$H$4=#REF!),BDI!#REF!,IF(#REF!="ZERO",0))))),"")</f>
        <v>#REF!</v>
      </c>
      <c r="H977" s="127" t="e">
        <f t="shared" ca="1" si="46"/>
        <v>#REF!</v>
      </c>
      <c r="I977" s="125" t="e">
        <f t="shared" ca="1" si="47"/>
        <v>#REF!</v>
      </c>
    </row>
    <row r="978" spans="1:9" hidden="1" x14ac:dyDescent="0.25">
      <c r="A978" s="103" t="s">
        <v>1054</v>
      </c>
      <c r="B978" s="104" t="s">
        <v>2822</v>
      </c>
      <c r="C978" s="105" t="s">
        <v>93</v>
      </c>
      <c r="D978" s="105">
        <v>0</v>
      </c>
      <c r="E978" s="124">
        <f ca="1">OFFSET(INDEX(Composições!A:J,MATCH(Orçamentária!A978,Composições!A:A,0),8),2,0)</f>
        <v>22.245200000000001</v>
      </c>
      <c r="F978" s="125">
        <f t="shared" ca="1" si="45"/>
        <v>0</v>
      </c>
      <c r="G978" s="126" t="e">
        <f>IF(A978&lt;&gt;"",IF(AND(#REF!="Padrão",$H$4=#REF!),BDI!$B$17,IF(AND(#REF!="Padrão",$H$4=#REF!),BDI!#REF!,IF(AND(#REF!="Diferenciado",$H$4=#REF!),BDI!$E$17,IF(AND(#REF!="Diferenciado",$H$4=#REF!),BDI!#REF!,IF(#REF!="ZERO",0))))),"")</f>
        <v>#REF!</v>
      </c>
      <c r="H978" s="127" t="e">
        <f t="shared" ca="1" si="46"/>
        <v>#REF!</v>
      </c>
      <c r="I978" s="125" t="e">
        <f t="shared" ca="1" si="47"/>
        <v>#REF!</v>
      </c>
    </row>
    <row r="979" spans="1:9" hidden="1" x14ac:dyDescent="0.25">
      <c r="A979" s="103" t="s">
        <v>1056</v>
      </c>
      <c r="B979" s="104" t="s">
        <v>2823</v>
      </c>
      <c r="C979" s="105" t="s">
        <v>95</v>
      </c>
      <c r="D979" s="105">
        <v>0</v>
      </c>
      <c r="E979" s="124">
        <f ca="1">OFFSET(INDEX(Composições!A:J,MATCH(Orçamentária!A979,Composições!A:A,0),8),2,0)</f>
        <v>119.26837699999999</v>
      </c>
      <c r="F979" s="125">
        <f t="shared" ca="1" si="45"/>
        <v>0</v>
      </c>
      <c r="G979" s="126" t="e">
        <f>IF(A979&lt;&gt;"",IF(AND(#REF!="Padrão",$H$4=#REF!),BDI!$B$17,IF(AND(#REF!="Padrão",$H$4=#REF!),BDI!#REF!,IF(AND(#REF!="Diferenciado",$H$4=#REF!),BDI!$E$17,IF(AND(#REF!="Diferenciado",$H$4=#REF!),BDI!#REF!,IF(#REF!="ZERO",0))))),"")</f>
        <v>#REF!</v>
      </c>
      <c r="H979" s="127" t="e">
        <f t="shared" ca="1" si="46"/>
        <v>#REF!</v>
      </c>
      <c r="I979" s="125" t="e">
        <f t="shared" ca="1" si="47"/>
        <v>#REF!</v>
      </c>
    </row>
    <row r="980" spans="1:9" ht="25.5" hidden="1" x14ac:dyDescent="0.25">
      <c r="A980" s="103" t="s">
        <v>1058</v>
      </c>
      <c r="B980" s="104" t="s">
        <v>2824</v>
      </c>
      <c r="C980" s="105" t="s">
        <v>20</v>
      </c>
      <c r="D980" s="105">
        <v>0</v>
      </c>
      <c r="E980" s="124">
        <f ca="1">OFFSET(INDEX(Composições!A:J,MATCH(Orçamentária!A980,Composições!A:A,0),8),2,0)</f>
        <v>1.0739750000000001</v>
      </c>
      <c r="F980" s="125">
        <f t="shared" ca="1" si="45"/>
        <v>0</v>
      </c>
      <c r="G980" s="126" t="e">
        <f>IF(A980&lt;&gt;"",IF(AND(#REF!="Padrão",$H$4=#REF!),BDI!$B$17,IF(AND(#REF!="Padrão",$H$4=#REF!),BDI!#REF!,IF(AND(#REF!="Diferenciado",$H$4=#REF!),BDI!$E$17,IF(AND(#REF!="Diferenciado",$H$4=#REF!),BDI!#REF!,IF(#REF!="ZERO",0))))),"")</f>
        <v>#REF!</v>
      </c>
      <c r="H980" s="127" t="e">
        <f t="shared" ca="1" si="46"/>
        <v>#REF!</v>
      </c>
      <c r="I980" s="125" t="e">
        <f t="shared" ca="1" si="47"/>
        <v>#REF!</v>
      </c>
    </row>
    <row r="981" spans="1:9" hidden="1" x14ac:dyDescent="0.25">
      <c r="A981" s="103" t="s">
        <v>1062</v>
      </c>
      <c r="B981" s="104" t="s">
        <v>2825</v>
      </c>
      <c r="C981" s="105" t="s">
        <v>95</v>
      </c>
      <c r="D981" s="105">
        <v>0</v>
      </c>
      <c r="E981" s="124">
        <f ca="1">OFFSET(INDEX(Composições!A:J,MATCH(Orçamentária!A981,Composições!A:A,0),8),2,0)</f>
        <v>6.2233359999999998</v>
      </c>
      <c r="F981" s="125">
        <f t="shared" ca="1" si="45"/>
        <v>0</v>
      </c>
      <c r="G981" s="126" t="e">
        <f>IF(A981&lt;&gt;"",IF(AND(#REF!="Padrão",$H$4=#REF!),BDI!$B$17,IF(AND(#REF!="Padrão",$H$4=#REF!),BDI!#REF!,IF(AND(#REF!="Diferenciado",$H$4=#REF!),BDI!$E$17,IF(AND(#REF!="Diferenciado",$H$4=#REF!),BDI!#REF!,IF(#REF!="ZERO",0))))),"")</f>
        <v>#REF!</v>
      </c>
      <c r="H981" s="127" t="e">
        <f t="shared" ca="1" si="46"/>
        <v>#REF!</v>
      </c>
      <c r="I981" s="125" t="e">
        <f t="shared" ca="1" si="47"/>
        <v>#REF!</v>
      </c>
    </row>
    <row r="982" spans="1:9" hidden="1" x14ac:dyDescent="0.25">
      <c r="A982" s="103" t="s">
        <v>1063</v>
      </c>
      <c r="B982" s="104" t="s">
        <v>2826</v>
      </c>
      <c r="C982" s="105" t="s">
        <v>93</v>
      </c>
      <c r="D982" s="105">
        <v>0</v>
      </c>
      <c r="E982" s="124">
        <f ca="1">OFFSET(INDEX(Composições!A:J,MATCH(Orçamentária!A982,Composições!A:A,0),8),2,0)</f>
        <v>27.405016700000001</v>
      </c>
      <c r="F982" s="125">
        <f t="shared" ca="1" si="45"/>
        <v>0</v>
      </c>
      <c r="G982" s="126" t="e">
        <f>IF(A982&lt;&gt;"",IF(AND(#REF!="Padrão",$H$4=#REF!),BDI!$B$17,IF(AND(#REF!="Padrão",$H$4=#REF!),BDI!#REF!,IF(AND(#REF!="Diferenciado",$H$4=#REF!),BDI!$E$17,IF(AND(#REF!="Diferenciado",$H$4=#REF!),BDI!#REF!,IF(#REF!="ZERO",0))))),"")</f>
        <v>#REF!</v>
      </c>
      <c r="H982" s="127" t="e">
        <f t="shared" ca="1" si="46"/>
        <v>#REF!</v>
      </c>
      <c r="I982" s="125" t="e">
        <f t="shared" ca="1" si="47"/>
        <v>#REF!</v>
      </c>
    </row>
    <row r="983" spans="1:9" hidden="1" x14ac:dyDescent="0.25">
      <c r="A983" s="103" t="s">
        <v>1068</v>
      </c>
      <c r="B983" s="104" t="s">
        <v>2827</v>
      </c>
      <c r="C983" s="105" t="s">
        <v>93</v>
      </c>
      <c r="D983" s="105">
        <v>0</v>
      </c>
      <c r="E983" s="124">
        <f ca="1">OFFSET(INDEX(Composições!A:J,MATCH(Orçamentária!A983,Composições!A:A,0),8),2,0)</f>
        <v>17.895119600000001</v>
      </c>
      <c r="F983" s="125">
        <f t="shared" ca="1" si="45"/>
        <v>0</v>
      </c>
      <c r="G983" s="126" t="e">
        <f>IF(A983&lt;&gt;"",IF(AND(#REF!="Padrão",$H$4=#REF!),BDI!$B$17,IF(AND(#REF!="Padrão",$H$4=#REF!),BDI!#REF!,IF(AND(#REF!="Diferenciado",$H$4=#REF!),BDI!$E$17,IF(AND(#REF!="Diferenciado",$H$4=#REF!),BDI!#REF!,IF(#REF!="ZERO",0))))),"")</f>
        <v>#REF!</v>
      </c>
      <c r="H983" s="127" t="e">
        <f t="shared" ca="1" si="46"/>
        <v>#REF!</v>
      </c>
      <c r="I983" s="125" t="e">
        <f t="shared" ca="1" si="47"/>
        <v>#REF!</v>
      </c>
    </row>
    <row r="984" spans="1:9" hidden="1" x14ac:dyDescent="0.25">
      <c r="A984" s="103" t="s">
        <v>2828</v>
      </c>
      <c r="B984" s="104" t="s">
        <v>2829</v>
      </c>
      <c r="C984" s="105" t="s">
        <v>20</v>
      </c>
      <c r="D984" s="105">
        <v>0</v>
      </c>
      <c r="E984" s="124" t="s">
        <v>523</v>
      </c>
      <c r="F984" s="125" t="str">
        <f t="shared" si="45"/>
        <v/>
      </c>
      <c r="G984" s="126" t="e">
        <f>IF(A984&lt;&gt;"",IF(AND(#REF!="Padrão",$H$4=#REF!),BDI!$B$17,IF(AND(#REF!="Padrão",$H$4=#REF!),BDI!#REF!,IF(AND(#REF!="Diferenciado",$H$4=#REF!),BDI!$E$17,IF(AND(#REF!="Diferenciado",$H$4=#REF!),BDI!#REF!,IF(#REF!="ZERO",0))))),"")</f>
        <v>#REF!</v>
      </c>
      <c r="H984" s="127" t="str">
        <f t="shared" si="46"/>
        <v/>
      </c>
      <c r="I984" s="125" t="str">
        <f t="shared" si="47"/>
        <v/>
      </c>
    </row>
    <row r="985" spans="1:9" hidden="1" x14ac:dyDescent="0.25">
      <c r="A985" s="103" t="s">
        <v>1069</v>
      </c>
      <c r="B985" s="104" t="s">
        <v>2830</v>
      </c>
      <c r="C985" s="105" t="s">
        <v>20</v>
      </c>
      <c r="D985" s="105">
        <v>0</v>
      </c>
      <c r="E985" s="124">
        <f ca="1">OFFSET(INDEX(Composições!A:J,MATCH(Orçamentária!A985,Composições!A:A,0),8),2,0)</f>
        <v>80.722791049999998</v>
      </c>
      <c r="F985" s="125">
        <f t="shared" ca="1" si="45"/>
        <v>0</v>
      </c>
      <c r="G985" s="126" t="e">
        <f>IF(A985&lt;&gt;"",IF(AND(#REF!="Padrão",$H$4=#REF!),BDI!$B$17,IF(AND(#REF!="Padrão",$H$4=#REF!),BDI!#REF!,IF(AND(#REF!="Diferenciado",$H$4=#REF!),BDI!$E$17,IF(AND(#REF!="Diferenciado",$H$4=#REF!),BDI!#REF!,IF(#REF!="ZERO",0))))),"")</f>
        <v>#REF!</v>
      </c>
      <c r="H985" s="127" t="e">
        <f t="shared" ca="1" si="46"/>
        <v>#REF!</v>
      </c>
      <c r="I985" s="125" t="e">
        <f t="shared" ca="1" si="47"/>
        <v>#REF!</v>
      </c>
    </row>
    <row r="986" spans="1:9" hidden="1" x14ac:dyDescent="0.25">
      <c r="A986" s="103" t="s">
        <v>1072</v>
      </c>
      <c r="B986" s="104" t="s">
        <v>6312</v>
      </c>
      <c r="C986" s="105" t="s">
        <v>2831</v>
      </c>
      <c r="D986" s="105">
        <v>0</v>
      </c>
      <c r="E986" s="124">
        <f ca="1">OFFSET(INDEX(Composições!A:J,MATCH(Orçamentária!A986,Composições!A:A,0),8),2,0)</f>
        <v>738.63667878960302</v>
      </c>
      <c r="F986" s="125">
        <f t="shared" ca="1" si="45"/>
        <v>0</v>
      </c>
      <c r="G986" s="126" t="e">
        <f>IF(A986&lt;&gt;"",IF(AND(#REF!="Padrão",$H$4=#REF!),BDI!$B$17,IF(AND(#REF!="Padrão",$H$4=#REF!),BDI!#REF!,IF(AND(#REF!="Diferenciado",$H$4=#REF!),BDI!$E$17,IF(AND(#REF!="Diferenciado",$H$4=#REF!),BDI!#REF!,IF(#REF!="ZERO",0))))),"")</f>
        <v>#REF!</v>
      </c>
      <c r="H986" s="127" t="e">
        <f t="shared" ca="1" si="46"/>
        <v>#REF!</v>
      </c>
      <c r="I986" s="125" t="e">
        <f t="shared" ca="1" si="47"/>
        <v>#REF!</v>
      </c>
    </row>
    <row r="987" spans="1:9" hidden="1" x14ac:dyDescent="0.25">
      <c r="A987" s="103" t="s">
        <v>1074</v>
      </c>
      <c r="B987" s="104" t="s">
        <v>2832</v>
      </c>
      <c r="C987" s="105" t="s">
        <v>95</v>
      </c>
      <c r="D987" s="105">
        <v>0</v>
      </c>
      <c r="E987" s="124">
        <f ca="1">OFFSET(INDEX(Composições!A:J,MATCH(Orçamentária!A987,Composições!A:A,0),8),2,0)</f>
        <v>120.00734399999999</v>
      </c>
      <c r="F987" s="125">
        <f t="shared" ca="1" si="45"/>
        <v>0</v>
      </c>
      <c r="G987" s="126" t="e">
        <f>IF(A987&lt;&gt;"",IF(AND(#REF!="Padrão",$H$4=#REF!),BDI!$B$17,IF(AND(#REF!="Padrão",$H$4=#REF!),BDI!#REF!,IF(AND(#REF!="Diferenciado",$H$4=#REF!),BDI!$E$17,IF(AND(#REF!="Diferenciado",$H$4=#REF!),BDI!#REF!,IF(#REF!="ZERO",0))))),"")</f>
        <v>#REF!</v>
      </c>
      <c r="H987" s="127" t="e">
        <f t="shared" ca="1" si="46"/>
        <v>#REF!</v>
      </c>
      <c r="I987" s="125" t="e">
        <f t="shared" ca="1" si="47"/>
        <v>#REF!</v>
      </c>
    </row>
    <row r="988" spans="1:9" hidden="1" x14ac:dyDescent="0.25">
      <c r="A988" s="103" t="s">
        <v>1078</v>
      </c>
      <c r="B988" s="104" t="s">
        <v>2833</v>
      </c>
      <c r="C988" s="105" t="s">
        <v>20</v>
      </c>
      <c r="D988" s="105">
        <v>0</v>
      </c>
      <c r="E988" s="124">
        <f ca="1">OFFSET(INDEX(Composições!A:J,MATCH(Orçamentária!A988,Composições!A:A,0),8),2,0)</f>
        <v>170.886</v>
      </c>
      <c r="F988" s="125">
        <f t="shared" ca="1" si="45"/>
        <v>0</v>
      </c>
      <c r="G988" s="126" t="e">
        <f>IF(A988&lt;&gt;"",IF(AND(#REF!="Padrão",$H$4=#REF!),BDI!$B$17,IF(AND(#REF!="Padrão",$H$4=#REF!),BDI!#REF!,IF(AND(#REF!="Diferenciado",$H$4=#REF!),BDI!$E$17,IF(AND(#REF!="Diferenciado",$H$4=#REF!),BDI!#REF!,IF(#REF!="ZERO",0))))),"")</f>
        <v>#REF!</v>
      </c>
      <c r="H988" s="127" t="e">
        <f t="shared" ca="1" si="46"/>
        <v>#REF!</v>
      </c>
      <c r="I988" s="125" t="e">
        <f t="shared" ca="1" si="47"/>
        <v>#REF!</v>
      </c>
    </row>
    <row r="989" spans="1:9" hidden="1" x14ac:dyDescent="0.25">
      <c r="A989" s="103" t="s">
        <v>1079</v>
      </c>
      <c r="B989" s="104" t="s">
        <v>2834</v>
      </c>
      <c r="C989" s="105" t="s">
        <v>2835</v>
      </c>
      <c r="D989" s="105">
        <v>0</v>
      </c>
      <c r="E989" s="124">
        <f ca="1">OFFSET(INDEX(Composições!A:J,MATCH(Orçamentária!A989,Composições!A:A,0),8),2,0)</f>
        <v>2.6172091499999999</v>
      </c>
      <c r="F989" s="125">
        <f t="shared" ca="1" si="45"/>
        <v>0</v>
      </c>
      <c r="G989" s="126" t="e">
        <f>IF(A989&lt;&gt;"",IF(AND(#REF!="Padrão",$H$4=#REF!),BDI!$B$17,IF(AND(#REF!="Padrão",$H$4=#REF!),BDI!#REF!,IF(AND(#REF!="Diferenciado",$H$4=#REF!),BDI!$E$17,IF(AND(#REF!="Diferenciado",$H$4=#REF!),BDI!#REF!,IF(#REF!="ZERO",0))))),"")</f>
        <v>#REF!</v>
      </c>
      <c r="H989" s="127" t="e">
        <f t="shared" ca="1" si="46"/>
        <v>#REF!</v>
      </c>
      <c r="I989" s="125" t="e">
        <f t="shared" ca="1" si="47"/>
        <v>#REF!</v>
      </c>
    </row>
    <row r="990" spans="1:9" hidden="1" x14ac:dyDescent="0.25">
      <c r="A990" s="103" t="s">
        <v>2836</v>
      </c>
      <c r="B990" s="104" t="s">
        <v>2837</v>
      </c>
      <c r="C990" s="105" t="s">
        <v>2670</v>
      </c>
      <c r="D990" s="105">
        <v>0</v>
      </c>
      <c r="E990" s="124" t="s">
        <v>523</v>
      </c>
      <c r="F990" s="125" t="str">
        <f t="shared" si="45"/>
        <v/>
      </c>
      <c r="G990" s="126" t="e">
        <f>IF(A990&lt;&gt;"",IF(AND(#REF!="Padrão",$H$4=#REF!),BDI!$B$17,IF(AND(#REF!="Padrão",$H$4=#REF!),BDI!#REF!,IF(AND(#REF!="Diferenciado",$H$4=#REF!),BDI!$E$17,IF(AND(#REF!="Diferenciado",$H$4=#REF!),BDI!#REF!,IF(#REF!="ZERO",0))))),"")</f>
        <v>#REF!</v>
      </c>
      <c r="H990" s="127" t="str">
        <f t="shared" si="46"/>
        <v/>
      </c>
      <c r="I990" s="125" t="str">
        <f t="shared" si="47"/>
        <v/>
      </c>
    </row>
    <row r="991" spans="1:9" hidden="1" x14ac:dyDescent="0.25">
      <c r="A991" s="103" t="s">
        <v>1082</v>
      </c>
      <c r="B991" s="104" t="s">
        <v>2838</v>
      </c>
      <c r="C991" s="105" t="s">
        <v>2839</v>
      </c>
      <c r="D991" s="105">
        <v>0</v>
      </c>
      <c r="E991" s="124">
        <f ca="1">OFFSET(INDEX(Composições!A:J,MATCH(Orçamentária!A991,Composições!A:A,0),8),2,0)</f>
        <v>3.4213394999999998</v>
      </c>
      <c r="F991" s="125">
        <f t="shared" ca="1" si="45"/>
        <v>0</v>
      </c>
      <c r="G991" s="126" t="e">
        <f>IF(A991&lt;&gt;"",IF(AND(#REF!="Padrão",$H$4=#REF!),BDI!$B$17,IF(AND(#REF!="Padrão",$H$4=#REF!),BDI!#REF!,IF(AND(#REF!="Diferenciado",$H$4=#REF!),BDI!$E$17,IF(AND(#REF!="Diferenciado",$H$4=#REF!),BDI!#REF!,IF(#REF!="ZERO",0))))),"")</f>
        <v>#REF!</v>
      </c>
      <c r="H991" s="127" t="e">
        <f t="shared" ca="1" si="46"/>
        <v>#REF!</v>
      </c>
      <c r="I991" s="125" t="e">
        <f t="shared" ca="1" si="47"/>
        <v>#REF!</v>
      </c>
    </row>
    <row r="992" spans="1:9" hidden="1" x14ac:dyDescent="0.25">
      <c r="A992" s="103" t="s">
        <v>1085</v>
      </c>
      <c r="B992" s="104" t="s">
        <v>2840</v>
      </c>
      <c r="C992" s="105" t="s">
        <v>2831</v>
      </c>
      <c r="D992" s="105">
        <v>0</v>
      </c>
      <c r="E992" s="124">
        <f ca="1">OFFSET(INDEX(Composições!A:J,MATCH(Orçamentária!A992,Composições!A:A,0),8),2,0)</f>
        <v>79.208150000000003</v>
      </c>
      <c r="F992" s="125">
        <f t="shared" ca="1" si="45"/>
        <v>0</v>
      </c>
      <c r="G992" s="126" t="e">
        <f>IF(A992&lt;&gt;"",IF(AND(#REF!="Padrão",$H$4=#REF!),BDI!$B$17,IF(AND(#REF!="Padrão",$H$4=#REF!),BDI!#REF!,IF(AND(#REF!="Diferenciado",$H$4=#REF!),BDI!$E$17,IF(AND(#REF!="Diferenciado",$H$4=#REF!),BDI!#REF!,IF(#REF!="ZERO",0))))),"")</f>
        <v>#REF!</v>
      </c>
      <c r="H992" s="127" t="e">
        <f t="shared" ca="1" si="46"/>
        <v>#REF!</v>
      </c>
      <c r="I992" s="125" t="e">
        <f t="shared" ca="1" si="47"/>
        <v>#REF!</v>
      </c>
    </row>
    <row r="993" spans="1:9" hidden="1" x14ac:dyDescent="0.25">
      <c r="A993" s="103" t="s">
        <v>1086</v>
      </c>
      <c r="B993" s="104" t="s">
        <v>2841</v>
      </c>
      <c r="C993" s="105" t="s">
        <v>2831</v>
      </c>
      <c r="D993" s="105">
        <v>0</v>
      </c>
      <c r="E993" s="124">
        <f ca="1">OFFSET(INDEX(Composições!A:J,MATCH(Orçamentária!A993,Composições!A:A,0),8),2,0)</f>
        <v>5.8922106499999991</v>
      </c>
      <c r="F993" s="125">
        <f t="shared" ca="1" si="45"/>
        <v>0</v>
      </c>
      <c r="G993" s="126" t="e">
        <f>IF(A993&lt;&gt;"",IF(AND(#REF!="Padrão",$H$4=#REF!),BDI!$B$17,IF(AND(#REF!="Padrão",$H$4=#REF!),BDI!#REF!,IF(AND(#REF!="Diferenciado",$H$4=#REF!),BDI!$E$17,IF(AND(#REF!="Diferenciado",$H$4=#REF!),BDI!#REF!,IF(#REF!="ZERO",0))))),"")</f>
        <v>#REF!</v>
      </c>
      <c r="H993" s="127" t="e">
        <f t="shared" ca="1" si="46"/>
        <v>#REF!</v>
      </c>
      <c r="I993" s="125" t="e">
        <f t="shared" ca="1" si="47"/>
        <v>#REF!</v>
      </c>
    </row>
    <row r="994" spans="1:9" hidden="1" x14ac:dyDescent="0.25">
      <c r="A994" s="103" t="s">
        <v>1087</v>
      </c>
      <c r="B994" s="104" t="s">
        <v>2842</v>
      </c>
      <c r="C994" s="105" t="s">
        <v>95</v>
      </c>
      <c r="D994" s="105">
        <v>0</v>
      </c>
      <c r="E994" s="124">
        <f ca="1">OFFSET(INDEX(Composições!A:J,MATCH(Orçamentária!A994,Composições!A:A,0),8),2,0)</f>
        <v>51.066476873774</v>
      </c>
      <c r="F994" s="125">
        <f t="shared" ca="1" si="45"/>
        <v>0</v>
      </c>
      <c r="G994" s="126" t="e">
        <f>IF(A994&lt;&gt;"",IF(AND(#REF!="Padrão",$H$4=#REF!),BDI!$B$17,IF(AND(#REF!="Padrão",$H$4=#REF!),BDI!#REF!,IF(AND(#REF!="Diferenciado",$H$4=#REF!),BDI!$E$17,IF(AND(#REF!="Diferenciado",$H$4=#REF!),BDI!#REF!,IF(#REF!="ZERO",0))))),"")</f>
        <v>#REF!</v>
      </c>
      <c r="H994" s="127" t="e">
        <f t="shared" ca="1" si="46"/>
        <v>#REF!</v>
      </c>
      <c r="I994" s="125" t="e">
        <f t="shared" ca="1" si="47"/>
        <v>#REF!</v>
      </c>
    </row>
    <row r="995" spans="1:9" hidden="1" x14ac:dyDescent="0.25">
      <c r="A995" s="103" t="s">
        <v>1096</v>
      </c>
      <c r="B995" s="104" t="s">
        <v>2843</v>
      </c>
      <c r="C995" s="105" t="s">
        <v>93</v>
      </c>
      <c r="D995" s="105">
        <v>0</v>
      </c>
      <c r="E995" s="124">
        <f ca="1">OFFSET(INDEX(Composições!A:J,MATCH(Orçamentária!A995,Composições!A:A,0),8),2,0)</f>
        <v>5.1867378000000004</v>
      </c>
      <c r="F995" s="125">
        <f t="shared" ca="1" si="45"/>
        <v>0</v>
      </c>
      <c r="G995" s="126" t="e">
        <f>IF(A995&lt;&gt;"",IF(AND(#REF!="Padrão",$H$4=#REF!),BDI!$B$17,IF(AND(#REF!="Padrão",$H$4=#REF!),BDI!#REF!,IF(AND(#REF!="Diferenciado",$H$4=#REF!),BDI!$E$17,IF(AND(#REF!="Diferenciado",$H$4=#REF!),BDI!#REF!,IF(#REF!="ZERO",0))))),"")</f>
        <v>#REF!</v>
      </c>
      <c r="H995" s="127" t="e">
        <f t="shared" ca="1" si="46"/>
        <v>#REF!</v>
      </c>
      <c r="I995" s="125" t="e">
        <f t="shared" ca="1" si="47"/>
        <v>#REF!</v>
      </c>
    </row>
    <row r="996" spans="1:9" hidden="1" x14ac:dyDescent="0.25">
      <c r="A996" s="103" t="s">
        <v>1100</v>
      </c>
      <c r="B996" s="104" t="s">
        <v>2844</v>
      </c>
      <c r="C996" s="105" t="s">
        <v>93</v>
      </c>
      <c r="D996" s="105">
        <v>0</v>
      </c>
      <c r="E996" s="124">
        <f ca="1">OFFSET(INDEX(Composições!A:J,MATCH(Orçamentária!A996,Composições!A:A,0),8),2,0)</f>
        <v>51.784996487290002</v>
      </c>
      <c r="F996" s="125">
        <f t="shared" ca="1" si="45"/>
        <v>0</v>
      </c>
      <c r="G996" s="126" t="e">
        <f>IF(A996&lt;&gt;"",IF(AND(#REF!="Padrão",$H$4=#REF!),BDI!$B$17,IF(AND(#REF!="Padrão",$H$4=#REF!),BDI!#REF!,IF(AND(#REF!="Diferenciado",$H$4=#REF!),BDI!$E$17,IF(AND(#REF!="Diferenciado",$H$4=#REF!),BDI!#REF!,IF(#REF!="ZERO",0))))),"")</f>
        <v>#REF!</v>
      </c>
      <c r="H996" s="127" t="e">
        <f t="shared" ca="1" si="46"/>
        <v>#REF!</v>
      </c>
      <c r="I996" s="125" t="e">
        <f t="shared" ca="1" si="47"/>
        <v>#REF!</v>
      </c>
    </row>
    <row r="997" spans="1:9" hidden="1" x14ac:dyDescent="0.25">
      <c r="A997" s="103" t="s">
        <v>1102</v>
      </c>
      <c r="B997" s="104" t="s">
        <v>2845</v>
      </c>
      <c r="C997" s="105" t="s">
        <v>93</v>
      </c>
      <c r="D997" s="105">
        <v>0</v>
      </c>
      <c r="E997" s="124">
        <f ca="1">OFFSET(INDEX(Composições!A:J,MATCH(Orçamentária!A997,Composições!A:A,0),8),2,0)</f>
        <v>137.86905494999999</v>
      </c>
      <c r="F997" s="125">
        <f t="shared" ca="1" si="45"/>
        <v>0</v>
      </c>
      <c r="G997" s="126" t="e">
        <f>IF(A997&lt;&gt;"",IF(AND(#REF!="Padrão",$H$4=#REF!),BDI!$B$17,IF(AND(#REF!="Padrão",$H$4=#REF!),BDI!#REF!,IF(AND(#REF!="Diferenciado",$H$4=#REF!),BDI!$E$17,IF(AND(#REF!="Diferenciado",$H$4=#REF!),BDI!#REF!,IF(#REF!="ZERO",0))))),"")</f>
        <v>#REF!</v>
      </c>
      <c r="H997" s="127" t="e">
        <f t="shared" ca="1" si="46"/>
        <v>#REF!</v>
      </c>
      <c r="I997" s="125" t="e">
        <f t="shared" ca="1" si="47"/>
        <v>#REF!</v>
      </c>
    </row>
    <row r="998" spans="1:9" hidden="1" x14ac:dyDescent="0.25">
      <c r="A998" s="103" t="s">
        <v>2846</v>
      </c>
      <c r="B998" s="104" t="s">
        <v>2847</v>
      </c>
      <c r="C998" s="105" t="s">
        <v>95</v>
      </c>
      <c r="D998" s="105">
        <v>0</v>
      </c>
      <c r="E998" s="124" t="s">
        <v>523</v>
      </c>
      <c r="F998" s="125" t="str">
        <f t="shared" si="45"/>
        <v/>
      </c>
      <c r="G998" s="126" t="e">
        <f>IF(A998&lt;&gt;"",IF(AND(#REF!="Padrão",$H$4=#REF!),BDI!$B$17,IF(AND(#REF!="Padrão",$H$4=#REF!),BDI!#REF!,IF(AND(#REF!="Diferenciado",$H$4=#REF!),BDI!$E$17,IF(AND(#REF!="Diferenciado",$H$4=#REF!),BDI!#REF!,IF(#REF!="ZERO",0))))),"")</f>
        <v>#REF!</v>
      </c>
      <c r="H998" s="127" t="str">
        <f t="shared" si="46"/>
        <v/>
      </c>
      <c r="I998" s="125" t="str">
        <f t="shared" si="47"/>
        <v/>
      </c>
    </row>
    <row r="999" spans="1:9" hidden="1" x14ac:dyDescent="0.25">
      <c r="A999" s="103" t="s">
        <v>1108</v>
      </c>
      <c r="B999" s="104" t="s">
        <v>2848</v>
      </c>
      <c r="C999" s="105" t="s">
        <v>20</v>
      </c>
      <c r="D999" s="105">
        <v>0</v>
      </c>
      <c r="E999" s="124">
        <f ca="1">OFFSET(INDEX(Composições!A:J,MATCH(Orçamentária!A999,Composições!A:A,0),8),2,0)</f>
        <v>8.9356898121559212</v>
      </c>
      <c r="F999" s="125">
        <f t="shared" ca="1" si="45"/>
        <v>0</v>
      </c>
      <c r="G999" s="126" t="e">
        <f>IF(A999&lt;&gt;"",IF(AND(#REF!="Padrão",$H$4=#REF!),BDI!$B$17,IF(AND(#REF!="Padrão",$H$4=#REF!),BDI!#REF!,IF(AND(#REF!="Diferenciado",$H$4=#REF!),BDI!$E$17,IF(AND(#REF!="Diferenciado",$H$4=#REF!),BDI!#REF!,IF(#REF!="ZERO",0))))),"")</f>
        <v>#REF!</v>
      </c>
      <c r="H999" s="127" t="e">
        <f t="shared" ca="1" si="46"/>
        <v>#REF!</v>
      </c>
      <c r="I999" s="125" t="e">
        <f t="shared" ca="1" si="47"/>
        <v>#REF!</v>
      </c>
    </row>
    <row r="1000" spans="1:9" hidden="1" x14ac:dyDescent="0.25">
      <c r="A1000" s="103" t="s">
        <v>2849</v>
      </c>
      <c r="B1000" s="104" t="s">
        <v>2850</v>
      </c>
      <c r="C1000" s="105" t="s">
        <v>20</v>
      </c>
      <c r="D1000" s="105">
        <v>0</v>
      </c>
      <c r="E1000" s="124" t="s">
        <v>523</v>
      </c>
      <c r="F1000" s="125" t="str">
        <f t="shared" si="45"/>
        <v/>
      </c>
      <c r="G1000" s="126" t="e">
        <f>IF(A1000&lt;&gt;"",IF(AND(#REF!="Padrão",$H$4=#REF!),BDI!$B$17,IF(AND(#REF!="Padrão",$H$4=#REF!),BDI!#REF!,IF(AND(#REF!="Diferenciado",$H$4=#REF!),BDI!$E$17,IF(AND(#REF!="Diferenciado",$H$4=#REF!),BDI!#REF!,IF(#REF!="ZERO",0))))),"")</f>
        <v>#REF!</v>
      </c>
      <c r="H1000" s="127" t="str">
        <f t="shared" si="46"/>
        <v/>
      </c>
      <c r="I1000" s="125" t="str">
        <f t="shared" si="47"/>
        <v/>
      </c>
    </row>
    <row r="1001" spans="1:9" hidden="1" x14ac:dyDescent="0.25">
      <c r="A1001" s="103" t="s">
        <v>2851</v>
      </c>
      <c r="B1001" s="104" t="s">
        <v>2852</v>
      </c>
      <c r="C1001" s="105" t="s">
        <v>20</v>
      </c>
      <c r="D1001" s="105">
        <v>0</v>
      </c>
      <c r="E1001" s="124" t="s">
        <v>523</v>
      </c>
      <c r="F1001" s="125" t="str">
        <f t="shared" si="45"/>
        <v/>
      </c>
      <c r="G1001" s="126" t="e">
        <f>IF(A1001&lt;&gt;"",IF(AND(#REF!="Padrão",$H$4=#REF!),BDI!$B$17,IF(AND(#REF!="Padrão",$H$4=#REF!),BDI!#REF!,IF(AND(#REF!="Diferenciado",$H$4=#REF!),BDI!$E$17,IF(AND(#REF!="Diferenciado",$H$4=#REF!),BDI!#REF!,IF(#REF!="ZERO",0))))),"")</f>
        <v>#REF!</v>
      </c>
      <c r="H1001" s="127" t="str">
        <f t="shared" si="46"/>
        <v/>
      </c>
      <c r="I1001" s="125" t="str">
        <f t="shared" si="47"/>
        <v/>
      </c>
    </row>
    <row r="1002" spans="1:9" hidden="1" x14ac:dyDescent="0.25">
      <c r="A1002" s="103" t="s">
        <v>2853</v>
      </c>
      <c r="B1002" s="104" t="s">
        <v>2854</v>
      </c>
      <c r="C1002" s="105" t="s">
        <v>20</v>
      </c>
      <c r="D1002" s="105">
        <v>0</v>
      </c>
      <c r="E1002" s="124" t="s">
        <v>523</v>
      </c>
      <c r="F1002" s="125" t="str">
        <f t="shared" si="45"/>
        <v/>
      </c>
      <c r="G1002" s="126" t="e">
        <f>IF(A1002&lt;&gt;"",IF(AND(#REF!="Padrão",$H$4=#REF!),BDI!$B$17,IF(AND(#REF!="Padrão",$H$4=#REF!),BDI!#REF!,IF(AND(#REF!="Diferenciado",$H$4=#REF!),BDI!$E$17,IF(AND(#REF!="Diferenciado",$H$4=#REF!),BDI!#REF!,IF(#REF!="ZERO",0))))),"")</f>
        <v>#REF!</v>
      </c>
      <c r="H1002" s="127" t="str">
        <f t="shared" si="46"/>
        <v/>
      </c>
      <c r="I1002" s="125" t="str">
        <f t="shared" si="47"/>
        <v/>
      </c>
    </row>
    <row r="1003" spans="1:9" hidden="1" x14ac:dyDescent="0.25">
      <c r="A1003" s="103" t="s">
        <v>2855</v>
      </c>
      <c r="B1003" s="104" t="s">
        <v>2856</v>
      </c>
      <c r="C1003" s="105" t="s">
        <v>2857</v>
      </c>
      <c r="D1003" s="105">
        <v>0</v>
      </c>
      <c r="E1003" s="124" t="s">
        <v>523</v>
      </c>
      <c r="F1003" s="125" t="str">
        <f t="shared" si="45"/>
        <v/>
      </c>
      <c r="G1003" s="126" t="e">
        <f>IF(A1003&lt;&gt;"",IF(AND(#REF!="Padrão",$H$4=#REF!),BDI!$B$17,IF(AND(#REF!="Padrão",$H$4=#REF!),BDI!#REF!,IF(AND(#REF!="Diferenciado",$H$4=#REF!),BDI!$E$17,IF(AND(#REF!="Diferenciado",$H$4=#REF!),BDI!#REF!,IF(#REF!="ZERO",0))))),"")</f>
        <v>#REF!</v>
      </c>
      <c r="H1003" s="127" t="str">
        <f t="shared" si="46"/>
        <v/>
      </c>
      <c r="I1003" s="125" t="str">
        <f t="shared" si="47"/>
        <v/>
      </c>
    </row>
    <row r="1004" spans="1:9" hidden="1" x14ac:dyDescent="0.25">
      <c r="A1004" s="103" t="s">
        <v>2858</v>
      </c>
      <c r="B1004" s="104" t="s">
        <v>2859</v>
      </c>
      <c r="C1004" s="105" t="s">
        <v>20</v>
      </c>
      <c r="D1004" s="105">
        <v>0</v>
      </c>
      <c r="E1004" s="124" t="s">
        <v>523</v>
      </c>
      <c r="F1004" s="125" t="str">
        <f t="shared" si="45"/>
        <v/>
      </c>
      <c r="G1004" s="126" t="e">
        <f>IF(A1004&lt;&gt;"",IF(AND(#REF!="Padrão",$H$4=#REF!),BDI!$B$17,IF(AND(#REF!="Padrão",$H$4=#REF!),BDI!#REF!,IF(AND(#REF!="Diferenciado",$H$4=#REF!),BDI!$E$17,IF(AND(#REF!="Diferenciado",$H$4=#REF!),BDI!#REF!,IF(#REF!="ZERO",0))))),"")</f>
        <v>#REF!</v>
      </c>
      <c r="H1004" s="127" t="str">
        <f t="shared" si="46"/>
        <v/>
      </c>
      <c r="I1004" s="125" t="str">
        <f t="shared" si="47"/>
        <v/>
      </c>
    </row>
    <row r="1005" spans="1:9" hidden="1" x14ac:dyDescent="0.25">
      <c r="A1005" s="103" t="s">
        <v>2860</v>
      </c>
      <c r="B1005" s="104" t="s">
        <v>2861</v>
      </c>
      <c r="C1005" s="105" t="s">
        <v>93</v>
      </c>
      <c r="D1005" s="105">
        <v>0</v>
      </c>
      <c r="E1005" s="124" t="s">
        <v>523</v>
      </c>
      <c r="F1005" s="125" t="str">
        <f t="shared" si="45"/>
        <v/>
      </c>
      <c r="G1005" s="126" t="e">
        <f>IF(A1005&lt;&gt;"",IF(AND(#REF!="Padrão",$H$4=#REF!),BDI!$B$17,IF(AND(#REF!="Padrão",$H$4=#REF!),BDI!#REF!,IF(AND(#REF!="Diferenciado",$H$4=#REF!),BDI!$E$17,IF(AND(#REF!="Diferenciado",$H$4=#REF!),BDI!#REF!,IF(#REF!="ZERO",0))))),"")</f>
        <v>#REF!</v>
      </c>
      <c r="H1005" s="127" t="str">
        <f t="shared" si="46"/>
        <v/>
      </c>
      <c r="I1005" s="125" t="str">
        <f t="shared" si="47"/>
        <v/>
      </c>
    </row>
    <row r="1006" spans="1:9" hidden="1" x14ac:dyDescent="0.25">
      <c r="A1006" s="103" t="s">
        <v>1110</v>
      </c>
      <c r="B1006" s="104" t="s">
        <v>2862</v>
      </c>
      <c r="C1006" s="105" t="s">
        <v>2863</v>
      </c>
      <c r="D1006" s="105">
        <v>0</v>
      </c>
      <c r="E1006" s="124">
        <f ca="1">OFFSET(INDEX(Composições!A:J,MATCH(Orçamentária!A1006,Composições!A:A,0),8),2,0)</f>
        <v>1140</v>
      </c>
      <c r="F1006" s="125">
        <f t="shared" ca="1" si="45"/>
        <v>0</v>
      </c>
      <c r="G1006" s="126" t="e">
        <f>IF(A1006&lt;&gt;"",IF(AND(#REF!="Padrão",$H$4=#REF!),BDI!$B$17,IF(AND(#REF!="Padrão",$H$4=#REF!),BDI!#REF!,IF(AND(#REF!="Diferenciado",$H$4=#REF!),BDI!$E$17,IF(AND(#REF!="Diferenciado",$H$4=#REF!),BDI!#REF!,IF(#REF!="ZERO",0))))),"")</f>
        <v>#REF!</v>
      </c>
      <c r="H1006" s="127" t="e">
        <f t="shared" ca="1" si="46"/>
        <v>#REF!</v>
      </c>
      <c r="I1006" s="125" t="e">
        <f t="shared" ca="1" si="47"/>
        <v>#REF!</v>
      </c>
    </row>
    <row r="1007" spans="1:9" hidden="1" x14ac:dyDescent="0.25">
      <c r="A1007" s="103" t="s">
        <v>2864</v>
      </c>
      <c r="B1007" s="104" t="s">
        <v>2865</v>
      </c>
      <c r="C1007" s="105" t="s">
        <v>93</v>
      </c>
      <c r="D1007" s="105">
        <v>0</v>
      </c>
      <c r="E1007" s="124" t="s">
        <v>523</v>
      </c>
      <c r="F1007" s="125" t="str">
        <f t="shared" si="45"/>
        <v/>
      </c>
      <c r="G1007" s="126" t="e">
        <f>IF(A1007&lt;&gt;"",IF(AND(#REF!="Padrão",$H$4=#REF!),BDI!$B$17,IF(AND(#REF!="Padrão",$H$4=#REF!),BDI!#REF!,IF(AND(#REF!="Diferenciado",$H$4=#REF!),BDI!$E$17,IF(AND(#REF!="Diferenciado",$H$4=#REF!),BDI!#REF!,IF(#REF!="ZERO",0))))),"")</f>
        <v>#REF!</v>
      </c>
      <c r="H1007" s="127" t="str">
        <f t="shared" si="46"/>
        <v/>
      </c>
      <c r="I1007" s="125" t="str">
        <f t="shared" si="47"/>
        <v/>
      </c>
    </row>
    <row r="1008" spans="1:9" hidden="1" x14ac:dyDescent="0.25">
      <c r="A1008" s="103" t="s">
        <v>2866</v>
      </c>
      <c r="B1008" s="104" t="s">
        <v>3755</v>
      </c>
      <c r="C1008" s="105" t="s">
        <v>95</v>
      </c>
      <c r="D1008" s="105">
        <v>0</v>
      </c>
      <c r="E1008" s="124" t="s">
        <v>523</v>
      </c>
      <c r="F1008" s="125" t="str">
        <f t="shared" si="45"/>
        <v/>
      </c>
      <c r="G1008" s="126" t="e">
        <f>IF(A1008&lt;&gt;"",IF(AND(#REF!="Padrão",$H$4=#REF!),BDI!$B$17,IF(AND(#REF!="Padrão",$H$4=#REF!),BDI!#REF!,IF(AND(#REF!="Diferenciado",$H$4=#REF!),BDI!$E$17,IF(AND(#REF!="Diferenciado",$H$4=#REF!),BDI!#REF!,IF(#REF!="ZERO",0))))),"")</f>
        <v>#REF!</v>
      </c>
      <c r="H1008" s="127" t="str">
        <f t="shared" si="46"/>
        <v/>
      </c>
      <c r="I1008" s="125" t="str">
        <f t="shared" si="47"/>
        <v/>
      </c>
    </row>
    <row r="1009" spans="1:9" hidden="1" x14ac:dyDescent="0.25">
      <c r="A1009" s="103" t="s">
        <v>2867</v>
      </c>
      <c r="B1009" s="104" t="s">
        <v>2868</v>
      </c>
      <c r="C1009" s="105" t="s">
        <v>95</v>
      </c>
      <c r="D1009" s="105">
        <v>0</v>
      </c>
      <c r="E1009" s="124" t="s">
        <v>523</v>
      </c>
      <c r="F1009" s="125" t="str">
        <f t="shared" si="45"/>
        <v/>
      </c>
      <c r="G1009" s="126" t="e">
        <f>IF(A1009&lt;&gt;"",IF(AND(#REF!="Padrão",$H$4=#REF!),BDI!$B$17,IF(AND(#REF!="Padrão",$H$4=#REF!),BDI!#REF!,IF(AND(#REF!="Diferenciado",$H$4=#REF!),BDI!$E$17,IF(AND(#REF!="Diferenciado",$H$4=#REF!),BDI!#REF!,IF(#REF!="ZERO",0))))),"")</f>
        <v>#REF!</v>
      </c>
      <c r="H1009" s="127" t="str">
        <f t="shared" si="46"/>
        <v/>
      </c>
      <c r="I1009" s="125" t="str">
        <f t="shared" si="47"/>
        <v/>
      </c>
    </row>
    <row r="1010" spans="1:9" hidden="1" x14ac:dyDescent="0.25">
      <c r="A1010" s="103" t="s">
        <v>2869</v>
      </c>
      <c r="B1010" s="104" t="s">
        <v>3756</v>
      </c>
      <c r="C1010" s="105" t="s">
        <v>95</v>
      </c>
      <c r="D1010" s="105">
        <v>0</v>
      </c>
      <c r="E1010" s="124" t="s">
        <v>523</v>
      </c>
      <c r="F1010" s="125" t="str">
        <f t="shared" si="45"/>
        <v/>
      </c>
      <c r="G1010" s="126" t="e">
        <f>IF(A1010&lt;&gt;"",IF(AND(#REF!="Padrão",$H$4=#REF!),BDI!$B$17,IF(AND(#REF!="Padrão",$H$4=#REF!),BDI!#REF!,IF(AND(#REF!="Diferenciado",$H$4=#REF!),BDI!$E$17,IF(AND(#REF!="Diferenciado",$H$4=#REF!),BDI!#REF!,IF(#REF!="ZERO",0))))),"")</f>
        <v>#REF!</v>
      </c>
      <c r="H1010" s="127" t="str">
        <f t="shared" si="46"/>
        <v/>
      </c>
      <c r="I1010" s="125" t="str">
        <f t="shared" si="47"/>
        <v/>
      </c>
    </row>
    <row r="1011" spans="1:9" hidden="1" x14ac:dyDescent="0.25">
      <c r="A1011" s="103" t="s">
        <v>2870</v>
      </c>
      <c r="B1011" s="104" t="s">
        <v>2871</v>
      </c>
      <c r="C1011" s="105" t="s">
        <v>95</v>
      </c>
      <c r="D1011" s="105">
        <v>0</v>
      </c>
      <c r="E1011" s="124" t="s">
        <v>523</v>
      </c>
      <c r="F1011" s="125" t="str">
        <f t="shared" si="45"/>
        <v/>
      </c>
      <c r="G1011" s="126" t="e">
        <f>IF(A1011&lt;&gt;"",IF(AND(#REF!="Padrão",$H$4=#REF!),BDI!$B$17,IF(AND(#REF!="Padrão",$H$4=#REF!),BDI!#REF!,IF(AND(#REF!="Diferenciado",$H$4=#REF!),BDI!$E$17,IF(AND(#REF!="Diferenciado",$H$4=#REF!),BDI!#REF!,IF(#REF!="ZERO",0))))),"")</f>
        <v>#REF!</v>
      </c>
      <c r="H1011" s="127" t="str">
        <f t="shared" si="46"/>
        <v/>
      </c>
      <c r="I1011" s="125" t="str">
        <f t="shared" si="47"/>
        <v/>
      </c>
    </row>
    <row r="1012" spans="1:9" hidden="1" x14ac:dyDescent="0.25">
      <c r="A1012" s="103" t="s">
        <v>2872</v>
      </c>
      <c r="B1012" s="104" t="s">
        <v>2873</v>
      </c>
      <c r="C1012" s="105" t="s">
        <v>95</v>
      </c>
      <c r="D1012" s="105">
        <v>0</v>
      </c>
      <c r="E1012" s="124" t="s">
        <v>523</v>
      </c>
      <c r="F1012" s="125" t="str">
        <f t="shared" si="45"/>
        <v/>
      </c>
      <c r="G1012" s="126" t="e">
        <f>IF(A1012&lt;&gt;"",IF(AND(#REF!="Padrão",$H$4=#REF!),BDI!$B$17,IF(AND(#REF!="Padrão",$H$4=#REF!),BDI!#REF!,IF(AND(#REF!="Diferenciado",$H$4=#REF!),BDI!$E$17,IF(AND(#REF!="Diferenciado",$H$4=#REF!),BDI!#REF!,IF(#REF!="ZERO",0))))),"")</f>
        <v>#REF!</v>
      </c>
      <c r="H1012" s="127" t="str">
        <f t="shared" si="46"/>
        <v/>
      </c>
      <c r="I1012" s="125" t="str">
        <f t="shared" si="47"/>
        <v/>
      </c>
    </row>
    <row r="1013" spans="1:9" hidden="1" x14ac:dyDescent="0.25">
      <c r="A1013" s="103" t="s">
        <v>2874</v>
      </c>
      <c r="B1013" s="104" t="s">
        <v>2875</v>
      </c>
      <c r="C1013" s="105" t="s">
        <v>20</v>
      </c>
      <c r="D1013" s="105">
        <v>0</v>
      </c>
      <c r="E1013" s="124" t="s">
        <v>523</v>
      </c>
      <c r="F1013" s="125" t="str">
        <f t="shared" si="45"/>
        <v/>
      </c>
      <c r="G1013" s="126" t="e">
        <f>IF(A1013&lt;&gt;"",IF(AND(#REF!="Padrão",$H$4=#REF!),BDI!$B$17,IF(AND(#REF!="Padrão",$H$4=#REF!),BDI!#REF!,IF(AND(#REF!="Diferenciado",$H$4=#REF!),BDI!$E$17,IF(AND(#REF!="Diferenciado",$H$4=#REF!),BDI!#REF!,IF(#REF!="ZERO",0))))),"")</f>
        <v>#REF!</v>
      </c>
      <c r="H1013" s="127" t="str">
        <f t="shared" si="46"/>
        <v/>
      </c>
      <c r="I1013" s="125" t="str">
        <f t="shared" si="47"/>
        <v/>
      </c>
    </row>
    <row r="1014" spans="1:9" hidden="1" x14ac:dyDescent="0.25">
      <c r="A1014" s="103" t="s">
        <v>2876</v>
      </c>
      <c r="B1014" s="104" t="s">
        <v>2877</v>
      </c>
      <c r="C1014" s="105" t="s">
        <v>2839</v>
      </c>
      <c r="D1014" s="105">
        <v>0</v>
      </c>
      <c r="E1014" s="124" t="s">
        <v>523</v>
      </c>
      <c r="F1014" s="125" t="str">
        <f t="shared" si="45"/>
        <v/>
      </c>
      <c r="G1014" s="126" t="e">
        <f>IF(A1014&lt;&gt;"",IF(AND(#REF!="Padrão",$H$4=#REF!),BDI!$B$17,IF(AND(#REF!="Padrão",$H$4=#REF!),BDI!#REF!,IF(AND(#REF!="Diferenciado",$H$4=#REF!),BDI!$E$17,IF(AND(#REF!="Diferenciado",$H$4=#REF!),BDI!#REF!,IF(#REF!="ZERO",0))))),"")</f>
        <v>#REF!</v>
      </c>
      <c r="H1014" s="127" t="str">
        <f t="shared" si="46"/>
        <v/>
      </c>
      <c r="I1014" s="125" t="str">
        <f t="shared" si="47"/>
        <v/>
      </c>
    </row>
    <row r="1015" spans="1:9" hidden="1" x14ac:dyDescent="0.25">
      <c r="A1015" s="103" t="s">
        <v>2878</v>
      </c>
      <c r="B1015" s="104" t="s">
        <v>2879</v>
      </c>
      <c r="C1015" s="105" t="s">
        <v>20</v>
      </c>
      <c r="D1015" s="105">
        <v>0</v>
      </c>
      <c r="E1015" s="124" t="s">
        <v>523</v>
      </c>
      <c r="F1015" s="125" t="str">
        <f t="shared" si="45"/>
        <v/>
      </c>
      <c r="G1015" s="126" t="e">
        <f>IF(A1015&lt;&gt;"",IF(AND(#REF!="Padrão",$H$4=#REF!),BDI!$B$17,IF(AND(#REF!="Padrão",$H$4=#REF!),BDI!#REF!,IF(AND(#REF!="Diferenciado",$H$4=#REF!),BDI!$E$17,IF(AND(#REF!="Diferenciado",$H$4=#REF!),BDI!#REF!,IF(#REF!="ZERO",0))))),"")</f>
        <v>#REF!</v>
      </c>
      <c r="H1015" s="127" t="str">
        <f t="shared" si="46"/>
        <v/>
      </c>
      <c r="I1015" s="125" t="str">
        <f t="shared" si="47"/>
        <v/>
      </c>
    </row>
    <row r="1016" spans="1:9" hidden="1" x14ac:dyDescent="0.25">
      <c r="A1016" s="103" t="s">
        <v>1111</v>
      </c>
      <c r="B1016" s="104" t="s">
        <v>2880</v>
      </c>
      <c r="C1016" s="105" t="s">
        <v>93</v>
      </c>
      <c r="D1016" s="105">
        <v>0</v>
      </c>
      <c r="E1016" s="124">
        <f ca="1">OFFSET(INDEX(Composições!A:J,MATCH(Orçamentária!A1016,Composições!A:A,0),8),2,0)</f>
        <v>41.338048129160001</v>
      </c>
      <c r="F1016" s="125">
        <f t="shared" ca="1" si="45"/>
        <v>0</v>
      </c>
      <c r="G1016" s="126" t="e">
        <f>IF(A1016&lt;&gt;"",IF(AND(#REF!="Padrão",$H$4=#REF!),BDI!$B$17,IF(AND(#REF!="Padrão",$H$4=#REF!),BDI!#REF!,IF(AND(#REF!="Diferenciado",$H$4=#REF!),BDI!$E$17,IF(AND(#REF!="Diferenciado",$H$4=#REF!),BDI!#REF!,IF(#REF!="ZERO",0))))),"")</f>
        <v>#REF!</v>
      </c>
      <c r="H1016" s="127" t="e">
        <f t="shared" ca="1" si="46"/>
        <v>#REF!</v>
      </c>
      <c r="I1016" s="125" t="e">
        <f t="shared" ca="1" si="47"/>
        <v>#REF!</v>
      </c>
    </row>
    <row r="1017" spans="1:9" hidden="1" x14ac:dyDescent="0.25">
      <c r="A1017" s="103" t="s">
        <v>1114</v>
      </c>
      <c r="B1017" s="104" t="s">
        <v>2881</v>
      </c>
      <c r="C1017" s="105" t="s">
        <v>95</v>
      </c>
      <c r="D1017" s="105">
        <v>0</v>
      </c>
      <c r="E1017" s="124">
        <f ca="1">OFFSET(INDEX(Composições!A:J,MATCH(Orçamentária!A1017,Composições!A:A,0),8),2,0)</f>
        <v>10.002531000000001</v>
      </c>
      <c r="F1017" s="125">
        <f t="shared" ca="1" si="45"/>
        <v>0</v>
      </c>
      <c r="G1017" s="126" t="e">
        <f>IF(A1017&lt;&gt;"",IF(AND(#REF!="Padrão",$H$4=#REF!),BDI!$B$17,IF(AND(#REF!="Padrão",$H$4=#REF!),BDI!#REF!,IF(AND(#REF!="Diferenciado",$H$4=#REF!),BDI!$E$17,IF(AND(#REF!="Diferenciado",$H$4=#REF!),BDI!#REF!,IF(#REF!="ZERO",0))))),"")</f>
        <v>#REF!</v>
      </c>
      <c r="H1017" s="127" t="e">
        <f t="shared" ca="1" si="46"/>
        <v>#REF!</v>
      </c>
      <c r="I1017" s="125" t="e">
        <f t="shared" ca="1" si="47"/>
        <v>#REF!</v>
      </c>
    </row>
    <row r="1018" spans="1:9" hidden="1" x14ac:dyDescent="0.25">
      <c r="A1018" s="103" t="s">
        <v>1115</v>
      </c>
      <c r="B1018" s="104" t="s">
        <v>2882</v>
      </c>
      <c r="C1018" s="105" t="s">
        <v>95</v>
      </c>
      <c r="D1018" s="105">
        <v>0</v>
      </c>
      <c r="E1018" s="124">
        <f ca="1">OFFSET(INDEX(Composições!A:J,MATCH(Orçamentária!A1018,Composições!A:A,0),8),2,0)</f>
        <v>20.460149999999999</v>
      </c>
      <c r="F1018" s="125">
        <f t="shared" ca="1" si="45"/>
        <v>0</v>
      </c>
      <c r="G1018" s="126" t="e">
        <f>IF(A1018&lt;&gt;"",IF(AND(#REF!="Padrão",$H$4=#REF!),BDI!$B$17,IF(AND(#REF!="Padrão",$H$4=#REF!),BDI!#REF!,IF(AND(#REF!="Diferenciado",$H$4=#REF!),BDI!$E$17,IF(AND(#REF!="Diferenciado",$H$4=#REF!),BDI!#REF!,IF(#REF!="ZERO",0))))),"")</f>
        <v>#REF!</v>
      </c>
      <c r="H1018" s="127" t="e">
        <f t="shared" ca="1" si="46"/>
        <v>#REF!</v>
      </c>
      <c r="I1018" s="125" t="e">
        <f t="shared" ca="1" si="47"/>
        <v>#REF!</v>
      </c>
    </row>
    <row r="1019" spans="1:9" hidden="1" x14ac:dyDescent="0.25">
      <c r="A1019" s="103" t="s">
        <v>1119</v>
      </c>
      <c r="B1019" s="104" t="s">
        <v>2883</v>
      </c>
      <c r="C1019" s="105" t="s">
        <v>95</v>
      </c>
      <c r="D1019" s="105">
        <v>0</v>
      </c>
      <c r="E1019" s="124">
        <f ca="1">OFFSET(INDEX(Composições!A:J,MATCH(Orçamentária!A1019,Composições!A:A,0),8),2,0)</f>
        <v>119.7833625</v>
      </c>
      <c r="F1019" s="125">
        <f t="shared" ca="1" si="45"/>
        <v>0</v>
      </c>
      <c r="G1019" s="126" t="e">
        <f>IF(A1019&lt;&gt;"",IF(AND(#REF!="Padrão",$H$4=#REF!),BDI!$B$17,IF(AND(#REF!="Padrão",$H$4=#REF!),BDI!#REF!,IF(AND(#REF!="Diferenciado",$H$4=#REF!),BDI!$E$17,IF(AND(#REF!="Diferenciado",$H$4=#REF!),BDI!#REF!,IF(#REF!="ZERO",0))))),"")</f>
        <v>#REF!</v>
      </c>
      <c r="H1019" s="127" t="e">
        <f t="shared" ca="1" si="46"/>
        <v>#REF!</v>
      </c>
      <c r="I1019" s="125" t="e">
        <f t="shared" ca="1" si="47"/>
        <v>#REF!</v>
      </c>
    </row>
    <row r="1020" spans="1:9" hidden="1" x14ac:dyDescent="0.25">
      <c r="A1020" s="103" t="s">
        <v>2884</v>
      </c>
      <c r="B1020" s="104" t="s">
        <v>2885</v>
      </c>
      <c r="C1020" s="105" t="s">
        <v>20</v>
      </c>
      <c r="D1020" s="105">
        <v>0</v>
      </c>
      <c r="E1020" s="124" t="s">
        <v>523</v>
      </c>
      <c r="F1020" s="125" t="str">
        <f t="shared" si="45"/>
        <v/>
      </c>
      <c r="G1020" s="126" t="e">
        <f>IF(A1020&lt;&gt;"",IF(AND(#REF!="Padrão",$H$4=#REF!),BDI!$B$17,IF(AND(#REF!="Padrão",$H$4=#REF!),BDI!#REF!,IF(AND(#REF!="Diferenciado",$H$4=#REF!),BDI!$E$17,IF(AND(#REF!="Diferenciado",$H$4=#REF!),BDI!#REF!,IF(#REF!="ZERO",0))))),"")</f>
        <v>#REF!</v>
      </c>
      <c r="H1020" s="127" t="str">
        <f t="shared" si="46"/>
        <v/>
      </c>
      <c r="I1020" s="125" t="str">
        <f t="shared" si="47"/>
        <v/>
      </c>
    </row>
    <row r="1021" spans="1:9" hidden="1" x14ac:dyDescent="0.25">
      <c r="A1021" s="103" t="s">
        <v>2886</v>
      </c>
      <c r="B1021" s="104" t="s">
        <v>2887</v>
      </c>
      <c r="C1021" s="105" t="s">
        <v>20</v>
      </c>
      <c r="D1021" s="105">
        <v>0</v>
      </c>
      <c r="E1021" s="124" t="s">
        <v>523</v>
      </c>
      <c r="F1021" s="125" t="str">
        <f t="shared" si="45"/>
        <v/>
      </c>
      <c r="G1021" s="126" t="e">
        <f>IF(A1021&lt;&gt;"",IF(AND(#REF!="Padrão",$H$4=#REF!),BDI!$B$17,IF(AND(#REF!="Padrão",$H$4=#REF!),BDI!#REF!,IF(AND(#REF!="Diferenciado",$H$4=#REF!),BDI!$E$17,IF(AND(#REF!="Diferenciado",$H$4=#REF!),BDI!#REF!,IF(#REF!="ZERO",0))))),"")</f>
        <v>#REF!</v>
      </c>
      <c r="H1021" s="127" t="str">
        <f t="shared" si="46"/>
        <v/>
      </c>
      <c r="I1021" s="125" t="str">
        <f t="shared" si="47"/>
        <v/>
      </c>
    </row>
    <row r="1022" spans="1:9" ht="25.5" hidden="1" x14ac:dyDescent="0.25">
      <c r="A1022" s="103" t="s">
        <v>2888</v>
      </c>
      <c r="B1022" s="104" t="s">
        <v>2889</v>
      </c>
      <c r="C1022" s="105" t="s">
        <v>20</v>
      </c>
      <c r="D1022" s="105">
        <v>0</v>
      </c>
      <c r="E1022" s="124" t="s">
        <v>523</v>
      </c>
      <c r="F1022" s="125" t="str">
        <f t="shared" si="45"/>
        <v/>
      </c>
      <c r="G1022" s="126" t="e">
        <f>IF(A1022&lt;&gt;"",IF(AND(#REF!="Padrão",$H$4=#REF!),BDI!$B$17,IF(AND(#REF!="Padrão",$H$4=#REF!),BDI!#REF!,IF(AND(#REF!="Diferenciado",$H$4=#REF!),BDI!$E$17,IF(AND(#REF!="Diferenciado",$H$4=#REF!),BDI!#REF!,IF(#REF!="ZERO",0))))),"")</f>
        <v>#REF!</v>
      </c>
      <c r="H1022" s="127" t="str">
        <f t="shared" si="46"/>
        <v/>
      </c>
      <c r="I1022" s="125" t="str">
        <f t="shared" si="47"/>
        <v/>
      </c>
    </row>
    <row r="1023" spans="1:9" ht="25.5" hidden="1" x14ac:dyDescent="0.25">
      <c r="A1023" s="103" t="s">
        <v>2890</v>
      </c>
      <c r="B1023" s="104" t="s">
        <v>2891</v>
      </c>
      <c r="C1023" s="105" t="s">
        <v>20</v>
      </c>
      <c r="D1023" s="105">
        <v>0</v>
      </c>
      <c r="E1023" s="124" t="s">
        <v>523</v>
      </c>
      <c r="F1023" s="125" t="str">
        <f t="shared" si="45"/>
        <v/>
      </c>
      <c r="G1023" s="126" t="e">
        <f>IF(A1023&lt;&gt;"",IF(AND(#REF!="Padrão",$H$4=#REF!),BDI!$B$17,IF(AND(#REF!="Padrão",$H$4=#REF!),BDI!#REF!,IF(AND(#REF!="Diferenciado",$H$4=#REF!),BDI!$E$17,IF(AND(#REF!="Diferenciado",$H$4=#REF!),BDI!#REF!,IF(#REF!="ZERO",0))))),"")</f>
        <v>#REF!</v>
      </c>
      <c r="H1023" s="127" t="str">
        <f t="shared" si="46"/>
        <v/>
      </c>
      <c r="I1023" s="125" t="str">
        <f t="shared" si="47"/>
        <v/>
      </c>
    </row>
    <row r="1024" spans="1:9" ht="25.5" hidden="1" x14ac:dyDescent="0.25">
      <c r="A1024" s="103" t="s">
        <v>2892</v>
      </c>
      <c r="B1024" s="104" t="s">
        <v>2893</v>
      </c>
      <c r="C1024" s="105" t="s">
        <v>20</v>
      </c>
      <c r="D1024" s="105">
        <v>0</v>
      </c>
      <c r="E1024" s="124" t="s">
        <v>523</v>
      </c>
      <c r="F1024" s="125" t="str">
        <f t="shared" si="45"/>
        <v/>
      </c>
      <c r="G1024" s="126" t="e">
        <f>IF(A1024&lt;&gt;"",IF(AND(#REF!="Padrão",$H$4=#REF!),BDI!$B$17,IF(AND(#REF!="Padrão",$H$4=#REF!),BDI!#REF!,IF(AND(#REF!="Diferenciado",$H$4=#REF!),BDI!$E$17,IF(AND(#REF!="Diferenciado",$H$4=#REF!),BDI!#REF!,IF(#REF!="ZERO",0))))),"")</f>
        <v>#REF!</v>
      </c>
      <c r="H1024" s="127" t="str">
        <f t="shared" si="46"/>
        <v/>
      </c>
      <c r="I1024" s="125" t="str">
        <f t="shared" si="47"/>
        <v/>
      </c>
    </row>
    <row r="1025" spans="1:9" ht="25.5" hidden="1" x14ac:dyDescent="0.25">
      <c r="A1025" s="103" t="s">
        <v>2894</v>
      </c>
      <c r="B1025" s="104" t="s">
        <v>2895</v>
      </c>
      <c r="C1025" s="105" t="s">
        <v>20</v>
      </c>
      <c r="D1025" s="105">
        <v>0</v>
      </c>
      <c r="E1025" s="124" t="s">
        <v>523</v>
      </c>
      <c r="F1025" s="125" t="str">
        <f t="shared" si="45"/>
        <v/>
      </c>
      <c r="G1025" s="126" t="e">
        <f>IF(A1025&lt;&gt;"",IF(AND(#REF!="Padrão",$H$4=#REF!),BDI!$B$17,IF(AND(#REF!="Padrão",$H$4=#REF!),BDI!#REF!,IF(AND(#REF!="Diferenciado",$H$4=#REF!),BDI!$E$17,IF(AND(#REF!="Diferenciado",$H$4=#REF!),BDI!#REF!,IF(#REF!="ZERO",0))))),"")</f>
        <v>#REF!</v>
      </c>
      <c r="H1025" s="127" t="str">
        <f t="shared" si="46"/>
        <v/>
      </c>
      <c r="I1025" s="125" t="str">
        <f t="shared" si="47"/>
        <v/>
      </c>
    </row>
    <row r="1026" spans="1:9" ht="25.5" hidden="1" x14ac:dyDescent="0.25">
      <c r="A1026" s="103" t="s">
        <v>2896</v>
      </c>
      <c r="B1026" s="104" t="s">
        <v>2897</v>
      </c>
      <c r="C1026" s="105" t="s">
        <v>20</v>
      </c>
      <c r="D1026" s="105">
        <v>0</v>
      </c>
      <c r="E1026" s="124" t="s">
        <v>523</v>
      </c>
      <c r="F1026" s="125" t="str">
        <f t="shared" si="45"/>
        <v/>
      </c>
      <c r="G1026" s="126" t="e">
        <f>IF(A1026&lt;&gt;"",IF(AND(#REF!="Padrão",$H$4=#REF!),BDI!$B$17,IF(AND(#REF!="Padrão",$H$4=#REF!),BDI!#REF!,IF(AND(#REF!="Diferenciado",$H$4=#REF!),BDI!$E$17,IF(AND(#REF!="Diferenciado",$H$4=#REF!),BDI!#REF!,IF(#REF!="ZERO",0))))),"")</f>
        <v>#REF!</v>
      </c>
      <c r="H1026" s="127" t="str">
        <f t="shared" si="46"/>
        <v/>
      </c>
      <c r="I1026" s="125" t="str">
        <f t="shared" si="47"/>
        <v/>
      </c>
    </row>
    <row r="1027" spans="1:9" hidden="1" x14ac:dyDescent="0.25">
      <c r="A1027" s="103" t="s">
        <v>2898</v>
      </c>
      <c r="B1027" s="104" t="s">
        <v>2899</v>
      </c>
      <c r="C1027" s="105" t="s">
        <v>93</v>
      </c>
      <c r="D1027" s="105">
        <v>0</v>
      </c>
      <c r="E1027" s="124" t="s">
        <v>523</v>
      </c>
      <c r="F1027" s="125" t="str">
        <f t="shared" si="45"/>
        <v/>
      </c>
      <c r="G1027" s="126" t="e">
        <f>IF(A1027&lt;&gt;"",IF(AND(#REF!="Padrão",$H$4=#REF!),BDI!$B$17,IF(AND(#REF!="Padrão",$H$4=#REF!),BDI!#REF!,IF(AND(#REF!="Diferenciado",$H$4=#REF!),BDI!$E$17,IF(AND(#REF!="Diferenciado",$H$4=#REF!),BDI!#REF!,IF(#REF!="ZERO",0))))),"")</f>
        <v>#REF!</v>
      </c>
      <c r="H1027" s="127" t="str">
        <f t="shared" si="46"/>
        <v/>
      </c>
      <c r="I1027" s="125" t="str">
        <f t="shared" si="47"/>
        <v/>
      </c>
    </row>
    <row r="1028" spans="1:9" hidden="1" x14ac:dyDescent="0.25">
      <c r="A1028" s="103" t="s">
        <v>2900</v>
      </c>
      <c r="B1028" s="104" t="s">
        <v>2901</v>
      </c>
      <c r="C1028" s="105" t="s">
        <v>93</v>
      </c>
      <c r="D1028" s="105">
        <v>0</v>
      </c>
      <c r="E1028" s="124" t="s">
        <v>523</v>
      </c>
      <c r="F1028" s="125" t="str">
        <f t="shared" si="45"/>
        <v/>
      </c>
      <c r="G1028" s="126" t="e">
        <f>IF(A1028&lt;&gt;"",IF(AND(#REF!="Padrão",$H$4=#REF!),BDI!$B$17,IF(AND(#REF!="Padrão",$H$4=#REF!),BDI!#REF!,IF(AND(#REF!="Diferenciado",$H$4=#REF!),BDI!$E$17,IF(AND(#REF!="Diferenciado",$H$4=#REF!),BDI!#REF!,IF(#REF!="ZERO",0))))),"")</f>
        <v>#REF!</v>
      </c>
      <c r="H1028" s="127" t="str">
        <f t="shared" si="46"/>
        <v/>
      </c>
      <c r="I1028" s="125" t="str">
        <f t="shared" si="47"/>
        <v/>
      </c>
    </row>
    <row r="1029" spans="1:9" hidden="1" x14ac:dyDescent="0.25">
      <c r="A1029" s="103" t="s">
        <v>2902</v>
      </c>
      <c r="B1029" s="104" t="s">
        <v>2903</v>
      </c>
      <c r="C1029" s="105" t="s">
        <v>93</v>
      </c>
      <c r="D1029" s="105">
        <v>0</v>
      </c>
      <c r="E1029" s="124" t="s">
        <v>523</v>
      </c>
      <c r="F1029" s="125" t="str">
        <f t="shared" si="45"/>
        <v/>
      </c>
      <c r="G1029" s="126" t="e">
        <f>IF(A1029&lt;&gt;"",IF(AND(#REF!="Padrão",$H$4=#REF!),BDI!$B$17,IF(AND(#REF!="Padrão",$H$4=#REF!),BDI!#REF!,IF(AND(#REF!="Diferenciado",$H$4=#REF!),BDI!$E$17,IF(AND(#REF!="Diferenciado",$H$4=#REF!),BDI!#REF!,IF(#REF!="ZERO",0))))),"")</f>
        <v>#REF!</v>
      </c>
      <c r="H1029" s="127" t="str">
        <f t="shared" si="46"/>
        <v/>
      </c>
      <c r="I1029" s="125" t="str">
        <f t="shared" si="47"/>
        <v/>
      </c>
    </row>
    <row r="1030" spans="1:9" hidden="1" x14ac:dyDescent="0.25">
      <c r="A1030" s="103" t="s">
        <v>2904</v>
      </c>
      <c r="B1030" s="104" t="s">
        <v>2905</v>
      </c>
      <c r="C1030" s="105" t="s">
        <v>93</v>
      </c>
      <c r="D1030" s="105">
        <v>0</v>
      </c>
      <c r="E1030" s="124" t="s">
        <v>523</v>
      </c>
      <c r="F1030" s="125" t="str">
        <f t="shared" si="45"/>
        <v/>
      </c>
      <c r="G1030" s="126" t="e">
        <f>IF(A1030&lt;&gt;"",IF(AND(#REF!="Padrão",$H$4=#REF!),BDI!$B$17,IF(AND(#REF!="Padrão",$H$4=#REF!),BDI!#REF!,IF(AND(#REF!="Diferenciado",$H$4=#REF!),BDI!$E$17,IF(AND(#REF!="Diferenciado",$H$4=#REF!),BDI!#REF!,IF(#REF!="ZERO",0))))),"")</f>
        <v>#REF!</v>
      </c>
      <c r="H1030" s="127" t="str">
        <f t="shared" si="46"/>
        <v/>
      </c>
      <c r="I1030" s="125" t="str">
        <f t="shared" si="47"/>
        <v/>
      </c>
    </row>
    <row r="1031" spans="1:9" hidden="1" x14ac:dyDescent="0.25">
      <c r="A1031" s="103" t="s">
        <v>2906</v>
      </c>
      <c r="B1031" s="104" t="s">
        <v>2907</v>
      </c>
      <c r="C1031" s="105" t="s">
        <v>93</v>
      </c>
      <c r="D1031" s="105">
        <v>0</v>
      </c>
      <c r="E1031" s="124" t="s">
        <v>523</v>
      </c>
      <c r="F1031" s="125" t="str">
        <f t="shared" ref="F1031:F1094" si="48">IF(ISNUMBER(E1031),D1031*E1031,"")</f>
        <v/>
      </c>
      <c r="G1031" s="126" t="e">
        <f>IF(A1031&lt;&gt;"",IF(AND(#REF!="Padrão",$H$4=#REF!),BDI!$B$17,IF(AND(#REF!="Padrão",$H$4=#REF!),BDI!#REF!,IF(AND(#REF!="Diferenciado",$H$4=#REF!),BDI!$E$17,IF(AND(#REF!="Diferenciado",$H$4=#REF!),BDI!#REF!,IF(#REF!="ZERO",0))))),"")</f>
        <v>#REF!</v>
      </c>
      <c r="H1031" s="127" t="str">
        <f t="shared" ref="H1031:H1094" si="49">IF(ISNUMBER(E1031),ROUND(E1031*(1+G1031),2),"")</f>
        <v/>
      </c>
      <c r="I1031" s="125" t="str">
        <f t="shared" ref="I1031:I1094" si="50">IF(ISNUMBER(E1031),ROUND(H1031*D1031,2),"")</f>
        <v/>
      </c>
    </row>
    <row r="1032" spans="1:9" hidden="1" x14ac:dyDescent="0.25">
      <c r="A1032" s="103" t="s">
        <v>2908</v>
      </c>
      <c r="B1032" s="104" t="s">
        <v>2909</v>
      </c>
      <c r="C1032" s="105" t="s">
        <v>93</v>
      </c>
      <c r="D1032" s="105">
        <v>0</v>
      </c>
      <c r="E1032" s="124" t="s">
        <v>523</v>
      </c>
      <c r="F1032" s="125" t="str">
        <f t="shared" si="48"/>
        <v/>
      </c>
      <c r="G1032" s="126" t="e">
        <f>IF(A1032&lt;&gt;"",IF(AND(#REF!="Padrão",$H$4=#REF!),BDI!$B$17,IF(AND(#REF!="Padrão",$H$4=#REF!),BDI!#REF!,IF(AND(#REF!="Diferenciado",$H$4=#REF!),BDI!$E$17,IF(AND(#REF!="Diferenciado",$H$4=#REF!),BDI!#REF!,IF(#REF!="ZERO",0))))),"")</f>
        <v>#REF!</v>
      </c>
      <c r="H1032" s="127" t="str">
        <f t="shared" si="49"/>
        <v/>
      </c>
      <c r="I1032" s="125" t="str">
        <f t="shared" si="50"/>
        <v/>
      </c>
    </row>
    <row r="1033" spans="1:9" hidden="1" x14ac:dyDescent="0.25">
      <c r="A1033" s="103" t="s">
        <v>2910</v>
      </c>
      <c r="B1033" s="104" t="s">
        <v>2911</v>
      </c>
      <c r="C1033" s="105" t="s">
        <v>93</v>
      </c>
      <c r="D1033" s="105">
        <v>0</v>
      </c>
      <c r="E1033" s="124" t="s">
        <v>523</v>
      </c>
      <c r="F1033" s="125" t="str">
        <f t="shared" si="48"/>
        <v/>
      </c>
      <c r="G1033" s="126" t="e">
        <f>IF(A1033&lt;&gt;"",IF(AND(#REF!="Padrão",$H$4=#REF!),BDI!$B$17,IF(AND(#REF!="Padrão",$H$4=#REF!),BDI!#REF!,IF(AND(#REF!="Diferenciado",$H$4=#REF!),BDI!$E$17,IF(AND(#REF!="Diferenciado",$H$4=#REF!),BDI!#REF!,IF(#REF!="ZERO",0))))),"")</f>
        <v>#REF!</v>
      </c>
      <c r="H1033" s="127" t="str">
        <f t="shared" si="49"/>
        <v/>
      </c>
      <c r="I1033" s="125" t="str">
        <f t="shared" si="50"/>
        <v/>
      </c>
    </row>
    <row r="1034" spans="1:9" hidden="1" x14ac:dyDescent="0.25">
      <c r="A1034" s="103" t="s">
        <v>1121</v>
      </c>
      <c r="B1034" s="104" t="s">
        <v>2912</v>
      </c>
      <c r="C1034" s="105" t="s">
        <v>2863</v>
      </c>
      <c r="D1034" s="105">
        <v>0</v>
      </c>
      <c r="E1034" s="124">
        <f ca="1">OFFSET(INDEX(Composições!A:J,MATCH(Orçamentária!A1034,Composições!A:A,0),8),2,0)</f>
        <v>1425</v>
      </c>
      <c r="F1034" s="125">
        <f t="shared" ca="1" si="48"/>
        <v>0</v>
      </c>
      <c r="G1034" s="126" t="e">
        <f>IF(A1034&lt;&gt;"",IF(AND(#REF!="Padrão",$H$4=#REF!),BDI!$B$17,IF(AND(#REF!="Padrão",$H$4=#REF!),BDI!#REF!,IF(AND(#REF!="Diferenciado",$H$4=#REF!),BDI!$E$17,IF(AND(#REF!="Diferenciado",$H$4=#REF!),BDI!#REF!,IF(#REF!="ZERO",0))))),"")</f>
        <v>#REF!</v>
      </c>
      <c r="H1034" s="127" t="e">
        <f t="shared" ca="1" si="49"/>
        <v>#REF!</v>
      </c>
      <c r="I1034" s="125" t="e">
        <f t="shared" ca="1" si="50"/>
        <v>#REF!</v>
      </c>
    </row>
    <row r="1035" spans="1:9" hidden="1" x14ac:dyDescent="0.25">
      <c r="A1035" s="103" t="s">
        <v>1122</v>
      </c>
      <c r="B1035" s="104" t="s">
        <v>2913</v>
      </c>
      <c r="C1035" s="105" t="s">
        <v>2863</v>
      </c>
      <c r="D1035" s="105">
        <v>0</v>
      </c>
      <c r="E1035" s="124">
        <f ca="1">OFFSET(INDEX(Composições!A:J,MATCH(Orçamentária!A1035,Composições!A:A,0),8),2,0)</f>
        <v>890.625</v>
      </c>
      <c r="F1035" s="125">
        <f t="shared" ca="1" si="48"/>
        <v>0</v>
      </c>
      <c r="G1035" s="126" t="e">
        <f>IF(A1035&lt;&gt;"",IF(AND(#REF!="Padrão",$H$4=#REF!),BDI!$B$17,IF(AND(#REF!="Padrão",$H$4=#REF!),BDI!#REF!,IF(AND(#REF!="Diferenciado",$H$4=#REF!),BDI!$E$17,IF(AND(#REF!="Diferenciado",$H$4=#REF!),BDI!#REF!,IF(#REF!="ZERO",0))))),"")</f>
        <v>#REF!</v>
      </c>
      <c r="H1035" s="127" t="e">
        <f t="shared" ca="1" si="49"/>
        <v>#REF!</v>
      </c>
      <c r="I1035" s="125" t="e">
        <f t="shared" ca="1" si="50"/>
        <v>#REF!</v>
      </c>
    </row>
    <row r="1036" spans="1:9" hidden="1" x14ac:dyDescent="0.25">
      <c r="A1036" s="103" t="s">
        <v>1123</v>
      </c>
      <c r="B1036" s="104" t="s">
        <v>2914</v>
      </c>
      <c r="C1036" s="105" t="s">
        <v>95</v>
      </c>
      <c r="D1036" s="105">
        <v>0</v>
      </c>
      <c r="E1036" s="124">
        <f ca="1">OFFSET(INDEX(Composições!A:J,MATCH(Orçamentária!A1036,Composições!A:A,0),8),2,0)</f>
        <v>408.5</v>
      </c>
      <c r="F1036" s="125">
        <f t="shared" ca="1" si="48"/>
        <v>0</v>
      </c>
      <c r="G1036" s="126" t="e">
        <f>IF(A1036&lt;&gt;"",IF(AND(#REF!="Padrão",$H$4=#REF!),BDI!$B$17,IF(AND(#REF!="Padrão",$H$4=#REF!),BDI!#REF!,IF(AND(#REF!="Diferenciado",$H$4=#REF!),BDI!$E$17,IF(AND(#REF!="Diferenciado",$H$4=#REF!),BDI!#REF!,IF(#REF!="ZERO",0))))),"")</f>
        <v>#REF!</v>
      </c>
      <c r="H1036" s="127" t="e">
        <f t="shared" ca="1" si="49"/>
        <v>#REF!</v>
      </c>
      <c r="I1036" s="125" t="e">
        <f t="shared" ca="1" si="50"/>
        <v>#REF!</v>
      </c>
    </row>
    <row r="1037" spans="1:9" ht="25.5" hidden="1" x14ac:dyDescent="0.25">
      <c r="A1037" s="103" t="s">
        <v>2915</v>
      </c>
      <c r="B1037" s="104" t="s">
        <v>2916</v>
      </c>
      <c r="C1037" s="105" t="s">
        <v>2463</v>
      </c>
      <c r="D1037" s="105">
        <v>0</v>
      </c>
      <c r="E1037" s="124">
        <f ca="1">OFFSET(INDEX(Composições!A:J,MATCH(Orçamentária!A1037,Composições!A:A,0),8),2,0)</f>
        <v>1677.3699984999998</v>
      </c>
      <c r="F1037" s="125">
        <f t="shared" ca="1" si="48"/>
        <v>0</v>
      </c>
      <c r="G1037" s="126" t="e">
        <f>IF(A1037&lt;&gt;"",IF(AND(#REF!="Padrão",$H$4=#REF!),BDI!$B$17,IF(AND(#REF!="Padrão",$H$4=#REF!),BDI!#REF!,IF(AND(#REF!="Diferenciado",$H$4=#REF!),BDI!$E$17,IF(AND(#REF!="Diferenciado",$H$4=#REF!),BDI!#REF!,IF(#REF!="ZERO",0))))),"")</f>
        <v>#REF!</v>
      </c>
      <c r="H1037" s="127" t="e">
        <f t="shared" ca="1" si="49"/>
        <v>#REF!</v>
      </c>
      <c r="I1037" s="125" t="e">
        <f t="shared" ca="1" si="50"/>
        <v>#REF!</v>
      </c>
    </row>
    <row r="1038" spans="1:9" hidden="1" x14ac:dyDescent="0.25">
      <c r="A1038" s="103" t="s">
        <v>2917</v>
      </c>
      <c r="B1038" s="104" t="s">
        <v>2918</v>
      </c>
      <c r="C1038" s="105" t="s">
        <v>2463</v>
      </c>
      <c r="D1038" s="105">
        <v>0</v>
      </c>
      <c r="E1038" s="124">
        <f ca="1">OFFSET(INDEX(Composições!A:J,MATCH(Orçamentária!A1038,Composições!A:A,0),8),2,0)</f>
        <v>1677.3699984999998</v>
      </c>
      <c r="F1038" s="125">
        <f t="shared" ca="1" si="48"/>
        <v>0</v>
      </c>
      <c r="G1038" s="126" t="e">
        <f>IF(A1038&lt;&gt;"",IF(AND(#REF!="Padrão",$H$4=#REF!),BDI!$B$17,IF(AND(#REF!="Padrão",$H$4=#REF!),BDI!#REF!,IF(AND(#REF!="Diferenciado",$H$4=#REF!),BDI!$E$17,IF(AND(#REF!="Diferenciado",$H$4=#REF!),BDI!#REF!,IF(#REF!="ZERO",0))))),"")</f>
        <v>#REF!</v>
      </c>
      <c r="H1038" s="127" t="e">
        <f t="shared" ca="1" si="49"/>
        <v>#REF!</v>
      </c>
      <c r="I1038" s="125" t="e">
        <f t="shared" ca="1" si="50"/>
        <v>#REF!</v>
      </c>
    </row>
    <row r="1039" spans="1:9" hidden="1" x14ac:dyDescent="0.25">
      <c r="A1039" s="103" t="s">
        <v>2919</v>
      </c>
      <c r="B1039" s="104" t="s">
        <v>2920</v>
      </c>
      <c r="C1039" s="105" t="s">
        <v>2463</v>
      </c>
      <c r="D1039" s="105">
        <v>0</v>
      </c>
      <c r="E1039" s="124">
        <f ca="1">OFFSET(INDEX(Composições!A:J,MATCH(Orçamentária!A1039,Composições!A:A,0),8),2,0)</f>
        <v>1677.3699984999998</v>
      </c>
      <c r="F1039" s="125">
        <f t="shared" ca="1" si="48"/>
        <v>0</v>
      </c>
      <c r="G1039" s="126" t="e">
        <f>IF(A1039&lt;&gt;"",IF(AND(#REF!="Padrão",$H$4=#REF!),BDI!$B$17,IF(AND(#REF!="Padrão",$H$4=#REF!),BDI!#REF!,IF(AND(#REF!="Diferenciado",$H$4=#REF!),BDI!$E$17,IF(AND(#REF!="Diferenciado",$H$4=#REF!),BDI!#REF!,IF(#REF!="ZERO",0))))),"")</f>
        <v>#REF!</v>
      </c>
      <c r="H1039" s="127" t="e">
        <f t="shared" ca="1" si="49"/>
        <v>#REF!</v>
      </c>
      <c r="I1039" s="125" t="e">
        <f t="shared" ca="1" si="50"/>
        <v>#REF!</v>
      </c>
    </row>
    <row r="1040" spans="1:9" hidden="1" x14ac:dyDescent="0.25">
      <c r="A1040" s="103" t="s">
        <v>2921</v>
      </c>
      <c r="B1040" s="104" t="s">
        <v>2922</v>
      </c>
      <c r="C1040" s="105" t="s">
        <v>2463</v>
      </c>
      <c r="D1040" s="105">
        <v>0</v>
      </c>
      <c r="E1040" s="124">
        <f ca="1">OFFSET(INDEX(Composições!A:J,MATCH(Orçamentária!A1040,Composições!A:A,0),8),2,0)</f>
        <v>1677.3699984999998</v>
      </c>
      <c r="F1040" s="125">
        <f t="shared" ca="1" si="48"/>
        <v>0</v>
      </c>
      <c r="G1040" s="126" t="e">
        <f>IF(A1040&lt;&gt;"",IF(AND(#REF!="Padrão",$H$4=#REF!),BDI!$B$17,IF(AND(#REF!="Padrão",$H$4=#REF!),BDI!#REF!,IF(AND(#REF!="Diferenciado",$H$4=#REF!),BDI!$E$17,IF(AND(#REF!="Diferenciado",$H$4=#REF!),BDI!#REF!,IF(#REF!="ZERO",0))))),"")</f>
        <v>#REF!</v>
      </c>
      <c r="H1040" s="127" t="e">
        <f t="shared" ca="1" si="49"/>
        <v>#REF!</v>
      </c>
      <c r="I1040" s="125" t="e">
        <f t="shared" ca="1" si="50"/>
        <v>#REF!</v>
      </c>
    </row>
    <row r="1041" spans="1:9" hidden="1" x14ac:dyDescent="0.25">
      <c r="A1041" s="103" t="s">
        <v>2923</v>
      </c>
      <c r="B1041" s="104" t="s">
        <v>2924</v>
      </c>
      <c r="C1041" s="105" t="s">
        <v>2463</v>
      </c>
      <c r="D1041" s="105">
        <v>0</v>
      </c>
      <c r="E1041" s="124">
        <f ca="1">OFFSET(INDEX(Composições!A:J,MATCH(Orçamentária!A1041,Composições!A:A,0),8),2,0)</f>
        <v>1677.3699984999998</v>
      </c>
      <c r="F1041" s="125">
        <f t="shared" ca="1" si="48"/>
        <v>0</v>
      </c>
      <c r="G1041" s="126" t="e">
        <f>IF(A1041&lt;&gt;"",IF(AND(#REF!="Padrão",$H$4=#REF!),BDI!$B$17,IF(AND(#REF!="Padrão",$H$4=#REF!),BDI!#REF!,IF(AND(#REF!="Diferenciado",$H$4=#REF!),BDI!$E$17,IF(AND(#REF!="Diferenciado",$H$4=#REF!),BDI!#REF!,IF(#REF!="ZERO",0))))),"")</f>
        <v>#REF!</v>
      </c>
      <c r="H1041" s="127" t="e">
        <f t="shared" ca="1" si="49"/>
        <v>#REF!</v>
      </c>
      <c r="I1041" s="125" t="e">
        <f t="shared" ca="1" si="50"/>
        <v>#REF!</v>
      </c>
    </row>
    <row r="1042" spans="1:9" hidden="1" x14ac:dyDescent="0.25">
      <c r="A1042" s="103" t="s">
        <v>2925</v>
      </c>
      <c r="B1042" s="104" t="s">
        <v>2926</v>
      </c>
      <c r="C1042" s="105" t="s">
        <v>2463</v>
      </c>
      <c r="D1042" s="105">
        <v>0</v>
      </c>
      <c r="E1042" s="124">
        <f ca="1">OFFSET(INDEX(Composições!A:J,MATCH(Orçamentária!A1042,Composições!A:A,0),8),2,0)</f>
        <v>1677.3699984999998</v>
      </c>
      <c r="F1042" s="125">
        <f t="shared" ca="1" si="48"/>
        <v>0</v>
      </c>
      <c r="G1042" s="126" t="e">
        <f>IF(A1042&lt;&gt;"",IF(AND(#REF!="Padrão",$H$4=#REF!),BDI!$B$17,IF(AND(#REF!="Padrão",$H$4=#REF!),BDI!#REF!,IF(AND(#REF!="Diferenciado",$H$4=#REF!),BDI!$E$17,IF(AND(#REF!="Diferenciado",$H$4=#REF!),BDI!#REF!,IF(#REF!="ZERO",0))))),"")</f>
        <v>#REF!</v>
      </c>
      <c r="H1042" s="127" t="e">
        <f t="shared" ca="1" si="49"/>
        <v>#REF!</v>
      </c>
      <c r="I1042" s="125" t="e">
        <f t="shared" ca="1" si="50"/>
        <v>#REF!</v>
      </c>
    </row>
    <row r="1043" spans="1:9" hidden="1" x14ac:dyDescent="0.25">
      <c r="A1043" s="103" t="s">
        <v>2927</v>
      </c>
      <c r="B1043" s="104" t="s">
        <v>2928</v>
      </c>
      <c r="C1043" s="105" t="s">
        <v>2463</v>
      </c>
      <c r="D1043" s="105">
        <v>0</v>
      </c>
      <c r="E1043" s="124">
        <f ca="1">OFFSET(INDEX(Composições!A:J,MATCH(Orçamentária!A1043,Composições!A:A,0),8),2,0)</f>
        <v>1677.3699984999998</v>
      </c>
      <c r="F1043" s="125">
        <f t="shared" ca="1" si="48"/>
        <v>0</v>
      </c>
      <c r="G1043" s="126" t="e">
        <f>IF(A1043&lt;&gt;"",IF(AND(#REF!="Padrão",$H$4=#REF!),BDI!$B$17,IF(AND(#REF!="Padrão",$H$4=#REF!),BDI!#REF!,IF(AND(#REF!="Diferenciado",$H$4=#REF!),BDI!$E$17,IF(AND(#REF!="Diferenciado",$H$4=#REF!),BDI!#REF!,IF(#REF!="ZERO",0))))),"")</f>
        <v>#REF!</v>
      </c>
      <c r="H1043" s="127" t="e">
        <f t="shared" ca="1" si="49"/>
        <v>#REF!</v>
      </c>
      <c r="I1043" s="125" t="e">
        <f t="shared" ca="1" si="50"/>
        <v>#REF!</v>
      </c>
    </row>
    <row r="1044" spans="1:9" hidden="1" x14ac:dyDescent="0.25">
      <c r="A1044" s="103" t="s">
        <v>2929</v>
      </c>
      <c r="B1044" s="104" t="s">
        <v>2930</v>
      </c>
      <c r="C1044" s="105" t="s">
        <v>2463</v>
      </c>
      <c r="D1044" s="105">
        <v>0</v>
      </c>
      <c r="E1044" s="124">
        <f ca="1">OFFSET(INDEX(Composições!A:J,MATCH(Orçamentária!A1044,Composições!A:A,0),8),2,0)</f>
        <v>1677.3699984999998</v>
      </c>
      <c r="F1044" s="125">
        <f t="shared" ca="1" si="48"/>
        <v>0</v>
      </c>
      <c r="G1044" s="126" t="e">
        <f>IF(A1044&lt;&gt;"",IF(AND(#REF!="Padrão",$H$4=#REF!),BDI!$B$17,IF(AND(#REF!="Padrão",$H$4=#REF!),BDI!#REF!,IF(AND(#REF!="Diferenciado",$H$4=#REF!),BDI!$E$17,IF(AND(#REF!="Diferenciado",$H$4=#REF!),BDI!#REF!,IF(#REF!="ZERO",0))))),"")</f>
        <v>#REF!</v>
      </c>
      <c r="H1044" s="127" t="e">
        <f t="shared" ca="1" si="49"/>
        <v>#REF!</v>
      </c>
      <c r="I1044" s="125" t="e">
        <f t="shared" ca="1" si="50"/>
        <v>#REF!</v>
      </c>
    </row>
    <row r="1045" spans="1:9" hidden="1" x14ac:dyDescent="0.25">
      <c r="A1045" s="103" t="s">
        <v>2931</v>
      </c>
      <c r="B1045" s="104" t="s">
        <v>2932</v>
      </c>
      <c r="C1045" s="105" t="s">
        <v>2463</v>
      </c>
      <c r="D1045" s="105">
        <v>0</v>
      </c>
      <c r="E1045" s="124">
        <f ca="1">OFFSET(INDEX(Composições!A:J,MATCH(Orçamentária!A1045,Composições!A:A,0),8),2,0)</f>
        <v>1677.3699984999998</v>
      </c>
      <c r="F1045" s="125">
        <f t="shared" ca="1" si="48"/>
        <v>0</v>
      </c>
      <c r="G1045" s="126" t="e">
        <f>IF(A1045&lt;&gt;"",IF(AND(#REF!="Padrão",$H$4=#REF!),BDI!$B$17,IF(AND(#REF!="Padrão",$H$4=#REF!),BDI!#REF!,IF(AND(#REF!="Diferenciado",$H$4=#REF!),BDI!$E$17,IF(AND(#REF!="Diferenciado",$H$4=#REF!),BDI!#REF!,IF(#REF!="ZERO",0))))),"")</f>
        <v>#REF!</v>
      </c>
      <c r="H1045" s="127" t="e">
        <f t="shared" ca="1" si="49"/>
        <v>#REF!</v>
      </c>
      <c r="I1045" s="125" t="e">
        <f t="shared" ca="1" si="50"/>
        <v>#REF!</v>
      </c>
    </row>
    <row r="1046" spans="1:9" hidden="1" x14ac:dyDescent="0.25">
      <c r="A1046" s="103" t="s">
        <v>1124</v>
      </c>
      <c r="B1046" s="104" t="s">
        <v>2933</v>
      </c>
      <c r="C1046" s="105" t="s">
        <v>2463</v>
      </c>
      <c r="D1046" s="105">
        <v>0</v>
      </c>
      <c r="E1046" s="124">
        <f ca="1">OFFSET(INDEX(Composições!A:J,MATCH(Orçamentária!A1046,Composições!A:A,0),8),2,0)</f>
        <v>3904.7052113999998</v>
      </c>
      <c r="F1046" s="125">
        <f t="shared" ca="1" si="48"/>
        <v>0</v>
      </c>
      <c r="G1046" s="126" t="e">
        <f>IF(A1046&lt;&gt;"",IF(AND(#REF!="Padrão",$H$4=#REF!),BDI!$B$17,IF(AND(#REF!="Padrão",$H$4=#REF!),BDI!#REF!,IF(AND(#REF!="Diferenciado",$H$4=#REF!),BDI!$E$17,IF(AND(#REF!="Diferenciado",$H$4=#REF!),BDI!#REF!,IF(#REF!="ZERO",0))))),"")</f>
        <v>#REF!</v>
      </c>
      <c r="H1046" s="127" t="e">
        <f t="shared" ca="1" si="49"/>
        <v>#REF!</v>
      </c>
      <c r="I1046" s="125" t="e">
        <f t="shared" ca="1" si="50"/>
        <v>#REF!</v>
      </c>
    </row>
    <row r="1047" spans="1:9" hidden="1" x14ac:dyDescent="0.25">
      <c r="A1047" s="103" t="s">
        <v>2934</v>
      </c>
      <c r="B1047" s="104" t="s">
        <v>2935</v>
      </c>
      <c r="C1047" s="105" t="s">
        <v>2674</v>
      </c>
      <c r="D1047" s="105">
        <v>0</v>
      </c>
      <c r="E1047" s="124" t="s">
        <v>523</v>
      </c>
      <c r="F1047" s="125" t="str">
        <f t="shared" si="48"/>
        <v/>
      </c>
      <c r="G1047" s="126" t="e">
        <f>IF(A1047&lt;&gt;"",IF(AND(#REF!="Padrão",$H$4=#REF!),BDI!$B$17,IF(AND(#REF!="Padrão",$H$4=#REF!),BDI!#REF!,IF(AND(#REF!="Diferenciado",$H$4=#REF!),BDI!$E$17,IF(AND(#REF!="Diferenciado",$H$4=#REF!),BDI!#REF!,IF(#REF!="ZERO",0))))),"")</f>
        <v>#REF!</v>
      </c>
      <c r="H1047" s="127" t="str">
        <f t="shared" si="49"/>
        <v/>
      </c>
      <c r="I1047" s="125" t="str">
        <f t="shared" si="50"/>
        <v/>
      </c>
    </row>
    <row r="1048" spans="1:9" hidden="1" x14ac:dyDescent="0.25">
      <c r="A1048" s="103" t="s">
        <v>2936</v>
      </c>
      <c r="B1048" s="104" t="s">
        <v>2937</v>
      </c>
      <c r="C1048" s="105" t="s">
        <v>2674</v>
      </c>
      <c r="D1048" s="105">
        <v>0</v>
      </c>
      <c r="E1048" s="124" t="s">
        <v>523</v>
      </c>
      <c r="F1048" s="125" t="str">
        <f t="shared" si="48"/>
        <v/>
      </c>
      <c r="G1048" s="126" t="e">
        <f>IF(A1048&lt;&gt;"",IF(AND(#REF!="Padrão",$H$4=#REF!),BDI!$B$17,IF(AND(#REF!="Padrão",$H$4=#REF!),BDI!#REF!,IF(AND(#REF!="Diferenciado",$H$4=#REF!),BDI!$E$17,IF(AND(#REF!="Diferenciado",$H$4=#REF!),BDI!#REF!,IF(#REF!="ZERO",0))))),"")</f>
        <v>#REF!</v>
      </c>
      <c r="H1048" s="127" t="str">
        <f t="shared" si="49"/>
        <v/>
      </c>
      <c r="I1048" s="125" t="str">
        <f t="shared" si="50"/>
        <v/>
      </c>
    </row>
    <row r="1049" spans="1:9" hidden="1" x14ac:dyDescent="0.25">
      <c r="A1049" s="103" t="s">
        <v>2938</v>
      </c>
      <c r="B1049" s="104" t="s">
        <v>2939</v>
      </c>
      <c r="C1049" s="105" t="s">
        <v>2674</v>
      </c>
      <c r="D1049" s="105">
        <v>0</v>
      </c>
      <c r="E1049" s="124" t="s">
        <v>523</v>
      </c>
      <c r="F1049" s="125" t="str">
        <f t="shared" si="48"/>
        <v/>
      </c>
      <c r="G1049" s="126" t="e">
        <f>IF(A1049&lt;&gt;"",IF(AND(#REF!="Padrão",$H$4=#REF!),BDI!$B$17,IF(AND(#REF!="Padrão",$H$4=#REF!),BDI!#REF!,IF(AND(#REF!="Diferenciado",$H$4=#REF!),BDI!$E$17,IF(AND(#REF!="Diferenciado",$H$4=#REF!),BDI!#REF!,IF(#REF!="ZERO",0))))),"")</f>
        <v>#REF!</v>
      </c>
      <c r="H1049" s="127" t="str">
        <f t="shared" si="49"/>
        <v/>
      </c>
      <c r="I1049" s="125" t="str">
        <f t="shared" si="50"/>
        <v/>
      </c>
    </row>
    <row r="1050" spans="1:9" hidden="1" x14ac:dyDescent="0.25">
      <c r="A1050" s="103" t="s">
        <v>2940</v>
      </c>
      <c r="B1050" s="104" t="s">
        <v>2941</v>
      </c>
      <c r="C1050" s="105" t="s">
        <v>2674</v>
      </c>
      <c r="D1050" s="105">
        <v>0</v>
      </c>
      <c r="E1050" s="124" t="s">
        <v>523</v>
      </c>
      <c r="F1050" s="125" t="str">
        <f t="shared" si="48"/>
        <v/>
      </c>
      <c r="G1050" s="126" t="e">
        <f>IF(A1050&lt;&gt;"",IF(AND(#REF!="Padrão",$H$4=#REF!),BDI!$B$17,IF(AND(#REF!="Padrão",$H$4=#REF!),BDI!#REF!,IF(AND(#REF!="Diferenciado",$H$4=#REF!),BDI!$E$17,IF(AND(#REF!="Diferenciado",$H$4=#REF!),BDI!#REF!,IF(#REF!="ZERO",0))))),"")</f>
        <v>#REF!</v>
      </c>
      <c r="H1050" s="127" t="str">
        <f t="shared" si="49"/>
        <v/>
      </c>
      <c r="I1050" s="125" t="str">
        <f t="shared" si="50"/>
        <v/>
      </c>
    </row>
    <row r="1051" spans="1:9" hidden="1" x14ac:dyDescent="0.25">
      <c r="A1051" s="103" t="s">
        <v>2942</v>
      </c>
      <c r="B1051" s="104" t="s">
        <v>2943</v>
      </c>
      <c r="C1051" s="105" t="s">
        <v>20</v>
      </c>
      <c r="D1051" s="105">
        <v>0</v>
      </c>
      <c r="E1051" s="124" t="s">
        <v>523</v>
      </c>
      <c r="F1051" s="125" t="str">
        <f t="shared" si="48"/>
        <v/>
      </c>
      <c r="G1051" s="126" t="e">
        <f>IF(A1051&lt;&gt;"",IF(AND(#REF!="Padrão",$H$4=#REF!),BDI!$B$17,IF(AND(#REF!="Padrão",$H$4=#REF!),BDI!#REF!,IF(AND(#REF!="Diferenciado",$H$4=#REF!),BDI!$E$17,IF(AND(#REF!="Diferenciado",$H$4=#REF!),BDI!#REF!,IF(#REF!="ZERO",0))))),"")</f>
        <v>#REF!</v>
      </c>
      <c r="H1051" s="127" t="str">
        <f t="shared" si="49"/>
        <v/>
      </c>
      <c r="I1051" s="125" t="str">
        <f t="shared" si="50"/>
        <v/>
      </c>
    </row>
    <row r="1052" spans="1:9" hidden="1" x14ac:dyDescent="0.25">
      <c r="A1052" s="103" t="s">
        <v>2944</v>
      </c>
      <c r="B1052" s="104" t="s">
        <v>2945</v>
      </c>
      <c r="C1052" s="105" t="s">
        <v>580</v>
      </c>
      <c r="D1052" s="105">
        <v>0</v>
      </c>
      <c r="E1052" s="124" t="s">
        <v>523</v>
      </c>
      <c r="F1052" s="125" t="str">
        <f t="shared" si="48"/>
        <v/>
      </c>
      <c r="G1052" s="126" t="e">
        <f>IF(A1052&lt;&gt;"",IF(AND(#REF!="Padrão",$H$4=#REF!),BDI!$B$17,IF(AND(#REF!="Padrão",$H$4=#REF!),BDI!#REF!,IF(AND(#REF!="Diferenciado",$H$4=#REF!),BDI!$E$17,IF(AND(#REF!="Diferenciado",$H$4=#REF!),BDI!#REF!,IF(#REF!="ZERO",0))))),"")</f>
        <v>#REF!</v>
      </c>
      <c r="H1052" s="127" t="str">
        <f t="shared" si="49"/>
        <v/>
      </c>
      <c r="I1052" s="125" t="str">
        <f t="shared" si="50"/>
        <v/>
      </c>
    </row>
    <row r="1053" spans="1:9" hidden="1" x14ac:dyDescent="0.25">
      <c r="A1053" s="103" t="s">
        <v>2946</v>
      </c>
      <c r="B1053" s="104" t="s">
        <v>2947</v>
      </c>
      <c r="C1053" s="105" t="s">
        <v>580</v>
      </c>
      <c r="D1053" s="105">
        <v>0</v>
      </c>
      <c r="E1053" s="124" t="s">
        <v>523</v>
      </c>
      <c r="F1053" s="125" t="str">
        <f t="shared" si="48"/>
        <v/>
      </c>
      <c r="G1053" s="126" t="e">
        <f>IF(A1053&lt;&gt;"",IF(AND(#REF!="Padrão",$H$4=#REF!),BDI!$B$17,IF(AND(#REF!="Padrão",$H$4=#REF!),BDI!#REF!,IF(AND(#REF!="Diferenciado",$H$4=#REF!),BDI!$E$17,IF(AND(#REF!="Diferenciado",$H$4=#REF!),BDI!#REF!,IF(#REF!="ZERO",0))))),"")</f>
        <v>#REF!</v>
      </c>
      <c r="H1053" s="127" t="str">
        <f t="shared" si="49"/>
        <v/>
      </c>
      <c r="I1053" s="125" t="str">
        <f t="shared" si="50"/>
        <v/>
      </c>
    </row>
    <row r="1054" spans="1:9" hidden="1" x14ac:dyDescent="0.25">
      <c r="A1054" s="103" t="s">
        <v>2948</v>
      </c>
      <c r="B1054" s="104" t="s">
        <v>2949</v>
      </c>
      <c r="C1054" s="105" t="s">
        <v>2674</v>
      </c>
      <c r="D1054" s="105">
        <v>0</v>
      </c>
      <c r="E1054" s="124" t="s">
        <v>523</v>
      </c>
      <c r="F1054" s="125" t="str">
        <f t="shared" si="48"/>
        <v/>
      </c>
      <c r="G1054" s="126" t="e">
        <f>IF(A1054&lt;&gt;"",IF(AND(#REF!="Padrão",$H$4=#REF!),BDI!$B$17,IF(AND(#REF!="Padrão",$H$4=#REF!),BDI!#REF!,IF(AND(#REF!="Diferenciado",$H$4=#REF!),BDI!$E$17,IF(AND(#REF!="Diferenciado",$H$4=#REF!),BDI!#REF!,IF(#REF!="ZERO",0))))),"")</f>
        <v>#REF!</v>
      </c>
      <c r="H1054" s="127" t="str">
        <f t="shared" si="49"/>
        <v/>
      </c>
      <c r="I1054" s="125" t="str">
        <f t="shared" si="50"/>
        <v/>
      </c>
    </row>
    <row r="1055" spans="1:9" hidden="1" x14ac:dyDescent="0.25">
      <c r="A1055" s="103" t="s">
        <v>2950</v>
      </c>
      <c r="B1055" s="104" t="s">
        <v>6313</v>
      </c>
      <c r="C1055" s="105" t="s">
        <v>20</v>
      </c>
      <c r="D1055" s="105">
        <v>0</v>
      </c>
      <c r="E1055" s="124" t="s">
        <v>523</v>
      </c>
      <c r="F1055" s="125" t="str">
        <f t="shared" si="48"/>
        <v/>
      </c>
      <c r="G1055" s="126" t="e">
        <f>IF(A1055&lt;&gt;"",IF(AND(#REF!="Padrão",$H$4=#REF!),BDI!$B$17,IF(AND(#REF!="Padrão",$H$4=#REF!),BDI!#REF!,IF(AND(#REF!="Diferenciado",$H$4=#REF!),BDI!$E$17,IF(AND(#REF!="Diferenciado",$H$4=#REF!),BDI!#REF!,IF(#REF!="ZERO",0))))),"")</f>
        <v>#REF!</v>
      </c>
      <c r="H1055" s="127" t="str">
        <f t="shared" si="49"/>
        <v/>
      </c>
      <c r="I1055" s="125" t="str">
        <f t="shared" si="50"/>
        <v/>
      </c>
    </row>
    <row r="1056" spans="1:9" hidden="1" x14ac:dyDescent="0.25">
      <c r="A1056" s="103" t="s">
        <v>2951</v>
      </c>
      <c r="B1056" s="104" t="s">
        <v>2952</v>
      </c>
      <c r="C1056" s="105" t="s">
        <v>2674</v>
      </c>
      <c r="D1056" s="105">
        <v>0</v>
      </c>
      <c r="E1056" s="124" t="s">
        <v>523</v>
      </c>
      <c r="F1056" s="125" t="str">
        <f t="shared" si="48"/>
        <v/>
      </c>
      <c r="G1056" s="126" t="e">
        <f>IF(A1056&lt;&gt;"",IF(AND(#REF!="Padrão",$H$4=#REF!),BDI!$B$17,IF(AND(#REF!="Padrão",$H$4=#REF!),BDI!#REF!,IF(AND(#REF!="Diferenciado",$H$4=#REF!),BDI!$E$17,IF(AND(#REF!="Diferenciado",$H$4=#REF!),BDI!#REF!,IF(#REF!="ZERO",0))))),"")</f>
        <v>#REF!</v>
      </c>
      <c r="H1056" s="127" t="str">
        <f t="shared" si="49"/>
        <v/>
      </c>
      <c r="I1056" s="125" t="str">
        <f t="shared" si="50"/>
        <v/>
      </c>
    </row>
    <row r="1057" spans="1:9" hidden="1" x14ac:dyDescent="0.25">
      <c r="A1057" s="103" t="s">
        <v>2953</v>
      </c>
      <c r="B1057" s="104" t="s">
        <v>2954</v>
      </c>
      <c r="C1057" s="105" t="s">
        <v>1924</v>
      </c>
      <c r="D1057" s="105">
        <v>0</v>
      </c>
      <c r="E1057" s="124" t="s">
        <v>523</v>
      </c>
      <c r="F1057" s="125" t="str">
        <f t="shared" si="48"/>
        <v/>
      </c>
      <c r="G1057" s="126" t="e">
        <f>IF(A1057&lt;&gt;"",IF(AND(#REF!="Padrão",$H$4=#REF!),BDI!$B$17,IF(AND(#REF!="Padrão",$H$4=#REF!),BDI!#REF!,IF(AND(#REF!="Diferenciado",$H$4=#REF!),BDI!$E$17,IF(AND(#REF!="Diferenciado",$H$4=#REF!),BDI!#REF!,IF(#REF!="ZERO",0))))),"")</f>
        <v>#REF!</v>
      </c>
      <c r="H1057" s="127" t="str">
        <f t="shared" si="49"/>
        <v/>
      </c>
      <c r="I1057" s="125" t="str">
        <f t="shared" si="50"/>
        <v/>
      </c>
    </row>
    <row r="1058" spans="1:9" hidden="1" x14ac:dyDescent="0.25">
      <c r="A1058" s="103" t="s">
        <v>1126</v>
      </c>
      <c r="B1058" s="104" t="s">
        <v>2955</v>
      </c>
      <c r="C1058" s="105" t="s">
        <v>6268</v>
      </c>
      <c r="D1058" s="105">
        <v>0</v>
      </c>
      <c r="E1058" s="124">
        <f ca="1">OFFSET(INDEX(Composições!A:J,MATCH(Orçamentária!A1058,Composições!A:A,0),8),2,0)</f>
        <v>0.24795000000000003</v>
      </c>
      <c r="F1058" s="125">
        <f t="shared" ca="1" si="48"/>
        <v>0</v>
      </c>
      <c r="G1058" s="126" t="e">
        <f>IF(A1058&lt;&gt;"",IF(AND(#REF!="Padrão",$H$4=#REF!),BDI!$B$17,IF(AND(#REF!="Padrão",$H$4=#REF!),BDI!#REF!,IF(AND(#REF!="Diferenciado",$H$4=#REF!),BDI!$E$17,IF(AND(#REF!="Diferenciado",$H$4=#REF!),BDI!#REF!,IF(#REF!="ZERO",0))))),"")</f>
        <v>#REF!</v>
      </c>
      <c r="H1058" s="127" t="e">
        <f t="shared" ca="1" si="49"/>
        <v>#REF!</v>
      </c>
      <c r="I1058" s="125" t="e">
        <f t="shared" ca="1" si="50"/>
        <v>#REF!</v>
      </c>
    </row>
    <row r="1059" spans="1:9" hidden="1" x14ac:dyDescent="0.25">
      <c r="A1059" s="103" t="s">
        <v>1128</v>
      </c>
      <c r="B1059" s="104" t="s">
        <v>2956</v>
      </c>
      <c r="C1059" s="105" t="s">
        <v>93</v>
      </c>
      <c r="D1059" s="105">
        <v>0</v>
      </c>
      <c r="E1059" s="124">
        <f ca="1">OFFSET(INDEX(Composições!A:J,MATCH(Orçamentária!A1059,Composições!A:A,0),8),2,0)</f>
        <v>35.188289676679005</v>
      </c>
      <c r="F1059" s="125">
        <f t="shared" ca="1" si="48"/>
        <v>0</v>
      </c>
      <c r="G1059" s="126" t="e">
        <f>IF(A1059&lt;&gt;"",IF(AND(#REF!="Padrão",$H$4=#REF!),BDI!$B$17,IF(AND(#REF!="Padrão",$H$4=#REF!),BDI!#REF!,IF(AND(#REF!="Diferenciado",$H$4=#REF!),BDI!$E$17,IF(AND(#REF!="Diferenciado",$H$4=#REF!),BDI!#REF!,IF(#REF!="ZERO",0))))),"")</f>
        <v>#REF!</v>
      </c>
      <c r="H1059" s="127" t="e">
        <f t="shared" ca="1" si="49"/>
        <v>#REF!</v>
      </c>
      <c r="I1059" s="125" t="e">
        <f t="shared" ca="1" si="50"/>
        <v>#REF!</v>
      </c>
    </row>
    <row r="1060" spans="1:9" hidden="1" x14ac:dyDescent="0.25">
      <c r="A1060" s="103" t="s">
        <v>2957</v>
      </c>
      <c r="B1060" s="104" t="s">
        <v>6314</v>
      </c>
      <c r="C1060" s="105" t="s">
        <v>20</v>
      </c>
      <c r="D1060" s="105">
        <v>0</v>
      </c>
      <c r="E1060" s="124" t="s">
        <v>523</v>
      </c>
      <c r="F1060" s="125" t="str">
        <f t="shared" si="48"/>
        <v/>
      </c>
      <c r="G1060" s="126" t="e">
        <f>IF(A1060&lt;&gt;"",IF(AND(#REF!="Padrão",$H$4=#REF!),BDI!$B$17,IF(AND(#REF!="Padrão",$H$4=#REF!),BDI!#REF!,IF(AND(#REF!="Diferenciado",$H$4=#REF!),BDI!$E$17,IF(AND(#REF!="Diferenciado",$H$4=#REF!),BDI!#REF!,IF(#REF!="ZERO",0))))),"")</f>
        <v>#REF!</v>
      </c>
      <c r="H1060" s="127" t="str">
        <f t="shared" si="49"/>
        <v/>
      </c>
      <c r="I1060" s="125" t="str">
        <f t="shared" si="50"/>
        <v/>
      </c>
    </row>
    <row r="1061" spans="1:9" ht="25.5" hidden="1" x14ac:dyDescent="0.25">
      <c r="A1061" s="103" t="s">
        <v>2958</v>
      </c>
      <c r="B1061" s="104" t="s">
        <v>2959</v>
      </c>
      <c r="C1061" s="105" t="s">
        <v>20</v>
      </c>
      <c r="D1061" s="105">
        <v>0</v>
      </c>
      <c r="E1061" s="124" t="s">
        <v>523</v>
      </c>
      <c r="F1061" s="125" t="str">
        <f t="shared" si="48"/>
        <v/>
      </c>
      <c r="G1061" s="126" t="e">
        <f>IF(A1061&lt;&gt;"",IF(AND(#REF!="Padrão",$H$4=#REF!),BDI!$B$17,IF(AND(#REF!="Padrão",$H$4=#REF!),BDI!#REF!,IF(AND(#REF!="Diferenciado",$H$4=#REF!),BDI!$E$17,IF(AND(#REF!="Diferenciado",$H$4=#REF!),BDI!#REF!,IF(#REF!="ZERO",0))))),"")</f>
        <v>#REF!</v>
      </c>
      <c r="H1061" s="127" t="str">
        <f t="shared" si="49"/>
        <v/>
      </c>
      <c r="I1061" s="125" t="str">
        <f t="shared" si="50"/>
        <v/>
      </c>
    </row>
    <row r="1062" spans="1:9" hidden="1" x14ac:dyDescent="0.25">
      <c r="A1062" s="103" t="s">
        <v>2960</v>
      </c>
      <c r="B1062" s="104" t="s">
        <v>2961</v>
      </c>
      <c r="C1062" s="105" t="s">
        <v>20</v>
      </c>
      <c r="D1062" s="105">
        <v>0</v>
      </c>
      <c r="E1062" s="124" t="s">
        <v>523</v>
      </c>
      <c r="F1062" s="125" t="str">
        <f t="shared" si="48"/>
        <v/>
      </c>
      <c r="G1062" s="126" t="e">
        <f>IF(A1062&lt;&gt;"",IF(AND(#REF!="Padrão",$H$4=#REF!),BDI!$B$17,IF(AND(#REF!="Padrão",$H$4=#REF!),BDI!#REF!,IF(AND(#REF!="Diferenciado",$H$4=#REF!),BDI!$E$17,IF(AND(#REF!="Diferenciado",$H$4=#REF!),BDI!#REF!,IF(#REF!="ZERO",0))))),"")</f>
        <v>#REF!</v>
      </c>
      <c r="H1062" s="127" t="str">
        <f t="shared" si="49"/>
        <v/>
      </c>
      <c r="I1062" s="125" t="str">
        <f t="shared" si="50"/>
        <v/>
      </c>
    </row>
    <row r="1063" spans="1:9" hidden="1" x14ac:dyDescent="0.25">
      <c r="A1063" s="103" t="s">
        <v>2962</v>
      </c>
      <c r="B1063" s="104" t="s">
        <v>2963</v>
      </c>
      <c r="C1063" s="105" t="s">
        <v>20</v>
      </c>
      <c r="D1063" s="105">
        <v>0</v>
      </c>
      <c r="E1063" s="124" t="s">
        <v>523</v>
      </c>
      <c r="F1063" s="125" t="str">
        <f t="shared" si="48"/>
        <v/>
      </c>
      <c r="G1063" s="126" t="e">
        <f>IF(A1063&lt;&gt;"",IF(AND(#REF!="Padrão",$H$4=#REF!),BDI!$B$17,IF(AND(#REF!="Padrão",$H$4=#REF!),BDI!#REF!,IF(AND(#REF!="Diferenciado",$H$4=#REF!),BDI!$E$17,IF(AND(#REF!="Diferenciado",$H$4=#REF!),BDI!#REF!,IF(#REF!="ZERO",0))))),"")</f>
        <v>#REF!</v>
      </c>
      <c r="H1063" s="127" t="str">
        <f t="shared" si="49"/>
        <v/>
      </c>
      <c r="I1063" s="125" t="str">
        <f t="shared" si="50"/>
        <v/>
      </c>
    </row>
    <row r="1064" spans="1:9" hidden="1" x14ac:dyDescent="0.25">
      <c r="A1064" s="103" t="s">
        <v>1132</v>
      </c>
      <c r="B1064" s="104" t="s">
        <v>2964</v>
      </c>
      <c r="C1064" s="105" t="s">
        <v>95</v>
      </c>
      <c r="D1064" s="105">
        <v>0</v>
      </c>
      <c r="E1064" s="124">
        <f ca="1">OFFSET(INDEX(Composições!A:J,MATCH(Orçamentária!A1064,Composições!A:A,0),8),2,0)</f>
        <v>159.98002755000002</v>
      </c>
      <c r="F1064" s="125">
        <f t="shared" ca="1" si="48"/>
        <v>0</v>
      </c>
      <c r="G1064" s="126" t="e">
        <f>IF(A1064&lt;&gt;"",IF(AND(#REF!="Padrão",$H$4=#REF!),BDI!$B$17,IF(AND(#REF!="Padrão",$H$4=#REF!),BDI!#REF!,IF(AND(#REF!="Diferenciado",$H$4=#REF!),BDI!$E$17,IF(AND(#REF!="Diferenciado",$H$4=#REF!),BDI!#REF!,IF(#REF!="ZERO",0))))),"")</f>
        <v>#REF!</v>
      </c>
      <c r="H1064" s="127" t="e">
        <f t="shared" ca="1" si="49"/>
        <v>#REF!</v>
      </c>
      <c r="I1064" s="125" t="e">
        <f t="shared" ca="1" si="50"/>
        <v>#REF!</v>
      </c>
    </row>
    <row r="1065" spans="1:9" hidden="1" x14ac:dyDescent="0.25">
      <c r="A1065" s="103" t="s">
        <v>1134</v>
      </c>
      <c r="B1065" s="104" t="s">
        <v>2965</v>
      </c>
      <c r="C1065" s="105" t="s">
        <v>95</v>
      </c>
      <c r="D1065" s="105">
        <v>0</v>
      </c>
      <c r="E1065" s="124">
        <f ca="1">OFFSET(INDEX(Composições!A:J,MATCH(Orçamentária!A1065,Composições!A:A,0),8),2,0)</f>
        <v>592.89477484999998</v>
      </c>
      <c r="F1065" s="125">
        <f t="shared" ca="1" si="48"/>
        <v>0</v>
      </c>
      <c r="G1065" s="126" t="e">
        <f>IF(A1065&lt;&gt;"",IF(AND(#REF!="Padrão",$H$4=#REF!),BDI!$B$17,IF(AND(#REF!="Padrão",$H$4=#REF!),BDI!#REF!,IF(AND(#REF!="Diferenciado",$H$4=#REF!),BDI!$E$17,IF(AND(#REF!="Diferenciado",$H$4=#REF!),BDI!#REF!,IF(#REF!="ZERO",0))))),"")</f>
        <v>#REF!</v>
      </c>
      <c r="H1065" s="127" t="e">
        <f t="shared" ca="1" si="49"/>
        <v>#REF!</v>
      </c>
      <c r="I1065" s="125" t="e">
        <f t="shared" ca="1" si="50"/>
        <v>#REF!</v>
      </c>
    </row>
    <row r="1066" spans="1:9" hidden="1" x14ac:dyDescent="0.25">
      <c r="A1066" s="103" t="s">
        <v>1138</v>
      </c>
      <c r="B1066" s="104" t="s">
        <v>6315</v>
      </c>
      <c r="C1066" s="105" t="s">
        <v>95</v>
      </c>
      <c r="D1066" s="105">
        <v>0</v>
      </c>
      <c r="E1066" s="124">
        <f ca="1">OFFSET(INDEX(Composições!A:J,MATCH(Orçamentária!A1066,Composições!A:A,0),8),2,0)</f>
        <v>619.42902249999997</v>
      </c>
      <c r="F1066" s="125">
        <f t="shared" ca="1" si="48"/>
        <v>0</v>
      </c>
      <c r="G1066" s="126" t="e">
        <f>IF(A1066&lt;&gt;"",IF(AND(#REF!="Padrão",$H$4=#REF!),BDI!$B$17,IF(AND(#REF!="Padrão",$H$4=#REF!),BDI!#REF!,IF(AND(#REF!="Diferenciado",$H$4=#REF!),BDI!$E$17,IF(AND(#REF!="Diferenciado",$H$4=#REF!),BDI!#REF!,IF(#REF!="ZERO",0))))),"")</f>
        <v>#REF!</v>
      </c>
      <c r="H1066" s="127" t="e">
        <f t="shared" ca="1" si="49"/>
        <v>#REF!</v>
      </c>
      <c r="I1066" s="125" t="e">
        <f t="shared" ca="1" si="50"/>
        <v>#REF!</v>
      </c>
    </row>
    <row r="1067" spans="1:9" hidden="1" x14ac:dyDescent="0.25">
      <c r="A1067" s="103" t="s">
        <v>1140</v>
      </c>
      <c r="B1067" s="104" t="s">
        <v>2966</v>
      </c>
      <c r="C1067" s="105" t="s">
        <v>95</v>
      </c>
      <c r="D1067" s="105">
        <v>0</v>
      </c>
      <c r="E1067" s="124">
        <f ca="1">OFFSET(INDEX(Composições!A:J,MATCH(Orçamentária!A1067,Composições!A:A,0),8),2,0)</f>
        <v>474.98268634499993</v>
      </c>
      <c r="F1067" s="125">
        <f t="shared" ca="1" si="48"/>
        <v>0</v>
      </c>
      <c r="G1067" s="126" t="e">
        <f>IF(A1067&lt;&gt;"",IF(AND(#REF!="Padrão",$H$4=#REF!),BDI!$B$17,IF(AND(#REF!="Padrão",$H$4=#REF!),BDI!#REF!,IF(AND(#REF!="Diferenciado",$H$4=#REF!),BDI!$E$17,IF(AND(#REF!="Diferenciado",$H$4=#REF!),BDI!#REF!,IF(#REF!="ZERO",0))))),"")</f>
        <v>#REF!</v>
      </c>
      <c r="H1067" s="127" t="e">
        <f t="shared" ca="1" si="49"/>
        <v>#REF!</v>
      </c>
      <c r="I1067" s="125" t="e">
        <f t="shared" ca="1" si="50"/>
        <v>#REF!</v>
      </c>
    </row>
    <row r="1068" spans="1:9" hidden="1" x14ac:dyDescent="0.25">
      <c r="A1068" s="103" t="s">
        <v>1142</v>
      </c>
      <c r="B1068" s="104" t="s">
        <v>2967</v>
      </c>
      <c r="C1068" s="105" t="s">
        <v>20</v>
      </c>
      <c r="D1068" s="105">
        <v>0</v>
      </c>
      <c r="E1068" s="124">
        <f ca="1">OFFSET(INDEX(Composições!A:J,MATCH(Orçamentária!A1068,Composições!A:A,0),8),2,0)</f>
        <v>679.45291144999987</v>
      </c>
      <c r="F1068" s="125">
        <f t="shared" ca="1" si="48"/>
        <v>0</v>
      </c>
      <c r="G1068" s="126" t="e">
        <f>IF(A1068&lt;&gt;"",IF(AND(#REF!="Padrão",$H$4=#REF!),BDI!$B$17,IF(AND(#REF!="Padrão",$H$4=#REF!),BDI!#REF!,IF(AND(#REF!="Diferenciado",$H$4=#REF!),BDI!$E$17,IF(AND(#REF!="Diferenciado",$H$4=#REF!),BDI!#REF!,IF(#REF!="ZERO",0))))),"")</f>
        <v>#REF!</v>
      </c>
      <c r="H1068" s="127" t="e">
        <f t="shared" ca="1" si="49"/>
        <v>#REF!</v>
      </c>
      <c r="I1068" s="125" t="e">
        <f t="shared" ca="1" si="50"/>
        <v>#REF!</v>
      </c>
    </row>
    <row r="1069" spans="1:9" hidden="1" x14ac:dyDescent="0.25">
      <c r="A1069" s="103" t="s">
        <v>1152</v>
      </c>
      <c r="B1069" s="104" t="s">
        <v>2968</v>
      </c>
      <c r="C1069" s="105" t="s">
        <v>20</v>
      </c>
      <c r="D1069" s="105">
        <v>0</v>
      </c>
      <c r="E1069" s="124">
        <f ca="1">OFFSET(INDEX(Composições!A:J,MATCH(Orçamentária!A1069,Composições!A:A,0),8),2,0)</f>
        <v>4.9530263999999997</v>
      </c>
      <c r="F1069" s="125">
        <f t="shared" ca="1" si="48"/>
        <v>0</v>
      </c>
      <c r="G1069" s="126" t="e">
        <f>IF(A1069&lt;&gt;"",IF(AND(#REF!="Padrão",$H$4=#REF!),BDI!$B$17,IF(AND(#REF!="Padrão",$H$4=#REF!),BDI!#REF!,IF(AND(#REF!="Diferenciado",$H$4=#REF!),BDI!$E$17,IF(AND(#REF!="Diferenciado",$H$4=#REF!),BDI!#REF!,IF(#REF!="ZERO",0))))),"")</f>
        <v>#REF!</v>
      </c>
      <c r="H1069" s="127" t="e">
        <f t="shared" ca="1" si="49"/>
        <v>#REF!</v>
      </c>
      <c r="I1069" s="125" t="e">
        <f t="shared" ca="1" si="50"/>
        <v>#REF!</v>
      </c>
    </row>
    <row r="1070" spans="1:9" hidden="1" x14ac:dyDescent="0.25">
      <c r="A1070" s="103" t="s">
        <v>1154</v>
      </c>
      <c r="B1070" s="104" t="s">
        <v>2969</v>
      </c>
      <c r="C1070" s="105" t="s">
        <v>109</v>
      </c>
      <c r="D1070" s="105">
        <v>0</v>
      </c>
      <c r="E1070" s="124">
        <f ca="1">OFFSET(INDEX(Composições!A:J,MATCH(Orçamentária!A1070,Composições!A:A,0),8),2,0)</f>
        <v>1024.9289914163924</v>
      </c>
      <c r="F1070" s="125">
        <f t="shared" ca="1" si="48"/>
        <v>0</v>
      </c>
      <c r="G1070" s="126" t="e">
        <f>IF(A1070&lt;&gt;"",IF(AND(#REF!="Padrão",$H$4=#REF!),BDI!$B$17,IF(AND(#REF!="Padrão",$H$4=#REF!),BDI!#REF!,IF(AND(#REF!="Diferenciado",$H$4=#REF!),BDI!$E$17,IF(AND(#REF!="Diferenciado",$H$4=#REF!),BDI!#REF!,IF(#REF!="ZERO",0))))),"")</f>
        <v>#REF!</v>
      </c>
      <c r="H1070" s="127" t="e">
        <f t="shared" ca="1" si="49"/>
        <v>#REF!</v>
      </c>
      <c r="I1070" s="125" t="e">
        <f t="shared" ca="1" si="50"/>
        <v>#REF!</v>
      </c>
    </row>
    <row r="1071" spans="1:9" hidden="1" x14ac:dyDescent="0.25">
      <c r="A1071" s="103" t="s">
        <v>1163</v>
      </c>
      <c r="B1071" s="104" t="s">
        <v>2970</v>
      </c>
      <c r="C1071" s="105" t="s">
        <v>93</v>
      </c>
      <c r="D1071" s="105">
        <v>0</v>
      </c>
      <c r="E1071" s="124">
        <f ca="1">OFFSET(INDEX(Composições!A:J,MATCH(Orçamentária!A1071,Composições!A:A,0),8),2,0)</f>
        <v>15.322160500000001</v>
      </c>
      <c r="F1071" s="125">
        <f t="shared" ca="1" si="48"/>
        <v>0</v>
      </c>
      <c r="G1071" s="126" t="e">
        <f>IF(A1071&lt;&gt;"",IF(AND(#REF!="Padrão",$H$4=#REF!),BDI!$B$17,IF(AND(#REF!="Padrão",$H$4=#REF!),BDI!#REF!,IF(AND(#REF!="Diferenciado",$H$4=#REF!),BDI!$E$17,IF(AND(#REF!="Diferenciado",$H$4=#REF!),BDI!#REF!,IF(#REF!="ZERO",0))))),"")</f>
        <v>#REF!</v>
      </c>
      <c r="H1071" s="127" t="e">
        <f t="shared" ca="1" si="49"/>
        <v>#REF!</v>
      </c>
      <c r="I1071" s="125" t="e">
        <f t="shared" ca="1" si="50"/>
        <v>#REF!</v>
      </c>
    </row>
    <row r="1072" spans="1:9" hidden="1" x14ac:dyDescent="0.25">
      <c r="A1072" s="103" t="s">
        <v>2971</v>
      </c>
      <c r="B1072" s="104" t="s">
        <v>2972</v>
      </c>
      <c r="C1072" s="105" t="s">
        <v>20</v>
      </c>
      <c r="D1072" s="105">
        <v>0</v>
      </c>
      <c r="E1072" s="124" t="s">
        <v>523</v>
      </c>
      <c r="F1072" s="125" t="str">
        <f t="shared" si="48"/>
        <v/>
      </c>
      <c r="G1072" s="126" t="e">
        <f>IF(A1072&lt;&gt;"",IF(AND(#REF!="Padrão",$H$4=#REF!),BDI!$B$17,IF(AND(#REF!="Padrão",$H$4=#REF!),BDI!#REF!,IF(AND(#REF!="Diferenciado",$H$4=#REF!),BDI!$E$17,IF(AND(#REF!="Diferenciado",$H$4=#REF!),BDI!#REF!,IF(#REF!="ZERO",0))))),"")</f>
        <v>#REF!</v>
      </c>
      <c r="H1072" s="127" t="str">
        <f t="shared" si="49"/>
        <v/>
      </c>
      <c r="I1072" s="125" t="str">
        <f t="shared" si="50"/>
        <v/>
      </c>
    </row>
    <row r="1073" spans="1:9" hidden="1" x14ac:dyDescent="0.25">
      <c r="A1073" s="103" t="s">
        <v>1166</v>
      </c>
      <c r="B1073" s="104" t="s">
        <v>2973</v>
      </c>
      <c r="C1073" s="105" t="s">
        <v>93</v>
      </c>
      <c r="D1073" s="105">
        <v>0</v>
      </c>
      <c r="E1073" s="124">
        <f ca="1">OFFSET(INDEX(Composições!A:J,MATCH(Orçamentária!A1073,Composições!A:A,0),8),2,0)</f>
        <v>44.554999999999993</v>
      </c>
      <c r="F1073" s="125">
        <f t="shared" ca="1" si="48"/>
        <v>0</v>
      </c>
      <c r="G1073" s="126" t="e">
        <f>IF(A1073&lt;&gt;"",IF(AND(#REF!="Padrão",$H$4=#REF!),BDI!$B$17,IF(AND(#REF!="Padrão",$H$4=#REF!),BDI!#REF!,IF(AND(#REF!="Diferenciado",$H$4=#REF!),BDI!$E$17,IF(AND(#REF!="Diferenciado",$H$4=#REF!),BDI!#REF!,IF(#REF!="ZERO",0))))),"")</f>
        <v>#REF!</v>
      </c>
      <c r="H1073" s="127" t="e">
        <f t="shared" ca="1" si="49"/>
        <v>#REF!</v>
      </c>
      <c r="I1073" s="125" t="e">
        <f t="shared" ca="1" si="50"/>
        <v>#REF!</v>
      </c>
    </row>
    <row r="1074" spans="1:9" hidden="1" x14ac:dyDescent="0.25">
      <c r="A1074" s="103" t="s">
        <v>1168</v>
      </c>
      <c r="B1074" s="104" t="s">
        <v>2974</v>
      </c>
      <c r="C1074" s="105" t="s">
        <v>93</v>
      </c>
      <c r="D1074" s="105">
        <v>0</v>
      </c>
      <c r="E1074" s="124">
        <f ca="1">OFFSET(INDEX(Composições!A:J,MATCH(Orçamentária!A1074,Composições!A:A,0),8),2,0)</f>
        <v>29.018034999999998</v>
      </c>
      <c r="F1074" s="125">
        <f t="shared" ca="1" si="48"/>
        <v>0</v>
      </c>
      <c r="G1074" s="126" t="e">
        <f>IF(A1074&lt;&gt;"",IF(AND(#REF!="Padrão",$H$4=#REF!),BDI!$B$17,IF(AND(#REF!="Padrão",$H$4=#REF!),BDI!#REF!,IF(AND(#REF!="Diferenciado",$H$4=#REF!),BDI!$E$17,IF(AND(#REF!="Diferenciado",$H$4=#REF!),BDI!#REF!,IF(#REF!="ZERO",0))))),"")</f>
        <v>#REF!</v>
      </c>
      <c r="H1074" s="127" t="e">
        <f t="shared" ca="1" si="49"/>
        <v>#REF!</v>
      </c>
      <c r="I1074" s="125" t="e">
        <f t="shared" ca="1" si="50"/>
        <v>#REF!</v>
      </c>
    </row>
    <row r="1075" spans="1:9" hidden="1" x14ac:dyDescent="0.25">
      <c r="A1075" s="103" t="s">
        <v>1170</v>
      </c>
      <c r="B1075" s="104" t="s">
        <v>2975</v>
      </c>
      <c r="C1075" s="105" t="s">
        <v>95</v>
      </c>
      <c r="D1075" s="105">
        <v>0</v>
      </c>
      <c r="E1075" s="124">
        <f ca="1">OFFSET(INDEX(Composições!A:J,MATCH(Orçamentária!A1075,Composições!A:A,0),8),2,0)</f>
        <v>137.75253650000002</v>
      </c>
      <c r="F1075" s="125">
        <f t="shared" ca="1" si="48"/>
        <v>0</v>
      </c>
      <c r="G1075" s="126" t="e">
        <f>IF(A1075&lt;&gt;"",IF(AND(#REF!="Padrão",$H$4=#REF!),BDI!$B$17,IF(AND(#REF!="Padrão",$H$4=#REF!),BDI!#REF!,IF(AND(#REF!="Diferenciado",$H$4=#REF!),BDI!$E$17,IF(AND(#REF!="Diferenciado",$H$4=#REF!),BDI!#REF!,IF(#REF!="ZERO",0))))),"")</f>
        <v>#REF!</v>
      </c>
      <c r="H1075" s="127" t="e">
        <f t="shared" ca="1" si="49"/>
        <v>#REF!</v>
      </c>
      <c r="I1075" s="125" t="e">
        <f t="shared" ca="1" si="50"/>
        <v>#REF!</v>
      </c>
    </row>
    <row r="1076" spans="1:9" hidden="1" x14ac:dyDescent="0.25">
      <c r="A1076" s="103" t="s">
        <v>1172</v>
      </c>
      <c r="B1076" s="104" t="s">
        <v>2976</v>
      </c>
      <c r="C1076" s="105" t="s">
        <v>20</v>
      </c>
      <c r="D1076" s="105">
        <v>0</v>
      </c>
      <c r="E1076" s="124">
        <f ca="1">OFFSET(INDEX(Composições!A:J,MATCH(Orçamentária!A1076,Composições!A:A,0),8),2,0)</f>
        <v>36.601980149999996</v>
      </c>
      <c r="F1076" s="125">
        <f t="shared" ca="1" si="48"/>
        <v>0</v>
      </c>
      <c r="G1076" s="126" t="e">
        <f>IF(A1076&lt;&gt;"",IF(AND(#REF!="Padrão",$H$4=#REF!),BDI!$B$17,IF(AND(#REF!="Padrão",$H$4=#REF!),BDI!#REF!,IF(AND(#REF!="Diferenciado",$H$4=#REF!),BDI!$E$17,IF(AND(#REF!="Diferenciado",$H$4=#REF!),BDI!#REF!,IF(#REF!="ZERO",0))))),"")</f>
        <v>#REF!</v>
      </c>
      <c r="H1076" s="127" t="e">
        <f t="shared" ca="1" si="49"/>
        <v>#REF!</v>
      </c>
      <c r="I1076" s="125" t="e">
        <f t="shared" ca="1" si="50"/>
        <v>#REF!</v>
      </c>
    </row>
    <row r="1077" spans="1:9" hidden="1" x14ac:dyDescent="0.25">
      <c r="A1077" s="103" t="s">
        <v>1174</v>
      </c>
      <c r="B1077" s="104" t="s">
        <v>2977</v>
      </c>
      <c r="C1077" s="105" t="s">
        <v>95</v>
      </c>
      <c r="D1077" s="105">
        <v>0</v>
      </c>
      <c r="E1077" s="124">
        <f ca="1">OFFSET(INDEX(Composições!A:J,MATCH(Orçamentária!A1077,Composições!A:A,0),8),2,0)</f>
        <v>161.59544650000001</v>
      </c>
      <c r="F1077" s="125">
        <f t="shared" ca="1" si="48"/>
        <v>0</v>
      </c>
      <c r="G1077" s="126" t="e">
        <f>IF(A1077&lt;&gt;"",IF(AND(#REF!="Padrão",$H$4=#REF!),BDI!$B$17,IF(AND(#REF!="Padrão",$H$4=#REF!),BDI!#REF!,IF(AND(#REF!="Diferenciado",$H$4=#REF!),BDI!$E$17,IF(AND(#REF!="Diferenciado",$H$4=#REF!),BDI!#REF!,IF(#REF!="ZERO",0))))),"")</f>
        <v>#REF!</v>
      </c>
      <c r="H1077" s="127" t="e">
        <f t="shared" ca="1" si="49"/>
        <v>#REF!</v>
      </c>
      <c r="I1077" s="125" t="e">
        <f t="shared" ca="1" si="50"/>
        <v>#REF!</v>
      </c>
    </row>
    <row r="1078" spans="1:9" hidden="1" x14ac:dyDescent="0.25">
      <c r="A1078" s="103" t="s">
        <v>1175</v>
      </c>
      <c r="B1078" s="104" t="s">
        <v>2978</v>
      </c>
      <c r="C1078" s="105" t="s">
        <v>95</v>
      </c>
      <c r="D1078" s="105">
        <v>0</v>
      </c>
      <c r="E1078" s="124">
        <f ca="1">OFFSET(INDEX(Composições!A:J,MATCH(Orçamentária!A1078,Composições!A:A,0),8),2,0)</f>
        <v>102.06211950000001</v>
      </c>
      <c r="F1078" s="125">
        <f t="shared" ca="1" si="48"/>
        <v>0</v>
      </c>
      <c r="G1078" s="126" t="e">
        <f>IF(A1078&lt;&gt;"",IF(AND(#REF!="Padrão",$H$4=#REF!),BDI!$B$17,IF(AND(#REF!="Padrão",$H$4=#REF!),BDI!#REF!,IF(AND(#REF!="Diferenciado",$H$4=#REF!),BDI!$E$17,IF(AND(#REF!="Diferenciado",$H$4=#REF!),BDI!#REF!,IF(#REF!="ZERO",0))))),"")</f>
        <v>#REF!</v>
      </c>
      <c r="H1078" s="127" t="e">
        <f t="shared" ca="1" si="49"/>
        <v>#REF!</v>
      </c>
      <c r="I1078" s="125" t="e">
        <f t="shared" ca="1" si="50"/>
        <v>#REF!</v>
      </c>
    </row>
    <row r="1079" spans="1:9" hidden="1" x14ac:dyDescent="0.25">
      <c r="A1079" s="103" t="s">
        <v>1176</v>
      </c>
      <c r="B1079" s="104" t="s">
        <v>2979</v>
      </c>
      <c r="C1079" s="105" t="s">
        <v>20</v>
      </c>
      <c r="D1079" s="105">
        <v>0</v>
      </c>
      <c r="E1079" s="124">
        <f ca="1">OFFSET(INDEX(Composições!A:J,MATCH(Orçamentária!A1079,Composições!A:A,0),8),2,0)</f>
        <v>124.89469494303799</v>
      </c>
      <c r="F1079" s="125">
        <f t="shared" ca="1" si="48"/>
        <v>0</v>
      </c>
      <c r="G1079" s="126" t="e">
        <f>IF(A1079&lt;&gt;"",IF(AND(#REF!="Padrão",$H$4=#REF!),BDI!$B$17,IF(AND(#REF!="Padrão",$H$4=#REF!),BDI!#REF!,IF(AND(#REF!="Diferenciado",$H$4=#REF!),BDI!$E$17,IF(AND(#REF!="Diferenciado",$H$4=#REF!),BDI!#REF!,IF(#REF!="ZERO",0))))),"")</f>
        <v>#REF!</v>
      </c>
      <c r="H1079" s="127" t="e">
        <f t="shared" ca="1" si="49"/>
        <v>#REF!</v>
      </c>
      <c r="I1079" s="125" t="e">
        <f t="shared" ca="1" si="50"/>
        <v>#REF!</v>
      </c>
    </row>
    <row r="1080" spans="1:9" hidden="1" x14ac:dyDescent="0.25">
      <c r="A1080" s="103" t="s">
        <v>2980</v>
      </c>
      <c r="B1080" s="104" t="s">
        <v>2981</v>
      </c>
      <c r="C1080" s="105" t="s">
        <v>20</v>
      </c>
      <c r="D1080" s="105">
        <v>0</v>
      </c>
      <c r="E1080" s="124" t="s">
        <v>523</v>
      </c>
      <c r="F1080" s="125" t="str">
        <f t="shared" si="48"/>
        <v/>
      </c>
      <c r="G1080" s="126" t="e">
        <f>IF(A1080&lt;&gt;"",IF(AND(#REF!="Padrão",$H$4=#REF!),BDI!$B$17,IF(AND(#REF!="Padrão",$H$4=#REF!),BDI!#REF!,IF(AND(#REF!="Diferenciado",$H$4=#REF!),BDI!$E$17,IF(AND(#REF!="Diferenciado",$H$4=#REF!),BDI!#REF!,IF(#REF!="ZERO",0))))),"")</f>
        <v>#REF!</v>
      </c>
      <c r="H1080" s="127" t="str">
        <f t="shared" si="49"/>
        <v/>
      </c>
      <c r="I1080" s="125" t="str">
        <f t="shared" si="50"/>
        <v/>
      </c>
    </row>
    <row r="1081" spans="1:9" hidden="1" x14ac:dyDescent="0.25">
      <c r="A1081" s="103" t="s">
        <v>1178</v>
      </c>
      <c r="B1081" s="104" t="s">
        <v>2982</v>
      </c>
      <c r="C1081" s="105" t="s">
        <v>95</v>
      </c>
      <c r="D1081" s="105">
        <v>0</v>
      </c>
      <c r="E1081" s="124">
        <f ca="1">OFFSET(INDEX(Composições!A:J,MATCH(Orçamentária!A1081,Composições!A:A,0),8),2,0)</f>
        <v>29.618720000000003</v>
      </c>
      <c r="F1081" s="125">
        <f t="shared" ca="1" si="48"/>
        <v>0</v>
      </c>
      <c r="G1081" s="126" t="e">
        <f>IF(A1081&lt;&gt;"",IF(AND(#REF!="Padrão",$H$4=#REF!),BDI!$B$17,IF(AND(#REF!="Padrão",$H$4=#REF!),BDI!#REF!,IF(AND(#REF!="Diferenciado",$H$4=#REF!),BDI!$E$17,IF(AND(#REF!="Diferenciado",$H$4=#REF!),BDI!#REF!,IF(#REF!="ZERO",0))))),"")</f>
        <v>#REF!</v>
      </c>
      <c r="H1081" s="127" t="e">
        <f t="shared" ca="1" si="49"/>
        <v>#REF!</v>
      </c>
      <c r="I1081" s="125" t="e">
        <f t="shared" ca="1" si="50"/>
        <v>#REF!</v>
      </c>
    </row>
    <row r="1082" spans="1:9" hidden="1" x14ac:dyDescent="0.25">
      <c r="A1082" s="103" t="s">
        <v>1180</v>
      </c>
      <c r="B1082" s="104" t="s">
        <v>2983</v>
      </c>
      <c r="C1082" s="105" t="s">
        <v>109</v>
      </c>
      <c r="D1082" s="105">
        <v>0</v>
      </c>
      <c r="E1082" s="124">
        <f ca="1">OFFSET(INDEX(Composições!A:J,MATCH(Orçamentária!A1082,Composições!A:A,0),8),2,0)</f>
        <v>202.46837474999995</v>
      </c>
      <c r="F1082" s="125">
        <f t="shared" ca="1" si="48"/>
        <v>0</v>
      </c>
      <c r="G1082" s="126" t="e">
        <f>IF(A1082&lt;&gt;"",IF(AND(#REF!="Padrão",$H$4=#REF!),BDI!$B$17,IF(AND(#REF!="Padrão",$H$4=#REF!),BDI!#REF!,IF(AND(#REF!="Diferenciado",$H$4=#REF!),BDI!$E$17,IF(AND(#REF!="Diferenciado",$H$4=#REF!),BDI!#REF!,IF(#REF!="ZERO",0))))),"")</f>
        <v>#REF!</v>
      </c>
      <c r="H1082" s="127" t="e">
        <f t="shared" ca="1" si="49"/>
        <v>#REF!</v>
      </c>
      <c r="I1082" s="125" t="e">
        <f t="shared" ca="1" si="50"/>
        <v>#REF!</v>
      </c>
    </row>
    <row r="1083" spans="1:9" hidden="1" x14ac:dyDescent="0.25">
      <c r="A1083" s="103" t="s">
        <v>1182</v>
      </c>
      <c r="B1083" s="104" t="s">
        <v>2984</v>
      </c>
      <c r="C1083" s="105" t="s">
        <v>93</v>
      </c>
      <c r="D1083" s="105">
        <v>0</v>
      </c>
      <c r="E1083" s="124">
        <f ca="1">OFFSET(INDEX(Composições!A:J,MATCH(Orçamentária!A1083,Composições!A:A,0),8),2,0)</f>
        <v>814.34247949999997</v>
      </c>
      <c r="F1083" s="125">
        <f t="shared" ca="1" si="48"/>
        <v>0</v>
      </c>
      <c r="G1083" s="126" t="e">
        <f>IF(A1083&lt;&gt;"",IF(AND(#REF!="Padrão",$H$4=#REF!),BDI!$B$17,IF(AND(#REF!="Padrão",$H$4=#REF!),BDI!#REF!,IF(AND(#REF!="Diferenciado",$H$4=#REF!),BDI!$E$17,IF(AND(#REF!="Diferenciado",$H$4=#REF!),BDI!#REF!,IF(#REF!="ZERO",0))))),"")</f>
        <v>#REF!</v>
      </c>
      <c r="H1083" s="127" t="e">
        <f t="shared" ca="1" si="49"/>
        <v>#REF!</v>
      </c>
      <c r="I1083" s="125" t="e">
        <f t="shared" ca="1" si="50"/>
        <v>#REF!</v>
      </c>
    </row>
    <row r="1084" spans="1:9" hidden="1" x14ac:dyDescent="0.25">
      <c r="A1084" s="103" t="s">
        <v>2985</v>
      </c>
      <c r="B1084" s="104" t="s">
        <v>2986</v>
      </c>
      <c r="C1084" s="105" t="s">
        <v>95</v>
      </c>
      <c r="D1084" s="105">
        <v>0</v>
      </c>
      <c r="E1084" s="124" t="s">
        <v>523</v>
      </c>
      <c r="F1084" s="125" t="str">
        <f t="shared" si="48"/>
        <v/>
      </c>
      <c r="G1084" s="126" t="e">
        <f>IF(A1084&lt;&gt;"",IF(AND(#REF!="Padrão",$H$4=#REF!),BDI!$B$17,IF(AND(#REF!="Padrão",$H$4=#REF!),BDI!#REF!,IF(AND(#REF!="Diferenciado",$H$4=#REF!),BDI!$E$17,IF(AND(#REF!="Diferenciado",$H$4=#REF!),BDI!#REF!,IF(#REF!="ZERO",0))))),"")</f>
        <v>#REF!</v>
      </c>
      <c r="H1084" s="127" t="str">
        <f t="shared" si="49"/>
        <v/>
      </c>
      <c r="I1084" s="125" t="str">
        <f t="shared" si="50"/>
        <v/>
      </c>
    </row>
    <row r="1085" spans="1:9" hidden="1" x14ac:dyDescent="0.25">
      <c r="A1085" s="103" t="s">
        <v>1189</v>
      </c>
      <c r="B1085" s="104" t="s">
        <v>2987</v>
      </c>
      <c r="C1085" s="105" t="s">
        <v>93</v>
      </c>
      <c r="D1085" s="105">
        <v>0</v>
      </c>
      <c r="E1085" s="124">
        <f ca="1">OFFSET(INDEX(Composições!A:J,MATCH(Orçamentária!A1085,Composições!A:A,0),8),2,0)</f>
        <v>2.2961500000000004</v>
      </c>
      <c r="F1085" s="125">
        <f t="shared" ca="1" si="48"/>
        <v>0</v>
      </c>
      <c r="G1085" s="126" t="e">
        <f>IF(A1085&lt;&gt;"",IF(AND(#REF!="Padrão",$H$4=#REF!),BDI!$B$17,IF(AND(#REF!="Padrão",$H$4=#REF!),BDI!#REF!,IF(AND(#REF!="Diferenciado",$H$4=#REF!),BDI!$E$17,IF(AND(#REF!="Diferenciado",$H$4=#REF!),BDI!#REF!,IF(#REF!="ZERO",0))))),"")</f>
        <v>#REF!</v>
      </c>
      <c r="H1085" s="127" t="e">
        <f t="shared" ca="1" si="49"/>
        <v>#REF!</v>
      </c>
      <c r="I1085" s="125" t="e">
        <f t="shared" ca="1" si="50"/>
        <v>#REF!</v>
      </c>
    </row>
    <row r="1086" spans="1:9" hidden="1" x14ac:dyDescent="0.25">
      <c r="A1086" s="103" t="s">
        <v>2988</v>
      </c>
      <c r="B1086" s="104" t="s">
        <v>2989</v>
      </c>
      <c r="C1086" s="105" t="s">
        <v>93</v>
      </c>
      <c r="D1086" s="105">
        <v>0</v>
      </c>
      <c r="E1086" s="124" t="s">
        <v>523</v>
      </c>
      <c r="F1086" s="125" t="str">
        <f t="shared" si="48"/>
        <v/>
      </c>
      <c r="G1086" s="126" t="e">
        <f>IF(A1086&lt;&gt;"",IF(AND(#REF!="Padrão",$H$4=#REF!),BDI!$B$17,IF(AND(#REF!="Padrão",$H$4=#REF!),BDI!#REF!,IF(AND(#REF!="Diferenciado",$H$4=#REF!),BDI!$E$17,IF(AND(#REF!="Diferenciado",$H$4=#REF!),BDI!#REF!,IF(#REF!="ZERO",0))))),"")</f>
        <v>#REF!</v>
      </c>
      <c r="H1086" s="127" t="str">
        <f t="shared" si="49"/>
        <v/>
      </c>
      <c r="I1086" s="125" t="str">
        <f t="shared" si="50"/>
        <v/>
      </c>
    </row>
    <row r="1087" spans="1:9" hidden="1" x14ac:dyDescent="0.25">
      <c r="A1087" s="103" t="s">
        <v>1191</v>
      </c>
      <c r="B1087" s="104" t="s">
        <v>2990</v>
      </c>
      <c r="C1087" s="105" t="s">
        <v>12</v>
      </c>
      <c r="D1087" s="105">
        <v>0</v>
      </c>
      <c r="E1087" s="124">
        <f ca="1">OFFSET(INDEX(Composições!A:J,MATCH(Orçamentária!A1087,Composições!A:A,0),8),2,0)</f>
        <v>2.7075</v>
      </c>
      <c r="F1087" s="125">
        <f t="shared" ca="1" si="48"/>
        <v>0</v>
      </c>
      <c r="G1087" s="126" t="e">
        <f>IF(A1087&lt;&gt;"",IF(AND(#REF!="Padrão",$H$4=#REF!),BDI!$B$17,IF(AND(#REF!="Padrão",$H$4=#REF!),BDI!#REF!,IF(AND(#REF!="Diferenciado",$H$4=#REF!),BDI!$E$17,IF(AND(#REF!="Diferenciado",$H$4=#REF!),BDI!#REF!,IF(#REF!="ZERO",0))))),"")</f>
        <v>#REF!</v>
      </c>
      <c r="H1087" s="127" t="e">
        <f t="shared" ca="1" si="49"/>
        <v>#REF!</v>
      </c>
      <c r="I1087" s="125" t="e">
        <f t="shared" ca="1" si="50"/>
        <v>#REF!</v>
      </c>
    </row>
    <row r="1088" spans="1:9" hidden="1" x14ac:dyDescent="0.25">
      <c r="A1088" s="103" t="s">
        <v>1193</v>
      </c>
      <c r="B1088" s="104" t="s">
        <v>2991</v>
      </c>
      <c r="C1088" s="105" t="s">
        <v>12</v>
      </c>
      <c r="D1088" s="105">
        <v>0</v>
      </c>
      <c r="E1088" s="124">
        <f ca="1">OFFSET(INDEX(Composições!A:J,MATCH(Orçamentária!A1088,Composições!A:A,0),8),2,0)</f>
        <v>1.3566</v>
      </c>
      <c r="F1088" s="125">
        <f t="shared" ca="1" si="48"/>
        <v>0</v>
      </c>
      <c r="G1088" s="126" t="e">
        <f>IF(A1088&lt;&gt;"",IF(AND(#REF!="Padrão",$H$4=#REF!),BDI!$B$17,IF(AND(#REF!="Padrão",$H$4=#REF!),BDI!#REF!,IF(AND(#REF!="Diferenciado",$H$4=#REF!),BDI!$E$17,IF(AND(#REF!="Diferenciado",$H$4=#REF!),BDI!#REF!,IF(#REF!="ZERO",0))))),"")</f>
        <v>#REF!</v>
      </c>
      <c r="H1088" s="127" t="e">
        <f t="shared" ca="1" si="49"/>
        <v>#REF!</v>
      </c>
      <c r="I1088" s="125" t="e">
        <f t="shared" ca="1" si="50"/>
        <v>#REF!</v>
      </c>
    </row>
    <row r="1089" spans="1:9" hidden="1" x14ac:dyDescent="0.25">
      <c r="A1089" s="103" t="s">
        <v>2992</v>
      </c>
      <c r="B1089" s="104" t="s">
        <v>2993</v>
      </c>
      <c r="C1089" s="105" t="s">
        <v>20</v>
      </c>
      <c r="D1089" s="105">
        <v>0</v>
      </c>
      <c r="E1089" s="124" t="s">
        <v>523</v>
      </c>
      <c r="F1089" s="125" t="str">
        <f t="shared" si="48"/>
        <v/>
      </c>
      <c r="G1089" s="126" t="e">
        <f>IF(A1089&lt;&gt;"",IF(AND(#REF!="Padrão",$H$4=#REF!),BDI!$B$17,IF(AND(#REF!="Padrão",$H$4=#REF!),BDI!#REF!,IF(AND(#REF!="Diferenciado",$H$4=#REF!),BDI!$E$17,IF(AND(#REF!="Diferenciado",$H$4=#REF!),BDI!#REF!,IF(#REF!="ZERO",0))))),"")</f>
        <v>#REF!</v>
      </c>
      <c r="H1089" s="127" t="str">
        <f t="shared" si="49"/>
        <v/>
      </c>
      <c r="I1089" s="125" t="str">
        <f t="shared" si="50"/>
        <v/>
      </c>
    </row>
    <row r="1090" spans="1:9" hidden="1" x14ac:dyDescent="0.25">
      <c r="A1090" s="103" t="s">
        <v>2994</v>
      </c>
      <c r="B1090" s="104" t="s">
        <v>2995</v>
      </c>
      <c r="C1090" s="105" t="s">
        <v>20</v>
      </c>
      <c r="D1090" s="105">
        <v>0</v>
      </c>
      <c r="E1090" s="124" t="s">
        <v>523</v>
      </c>
      <c r="F1090" s="125" t="str">
        <f t="shared" si="48"/>
        <v/>
      </c>
      <c r="G1090" s="126" t="e">
        <f>IF(A1090&lt;&gt;"",IF(AND(#REF!="Padrão",$H$4=#REF!),BDI!$B$17,IF(AND(#REF!="Padrão",$H$4=#REF!),BDI!#REF!,IF(AND(#REF!="Diferenciado",$H$4=#REF!),BDI!$E$17,IF(AND(#REF!="Diferenciado",$H$4=#REF!),BDI!#REF!,IF(#REF!="ZERO",0))))),"")</f>
        <v>#REF!</v>
      </c>
      <c r="H1090" s="127" t="str">
        <f t="shared" si="49"/>
        <v/>
      </c>
      <c r="I1090" s="125" t="str">
        <f t="shared" si="50"/>
        <v/>
      </c>
    </row>
    <row r="1091" spans="1:9" hidden="1" x14ac:dyDescent="0.25">
      <c r="A1091" s="103" t="s">
        <v>2996</v>
      </c>
      <c r="B1091" s="104" t="s">
        <v>2997</v>
      </c>
      <c r="C1091" s="105" t="s">
        <v>20</v>
      </c>
      <c r="D1091" s="105">
        <v>0</v>
      </c>
      <c r="E1091" s="124" t="s">
        <v>523</v>
      </c>
      <c r="F1091" s="125" t="str">
        <f t="shared" si="48"/>
        <v/>
      </c>
      <c r="G1091" s="126" t="e">
        <f>IF(A1091&lt;&gt;"",IF(AND(#REF!="Padrão",$H$4=#REF!),BDI!$B$17,IF(AND(#REF!="Padrão",$H$4=#REF!),BDI!#REF!,IF(AND(#REF!="Diferenciado",$H$4=#REF!),BDI!$E$17,IF(AND(#REF!="Diferenciado",$H$4=#REF!),BDI!#REF!,IF(#REF!="ZERO",0))))),"")</f>
        <v>#REF!</v>
      </c>
      <c r="H1091" s="127" t="str">
        <f t="shared" si="49"/>
        <v/>
      </c>
      <c r="I1091" s="125" t="str">
        <f t="shared" si="50"/>
        <v/>
      </c>
    </row>
    <row r="1092" spans="1:9" hidden="1" x14ac:dyDescent="0.25">
      <c r="A1092" s="103" t="s">
        <v>2998</v>
      </c>
      <c r="B1092" s="104" t="s">
        <v>2999</v>
      </c>
      <c r="C1092" s="105" t="s">
        <v>1924</v>
      </c>
      <c r="D1092" s="105">
        <v>0</v>
      </c>
      <c r="E1092" s="124" t="s">
        <v>523</v>
      </c>
      <c r="F1092" s="125" t="str">
        <f t="shared" si="48"/>
        <v/>
      </c>
      <c r="G1092" s="126" t="e">
        <f>IF(A1092&lt;&gt;"",IF(AND(#REF!="Padrão",$H$4=#REF!),BDI!$B$17,IF(AND(#REF!="Padrão",$H$4=#REF!),BDI!#REF!,IF(AND(#REF!="Diferenciado",$H$4=#REF!),BDI!$E$17,IF(AND(#REF!="Diferenciado",$H$4=#REF!),BDI!#REF!,IF(#REF!="ZERO",0))))),"")</f>
        <v>#REF!</v>
      </c>
      <c r="H1092" s="127" t="str">
        <f t="shared" si="49"/>
        <v/>
      </c>
      <c r="I1092" s="125" t="str">
        <f t="shared" si="50"/>
        <v/>
      </c>
    </row>
    <row r="1093" spans="1:9" hidden="1" x14ac:dyDescent="0.25">
      <c r="A1093" s="103" t="s">
        <v>1195</v>
      </c>
      <c r="B1093" s="104" t="s">
        <v>6316</v>
      </c>
      <c r="C1093" s="105" t="s">
        <v>20</v>
      </c>
      <c r="D1093" s="105">
        <v>0</v>
      </c>
      <c r="E1093" s="124">
        <f ca="1">OFFSET(INDEX(Composições!A:J,MATCH(Orçamentária!A1093,Composições!A:A,0),8),2,0)</f>
        <v>49.006479599999992</v>
      </c>
      <c r="F1093" s="125">
        <f t="shared" ca="1" si="48"/>
        <v>0</v>
      </c>
      <c r="G1093" s="126" t="e">
        <f>IF(A1093&lt;&gt;"",IF(AND(#REF!="Padrão",$H$4=#REF!),BDI!$B$17,IF(AND(#REF!="Padrão",$H$4=#REF!),BDI!#REF!,IF(AND(#REF!="Diferenciado",$H$4=#REF!),BDI!$E$17,IF(AND(#REF!="Diferenciado",$H$4=#REF!),BDI!#REF!,IF(#REF!="ZERO",0))))),"")</f>
        <v>#REF!</v>
      </c>
      <c r="H1093" s="127" t="e">
        <f t="shared" ca="1" si="49"/>
        <v>#REF!</v>
      </c>
      <c r="I1093" s="125" t="e">
        <f t="shared" ca="1" si="50"/>
        <v>#REF!</v>
      </c>
    </row>
    <row r="1094" spans="1:9" hidden="1" x14ac:dyDescent="0.25">
      <c r="A1094" s="103" t="s">
        <v>1200</v>
      </c>
      <c r="B1094" s="104" t="s">
        <v>6317</v>
      </c>
      <c r="C1094" s="105" t="s">
        <v>20</v>
      </c>
      <c r="D1094" s="105">
        <v>0</v>
      </c>
      <c r="E1094" s="124">
        <f ca="1">OFFSET(INDEX(Composições!A:J,MATCH(Orçamentária!A1094,Composições!A:A,0),8),2,0)</f>
        <v>74.705843499999986</v>
      </c>
      <c r="F1094" s="125">
        <f t="shared" ca="1" si="48"/>
        <v>0</v>
      </c>
      <c r="G1094" s="126" t="e">
        <f>IF(A1094&lt;&gt;"",IF(AND(#REF!="Padrão",$H$4=#REF!),BDI!$B$17,IF(AND(#REF!="Padrão",$H$4=#REF!),BDI!#REF!,IF(AND(#REF!="Diferenciado",$H$4=#REF!),BDI!$E$17,IF(AND(#REF!="Diferenciado",$H$4=#REF!),BDI!#REF!,IF(#REF!="ZERO",0))))),"")</f>
        <v>#REF!</v>
      </c>
      <c r="H1094" s="127" t="e">
        <f t="shared" ca="1" si="49"/>
        <v>#REF!</v>
      </c>
      <c r="I1094" s="125" t="e">
        <f t="shared" ca="1" si="50"/>
        <v>#REF!</v>
      </c>
    </row>
    <row r="1095" spans="1:9" hidden="1" x14ac:dyDescent="0.25">
      <c r="A1095" s="103" t="s">
        <v>1202</v>
      </c>
      <c r="B1095" s="104" t="s">
        <v>6318</v>
      </c>
      <c r="C1095" s="105" t="s">
        <v>20</v>
      </c>
      <c r="D1095" s="105">
        <v>0</v>
      </c>
      <c r="E1095" s="124">
        <f ca="1">OFFSET(INDEX(Composições!A:J,MATCH(Orçamentária!A1095,Composições!A:A,0),8),2,0)</f>
        <v>17.859219100000001</v>
      </c>
      <c r="F1095" s="125">
        <f t="shared" ref="F1095:F1158" ca="1" si="51">IF(ISNUMBER(E1095),D1095*E1095,"")</f>
        <v>0</v>
      </c>
      <c r="G1095" s="126" t="e">
        <f>IF(A1095&lt;&gt;"",IF(AND(#REF!="Padrão",$H$4=#REF!),BDI!$B$17,IF(AND(#REF!="Padrão",$H$4=#REF!),BDI!#REF!,IF(AND(#REF!="Diferenciado",$H$4=#REF!),BDI!$E$17,IF(AND(#REF!="Diferenciado",$H$4=#REF!),BDI!#REF!,IF(#REF!="ZERO",0))))),"")</f>
        <v>#REF!</v>
      </c>
      <c r="H1095" s="127" t="e">
        <f t="shared" ref="H1095:H1158" ca="1" si="52">IF(ISNUMBER(E1095),ROUND(E1095*(1+G1095),2),"")</f>
        <v>#REF!</v>
      </c>
      <c r="I1095" s="125" t="e">
        <f t="shared" ref="I1095:I1158" ca="1" si="53">IF(ISNUMBER(E1095),ROUND(H1095*D1095,2),"")</f>
        <v>#REF!</v>
      </c>
    </row>
    <row r="1096" spans="1:9" hidden="1" x14ac:dyDescent="0.25">
      <c r="A1096" s="103" t="s">
        <v>3000</v>
      </c>
      <c r="B1096" s="104" t="s">
        <v>3001</v>
      </c>
      <c r="C1096" s="105" t="s">
        <v>20</v>
      </c>
      <c r="D1096" s="105">
        <v>0</v>
      </c>
      <c r="E1096" s="124" t="s">
        <v>523</v>
      </c>
      <c r="F1096" s="125" t="str">
        <f t="shared" si="51"/>
        <v/>
      </c>
      <c r="G1096" s="126" t="e">
        <f>IF(A1096&lt;&gt;"",IF(AND(#REF!="Padrão",$H$4=#REF!),BDI!$B$17,IF(AND(#REF!="Padrão",$H$4=#REF!),BDI!#REF!,IF(AND(#REF!="Diferenciado",$H$4=#REF!),BDI!$E$17,IF(AND(#REF!="Diferenciado",$H$4=#REF!),BDI!#REF!,IF(#REF!="ZERO",0))))),"")</f>
        <v>#REF!</v>
      </c>
      <c r="H1096" s="127" t="str">
        <f t="shared" si="52"/>
        <v/>
      </c>
      <c r="I1096" s="125" t="str">
        <f t="shared" si="53"/>
        <v/>
      </c>
    </row>
    <row r="1097" spans="1:9" hidden="1" x14ac:dyDescent="0.25">
      <c r="A1097" s="103" t="s">
        <v>1204</v>
      </c>
      <c r="B1097" s="104" t="s">
        <v>6319</v>
      </c>
      <c r="C1097" s="105" t="s">
        <v>20</v>
      </c>
      <c r="D1097" s="105">
        <v>0</v>
      </c>
      <c r="E1097" s="124">
        <f ca="1">OFFSET(INDEX(Composições!A:J,MATCH(Orçamentária!A1097,Composições!A:A,0),8),2,0)</f>
        <v>31.901159600000003</v>
      </c>
      <c r="F1097" s="125">
        <f t="shared" ca="1" si="51"/>
        <v>0</v>
      </c>
      <c r="G1097" s="126" t="e">
        <f>IF(A1097&lt;&gt;"",IF(AND(#REF!="Padrão",$H$4=#REF!),BDI!$B$17,IF(AND(#REF!="Padrão",$H$4=#REF!),BDI!#REF!,IF(AND(#REF!="Diferenciado",$H$4=#REF!),BDI!$E$17,IF(AND(#REF!="Diferenciado",$H$4=#REF!),BDI!#REF!,IF(#REF!="ZERO",0))))),"")</f>
        <v>#REF!</v>
      </c>
      <c r="H1097" s="127" t="e">
        <f t="shared" ca="1" si="52"/>
        <v>#REF!</v>
      </c>
      <c r="I1097" s="125" t="e">
        <f t="shared" ca="1" si="53"/>
        <v>#REF!</v>
      </c>
    </row>
    <row r="1098" spans="1:9" hidden="1" x14ac:dyDescent="0.25">
      <c r="A1098" s="103" t="s">
        <v>1206</v>
      </c>
      <c r="B1098" s="104" t="s">
        <v>6320</v>
      </c>
      <c r="C1098" s="105" t="s">
        <v>20</v>
      </c>
      <c r="D1098" s="105">
        <v>0</v>
      </c>
      <c r="E1098" s="124">
        <f ca="1">OFFSET(INDEX(Composições!A:J,MATCH(Orçamentária!A1098,Composições!A:A,0),8),2,0)</f>
        <v>42.562251500000009</v>
      </c>
      <c r="F1098" s="125">
        <f t="shared" ca="1" si="51"/>
        <v>0</v>
      </c>
      <c r="G1098" s="126" t="e">
        <f>IF(A1098&lt;&gt;"",IF(AND(#REF!="Padrão",$H$4=#REF!),BDI!$B$17,IF(AND(#REF!="Padrão",$H$4=#REF!),BDI!#REF!,IF(AND(#REF!="Diferenciado",$H$4=#REF!),BDI!$E$17,IF(AND(#REF!="Diferenciado",$H$4=#REF!),BDI!#REF!,IF(#REF!="ZERO",0))))),"")</f>
        <v>#REF!</v>
      </c>
      <c r="H1098" s="127" t="e">
        <f t="shared" ca="1" si="52"/>
        <v>#REF!</v>
      </c>
      <c r="I1098" s="125" t="e">
        <f t="shared" ca="1" si="53"/>
        <v>#REF!</v>
      </c>
    </row>
    <row r="1099" spans="1:9" hidden="1" x14ac:dyDescent="0.25">
      <c r="A1099" s="103" t="s">
        <v>1208</v>
      </c>
      <c r="B1099" s="104" t="s">
        <v>6321</v>
      </c>
      <c r="C1099" s="105" t="s">
        <v>20</v>
      </c>
      <c r="D1099" s="105">
        <v>0</v>
      </c>
      <c r="E1099" s="124">
        <f ca="1">OFFSET(INDEX(Composições!A:J,MATCH(Orçamentária!A1099,Composições!A:A,0),8),2,0)</f>
        <v>10.2385471</v>
      </c>
      <c r="F1099" s="125">
        <f t="shared" ca="1" si="51"/>
        <v>0</v>
      </c>
      <c r="G1099" s="126" t="e">
        <f>IF(A1099&lt;&gt;"",IF(AND(#REF!="Padrão",$H$4=#REF!),BDI!$B$17,IF(AND(#REF!="Padrão",$H$4=#REF!),BDI!#REF!,IF(AND(#REF!="Diferenciado",$H$4=#REF!),BDI!$E$17,IF(AND(#REF!="Diferenciado",$H$4=#REF!),BDI!#REF!,IF(#REF!="ZERO",0))))),"")</f>
        <v>#REF!</v>
      </c>
      <c r="H1099" s="127" t="e">
        <f t="shared" ca="1" si="52"/>
        <v>#REF!</v>
      </c>
      <c r="I1099" s="125" t="e">
        <f t="shared" ca="1" si="53"/>
        <v>#REF!</v>
      </c>
    </row>
    <row r="1100" spans="1:9" hidden="1" x14ac:dyDescent="0.25">
      <c r="A1100" s="103" t="s">
        <v>3002</v>
      </c>
      <c r="B1100" s="104" t="s">
        <v>6322</v>
      </c>
      <c r="C1100" s="105" t="s">
        <v>20</v>
      </c>
      <c r="D1100" s="105">
        <v>0</v>
      </c>
      <c r="E1100" s="124" t="s">
        <v>523</v>
      </c>
      <c r="F1100" s="125" t="str">
        <f t="shared" si="51"/>
        <v/>
      </c>
      <c r="G1100" s="126" t="e">
        <f>IF(A1100&lt;&gt;"",IF(AND(#REF!="Padrão",$H$4=#REF!),BDI!$B$17,IF(AND(#REF!="Padrão",$H$4=#REF!),BDI!#REF!,IF(AND(#REF!="Diferenciado",$H$4=#REF!),BDI!$E$17,IF(AND(#REF!="Diferenciado",$H$4=#REF!),BDI!#REF!,IF(#REF!="ZERO",0))))),"")</f>
        <v>#REF!</v>
      </c>
      <c r="H1100" s="127" t="str">
        <f t="shared" si="52"/>
        <v/>
      </c>
      <c r="I1100" s="125" t="str">
        <f t="shared" si="53"/>
        <v/>
      </c>
    </row>
    <row r="1101" spans="1:9" hidden="1" x14ac:dyDescent="0.25">
      <c r="A1101" s="103" t="s">
        <v>3003</v>
      </c>
      <c r="B1101" s="104" t="s">
        <v>6323</v>
      </c>
      <c r="C1101" s="105" t="s">
        <v>20</v>
      </c>
      <c r="D1101" s="105">
        <v>0</v>
      </c>
      <c r="E1101" s="124" t="s">
        <v>523</v>
      </c>
      <c r="F1101" s="125" t="str">
        <f t="shared" si="51"/>
        <v/>
      </c>
      <c r="G1101" s="126" t="e">
        <f>IF(A1101&lt;&gt;"",IF(AND(#REF!="Padrão",$H$4=#REF!),BDI!$B$17,IF(AND(#REF!="Padrão",$H$4=#REF!),BDI!#REF!,IF(AND(#REF!="Diferenciado",$H$4=#REF!),BDI!$E$17,IF(AND(#REF!="Diferenciado",$H$4=#REF!),BDI!#REF!,IF(#REF!="ZERO",0))))),"")</f>
        <v>#REF!</v>
      </c>
      <c r="H1101" s="127" t="str">
        <f t="shared" si="52"/>
        <v/>
      </c>
      <c r="I1101" s="125" t="str">
        <f t="shared" si="53"/>
        <v/>
      </c>
    </row>
    <row r="1102" spans="1:9" hidden="1" x14ac:dyDescent="0.25">
      <c r="A1102" s="103" t="s">
        <v>1210</v>
      </c>
      <c r="B1102" s="104" t="s">
        <v>6324</v>
      </c>
      <c r="C1102" s="105" t="s">
        <v>93</v>
      </c>
      <c r="D1102" s="105">
        <v>0</v>
      </c>
      <c r="E1102" s="124">
        <f ca="1">OFFSET(INDEX(Composições!A:J,MATCH(Orçamentária!A1102,Composições!A:A,0),8),2,0)</f>
        <v>156.48046220000001</v>
      </c>
      <c r="F1102" s="125">
        <f t="shared" ca="1" si="51"/>
        <v>0</v>
      </c>
      <c r="G1102" s="126" t="e">
        <f>IF(A1102&lt;&gt;"",IF(AND(#REF!="Padrão",$H$4=#REF!),BDI!$B$17,IF(AND(#REF!="Padrão",$H$4=#REF!),BDI!#REF!,IF(AND(#REF!="Diferenciado",$H$4=#REF!),BDI!$E$17,IF(AND(#REF!="Diferenciado",$H$4=#REF!),BDI!#REF!,IF(#REF!="ZERO",0))))),"")</f>
        <v>#REF!</v>
      </c>
      <c r="H1102" s="127" t="e">
        <f t="shared" ca="1" si="52"/>
        <v>#REF!</v>
      </c>
      <c r="I1102" s="125" t="e">
        <f t="shared" ca="1" si="53"/>
        <v>#REF!</v>
      </c>
    </row>
    <row r="1103" spans="1:9" hidden="1" x14ac:dyDescent="0.25">
      <c r="A1103" s="103" t="s">
        <v>1212</v>
      </c>
      <c r="B1103" s="104" t="s">
        <v>6325</v>
      </c>
      <c r="C1103" s="105" t="s">
        <v>93</v>
      </c>
      <c r="D1103" s="105">
        <v>0</v>
      </c>
      <c r="E1103" s="124">
        <f ca="1">OFFSET(INDEX(Composições!A:J,MATCH(Orçamentária!A1103,Composições!A:A,0),8),2,0)</f>
        <v>188.11106939999999</v>
      </c>
      <c r="F1103" s="125">
        <f t="shared" ca="1" si="51"/>
        <v>0</v>
      </c>
      <c r="G1103" s="126" t="e">
        <f>IF(A1103&lt;&gt;"",IF(AND(#REF!="Padrão",$H$4=#REF!),BDI!$B$17,IF(AND(#REF!="Padrão",$H$4=#REF!),BDI!#REF!,IF(AND(#REF!="Diferenciado",$H$4=#REF!),BDI!$E$17,IF(AND(#REF!="Diferenciado",$H$4=#REF!),BDI!#REF!,IF(#REF!="ZERO",0))))),"")</f>
        <v>#REF!</v>
      </c>
      <c r="H1103" s="127" t="e">
        <f t="shared" ca="1" si="52"/>
        <v>#REF!</v>
      </c>
      <c r="I1103" s="125" t="e">
        <f t="shared" ca="1" si="53"/>
        <v>#REF!</v>
      </c>
    </row>
    <row r="1104" spans="1:9" hidden="1" x14ac:dyDescent="0.25">
      <c r="A1104" s="103" t="s">
        <v>3004</v>
      </c>
      <c r="B1104" s="104" t="s">
        <v>6382</v>
      </c>
      <c r="C1104" s="105" t="s">
        <v>20</v>
      </c>
      <c r="D1104" s="105">
        <v>0</v>
      </c>
      <c r="E1104" s="124" t="s">
        <v>523</v>
      </c>
      <c r="F1104" s="125" t="str">
        <f t="shared" si="51"/>
        <v/>
      </c>
      <c r="G1104" s="126" t="e">
        <f>IF(A1104&lt;&gt;"",IF(AND(#REF!="Padrão",$H$4=#REF!),BDI!$B$17,IF(AND(#REF!="Padrão",$H$4=#REF!),BDI!#REF!,IF(AND(#REF!="Diferenciado",$H$4=#REF!),BDI!$E$17,IF(AND(#REF!="Diferenciado",$H$4=#REF!),BDI!#REF!,IF(#REF!="ZERO",0))))),"")</f>
        <v>#REF!</v>
      </c>
      <c r="H1104" s="127" t="str">
        <f t="shared" si="52"/>
        <v/>
      </c>
      <c r="I1104" s="125" t="str">
        <f t="shared" si="53"/>
        <v/>
      </c>
    </row>
    <row r="1105" spans="1:9" hidden="1" x14ac:dyDescent="0.25">
      <c r="A1105" s="103" t="s">
        <v>3005</v>
      </c>
      <c r="B1105" s="104" t="s">
        <v>3006</v>
      </c>
      <c r="C1105" s="105" t="s">
        <v>20</v>
      </c>
      <c r="D1105" s="105">
        <v>0</v>
      </c>
      <c r="E1105" s="124" t="s">
        <v>523</v>
      </c>
      <c r="F1105" s="125" t="str">
        <f t="shared" si="51"/>
        <v/>
      </c>
      <c r="G1105" s="126" t="e">
        <f>IF(A1105&lt;&gt;"",IF(AND(#REF!="Padrão",$H$4=#REF!),BDI!$B$17,IF(AND(#REF!="Padrão",$H$4=#REF!),BDI!#REF!,IF(AND(#REF!="Diferenciado",$H$4=#REF!),BDI!$E$17,IF(AND(#REF!="Diferenciado",$H$4=#REF!),BDI!#REF!,IF(#REF!="ZERO",0))))),"")</f>
        <v>#REF!</v>
      </c>
      <c r="H1105" s="127" t="str">
        <f t="shared" si="52"/>
        <v/>
      </c>
      <c r="I1105" s="125" t="str">
        <f t="shared" si="53"/>
        <v/>
      </c>
    </row>
    <row r="1106" spans="1:9" hidden="1" x14ac:dyDescent="0.25">
      <c r="A1106" s="103" t="s">
        <v>1214</v>
      </c>
      <c r="B1106" s="104" t="s">
        <v>3007</v>
      </c>
      <c r="C1106" s="105" t="s">
        <v>93</v>
      </c>
      <c r="D1106" s="105">
        <v>0</v>
      </c>
      <c r="E1106" s="124">
        <f ca="1">OFFSET(INDEX(Composições!A:J,MATCH(Orçamentária!A1106,Composições!A:A,0),8),2,0)</f>
        <v>46.936307999999997</v>
      </c>
      <c r="F1106" s="125">
        <f t="shared" ca="1" si="51"/>
        <v>0</v>
      </c>
      <c r="G1106" s="126" t="e">
        <f>IF(A1106&lt;&gt;"",IF(AND(#REF!="Padrão",$H$4=#REF!),BDI!$B$17,IF(AND(#REF!="Padrão",$H$4=#REF!),BDI!#REF!,IF(AND(#REF!="Diferenciado",$H$4=#REF!),BDI!$E$17,IF(AND(#REF!="Diferenciado",$H$4=#REF!),BDI!#REF!,IF(#REF!="ZERO",0))))),"")</f>
        <v>#REF!</v>
      </c>
      <c r="H1106" s="127" t="e">
        <f t="shared" ca="1" si="52"/>
        <v>#REF!</v>
      </c>
      <c r="I1106" s="125" t="e">
        <f t="shared" ca="1" si="53"/>
        <v>#REF!</v>
      </c>
    </row>
    <row r="1107" spans="1:9" hidden="1" x14ac:dyDescent="0.25">
      <c r="A1107" s="103" t="s">
        <v>1216</v>
      </c>
      <c r="B1107" s="104" t="s">
        <v>3008</v>
      </c>
      <c r="C1107" s="105" t="s">
        <v>2463</v>
      </c>
      <c r="D1107" s="105">
        <v>0</v>
      </c>
      <c r="E1107" s="124">
        <f ca="1">OFFSET(INDEX(Composições!A:J,MATCH(Orçamentária!A1107,Composições!A:A,0),8),2,0)</f>
        <v>1682.7891499999998</v>
      </c>
      <c r="F1107" s="125">
        <f t="shared" ca="1" si="51"/>
        <v>0</v>
      </c>
      <c r="G1107" s="126" t="e">
        <f>IF(A1107&lt;&gt;"",IF(AND(#REF!="Padrão",$H$4=#REF!),BDI!$B$17,IF(AND(#REF!="Padrão",$H$4=#REF!),BDI!#REF!,IF(AND(#REF!="Diferenciado",$H$4=#REF!),BDI!$E$17,IF(AND(#REF!="Diferenciado",$H$4=#REF!),BDI!#REF!,IF(#REF!="ZERO",0))))),"")</f>
        <v>#REF!</v>
      </c>
      <c r="H1107" s="127" t="e">
        <f t="shared" ca="1" si="52"/>
        <v>#REF!</v>
      </c>
      <c r="I1107" s="125" t="e">
        <f t="shared" ca="1" si="53"/>
        <v>#REF!</v>
      </c>
    </row>
    <row r="1108" spans="1:9" hidden="1" x14ac:dyDescent="0.25">
      <c r="A1108" s="103" t="s">
        <v>3009</v>
      </c>
      <c r="B1108" s="104" t="s">
        <v>3010</v>
      </c>
      <c r="C1108" s="105" t="s">
        <v>2670</v>
      </c>
      <c r="D1108" s="105">
        <v>0</v>
      </c>
      <c r="E1108" s="124" t="s">
        <v>523</v>
      </c>
      <c r="F1108" s="125" t="str">
        <f t="shared" si="51"/>
        <v/>
      </c>
      <c r="G1108" s="126" t="e">
        <f>IF(A1108&lt;&gt;"",IF(AND(#REF!="Padrão",$H$4=#REF!),BDI!$B$17,IF(AND(#REF!="Padrão",$H$4=#REF!),BDI!#REF!,IF(AND(#REF!="Diferenciado",$H$4=#REF!),BDI!$E$17,IF(AND(#REF!="Diferenciado",$H$4=#REF!),BDI!#REF!,IF(#REF!="ZERO",0))))),"")</f>
        <v>#REF!</v>
      </c>
      <c r="H1108" s="127" t="str">
        <f t="shared" si="52"/>
        <v/>
      </c>
      <c r="I1108" s="125" t="str">
        <f t="shared" si="53"/>
        <v/>
      </c>
    </row>
    <row r="1109" spans="1:9" hidden="1" x14ac:dyDescent="0.25">
      <c r="A1109" s="103" t="s">
        <v>1218</v>
      </c>
      <c r="B1109" s="104" t="s">
        <v>3011</v>
      </c>
      <c r="C1109" s="105" t="s">
        <v>95</v>
      </c>
      <c r="D1109" s="105">
        <v>0</v>
      </c>
      <c r="E1109" s="124">
        <f ca="1">OFFSET(INDEX(Composições!A:J,MATCH(Orçamentária!A1109,Composições!A:A,0),8),2,0)</f>
        <v>9.9474499999999999</v>
      </c>
      <c r="F1109" s="125">
        <f t="shared" ca="1" si="51"/>
        <v>0</v>
      </c>
      <c r="G1109" s="126" t="e">
        <f>IF(A1109&lt;&gt;"",IF(AND(#REF!="Padrão",$H$4=#REF!),BDI!$B$17,IF(AND(#REF!="Padrão",$H$4=#REF!),BDI!#REF!,IF(AND(#REF!="Diferenciado",$H$4=#REF!),BDI!$E$17,IF(AND(#REF!="Diferenciado",$H$4=#REF!),BDI!#REF!,IF(#REF!="ZERO",0))))),"")</f>
        <v>#REF!</v>
      </c>
      <c r="H1109" s="127" t="e">
        <f t="shared" ca="1" si="52"/>
        <v>#REF!</v>
      </c>
      <c r="I1109" s="125" t="e">
        <f t="shared" ca="1" si="53"/>
        <v>#REF!</v>
      </c>
    </row>
    <row r="1110" spans="1:9" hidden="1" x14ac:dyDescent="0.25">
      <c r="A1110" s="103" t="s">
        <v>1220</v>
      </c>
      <c r="B1110" s="104" t="s">
        <v>3012</v>
      </c>
      <c r="C1110" s="105" t="s">
        <v>95</v>
      </c>
      <c r="D1110" s="105">
        <v>0</v>
      </c>
      <c r="E1110" s="124">
        <f ca="1">OFFSET(INDEX(Composições!A:J,MATCH(Orçamentária!A1110,Composições!A:A,0),8),2,0)</f>
        <v>49.815719999999999</v>
      </c>
      <c r="F1110" s="125">
        <f t="shared" ca="1" si="51"/>
        <v>0</v>
      </c>
      <c r="G1110" s="126" t="e">
        <f>IF(A1110&lt;&gt;"",IF(AND(#REF!="Padrão",$H$4=#REF!),BDI!$B$17,IF(AND(#REF!="Padrão",$H$4=#REF!),BDI!#REF!,IF(AND(#REF!="Diferenciado",$H$4=#REF!),BDI!$E$17,IF(AND(#REF!="Diferenciado",$H$4=#REF!),BDI!#REF!,IF(#REF!="ZERO",0))))),"")</f>
        <v>#REF!</v>
      </c>
      <c r="H1110" s="127" t="e">
        <f t="shared" ca="1" si="52"/>
        <v>#REF!</v>
      </c>
      <c r="I1110" s="125" t="e">
        <f t="shared" ca="1" si="53"/>
        <v>#REF!</v>
      </c>
    </row>
    <row r="1111" spans="1:9" ht="25.5" hidden="1" x14ac:dyDescent="0.25">
      <c r="A1111" s="103" t="s">
        <v>1223</v>
      </c>
      <c r="B1111" s="104" t="s">
        <v>6326</v>
      </c>
      <c r="C1111" s="105" t="s">
        <v>95</v>
      </c>
      <c r="D1111" s="105">
        <v>0</v>
      </c>
      <c r="E1111" s="124">
        <f ca="1">OFFSET(INDEX(Composições!A:J,MATCH(Orçamentária!A1111,Composições!A:A,0),8),2,0)</f>
        <v>54.665906999999997</v>
      </c>
      <c r="F1111" s="125">
        <f t="shared" ca="1" si="51"/>
        <v>0</v>
      </c>
      <c r="G1111" s="126" t="e">
        <f>IF(A1111&lt;&gt;"",IF(AND(#REF!="Padrão",$H$4=#REF!),BDI!$B$17,IF(AND(#REF!="Padrão",$H$4=#REF!),BDI!#REF!,IF(AND(#REF!="Diferenciado",$H$4=#REF!),BDI!$E$17,IF(AND(#REF!="Diferenciado",$H$4=#REF!),BDI!#REF!,IF(#REF!="ZERO",0))))),"")</f>
        <v>#REF!</v>
      </c>
      <c r="H1111" s="127" t="e">
        <f t="shared" ca="1" si="52"/>
        <v>#REF!</v>
      </c>
      <c r="I1111" s="125" t="e">
        <f t="shared" ca="1" si="53"/>
        <v>#REF!</v>
      </c>
    </row>
    <row r="1112" spans="1:9" hidden="1" x14ac:dyDescent="0.25">
      <c r="A1112" s="103" t="s">
        <v>1225</v>
      </c>
      <c r="B1112" s="104" t="s">
        <v>6327</v>
      </c>
      <c r="C1112" s="105" t="s">
        <v>95</v>
      </c>
      <c r="D1112" s="105">
        <v>0</v>
      </c>
      <c r="E1112" s="124">
        <f ca="1">OFFSET(INDEX(Composições!A:J,MATCH(Orçamentária!A1112,Composições!A:A,0),8),2,0)</f>
        <v>54.665906999999997</v>
      </c>
      <c r="F1112" s="125">
        <f t="shared" ca="1" si="51"/>
        <v>0</v>
      </c>
      <c r="G1112" s="126" t="e">
        <f>IF(A1112&lt;&gt;"",IF(AND(#REF!="Padrão",$H$4=#REF!),BDI!$B$17,IF(AND(#REF!="Padrão",$H$4=#REF!),BDI!#REF!,IF(AND(#REF!="Diferenciado",$H$4=#REF!),BDI!$E$17,IF(AND(#REF!="Diferenciado",$H$4=#REF!),BDI!#REF!,IF(#REF!="ZERO",0))))),"")</f>
        <v>#REF!</v>
      </c>
      <c r="H1112" s="127" t="e">
        <f t="shared" ca="1" si="52"/>
        <v>#REF!</v>
      </c>
      <c r="I1112" s="125" t="e">
        <f t="shared" ca="1" si="53"/>
        <v>#REF!</v>
      </c>
    </row>
    <row r="1113" spans="1:9" hidden="1" x14ac:dyDescent="0.25">
      <c r="A1113" s="103" t="s">
        <v>1227</v>
      </c>
      <c r="B1113" s="104" t="s">
        <v>6328</v>
      </c>
      <c r="C1113" s="105" t="s">
        <v>95</v>
      </c>
      <c r="D1113" s="105">
        <v>0</v>
      </c>
      <c r="E1113" s="124">
        <f ca="1">OFFSET(INDEX(Composições!A:J,MATCH(Orçamentária!A1113,Composições!A:A,0),8),2,0)</f>
        <v>114.119225</v>
      </c>
      <c r="F1113" s="125">
        <f t="shared" ca="1" si="51"/>
        <v>0</v>
      </c>
      <c r="G1113" s="126" t="e">
        <f>IF(A1113&lt;&gt;"",IF(AND(#REF!="Padrão",$H$4=#REF!),BDI!$B$17,IF(AND(#REF!="Padrão",$H$4=#REF!),BDI!#REF!,IF(AND(#REF!="Diferenciado",$H$4=#REF!),BDI!$E$17,IF(AND(#REF!="Diferenciado",$H$4=#REF!),BDI!#REF!,IF(#REF!="ZERO",0))))),"")</f>
        <v>#REF!</v>
      </c>
      <c r="H1113" s="127" t="e">
        <f t="shared" ca="1" si="52"/>
        <v>#REF!</v>
      </c>
      <c r="I1113" s="125" t="e">
        <f t="shared" ca="1" si="53"/>
        <v>#REF!</v>
      </c>
    </row>
    <row r="1114" spans="1:9" hidden="1" x14ac:dyDescent="0.25">
      <c r="A1114" s="103" t="s">
        <v>1230</v>
      </c>
      <c r="B1114" s="104" t="s">
        <v>3013</v>
      </c>
      <c r="C1114" s="105" t="s">
        <v>95</v>
      </c>
      <c r="D1114" s="105">
        <v>0</v>
      </c>
      <c r="E1114" s="124">
        <f ca="1">OFFSET(INDEX(Composições!A:J,MATCH(Orçamentária!A1114,Composições!A:A,0),8),2,0)</f>
        <v>92.149999999999991</v>
      </c>
      <c r="F1114" s="125">
        <f t="shared" ca="1" si="51"/>
        <v>0</v>
      </c>
      <c r="G1114" s="126" t="e">
        <f>IF(A1114&lt;&gt;"",IF(AND(#REF!="Padrão",$H$4=#REF!),BDI!$B$17,IF(AND(#REF!="Padrão",$H$4=#REF!),BDI!#REF!,IF(AND(#REF!="Diferenciado",$H$4=#REF!),BDI!$E$17,IF(AND(#REF!="Diferenciado",$H$4=#REF!),BDI!#REF!,IF(#REF!="ZERO",0))))),"")</f>
        <v>#REF!</v>
      </c>
      <c r="H1114" s="127" t="e">
        <f t="shared" ca="1" si="52"/>
        <v>#REF!</v>
      </c>
      <c r="I1114" s="125" t="e">
        <f t="shared" ca="1" si="53"/>
        <v>#REF!</v>
      </c>
    </row>
    <row r="1115" spans="1:9" hidden="1" x14ac:dyDescent="0.25">
      <c r="A1115" s="103" t="s">
        <v>1231</v>
      </c>
      <c r="B1115" s="104" t="s">
        <v>3014</v>
      </c>
      <c r="C1115" s="105" t="s">
        <v>95</v>
      </c>
      <c r="D1115" s="105">
        <v>0</v>
      </c>
      <c r="E1115" s="124">
        <f ca="1">OFFSET(INDEX(Composições!A:J,MATCH(Orçamentária!A1115,Composições!A:A,0),8),2,0)</f>
        <v>22.469874999999998</v>
      </c>
      <c r="F1115" s="125">
        <f t="shared" ca="1" si="51"/>
        <v>0</v>
      </c>
      <c r="G1115" s="126" t="e">
        <f>IF(A1115&lt;&gt;"",IF(AND(#REF!="Padrão",$H$4=#REF!),BDI!$B$17,IF(AND(#REF!="Padrão",$H$4=#REF!),BDI!#REF!,IF(AND(#REF!="Diferenciado",$H$4=#REF!),BDI!$E$17,IF(AND(#REF!="Diferenciado",$H$4=#REF!),BDI!#REF!,IF(#REF!="ZERO",0))))),"")</f>
        <v>#REF!</v>
      </c>
      <c r="H1115" s="127" t="e">
        <f t="shared" ca="1" si="52"/>
        <v>#REF!</v>
      </c>
      <c r="I1115" s="125" t="e">
        <f t="shared" ca="1" si="53"/>
        <v>#REF!</v>
      </c>
    </row>
    <row r="1116" spans="1:9" hidden="1" x14ac:dyDescent="0.25">
      <c r="A1116" s="103" t="s">
        <v>1233</v>
      </c>
      <c r="B1116" s="104" t="s">
        <v>3015</v>
      </c>
      <c r="C1116" s="105" t="s">
        <v>93</v>
      </c>
      <c r="D1116" s="105">
        <v>0</v>
      </c>
      <c r="E1116" s="124">
        <f ca="1">OFFSET(INDEX(Composições!A:J,MATCH(Orçamentária!A1116,Composições!A:A,0),8),2,0)</f>
        <v>64.791235</v>
      </c>
      <c r="F1116" s="125">
        <f t="shared" ca="1" si="51"/>
        <v>0</v>
      </c>
      <c r="G1116" s="126" t="e">
        <f>IF(A1116&lt;&gt;"",IF(AND(#REF!="Padrão",$H$4=#REF!),BDI!$B$17,IF(AND(#REF!="Padrão",$H$4=#REF!),BDI!#REF!,IF(AND(#REF!="Diferenciado",$H$4=#REF!),BDI!$E$17,IF(AND(#REF!="Diferenciado",$H$4=#REF!),BDI!#REF!,IF(#REF!="ZERO",0))))),"")</f>
        <v>#REF!</v>
      </c>
      <c r="H1116" s="127" t="e">
        <f t="shared" ca="1" si="52"/>
        <v>#REF!</v>
      </c>
      <c r="I1116" s="125" t="e">
        <f t="shared" ca="1" si="53"/>
        <v>#REF!</v>
      </c>
    </row>
    <row r="1117" spans="1:9" hidden="1" x14ac:dyDescent="0.25">
      <c r="A1117" s="103" t="s">
        <v>1235</v>
      </c>
      <c r="B1117" s="104" t="s">
        <v>3016</v>
      </c>
      <c r="C1117" s="105" t="s">
        <v>95</v>
      </c>
      <c r="D1117" s="105">
        <v>0</v>
      </c>
      <c r="E1117" s="124">
        <f ca="1">OFFSET(INDEX(Composições!A:J,MATCH(Orçamentária!A1117,Composições!A:A,0),8),2,0)</f>
        <v>17.598275000000001</v>
      </c>
      <c r="F1117" s="125">
        <f t="shared" ca="1" si="51"/>
        <v>0</v>
      </c>
      <c r="G1117" s="126" t="e">
        <f>IF(A1117&lt;&gt;"",IF(AND(#REF!="Padrão",$H$4=#REF!),BDI!$B$17,IF(AND(#REF!="Padrão",$H$4=#REF!),BDI!#REF!,IF(AND(#REF!="Diferenciado",$H$4=#REF!),BDI!$E$17,IF(AND(#REF!="Diferenciado",$H$4=#REF!),BDI!#REF!,IF(#REF!="ZERO",0))))),"")</f>
        <v>#REF!</v>
      </c>
      <c r="H1117" s="127" t="e">
        <f t="shared" ca="1" si="52"/>
        <v>#REF!</v>
      </c>
      <c r="I1117" s="125" t="e">
        <f t="shared" ca="1" si="53"/>
        <v>#REF!</v>
      </c>
    </row>
    <row r="1118" spans="1:9" hidden="1" x14ac:dyDescent="0.25">
      <c r="A1118" s="103" t="s">
        <v>1238</v>
      </c>
      <c r="B1118" s="104" t="s">
        <v>6329</v>
      </c>
      <c r="C1118" s="105" t="s">
        <v>95</v>
      </c>
      <c r="D1118" s="105">
        <v>0</v>
      </c>
      <c r="E1118" s="124">
        <f ca="1">OFFSET(INDEX(Composições!A:J,MATCH(Orçamentária!A1118,Composições!A:A,0),8),2,0)</f>
        <v>0</v>
      </c>
      <c r="F1118" s="125">
        <f t="shared" ca="1" si="51"/>
        <v>0</v>
      </c>
      <c r="G1118" s="126" t="e">
        <f>IF(A1118&lt;&gt;"",IF(AND(#REF!="Padrão",$H$4=#REF!),BDI!$B$17,IF(AND(#REF!="Padrão",$H$4=#REF!),BDI!#REF!,IF(AND(#REF!="Diferenciado",$H$4=#REF!),BDI!$E$17,IF(AND(#REF!="Diferenciado",$H$4=#REF!),BDI!#REF!,IF(#REF!="ZERO",0))))),"")</f>
        <v>#REF!</v>
      </c>
      <c r="H1118" s="127" t="e">
        <f t="shared" ca="1" si="52"/>
        <v>#REF!</v>
      </c>
      <c r="I1118" s="125" t="e">
        <f t="shared" ca="1" si="53"/>
        <v>#REF!</v>
      </c>
    </row>
    <row r="1119" spans="1:9" hidden="1" x14ac:dyDescent="0.25">
      <c r="A1119" s="103" t="s">
        <v>1240</v>
      </c>
      <c r="B1119" s="104" t="s">
        <v>6330</v>
      </c>
      <c r="C1119" s="105" t="s">
        <v>95</v>
      </c>
      <c r="D1119" s="105">
        <v>0</v>
      </c>
      <c r="E1119" s="124">
        <f ca="1">OFFSET(INDEX(Composições!A:J,MATCH(Orçamentária!A1119,Composições!A:A,0),8),2,0)</f>
        <v>210.21291060000001</v>
      </c>
      <c r="F1119" s="125">
        <f t="shared" ca="1" si="51"/>
        <v>0</v>
      </c>
      <c r="G1119" s="126" t="e">
        <f>IF(A1119&lt;&gt;"",IF(AND(#REF!="Padrão",$H$4=#REF!),BDI!$B$17,IF(AND(#REF!="Padrão",$H$4=#REF!),BDI!#REF!,IF(AND(#REF!="Diferenciado",$H$4=#REF!),BDI!$E$17,IF(AND(#REF!="Diferenciado",$H$4=#REF!),BDI!#REF!,IF(#REF!="ZERO",0))))),"")</f>
        <v>#REF!</v>
      </c>
      <c r="H1119" s="127" t="e">
        <f t="shared" ca="1" si="52"/>
        <v>#REF!</v>
      </c>
      <c r="I1119" s="125" t="e">
        <f t="shared" ca="1" si="53"/>
        <v>#REF!</v>
      </c>
    </row>
    <row r="1120" spans="1:9" hidden="1" x14ac:dyDescent="0.25">
      <c r="A1120" s="103" t="s">
        <v>1243</v>
      </c>
      <c r="B1120" s="104" t="s">
        <v>3017</v>
      </c>
      <c r="C1120" s="105" t="s">
        <v>95</v>
      </c>
      <c r="D1120" s="105">
        <v>0</v>
      </c>
      <c r="E1120" s="124">
        <f ca="1">OFFSET(INDEX(Composições!A:J,MATCH(Orçamentária!A1120,Composições!A:A,0),8),2,0)</f>
        <v>103.42531535000001</v>
      </c>
      <c r="F1120" s="125">
        <f t="shared" ca="1" si="51"/>
        <v>0</v>
      </c>
      <c r="G1120" s="126" t="e">
        <f>IF(A1120&lt;&gt;"",IF(AND(#REF!="Padrão",$H$4=#REF!),BDI!$B$17,IF(AND(#REF!="Padrão",$H$4=#REF!),BDI!#REF!,IF(AND(#REF!="Diferenciado",$H$4=#REF!),BDI!$E$17,IF(AND(#REF!="Diferenciado",$H$4=#REF!),BDI!#REF!,IF(#REF!="ZERO",0))))),"")</f>
        <v>#REF!</v>
      </c>
      <c r="H1120" s="127" t="e">
        <f t="shared" ca="1" si="52"/>
        <v>#REF!</v>
      </c>
      <c r="I1120" s="125" t="e">
        <f t="shared" ca="1" si="53"/>
        <v>#REF!</v>
      </c>
    </row>
    <row r="1121" spans="1:9" hidden="1" x14ac:dyDescent="0.25">
      <c r="A1121" s="103" t="s">
        <v>1244</v>
      </c>
      <c r="B1121" s="104" t="s">
        <v>6331</v>
      </c>
      <c r="C1121" s="105" t="s">
        <v>95</v>
      </c>
      <c r="D1121" s="105">
        <v>0</v>
      </c>
      <c r="E1121" s="124">
        <f ca="1">OFFSET(INDEX(Composições!A:J,MATCH(Orçamentária!A1121,Composições!A:A,0),8),2,0)</f>
        <v>14.349580804999997</v>
      </c>
      <c r="F1121" s="125">
        <f t="shared" ca="1" si="51"/>
        <v>0</v>
      </c>
      <c r="G1121" s="126" t="e">
        <f>IF(A1121&lt;&gt;"",IF(AND(#REF!="Padrão",$H$4=#REF!),BDI!$B$17,IF(AND(#REF!="Padrão",$H$4=#REF!),BDI!#REF!,IF(AND(#REF!="Diferenciado",$H$4=#REF!),BDI!$E$17,IF(AND(#REF!="Diferenciado",$H$4=#REF!),BDI!#REF!,IF(#REF!="ZERO",0))))),"")</f>
        <v>#REF!</v>
      </c>
      <c r="H1121" s="127" t="e">
        <f t="shared" ca="1" si="52"/>
        <v>#REF!</v>
      </c>
      <c r="I1121" s="125" t="e">
        <f t="shared" ca="1" si="53"/>
        <v>#REF!</v>
      </c>
    </row>
    <row r="1122" spans="1:9" hidden="1" x14ac:dyDescent="0.25">
      <c r="A1122" s="103" t="s">
        <v>1246</v>
      </c>
      <c r="B1122" s="104" t="s">
        <v>6332</v>
      </c>
      <c r="C1122" s="105" t="s">
        <v>95</v>
      </c>
      <c r="D1122" s="105">
        <v>0</v>
      </c>
      <c r="E1122" s="124">
        <f ca="1">OFFSET(INDEX(Composições!A:J,MATCH(Orçamentária!A1122,Composições!A:A,0),8),2,0)</f>
        <v>11.453485000000001</v>
      </c>
      <c r="F1122" s="125">
        <f t="shared" ca="1" si="51"/>
        <v>0</v>
      </c>
      <c r="G1122" s="126" t="e">
        <f>IF(A1122&lt;&gt;"",IF(AND(#REF!="Padrão",$H$4=#REF!),BDI!$B$17,IF(AND(#REF!="Padrão",$H$4=#REF!),BDI!#REF!,IF(AND(#REF!="Diferenciado",$H$4=#REF!),BDI!$E$17,IF(AND(#REF!="Diferenciado",$H$4=#REF!),BDI!#REF!,IF(#REF!="ZERO",0))))),"")</f>
        <v>#REF!</v>
      </c>
      <c r="H1122" s="127" t="e">
        <f t="shared" ca="1" si="52"/>
        <v>#REF!</v>
      </c>
      <c r="I1122" s="125" t="e">
        <f t="shared" ca="1" si="53"/>
        <v>#REF!</v>
      </c>
    </row>
    <row r="1123" spans="1:9" hidden="1" x14ac:dyDescent="0.25">
      <c r="A1123" s="103" t="s">
        <v>1248</v>
      </c>
      <c r="B1123" s="104" t="s">
        <v>6333</v>
      </c>
      <c r="C1123" s="105" t="s">
        <v>95</v>
      </c>
      <c r="D1123" s="105">
        <v>0</v>
      </c>
      <c r="E1123" s="124">
        <f ca="1">OFFSET(INDEX(Composições!A:J,MATCH(Orçamentária!A1123,Composições!A:A,0),8),2,0)</f>
        <v>11.453485000000001</v>
      </c>
      <c r="F1123" s="125">
        <f t="shared" ca="1" si="51"/>
        <v>0</v>
      </c>
      <c r="G1123" s="126" t="e">
        <f>IF(A1123&lt;&gt;"",IF(AND(#REF!="Padrão",$H$4=#REF!),BDI!$B$17,IF(AND(#REF!="Padrão",$H$4=#REF!),BDI!#REF!,IF(AND(#REF!="Diferenciado",$H$4=#REF!),BDI!$E$17,IF(AND(#REF!="Diferenciado",$H$4=#REF!),BDI!#REF!,IF(#REF!="ZERO",0))))),"")</f>
        <v>#REF!</v>
      </c>
      <c r="H1123" s="127" t="e">
        <f t="shared" ca="1" si="52"/>
        <v>#REF!</v>
      </c>
      <c r="I1123" s="125" t="e">
        <f t="shared" ca="1" si="53"/>
        <v>#REF!</v>
      </c>
    </row>
    <row r="1124" spans="1:9" hidden="1" x14ac:dyDescent="0.25">
      <c r="A1124" s="103" t="s">
        <v>1250</v>
      </c>
      <c r="B1124" s="104" t="s">
        <v>3018</v>
      </c>
      <c r="C1124" s="105" t="s">
        <v>95</v>
      </c>
      <c r="D1124" s="105">
        <v>0</v>
      </c>
      <c r="E1124" s="124">
        <f ca="1">OFFSET(INDEX(Composições!A:J,MATCH(Orçamentária!A1124,Composições!A:A,0),8),2,0)</f>
        <v>40.097589550000002</v>
      </c>
      <c r="F1124" s="125">
        <f t="shared" ca="1" si="51"/>
        <v>0</v>
      </c>
      <c r="G1124" s="126" t="e">
        <f>IF(A1124&lt;&gt;"",IF(AND(#REF!="Padrão",$H$4=#REF!),BDI!$B$17,IF(AND(#REF!="Padrão",$H$4=#REF!),BDI!#REF!,IF(AND(#REF!="Diferenciado",$H$4=#REF!),BDI!$E$17,IF(AND(#REF!="Diferenciado",$H$4=#REF!),BDI!#REF!,IF(#REF!="ZERO",0))))),"")</f>
        <v>#REF!</v>
      </c>
      <c r="H1124" s="127" t="e">
        <f t="shared" ca="1" si="52"/>
        <v>#REF!</v>
      </c>
      <c r="I1124" s="125" t="e">
        <f t="shared" ca="1" si="53"/>
        <v>#REF!</v>
      </c>
    </row>
    <row r="1125" spans="1:9" hidden="1" x14ac:dyDescent="0.25">
      <c r="A1125" s="103" t="s">
        <v>1255</v>
      </c>
      <c r="B1125" s="104" t="s">
        <v>6334</v>
      </c>
      <c r="C1125" s="105" t="s">
        <v>95</v>
      </c>
      <c r="D1125" s="105">
        <v>0</v>
      </c>
      <c r="E1125" s="124">
        <f ca="1">OFFSET(INDEX(Composições!A:J,MATCH(Orçamentária!A1125,Composições!A:A,0),8),2,0)</f>
        <v>13.004084499999998</v>
      </c>
      <c r="F1125" s="125">
        <f t="shared" ca="1" si="51"/>
        <v>0</v>
      </c>
      <c r="G1125" s="126" t="e">
        <f>IF(A1125&lt;&gt;"",IF(AND(#REF!="Padrão",$H$4=#REF!),BDI!$B$17,IF(AND(#REF!="Padrão",$H$4=#REF!),BDI!#REF!,IF(AND(#REF!="Diferenciado",$H$4=#REF!),BDI!$E$17,IF(AND(#REF!="Diferenciado",$H$4=#REF!),BDI!#REF!,IF(#REF!="ZERO",0))))),"")</f>
        <v>#REF!</v>
      </c>
      <c r="H1125" s="127" t="e">
        <f t="shared" ca="1" si="52"/>
        <v>#REF!</v>
      </c>
      <c r="I1125" s="125" t="e">
        <f t="shared" ca="1" si="53"/>
        <v>#REF!</v>
      </c>
    </row>
    <row r="1126" spans="1:9" hidden="1" x14ac:dyDescent="0.25">
      <c r="A1126" s="103" t="s">
        <v>1256</v>
      </c>
      <c r="B1126" s="104" t="s">
        <v>6335</v>
      </c>
      <c r="C1126" s="105" t="s">
        <v>95</v>
      </c>
      <c r="D1126" s="105">
        <v>0</v>
      </c>
      <c r="E1126" s="124">
        <f ca="1">OFFSET(INDEX(Composições!A:J,MATCH(Orçamentária!A1126,Composições!A:A,0),8),2,0)</f>
        <v>15.69112625</v>
      </c>
      <c r="F1126" s="125">
        <f t="shared" ca="1" si="51"/>
        <v>0</v>
      </c>
      <c r="G1126" s="126" t="e">
        <f>IF(A1126&lt;&gt;"",IF(AND(#REF!="Padrão",$H$4=#REF!),BDI!$B$17,IF(AND(#REF!="Padrão",$H$4=#REF!),BDI!#REF!,IF(AND(#REF!="Diferenciado",$H$4=#REF!),BDI!$E$17,IF(AND(#REF!="Diferenciado",$H$4=#REF!),BDI!#REF!,IF(#REF!="ZERO",0))))),"")</f>
        <v>#REF!</v>
      </c>
      <c r="H1126" s="127" t="e">
        <f t="shared" ca="1" si="52"/>
        <v>#REF!</v>
      </c>
      <c r="I1126" s="125" t="e">
        <f t="shared" ca="1" si="53"/>
        <v>#REF!</v>
      </c>
    </row>
    <row r="1127" spans="1:9" hidden="1" x14ac:dyDescent="0.25">
      <c r="A1127" s="103" t="s">
        <v>1258</v>
      </c>
      <c r="B1127" s="104" t="s">
        <v>3019</v>
      </c>
      <c r="C1127" s="105" t="s">
        <v>95</v>
      </c>
      <c r="D1127" s="105">
        <v>0</v>
      </c>
      <c r="E1127" s="124" t="s">
        <v>523</v>
      </c>
      <c r="F1127" s="125" t="str">
        <f t="shared" si="51"/>
        <v/>
      </c>
      <c r="G1127" s="126" t="e">
        <f>IF(A1127&lt;&gt;"",IF(AND(#REF!="Padrão",$H$4=#REF!),BDI!$B$17,IF(AND(#REF!="Padrão",$H$4=#REF!),BDI!#REF!,IF(AND(#REF!="Diferenciado",$H$4=#REF!),BDI!$E$17,IF(AND(#REF!="Diferenciado",$H$4=#REF!),BDI!#REF!,IF(#REF!="ZERO",0))))),"")</f>
        <v>#REF!</v>
      </c>
      <c r="H1127" s="127" t="str">
        <f t="shared" si="52"/>
        <v/>
      </c>
      <c r="I1127" s="125" t="str">
        <f t="shared" si="53"/>
        <v/>
      </c>
    </row>
    <row r="1128" spans="1:9" hidden="1" x14ac:dyDescent="0.25">
      <c r="A1128" s="103" t="s">
        <v>1259</v>
      </c>
      <c r="B1128" s="104" t="s">
        <v>3020</v>
      </c>
      <c r="C1128" s="105" t="s">
        <v>95</v>
      </c>
      <c r="D1128" s="105">
        <v>0</v>
      </c>
      <c r="E1128" s="124">
        <f ca="1">OFFSET(INDEX(Composições!A:J,MATCH(Orçamentária!A1128,Composições!A:A,0),8),2,0)</f>
        <v>18.243552999999999</v>
      </c>
      <c r="F1128" s="125">
        <f t="shared" ca="1" si="51"/>
        <v>0</v>
      </c>
      <c r="G1128" s="126" t="e">
        <f>IF(A1128&lt;&gt;"",IF(AND(#REF!="Padrão",$H$4=#REF!),BDI!$B$17,IF(AND(#REF!="Padrão",$H$4=#REF!),BDI!#REF!,IF(AND(#REF!="Diferenciado",$H$4=#REF!),BDI!$E$17,IF(AND(#REF!="Diferenciado",$H$4=#REF!),BDI!#REF!,IF(#REF!="ZERO",0))))),"")</f>
        <v>#REF!</v>
      </c>
      <c r="H1128" s="127" t="e">
        <f t="shared" ca="1" si="52"/>
        <v>#REF!</v>
      </c>
      <c r="I1128" s="125" t="e">
        <f t="shared" ca="1" si="53"/>
        <v>#REF!</v>
      </c>
    </row>
    <row r="1129" spans="1:9" hidden="1" x14ac:dyDescent="0.25">
      <c r="A1129" s="103" t="s">
        <v>1260</v>
      </c>
      <c r="B1129" s="104" t="s">
        <v>3021</v>
      </c>
      <c r="C1129" s="105" t="s">
        <v>95</v>
      </c>
      <c r="D1129" s="105">
        <v>0</v>
      </c>
      <c r="E1129" s="124">
        <f ca="1">OFFSET(INDEX(Composições!A:J,MATCH(Orçamentária!A1129,Composições!A:A,0),8),2,0)</f>
        <v>60.557932399999999</v>
      </c>
      <c r="F1129" s="125">
        <f t="shared" ca="1" si="51"/>
        <v>0</v>
      </c>
      <c r="G1129" s="126" t="e">
        <f>IF(A1129&lt;&gt;"",IF(AND(#REF!="Padrão",$H$4=#REF!),BDI!$B$17,IF(AND(#REF!="Padrão",$H$4=#REF!),BDI!#REF!,IF(AND(#REF!="Diferenciado",$H$4=#REF!),BDI!$E$17,IF(AND(#REF!="Diferenciado",$H$4=#REF!),BDI!#REF!,IF(#REF!="ZERO",0))))),"")</f>
        <v>#REF!</v>
      </c>
      <c r="H1129" s="127" t="e">
        <f t="shared" ca="1" si="52"/>
        <v>#REF!</v>
      </c>
      <c r="I1129" s="125" t="e">
        <f t="shared" ca="1" si="53"/>
        <v>#REF!</v>
      </c>
    </row>
    <row r="1130" spans="1:9" hidden="1" x14ac:dyDescent="0.25">
      <c r="A1130" s="103" t="s">
        <v>1261</v>
      </c>
      <c r="B1130" s="104" t="s">
        <v>3022</v>
      </c>
      <c r="C1130" s="105" t="s">
        <v>95</v>
      </c>
      <c r="D1130" s="105">
        <v>0</v>
      </c>
      <c r="E1130" s="124">
        <f ca="1">OFFSET(INDEX(Composições!A:J,MATCH(Orçamentária!A1130,Composições!A:A,0),8),2,0)</f>
        <v>21.138260000000002</v>
      </c>
      <c r="F1130" s="125">
        <f t="shared" ca="1" si="51"/>
        <v>0</v>
      </c>
      <c r="G1130" s="126" t="e">
        <f>IF(A1130&lt;&gt;"",IF(AND(#REF!="Padrão",$H$4=#REF!),BDI!$B$17,IF(AND(#REF!="Padrão",$H$4=#REF!),BDI!#REF!,IF(AND(#REF!="Diferenciado",$H$4=#REF!),BDI!$E$17,IF(AND(#REF!="Diferenciado",$H$4=#REF!),BDI!#REF!,IF(#REF!="ZERO",0))))),"")</f>
        <v>#REF!</v>
      </c>
      <c r="H1130" s="127" t="e">
        <f t="shared" ca="1" si="52"/>
        <v>#REF!</v>
      </c>
      <c r="I1130" s="125" t="e">
        <f t="shared" ca="1" si="53"/>
        <v>#REF!</v>
      </c>
    </row>
    <row r="1131" spans="1:9" hidden="1" x14ac:dyDescent="0.25">
      <c r="A1131" s="103" t="s">
        <v>1262</v>
      </c>
      <c r="B1131" s="104" t="s">
        <v>3023</v>
      </c>
      <c r="C1131" s="105" t="s">
        <v>95</v>
      </c>
      <c r="D1131" s="105">
        <v>0</v>
      </c>
      <c r="E1131" s="124">
        <f ca="1">OFFSET(INDEX(Composições!A:J,MATCH(Orçamentária!A1131,Composições!A:A,0),8),2,0)</f>
        <v>1.2710145000000002</v>
      </c>
      <c r="F1131" s="125">
        <f t="shared" ca="1" si="51"/>
        <v>0</v>
      </c>
      <c r="G1131" s="126" t="e">
        <f>IF(A1131&lt;&gt;"",IF(AND(#REF!="Padrão",$H$4=#REF!),BDI!$B$17,IF(AND(#REF!="Padrão",$H$4=#REF!),BDI!#REF!,IF(AND(#REF!="Diferenciado",$H$4=#REF!),BDI!$E$17,IF(AND(#REF!="Diferenciado",$H$4=#REF!),BDI!#REF!,IF(#REF!="ZERO",0))))),"")</f>
        <v>#REF!</v>
      </c>
      <c r="H1131" s="127" t="e">
        <f t="shared" ca="1" si="52"/>
        <v>#REF!</v>
      </c>
      <c r="I1131" s="125" t="e">
        <f t="shared" ca="1" si="53"/>
        <v>#REF!</v>
      </c>
    </row>
    <row r="1132" spans="1:9" hidden="1" x14ac:dyDescent="0.25">
      <c r="A1132" s="103" t="s">
        <v>1264</v>
      </c>
      <c r="B1132" s="104" t="s">
        <v>3024</v>
      </c>
      <c r="C1132" s="105" t="s">
        <v>95</v>
      </c>
      <c r="D1132" s="105">
        <v>0</v>
      </c>
      <c r="E1132" s="124">
        <f ca="1">OFFSET(INDEX(Composições!A:J,MATCH(Orçamentária!A1132,Composições!A:A,0),8),2,0)</f>
        <v>31.953707899999994</v>
      </c>
      <c r="F1132" s="125">
        <f t="shared" ca="1" si="51"/>
        <v>0</v>
      </c>
      <c r="G1132" s="126" t="e">
        <f>IF(A1132&lt;&gt;"",IF(AND(#REF!="Padrão",$H$4=#REF!),BDI!$B$17,IF(AND(#REF!="Padrão",$H$4=#REF!),BDI!#REF!,IF(AND(#REF!="Diferenciado",$H$4=#REF!),BDI!$E$17,IF(AND(#REF!="Diferenciado",$H$4=#REF!),BDI!#REF!,IF(#REF!="ZERO",0))))),"")</f>
        <v>#REF!</v>
      </c>
      <c r="H1132" s="127" t="e">
        <f t="shared" ca="1" si="52"/>
        <v>#REF!</v>
      </c>
      <c r="I1132" s="125" t="e">
        <f t="shared" ca="1" si="53"/>
        <v>#REF!</v>
      </c>
    </row>
    <row r="1133" spans="1:9" hidden="1" x14ac:dyDescent="0.25">
      <c r="A1133" s="103" t="s">
        <v>1266</v>
      </c>
      <c r="B1133" s="104" t="s">
        <v>3025</v>
      </c>
      <c r="C1133" s="105" t="s">
        <v>93</v>
      </c>
      <c r="D1133" s="105">
        <v>0</v>
      </c>
      <c r="E1133" s="124">
        <f ca="1">OFFSET(INDEX(Composições!A:J,MATCH(Orçamentária!A1133,Composições!A:A,0),8),2,0)</f>
        <v>9.9599747999999995</v>
      </c>
      <c r="F1133" s="125">
        <f t="shared" ca="1" si="51"/>
        <v>0</v>
      </c>
      <c r="G1133" s="126" t="e">
        <f>IF(A1133&lt;&gt;"",IF(AND(#REF!="Padrão",$H$4=#REF!),BDI!$B$17,IF(AND(#REF!="Padrão",$H$4=#REF!),BDI!#REF!,IF(AND(#REF!="Diferenciado",$H$4=#REF!),BDI!$E$17,IF(AND(#REF!="Diferenciado",$H$4=#REF!),BDI!#REF!,IF(#REF!="ZERO",0))))),"")</f>
        <v>#REF!</v>
      </c>
      <c r="H1133" s="127" t="e">
        <f t="shared" ca="1" si="52"/>
        <v>#REF!</v>
      </c>
      <c r="I1133" s="125" t="e">
        <f t="shared" ca="1" si="53"/>
        <v>#REF!</v>
      </c>
    </row>
    <row r="1134" spans="1:9" hidden="1" x14ac:dyDescent="0.25">
      <c r="A1134" s="103" t="s">
        <v>1272</v>
      </c>
      <c r="B1134" s="104" t="s">
        <v>3026</v>
      </c>
      <c r="C1134" s="105" t="s">
        <v>95</v>
      </c>
      <c r="D1134" s="105">
        <v>0</v>
      </c>
      <c r="E1134" s="124">
        <f ca="1">OFFSET(INDEX(Composições!A:J,MATCH(Orçamentária!A1134,Composições!A:A,0),8),2,0)</f>
        <v>70.895846725999988</v>
      </c>
      <c r="F1134" s="125">
        <f t="shared" ca="1" si="51"/>
        <v>0</v>
      </c>
      <c r="G1134" s="126" t="e">
        <f>IF(A1134&lt;&gt;"",IF(AND(#REF!="Padrão",$H$4=#REF!),BDI!$B$17,IF(AND(#REF!="Padrão",$H$4=#REF!),BDI!#REF!,IF(AND(#REF!="Diferenciado",$H$4=#REF!),BDI!$E$17,IF(AND(#REF!="Diferenciado",$H$4=#REF!),BDI!#REF!,IF(#REF!="ZERO",0))))),"")</f>
        <v>#REF!</v>
      </c>
      <c r="H1134" s="127" t="e">
        <f t="shared" ca="1" si="52"/>
        <v>#REF!</v>
      </c>
      <c r="I1134" s="125" t="e">
        <f t="shared" ca="1" si="53"/>
        <v>#REF!</v>
      </c>
    </row>
    <row r="1135" spans="1:9" hidden="1" x14ac:dyDescent="0.25">
      <c r="A1135" s="103" t="s">
        <v>1280</v>
      </c>
      <c r="B1135" s="104" t="s">
        <v>3027</v>
      </c>
      <c r="C1135" s="105" t="s">
        <v>109</v>
      </c>
      <c r="D1135" s="105">
        <v>0</v>
      </c>
      <c r="E1135" s="124">
        <f ca="1">OFFSET(INDEX(Composições!A:J,MATCH(Orçamentária!A1135,Composições!A:A,0),8),2,0)</f>
        <v>927.26891490000003</v>
      </c>
      <c r="F1135" s="125">
        <f t="shared" ca="1" si="51"/>
        <v>0</v>
      </c>
      <c r="G1135" s="126" t="e">
        <f>IF(A1135&lt;&gt;"",IF(AND(#REF!="Padrão",$H$4=#REF!),BDI!$B$17,IF(AND(#REF!="Padrão",$H$4=#REF!),BDI!#REF!,IF(AND(#REF!="Diferenciado",$H$4=#REF!),BDI!$E$17,IF(AND(#REF!="Diferenciado",$H$4=#REF!),BDI!#REF!,IF(#REF!="ZERO",0))))),"")</f>
        <v>#REF!</v>
      </c>
      <c r="H1135" s="127" t="e">
        <f t="shared" ca="1" si="52"/>
        <v>#REF!</v>
      </c>
      <c r="I1135" s="125" t="e">
        <f t="shared" ca="1" si="53"/>
        <v>#REF!</v>
      </c>
    </row>
    <row r="1136" spans="1:9" hidden="1" x14ac:dyDescent="0.25">
      <c r="A1136" s="103" t="s">
        <v>1299</v>
      </c>
      <c r="B1136" s="104" t="s">
        <v>3028</v>
      </c>
      <c r="C1136" s="105" t="s">
        <v>109</v>
      </c>
      <c r="D1136" s="105">
        <v>0</v>
      </c>
      <c r="E1136" s="124">
        <f ca="1">OFFSET(INDEX(Composições!A:J,MATCH(Orçamentária!A1136,Composições!A:A,0),8),2,0)</f>
        <v>221.04599999999999</v>
      </c>
      <c r="F1136" s="125">
        <f t="shared" ca="1" si="51"/>
        <v>0</v>
      </c>
      <c r="G1136" s="126" t="e">
        <f>IF(A1136&lt;&gt;"",IF(AND(#REF!="Padrão",$H$4=#REF!),BDI!$B$17,IF(AND(#REF!="Padrão",$H$4=#REF!),BDI!#REF!,IF(AND(#REF!="Diferenciado",$H$4=#REF!),BDI!$E$17,IF(AND(#REF!="Diferenciado",$H$4=#REF!),BDI!#REF!,IF(#REF!="ZERO",0))))),"")</f>
        <v>#REF!</v>
      </c>
      <c r="H1136" s="127" t="e">
        <f t="shared" ca="1" si="52"/>
        <v>#REF!</v>
      </c>
      <c r="I1136" s="125" t="e">
        <f t="shared" ca="1" si="53"/>
        <v>#REF!</v>
      </c>
    </row>
    <row r="1137" spans="1:9" hidden="1" x14ac:dyDescent="0.25">
      <c r="A1137" s="103" t="s">
        <v>1303</v>
      </c>
      <c r="B1137" s="104" t="s">
        <v>3029</v>
      </c>
      <c r="C1137" s="105" t="s">
        <v>95</v>
      </c>
      <c r="D1137" s="105">
        <v>0</v>
      </c>
      <c r="E1137" s="124">
        <f ca="1">OFFSET(INDEX(Composições!A:J,MATCH(Orçamentária!A1137,Composições!A:A,0),8),2,0)</f>
        <v>4.9333053500000004</v>
      </c>
      <c r="F1137" s="125">
        <f t="shared" ca="1" si="51"/>
        <v>0</v>
      </c>
      <c r="G1137" s="126" t="e">
        <f>IF(A1137&lt;&gt;"",IF(AND(#REF!="Padrão",$H$4=#REF!),BDI!$B$17,IF(AND(#REF!="Padrão",$H$4=#REF!),BDI!#REF!,IF(AND(#REF!="Diferenciado",$H$4=#REF!),BDI!$E$17,IF(AND(#REF!="Diferenciado",$H$4=#REF!),BDI!#REF!,IF(#REF!="ZERO",0))))),"")</f>
        <v>#REF!</v>
      </c>
      <c r="H1137" s="127" t="e">
        <f t="shared" ca="1" si="52"/>
        <v>#REF!</v>
      </c>
      <c r="I1137" s="125" t="e">
        <f t="shared" ca="1" si="53"/>
        <v>#REF!</v>
      </c>
    </row>
    <row r="1138" spans="1:9" hidden="1" x14ac:dyDescent="0.25">
      <c r="A1138" s="103" t="s">
        <v>1306</v>
      </c>
      <c r="B1138" s="104" t="s">
        <v>3030</v>
      </c>
      <c r="C1138" s="105" t="s">
        <v>95</v>
      </c>
      <c r="D1138" s="105">
        <v>0</v>
      </c>
      <c r="E1138" s="124">
        <f ca="1">OFFSET(INDEX(Composições!A:J,MATCH(Orçamentária!A1138,Composições!A:A,0),8),2,0)</f>
        <v>94.419086399999983</v>
      </c>
      <c r="F1138" s="125">
        <f t="shared" ca="1" si="51"/>
        <v>0</v>
      </c>
      <c r="G1138" s="126" t="e">
        <f>IF(A1138&lt;&gt;"",IF(AND(#REF!="Padrão",$H$4=#REF!),BDI!$B$17,IF(AND(#REF!="Padrão",$H$4=#REF!),BDI!#REF!,IF(AND(#REF!="Diferenciado",$H$4=#REF!),BDI!$E$17,IF(AND(#REF!="Diferenciado",$H$4=#REF!),BDI!#REF!,IF(#REF!="ZERO",0))))),"")</f>
        <v>#REF!</v>
      </c>
      <c r="H1138" s="127" t="e">
        <f t="shared" ca="1" si="52"/>
        <v>#REF!</v>
      </c>
      <c r="I1138" s="125" t="e">
        <f t="shared" ca="1" si="53"/>
        <v>#REF!</v>
      </c>
    </row>
    <row r="1139" spans="1:9" hidden="1" x14ac:dyDescent="0.25">
      <c r="A1139" s="103" t="s">
        <v>1311</v>
      </c>
      <c r="B1139" s="104" t="s">
        <v>3031</v>
      </c>
      <c r="C1139" s="105" t="s">
        <v>93</v>
      </c>
      <c r="D1139" s="105">
        <v>0</v>
      </c>
      <c r="E1139" s="124">
        <f ca="1">OFFSET(INDEX(Composições!A:J,MATCH(Orçamentária!A1139,Composições!A:A,0),8),2,0)</f>
        <v>12.911596299999999</v>
      </c>
      <c r="F1139" s="125">
        <f t="shared" ca="1" si="51"/>
        <v>0</v>
      </c>
      <c r="G1139" s="126" t="e">
        <f>IF(A1139&lt;&gt;"",IF(AND(#REF!="Padrão",$H$4=#REF!),BDI!$B$17,IF(AND(#REF!="Padrão",$H$4=#REF!),BDI!#REF!,IF(AND(#REF!="Diferenciado",$H$4=#REF!),BDI!$E$17,IF(AND(#REF!="Diferenciado",$H$4=#REF!),BDI!#REF!,IF(#REF!="ZERO",0))))),"")</f>
        <v>#REF!</v>
      </c>
      <c r="H1139" s="127" t="e">
        <f t="shared" ca="1" si="52"/>
        <v>#REF!</v>
      </c>
      <c r="I1139" s="125" t="e">
        <f t="shared" ca="1" si="53"/>
        <v>#REF!</v>
      </c>
    </row>
    <row r="1140" spans="1:9" hidden="1" x14ac:dyDescent="0.25">
      <c r="A1140" s="103" t="s">
        <v>1312</v>
      </c>
      <c r="B1140" s="104" t="s">
        <v>3032</v>
      </c>
      <c r="C1140" s="105" t="s">
        <v>95</v>
      </c>
      <c r="D1140" s="105">
        <v>0</v>
      </c>
      <c r="E1140" s="124">
        <f ca="1">OFFSET(INDEX(Composições!A:J,MATCH(Orçamentária!A1140,Composições!A:A,0),8),2,0)</f>
        <v>14.066528399999999</v>
      </c>
      <c r="F1140" s="125">
        <f t="shared" ca="1" si="51"/>
        <v>0</v>
      </c>
      <c r="G1140" s="126" t="e">
        <f>IF(A1140&lt;&gt;"",IF(AND(#REF!="Padrão",$H$4=#REF!),BDI!$B$17,IF(AND(#REF!="Padrão",$H$4=#REF!),BDI!#REF!,IF(AND(#REF!="Diferenciado",$H$4=#REF!),BDI!$E$17,IF(AND(#REF!="Diferenciado",$H$4=#REF!),BDI!#REF!,IF(#REF!="ZERO",0))))),"")</f>
        <v>#REF!</v>
      </c>
      <c r="H1140" s="127" t="e">
        <f t="shared" ca="1" si="52"/>
        <v>#REF!</v>
      </c>
      <c r="I1140" s="125" t="e">
        <f t="shared" ca="1" si="53"/>
        <v>#REF!</v>
      </c>
    </row>
    <row r="1141" spans="1:9" hidden="1" x14ac:dyDescent="0.25">
      <c r="A1141" s="103" t="s">
        <v>1314</v>
      </c>
      <c r="B1141" s="104" t="s">
        <v>3033</v>
      </c>
      <c r="C1141" s="105" t="s">
        <v>93</v>
      </c>
      <c r="D1141" s="105">
        <v>0</v>
      </c>
      <c r="E1141" s="124">
        <f ca="1">OFFSET(INDEX(Composições!A:J,MATCH(Orçamentária!A1141,Composições!A:A,0),8),2,0)</f>
        <v>12.911596299999999</v>
      </c>
      <c r="F1141" s="125">
        <f t="shared" ca="1" si="51"/>
        <v>0</v>
      </c>
      <c r="G1141" s="126" t="e">
        <f>IF(A1141&lt;&gt;"",IF(AND(#REF!="Padrão",$H$4=#REF!),BDI!$B$17,IF(AND(#REF!="Padrão",$H$4=#REF!),BDI!#REF!,IF(AND(#REF!="Diferenciado",$H$4=#REF!),BDI!$E$17,IF(AND(#REF!="Diferenciado",$H$4=#REF!),BDI!#REF!,IF(#REF!="ZERO",0))))),"")</f>
        <v>#REF!</v>
      </c>
      <c r="H1141" s="127" t="e">
        <f t="shared" ca="1" si="52"/>
        <v>#REF!</v>
      </c>
      <c r="I1141" s="125" t="e">
        <f t="shared" ca="1" si="53"/>
        <v>#REF!</v>
      </c>
    </row>
    <row r="1142" spans="1:9" hidden="1" x14ac:dyDescent="0.25">
      <c r="A1142" s="103" t="s">
        <v>1315</v>
      </c>
      <c r="B1142" s="104" t="s">
        <v>3034</v>
      </c>
      <c r="C1142" s="105" t="s">
        <v>95</v>
      </c>
      <c r="D1142" s="105">
        <v>0</v>
      </c>
      <c r="E1142" s="124">
        <f ca="1">OFFSET(INDEX(Composições!A:J,MATCH(Orçamentária!A1142,Composições!A:A,0),8),2,0)</f>
        <v>18.376799999999999</v>
      </c>
      <c r="F1142" s="125">
        <f t="shared" ca="1" si="51"/>
        <v>0</v>
      </c>
      <c r="G1142" s="126" t="e">
        <f>IF(A1142&lt;&gt;"",IF(AND(#REF!="Padrão",$H$4=#REF!),BDI!$B$17,IF(AND(#REF!="Padrão",$H$4=#REF!),BDI!#REF!,IF(AND(#REF!="Diferenciado",$H$4=#REF!),BDI!$E$17,IF(AND(#REF!="Diferenciado",$H$4=#REF!),BDI!#REF!,IF(#REF!="ZERO",0))))),"")</f>
        <v>#REF!</v>
      </c>
      <c r="H1142" s="127" t="e">
        <f t="shared" ca="1" si="52"/>
        <v>#REF!</v>
      </c>
      <c r="I1142" s="125" t="e">
        <f t="shared" ca="1" si="53"/>
        <v>#REF!</v>
      </c>
    </row>
    <row r="1143" spans="1:9" hidden="1" x14ac:dyDescent="0.25">
      <c r="A1143" s="103" t="s">
        <v>1321</v>
      </c>
      <c r="B1143" s="104" t="s">
        <v>3035</v>
      </c>
      <c r="C1143" s="105" t="s">
        <v>93</v>
      </c>
      <c r="D1143" s="105">
        <v>0</v>
      </c>
      <c r="E1143" s="124">
        <f ca="1">OFFSET(INDEX(Composições!A:J,MATCH(Orçamentária!A1143,Composições!A:A,0),8),2,0)</f>
        <v>2.5701299999999998</v>
      </c>
      <c r="F1143" s="125">
        <f t="shared" ca="1" si="51"/>
        <v>0</v>
      </c>
      <c r="G1143" s="126" t="e">
        <f>IF(A1143&lt;&gt;"",IF(AND(#REF!="Padrão",$H$4=#REF!),BDI!$B$17,IF(AND(#REF!="Padrão",$H$4=#REF!),BDI!#REF!,IF(AND(#REF!="Diferenciado",$H$4=#REF!),BDI!$E$17,IF(AND(#REF!="Diferenciado",$H$4=#REF!),BDI!#REF!,IF(#REF!="ZERO",0))))),"")</f>
        <v>#REF!</v>
      </c>
      <c r="H1143" s="127" t="e">
        <f t="shared" ca="1" si="52"/>
        <v>#REF!</v>
      </c>
      <c r="I1143" s="125" t="e">
        <f t="shared" ca="1" si="53"/>
        <v>#REF!</v>
      </c>
    </row>
    <row r="1144" spans="1:9" hidden="1" x14ac:dyDescent="0.25">
      <c r="A1144" s="103" t="s">
        <v>1323</v>
      </c>
      <c r="B1144" s="104" t="s">
        <v>3036</v>
      </c>
      <c r="C1144" s="105" t="s">
        <v>93</v>
      </c>
      <c r="D1144" s="105">
        <v>0</v>
      </c>
      <c r="E1144" s="124">
        <f ca="1">OFFSET(INDEX(Composições!A:J,MATCH(Orçamentária!A1144,Composições!A:A,0),8),2,0)</f>
        <v>2.5701299999999998</v>
      </c>
      <c r="F1144" s="125">
        <f t="shared" ca="1" si="51"/>
        <v>0</v>
      </c>
      <c r="G1144" s="126" t="e">
        <f>IF(A1144&lt;&gt;"",IF(AND(#REF!="Padrão",$H$4=#REF!),BDI!$B$17,IF(AND(#REF!="Padrão",$H$4=#REF!),BDI!#REF!,IF(AND(#REF!="Diferenciado",$H$4=#REF!),BDI!$E$17,IF(AND(#REF!="Diferenciado",$H$4=#REF!),BDI!#REF!,IF(#REF!="ZERO",0))))),"")</f>
        <v>#REF!</v>
      </c>
      <c r="H1144" s="127" t="e">
        <f t="shared" ca="1" si="52"/>
        <v>#REF!</v>
      </c>
      <c r="I1144" s="125" t="e">
        <f t="shared" ca="1" si="53"/>
        <v>#REF!</v>
      </c>
    </row>
    <row r="1145" spans="1:9" hidden="1" x14ac:dyDescent="0.25">
      <c r="A1145" s="103" t="s">
        <v>1325</v>
      </c>
      <c r="B1145" s="104" t="s">
        <v>3037</v>
      </c>
      <c r="C1145" s="105" t="s">
        <v>95</v>
      </c>
      <c r="D1145" s="105">
        <v>0</v>
      </c>
      <c r="E1145" s="124">
        <f ca="1">OFFSET(INDEX(Composições!A:J,MATCH(Orçamentária!A1145,Composições!A:A,0),8),2,0)</f>
        <v>49.218419849999997</v>
      </c>
      <c r="F1145" s="125">
        <f t="shared" ca="1" si="51"/>
        <v>0</v>
      </c>
      <c r="G1145" s="126" t="e">
        <f>IF(A1145&lt;&gt;"",IF(AND(#REF!="Padrão",$H$4=#REF!),BDI!$B$17,IF(AND(#REF!="Padrão",$H$4=#REF!),BDI!#REF!,IF(AND(#REF!="Diferenciado",$H$4=#REF!),BDI!$E$17,IF(AND(#REF!="Diferenciado",$H$4=#REF!),BDI!#REF!,IF(#REF!="ZERO",0))))),"")</f>
        <v>#REF!</v>
      </c>
      <c r="H1145" s="127" t="e">
        <f t="shared" ca="1" si="52"/>
        <v>#REF!</v>
      </c>
      <c r="I1145" s="125" t="e">
        <f t="shared" ca="1" si="53"/>
        <v>#REF!</v>
      </c>
    </row>
    <row r="1146" spans="1:9" hidden="1" x14ac:dyDescent="0.25">
      <c r="A1146" s="103" t="s">
        <v>1329</v>
      </c>
      <c r="B1146" s="104" t="s">
        <v>3038</v>
      </c>
      <c r="C1146" s="105" t="s">
        <v>93</v>
      </c>
      <c r="D1146" s="105">
        <v>0</v>
      </c>
      <c r="E1146" s="124">
        <f ca="1">OFFSET(INDEX(Composições!A:J,MATCH(Orçamentária!A1146,Composições!A:A,0),8),2,0)</f>
        <v>87.580209299999993</v>
      </c>
      <c r="F1146" s="125">
        <f t="shared" ca="1" si="51"/>
        <v>0</v>
      </c>
      <c r="G1146" s="126" t="e">
        <f>IF(A1146&lt;&gt;"",IF(AND(#REF!="Padrão",$H$4=#REF!),BDI!$B$17,IF(AND(#REF!="Padrão",$H$4=#REF!),BDI!#REF!,IF(AND(#REF!="Diferenciado",$H$4=#REF!),BDI!$E$17,IF(AND(#REF!="Diferenciado",$H$4=#REF!),BDI!#REF!,IF(#REF!="ZERO",0))))),"")</f>
        <v>#REF!</v>
      </c>
      <c r="H1146" s="127" t="e">
        <f t="shared" ca="1" si="52"/>
        <v>#REF!</v>
      </c>
      <c r="I1146" s="125" t="e">
        <f t="shared" ca="1" si="53"/>
        <v>#REF!</v>
      </c>
    </row>
    <row r="1147" spans="1:9" hidden="1" x14ac:dyDescent="0.25">
      <c r="A1147" s="103" t="s">
        <v>1331</v>
      </c>
      <c r="B1147" s="104" t="s">
        <v>3039</v>
      </c>
      <c r="C1147" s="105" t="s">
        <v>93</v>
      </c>
      <c r="D1147" s="105">
        <v>0</v>
      </c>
      <c r="E1147" s="124">
        <f ca="1">OFFSET(INDEX(Composições!A:J,MATCH(Orçamentária!A1147,Composições!A:A,0),8),2,0)</f>
        <v>94.790889799999974</v>
      </c>
      <c r="F1147" s="125">
        <f t="shared" ca="1" si="51"/>
        <v>0</v>
      </c>
      <c r="G1147" s="126" t="e">
        <f>IF(A1147&lt;&gt;"",IF(AND(#REF!="Padrão",$H$4=#REF!),BDI!$B$17,IF(AND(#REF!="Padrão",$H$4=#REF!),BDI!#REF!,IF(AND(#REF!="Diferenciado",$H$4=#REF!),BDI!$E$17,IF(AND(#REF!="Diferenciado",$H$4=#REF!),BDI!#REF!,IF(#REF!="ZERO",0))))),"")</f>
        <v>#REF!</v>
      </c>
      <c r="H1147" s="127" t="e">
        <f t="shared" ca="1" si="52"/>
        <v>#REF!</v>
      </c>
      <c r="I1147" s="125" t="e">
        <f t="shared" ca="1" si="53"/>
        <v>#REF!</v>
      </c>
    </row>
    <row r="1148" spans="1:9" hidden="1" x14ac:dyDescent="0.25">
      <c r="A1148" s="103" t="s">
        <v>1333</v>
      </c>
      <c r="B1148" s="104" t="s">
        <v>3040</v>
      </c>
      <c r="C1148" s="105" t="s">
        <v>95</v>
      </c>
      <c r="D1148" s="105">
        <v>0</v>
      </c>
      <c r="E1148" s="124">
        <f ca="1">OFFSET(INDEX(Composições!A:J,MATCH(Orçamentária!A1148,Composições!A:A,0),8),2,0)</f>
        <v>6.425325</v>
      </c>
      <c r="F1148" s="125">
        <f t="shared" ca="1" si="51"/>
        <v>0</v>
      </c>
      <c r="G1148" s="126" t="e">
        <f>IF(A1148&lt;&gt;"",IF(AND(#REF!="Padrão",$H$4=#REF!),BDI!$B$17,IF(AND(#REF!="Padrão",$H$4=#REF!),BDI!#REF!,IF(AND(#REF!="Diferenciado",$H$4=#REF!),BDI!$E$17,IF(AND(#REF!="Diferenciado",$H$4=#REF!),BDI!#REF!,IF(#REF!="ZERO",0))))),"")</f>
        <v>#REF!</v>
      </c>
      <c r="H1148" s="127" t="e">
        <f t="shared" ca="1" si="52"/>
        <v>#REF!</v>
      </c>
      <c r="I1148" s="125" t="e">
        <f t="shared" ca="1" si="53"/>
        <v>#REF!</v>
      </c>
    </row>
    <row r="1149" spans="1:9" hidden="1" x14ac:dyDescent="0.25">
      <c r="A1149" s="103" t="s">
        <v>3041</v>
      </c>
      <c r="B1149" s="104" t="s">
        <v>3042</v>
      </c>
      <c r="C1149" s="105" t="s">
        <v>20</v>
      </c>
      <c r="D1149" s="105">
        <v>0</v>
      </c>
      <c r="E1149" s="124" t="s">
        <v>523</v>
      </c>
      <c r="F1149" s="125" t="str">
        <f t="shared" si="51"/>
        <v/>
      </c>
      <c r="G1149" s="126" t="e">
        <f>IF(A1149&lt;&gt;"",IF(AND(#REF!="Padrão",$H$4=#REF!),BDI!$B$17,IF(AND(#REF!="Padrão",$H$4=#REF!),BDI!#REF!,IF(AND(#REF!="Diferenciado",$H$4=#REF!),BDI!$E$17,IF(AND(#REF!="Diferenciado",$H$4=#REF!),BDI!#REF!,IF(#REF!="ZERO",0))))),"")</f>
        <v>#REF!</v>
      </c>
      <c r="H1149" s="127" t="str">
        <f t="shared" si="52"/>
        <v/>
      </c>
      <c r="I1149" s="125" t="str">
        <f t="shared" si="53"/>
        <v/>
      </c>
    </row>
    <row r="1150" spans="1:9" hidden="1" x14ac:dyDescent="0.25">
      <c r="A1150" s="103" t="s">
        <v>3043</v>
      </c>
      <c r="B1150" s="104" t="s">
        <v>3044</v>
      </c>
      <c r="C1150" s="105" t="s">
        <v>20</v>
      </c>
      <c r="D1150" s="105">
        <v>0</v>
      </c>
      <c r="E1150" s="124" t="s">
        <v>523</v>
      </c>
      <c r="F1150" s="125" t="str">
        <f t="shared" si="51"/>
        <v/>
      </c>
      <c r="G1150" s="126" t="e">
        <f>IF(A1150&lt;&gt;"",IF(AND(#REF!="Padrão",$H$4=#REF!),BDI!$B$17,IF(AND(#REF!="Padrão",$H$4=#REF!),BDI!#REF!,IF(AND(#REF!="Diferenciado",$H$4=#REF!),BDI!$E$17,IF(AND(#REF!="Diferenciado",$H$4=#REF!),BDI!#REF!,IF(#REF!="ZERO",0))))),"")</f>
        <v>#REF!</v>
      </c>
      <c r="H1150" s="127" t="str">
        <f t="shared" si="52"/>
        <v/>
      </c>
      <c r="I1150" s="125" t="str">
        <f t="shared" si="53"/>
        <v/>
      </c>
    </row>
    <row r="1151" spans="1:9" hidden="1" x14ac:dyDescent="0.25">
      <c r="A1151" s="103" t="s">
        <v>3045</v>
      </c>
      <c r="B1151" s="104" t="s">
        <v>3046</v>
      </c>
      <c r="C1151" s="105" t="s">
        <v>6269</v>
      </c>
      <c r="D1151" s="105">
        <v>0</v>
      </c>
      <c r="E1151" s="124" t="s">
        <v>523</v>
      </c>
      <c r="F1151" s="125" t="str">
        <f t="shared" si="51"/>
        <v/>
      </c>
      <c r="G1151" s="126" t="e">
        <f>IF(A1151&lt;&gt;"",IF(AND(#REF!="Padrão",$H$4=#REF!),BDI!$B$17,IF(AND(#REF!="Padrão",$H$4=#REF!),BDI!#REF!,IF(AND(#REF!="Diferenciado",$H$4=#REF!),BDI!$E$17,IF(AND(#REF!="Diferenciado",$H$4=#REF!),BDI!#REF!,IF(#REF!="ZERO",0))))),"")</f>
        <v>#REF!</v>
      </c>
      <c r="H1151" s="127" t="str">
        <f t="shared" si="52"/>
        <v/>
      </c>
      <c r="I1151" s="125" t="str">
        <f t="shared" si="53"/>
        <v/>
      </c>
    </row>
    <row r="1152" spans="1:9" hidden="1" x14ac:dyDescent="0.25">
      <c r="A1152" s="103" t="s">
        <v>1335</v>
      </c>
      <c r="B1152" s="104" t="s">
        <v>3047</v>
      </c>
      <c r="C1152" s="105" t="s">
        <v>93</v>
      </c>
      <c r="D1152" s="105">
        <v>0</v>
      </c>
      <c r="E1152" s="124">
        <f ca="1">OFFSET(INDEX(Composições!A:J,MATCH(Orçamentária!A1152,Composições!A:A,0),8),2,0)</f>
        <v>307.10527355650754</v>
      </c>
      <c r="F1152" s="125">
        <f t="shared" ca="1" si="51"/>
        <v>0</v>
      </c>
      <c r="G1152" s="126" t="e">
        <f>IF(A1152&lt;&gt;"",IF(AND(#REF!="Padrão",$H$4=#REF!),BDI!$B$17,IF(AND(#REF!="Padrão",$H$4=#REF!),BDI!#REF!,IF(AND(#REF!="Diferenciado",$H$4=#REF!),BDI!$E$17,IF(AND(#REF!="Diferenciado",$H$4=#REF!),BDI!#REF!,IF(#REF!="ZERO",0))))),"")</f>
        <v>#REF!</v>
      </c>
      <c r="H1152" s="127" t="e">
        <f t="shared" ca="1" si="52"/>
        <v>#REF!</v>
      </c>
      <c r="I1152" s="125" t="e">
        <f t="shared" ca="1" si="53"/>
        <v>#REF!</v>
      </c>
    </row>
    <row r="1153" spans="1:9" hidden="1" x14ac:dyDescent="0.25">
      <c r="A1153" s="103" t="s">
        <v>1337</v>
      </c>
      <c r="B1153" s="104" t="s">
        <v>3048</v>
      </c>
      <c r="C1153" s="105" t="s">
        <v>93</v>
      </c>
      <c r="D1153" s="105">
        <v>0</v>
      </c>
      <c r="E1153" s="124">
        <f ca="1">OFFSET(INDEX(Composições!A:J,MATCH(Orçamentária!A1153,Composições!A:A,0),8),2,0)</f>
        <v>139.47963461301498</v>
      </c>
      <c r="F1153" s="125">
        <f t="shared" ca="1" si="51"/>
        <v>0</v>
      </c>
      <c r="G1153" s="126" t="e">
        <f>IF(A1153&lt;&gt;"",IF(AND(#REF!="Padrão",$H$4=#REF!),BDI!$B$17,IF(AND(#REF!="Padrão",$H$4=#REF!),BDI!#REF!,IF(AND(#REF!="Diferenciado",$H$4=#REF!),BDI!$E$17,IF(AND(#REF!="Diferenciado",$H$4=#REF!),BDI!#REF!,IF(#REF!="ZERO",0))))),"")</f>
        <v>#REF!</v>
      </c>
      <c r="H1153" s="127" t="e">
        <f t="shared" ca="1" si="52"/>
        <v>#REF!</v>
      </c>
      <c r="I1153" s="125" t="e">
        <f t="shared" ca="1" si="53"/>
        <v>#REF!</v>
      </c>
    </row>
    <row r="1154" spans="1:9" hidden="1" x14ac:dyDescent="0.25">
      <c r="A1154" s="103" t="s">
        <v>1338</v>
      </c>
      <c r="B1154" s="104" t="s">
        <v>3049</v>
      </c>
      <c r="C1154" s="105" t="s">
        <v>95</v>
      </c>
      <c r="D1154" s="105">
        <v>0</v>
      </c>
      <c r="E1154" s="124">
        <f ca="1">OFFSET(INDEX(Composições!A:J,MATCH(Orçamentária!A1154,Composições!A:A,0),8),2,0)</f>
        <v>2.0262549999999999</v>
      </c>
      <c r="F1154" s="125">
        <f t="shared" ca="1" si="51"/>
        <v>0</v>
      </c>
      <c r="G1154" s="126" t="e">
        <f>IF(A1154&lt;&gt;"",IF(AND(#REF!="Padrão",$H$4=#REF!),BDI!$B$17,IF(AND(#REF!="Padrão",$H$4=#REF!),BDI!#REF!,IF(AND(#REF!="Diferenciado",$H$4=#REF!),BDI!$E$17,IF(AND(#REF!="Diferenciado",$H$4=#REF!),BDI!#REF!,IF(#REF!="ZERO",0))))),"")</f>
        <v>#REF!</v>
      </c>
      <c r="H1154" s="127" t="e">
        <f t="shared" ca="1" si="52"/>
        <v>#REF!</v>
      </c>
      <c r="I1154" s="125" t="e">
        <f t="shared" ca="1" si="53"/>
        <v>#REF!</v>
      </c>
    </row>
    <row r="1155" spans="1:9" hidden="1" x14ac:dyDescent="0.25">
      <c r="A1155" s="103" t="s">
        <v>1342</v>
      </c>
      <c r="B1155" s="104" t="s">
        <v>3050</v>
      </c>
      <c r="C1155" s="105" t="s">
        <v>20</v>
      </c>
      <c r="D1155" s="105">
        <v>0</v>
      </c>
      <c r="E1155" s="124">
        <f ca="1">OFFSET(INDEX(Composições!A:J,MATCH(Orçamentária!A1155,Composições!A:A,0),8),2,0)</f>
        <v>244.41553259999995</v>
      </c>
      <c r="F1155" s="125">
        <f t="shared" ca="1" si="51"/>
        <v>0</v>
      </c>
      <c r="G1155" s="126" t="e">
        <f>IF(A1155&lt;&gt;"",IF(AND(#REF!="Padrão",$H$4=#REF!),BDI!$B$17,IF(AND(#REF!="Padrão",$H$4=#REF!),BDI!#REF!,IF(AND(#REF!="Diferenciado",$H$4=#REF!),BDI!$E$17,IF(AND(#REF!="Diferenciado",$H$4=#REF!),BDI!#REF!,IF(#REF!="ZERO",0))))),"")</f>
        <v>#REF!</v>
      </c>
      <c r="H1155" s="127" t="e">
        <f t="shared" ca="1" si="52"/>
        <v>#REF!</v>
      </c>
      <c r="I1155" s="125" t="e">
        <f t="shared" ca="1" si="53"/>
        <v>#REF!</v>
      </c>
    </row>
    <row r="1156" spans="1:9" hidden="1" x14ac:dyDescent="0.25">
      <c r="A1156" s="103" t="s">
        <v>1345</v>
      </c>
      <c r="B1156" s="104" t="s">
        <v>3051</v>
      </c>
      <c r="C1156" s="105" t="s">
        <v>20</v>
      </c>
      <c r="D1156" s="105">
        <v>0</v>
      </c>
      <c r="E1156" s="124">
        <f ca="1">OFFSET(INDEX(Composições!A:J,MATCH(Orçamentária!A1156,Composições!A:A,0),8),2,0)</f>
        <v>46.412382999999998</v>
      </c>
      <c r="F1156" s="125">
        <f t="shared" ca="1" si="51"/>
        <v>0</v>
      </c>
      <c r="G1156" s="126" t="e">
        <f>IF(A1156&lt;&gt;"",IF(AND(#REF!="Padrão",$H$4=#REF!),BDI!$B$17,IF(AND(#REF!="Padrão",$H$4=#REF!),BDI!#REF!,IF(AND(#REF!="Diferenciado",$H$4=#REF!),BDI!$E$17,IF(AND(#REF!="Diferenciado",$H$4=#REF!),BDI!#REF!,IF(#REF!="ZERO",0))))),"")</f>
        <v>#REF!</v>
      </c>
      <c r="H1156" s="127" t="e">
        <f t="shared" ca="1" si="52"/>
        <v>#REF!</v>
      </c>
      <c r="I1156" s="125" t="e">
        <f t="shared" ca="1" si="53"/>
        <v>#REF!</v>
      </c>
    </row>
    <row r="1157" spans="1:9" hidden="1" x14ac:dyDescent="0.25">
      <c r="A1157" s="103" t="s">
        <v>1346</v>
      </c>
      <c r="B1157" s="104" t="s">
        <v>3052</v>
      </c>
      <c r="C1157" s="105" t="s">
        <v>95</v>
      </c>
      <c r="D1157" s="105">
        <v>0</v>
      </c>
      <c r="E1157" s="124">
        <f ca="1">OFFSET(INDEX(Composições!A:J,MATCH(Orçamentária!A1157,Composições!A:A,0),8),2,0)</f>
        <v>41.585416485275999</v>
      </c>
      <c r="F1157" s="125">
        <f t="shared" ca="1" si="51"/>
        <v>0</v>
      </c>
      <c r="G1157" s="126" t="e">
        <f>IF(A1157&lt;&gt;"",IF(AND(#REF!="Padrão",$H$4=#REF!),BDI!$B$17,IF(AND(#REF!="Padrão",$H$4=#REF!),BDI!#REF!,IF(AND(#REF!="Diferenciado",$H$4=#REF!),BDI!$E$17,IF(AND(#REF!="Diferenciado",$H$4=#REF!),BDI!#REF!,IF(#REF!="ZERO",0))))),"")</f>
        <v>#REF!</v>
      </c>
      <c r="H1157" s="127" t="e">
        <f t="shared" ca="1" si="52"/>
        <v>#REF!</v>
      </c>
      <c r="I1157" s="125" t="e">
        <f t="shared" ca="1" si="53"/>
        <v>#REF!</v>
      </c>
    </row>
    <row r="1158" spans="1:9" hidden="1" x14ac:dyDescent="0.25">
      <c r="A1158" s="103" t="s">
        <v>1349</v>
      </c>
      <c r="B1158" s="104" t="s">
        <v>3053</v>
      </c>
      <c r="C1158" s="105" t="s">
        <v>95</v>
      </c>
      <c r="D1158" s="105">
        <v>0</v>
      </c>
      <c r="E1158" s="124">
        <f ca="1">OFFSET(INDEX(Composições!A:J,MATCH(Orçamentária!A1158,Composições!A:A,0),8),2,0)</f>
        <v>55.804276194356007</v>
      </c>
      <c r="F1158" s="125">
        <f t="shared" ca="1" si="51"/>
        <v>0</v>
      </c>
      <c r="G1158" s="126" t="e">
        <f>IF(A1158&lt;&gt;"",IF(AND(#REF!="Padrão",$H$4=#REF!),BDI!$B$17,IF(AND(#REF!="Padrão",$H$4=#REF!),BDI!#REF!,IF(AND(#REF!="Diferenciado",$H$4=#REF!),BDI!$E$17,IF(AND(#REF!="Diferenciado",$H$4=#REF!),BDI!#REF!,IF(#REF!="ZERO",0))))),"")</f>
        <v>#REF!</v>
      </c>
      <c r="H1158" s="127" t="e">
        <f t="shared" ca="1" si="52"/>
        <v>#REF!</v>
      </c>
      <c r="I1158" s="125" t="e">
        <f t="shared" ca="1" si="53"/>
        <v>#REF!</v>
      </c>
    </row>
    <row r="1159" spans="1:9" hidden="1" x14ac:dyDescent="0.25">
      <c r="A1159" s="103" t="s">
        <v>1350</v>
      </c>
      <c r="B1159" s="104" t="s">
        <v>3054</v>
      </c>
      <c r="C1159" s="105" t="s">
        <v>95</v>
      </c>
      <c r="D1159" s="105">
        <v>0</v>
      </c>
      <c r="E1159" s="124">
        <f ca="1">OFFSET(INDEX(Composições!A:J,MATCH(Orçamentária!A1159,Composições!A:A,0),8),2,0)</f>
        <v>7.5828050000000013</v>
      </c>
      <c r="F1159" s="125">
        <f t="shared" ref="F1159:F1222" ca="1" si="54">IF(ISNUMBER(E1159),D1159*E1159,"")</f>
        <v>0</v>
      </c>
      <c r="G1159" s="126" t="e">
        <f>IF(A1159&lt;&gt;"",IF(AND(#REF!="Padrão",$H$4=#REF!),BDI!$B$17,IF(AND(#REF!="Padrão",$H$4=#REF!),BDI!#REF!,IF(AND(#REF!="Diferenciado",$H$4=#REF!),BDI!$E$17,IF(AND(#REF!="Diferenciado",$H$4=#REF!),BDI!#REF!,IF(#REF!="ZERO",0))))),"")</f>
        <v>#REF!</v>
      </c>
      <c r="H1159" s="127" t="e">
        <f t="shared" ref="H1159:H1222" ca="1" si="55">IF(ISNUMBER(E1159),ROUND(E1159*(1+G1159),2),"")</f>
        <v>#REF!</v>
      </c>
      <c r="I1159" s="125" t="e">
        <f t="shared" ref="I1159:I1222" ca="1" si="56">IF(ISNUMBER(E1159),ROUND(H1159*D1159,2),"")</f>
        <v>#REF!</v>
      </c>
    </row>
    <row r="1160" spans="1:9" hidden="1" x14ac:dyDescent="0.25">
      <c r="A1160" s="103" t="s">
        <v>1352</v>
      </c>
      <c r="B1160" s="104" t="s">
        <v>3055</v>
      </c>
      <c r="C1160" s="105" t="s">
        <v>95</v>
      </c>
      <c r="D1160" s="105">
        <v>0</v>
      </c>
      <c r="E1160" s="124">
        <f ca="1">OFFSET(INDEX(Composições!A:J,MATCH(Orçamentária!A1160,Composições!A:A,0),8),2,0)</f>
        <v>7.8436750000000002</v>
      </c>
      <c r="F1160" s="125">
        <f t="shared" ca="1" si="54"/>
        <v>0</v>
      </c>
      <c r="G1160" s="126" t="e">
        <f>IF(A1160&lt;&gt;"",IF(AND(#REF!="Padrão",$H$4=#REF!),BDI!$B$17,IF(AND(#REF!="Padrão",$H$4=#REF!),BDI!#REF!,IF(AND(#REF!="Diferenciado",$H$4=#REF!),BDI!$E$17,IF(AND(#REF!="Diferenciado",$H$4=#REF!),BDI!#REF!,IF(#REF!="ZERO",0))))),"")</f>
        <v>#REF!</v>
      </c>
      <c r="H1160" s="127" t="e">
        <f t="shared" ca="1" si="55"/>
        <v>#REF!</v>
      </c>
      <c r="I1160" s="125" t="e">
        <f t="shared" ca="1" si="56"/>
        <v>#REF!</v>
      </c>
    </row>
    <row r="1161" spans="1:9" hidden="1" x14ac:dyDescent="0.25">
      <c r="A1161" s="103" t="s">
        <v>1354</v>
      </c>
      <c r="B1161" s="104" t="s">
        <v>3056</v>
      </c>
      <c r="C1161" s="105" t="s">
        <v>95</v>
      </c>
      <c r="D1161" s="105">
        <v>0</v>
      </c>
      <c r="E1161" s="124">
        <f ca="1">OFFSET(INDEX(Composições!A:J,MATCH(Orçamentária!A1161,Composições!A:A,0),8),2,0)</f>
        <v>30.25330939306</v>
      </c>
      <c r="F1161" s="125">
        <f t="shared" ca="1" si="54"/>
        <v>0</v>
      </c>
      <c r="G1161" s="126" t="e">
        <f>IF(A1161&lt;&gt;"",IF(AND(#REF!="Padrão",$H$4=#REF!),BDI!$B$17,IF(AND(#REF!="Padrão",$H$4=#REF!),BDI!#REF!,IF(AND(#REF!="Diferenciado",$H$4=#REF!),BDI!$E$17,IF(AND(#REF!="Diferenciado",$H$4=#REF!),BDI!#REF!,IF(#REF!="ZERO",0))))),"")</f>
        <v>#REF!</v>
      </c>
      <c r="H1161" s="127" t="e">
        <f t="shared" ca="1" si="55"/>
        <v>#REF!</v>
      </c>
      <c r="I1161" s="125" t="e">
        <f t="shared" ca="1" si="56"/>
        <v>#REF!</v>
      </c>
    </row>
    <row r="1162" spans="1:9" hidden="1" x14ac:dyDescent="0.25">
      <c r="A1162" s="103" t="s">
        <v>1355</v>
      </c>
      <c r="B1162" s="104" t="s">
        <v>3057</v>
      </c>
      <c r="C1162" s="105" t="s">
        <v>95</v>
      </c>
      <c r="D1162" s="105">
        <v>0</v>
      </c>
      <c r="E1162" s="124">
        <f ca="1">OFFSET(INDEX(Composições!A:J,MATCH(Orçamentária!A1162,Composições!A:A,0),8),2,0)</f>
        <v>86.110321752499999</v>
      </c>
      <c r="F1162" s="125">
        <f t="shared" ca="1" si="54"/>
        <v>0</v>
      </c>
      <c r="G1162" s="126" t="e">
        <f>IF(A1162&lt;&gt;"",IF(AND(#REF!="Padrão",$H$4=#REF!),BDI!$B$17,IF(AND(#REF!="Padrão",$H$4=#REF!),BDI!#REF!,IF(AND(#REF!="Diferenciado",$H$4=#REF!),BDI!$E$17,IF(AND(#REF!="Diferenciado",$H$4=#REF!),BDI!#REF!,IF(#REF!="ZERO",0))))),"")</f>
        <v>#REF!</v>
      </c>
      <c r="H1162" s="127" t="e">
        <f t="shared" ca="1" si="55"/>
        <v>#REF!</v>
      </c>
      <c r="I1162" s="125" t="e">
        <f t="shared" ca="1" si="56"/>
        <v>#REF!</v>
      </c>
    </row>
    <row r="1163" spans="1:9" hidden="1" x14ac:dyDescent="0.25">
      <c r="A1163" s="103" t="s">
        <v>1356</v>
      </c>
      <c r="B1163" s="104" t="s">
        <v>3058</v>
      </c>
      <c r="C1163" s="105" t="s">
        <v>95</v>
      </c>
      <c r="D1163" s="105">
        <v>0</v>
      </c>
      <c r="E1163" s="124">
        <f ca="1">OFFSET(INDEX(Composições!A:J,MATCH(Orçamentária!A1163,Composições!A:A,0),8),2,0)</f>
        <v>11.724448750000001</v>
      </c>
      <c r="F1163" s="125">
        <f t="shared" ca="1" si="54"/>
        <v>0</v>
      </c>
      <c r="G1163" s="126" t="e">
        <f>IF(A1163&lt;&gt;"",IF(AND(#REF!="Padrão",$H$4=#REF!),BDI!$B$17,IF(AND(#REF!="Padrão",$H$4=#REF!),BDI!#REF!,IF(AND(#REF!="Diferenciado",$H$4=#REF!),BDI!$E$17,IF(AND(#REF!="Diferenciado",$H$4=#REF!),BDI!#REF!,IF(#REF!="ZERO",0))))),"")</f>
        <v>#REF!</v>
      </c>
      <c r="H1163" s="127" t="e">
        <f t="shared" ca="1" si="55"/>
        <v>#REF!</v>
      </c>
      <c r="I1163" s="125" t="e">
        <f t="shared" ca="1" si="56"/>
        <v>#REF!</v>
      </c>
    </row>
    <row r="1164" spans="1:9" hidden="1" x14ac:dyDescent="0.25">
      <c r="A1164" s="103" t="s">
        <v>1358</v>
      </c>
      <c r="B1164" s="104" t="s">
        <v>3059</v>
      </c>
      <c r="C1164" s="105" t="s">
        <v>95</v>
      </c>
      <c r="D1164" s="105">
        <v>0</v>
      </c>
      <c r="E1164" s="124">
        <f ca="1">OFFSET(INDEX(Composições!A:J,MATCH(Orçamentária!A1164,Composições!A:A,0),8),2,0)</f>
        <v>7.7670100000000009</v>
      </c>
      <c r="F1164" s="125">
        <f t="shared" ca="1" si="54"/>
        <v>0</v>
      </c>
      <c r="G1164" s="126" t="e">
        <f>IF(A1164&lt;&gt;"",IF(AND(#REF!="Padrão",$H$4=#REF!),BDI!$B$17,IF(AND(#REF!="Padrão",$H$4=#REF!),BDI!#REF!,IF(AND(#REF!="Diferenciado",$H$4=#REF!),BDI!$E$17,IF(AND(#REF!="Diferenciado",$H$4=#REF!),BDI!#REF!,IF(#REF!="ZERO",0))))),"")</f>
        <v>#REF!</v>
      </c>
      <c r="H1164" s="127" t="e">
        <f t="shared" ca="1" si="55"/>
        <v>#REF!</v>
      </c>
      <c r="I1164" s="125" t="e">
        <f t="shared" ca="1" si="56"/>
        <v>#REF!</v>
      </c>
    </row>
    <row r="1165" spans="1:9" hidden="1" x14ac:dyDescent="0.25">
      <c r="A1165" s="103" t="s">
        <v>1360</v>
      </c>
      <c r="B1165" s="104" t="s">
        <v>3060</v>
      </c>
      <c r="C1165" s="105" t="s">
        <v>95</v>
      </c>
      <c r="D1165" s="105">
        <v>0</v>
      </c>
      <c r="E1165" s="124">
        <f ca="1">OFFSET(INDEX(Composições!A:J,MATCH(Orçamentária!A1165,Composições!A:A,0),8),2,0)</f>
        <v>184.13203999999999</v>
      </c>
      <c r="F1165" s="125">
        <f t="shared" ca="1" si="54"/>
        <v>0</v>
      </c>
      <c r="G1165" s="126" t="e">
        <f>IF(A1165&lt;&gt;"",IF(AND(#REF!="Padrão",$H$4=#REF!),BDI!$B$17,IF(AND(#REF!="Padrão",$H$4=#REF!),BDI!#REF!,IF(AND(#REF!="Diferenciado",$H$4=#REF!),BDI!$E$17,IF(AND(#REF!="Diferenciado",$H$4=#REF!),BDI!#REF!,IF(#REF!="ZERO",0))))),"")</f>
        <v>#REF!</v>
      </c>
      <c r="H1165" s="127" t="e">
        <f t="shared" ca="1" si="55"/>
        <v>#REF!</v>
      </c>
      <c r="I1165" s="125" t="e">
        <f t="shared" ca="1" si="56"/>
        <v>#REF!</v>
      </c>
    </row>
    <row r="1166" spans="1:9" hidden="1" x14ac:dyDescent="0.25">
      <c r="A1166" s="103" t="s">
        <v>1365</v>
      </c>
      <c r="B1166" s="104" t="s">
        <v>3061</v>
      </c>
      <c r="C1166" s="105" t="s">
        <v>95</v>
      </c>
      <c r="D1166" s="105">
        <v>0</v>
      </c>
      <c r="E1166" s="124">
        <f ca="1">OFFSET(INDEX(Composições!A:J,MATCH(Orçamentária!A1166,Composições!A:A,0),8),2,0)</f>
        <v>212.08139150000002</v>
      </c>
      <c r="F1166" s="125">
        <f t="shared" ca="1" si="54"/>
        <v>0</v>
      </c>
      <c r="G1166" s="126" t="e">
        <f>IF(A1166&lt;&gt;"",IF(AND(#REF!="Padrão",$H$4=#REF!),BDI!$B$17,IF(AND(#REF!="Padrão",$H$4=#REF!),BDI!#REF!,IF(AND(#REF!="Diferenciado",$H$4=#REF!),BDI!$E$17,IF(AND(#REF!="Diferenciado",$H$4=#REF!),BDI!#REF!,IF(#REF!="ZERO",0))))),"")</f>
        <v>#REF!</v>
      </c>
      <c r="H1166" s="127" t="e">
        <f t="shared" ca="1" si="55"/>
        <v>#REF!</v>
      </c>
      <c r="I1166" s="125" t="e">
        <f t="shared" ca="1" si="56"/>
        <v>#REF!</v>
      </c>
    </row>
    <row r="1167" spans="1:9" hidden="1" x14ac:dyDescent="0.25">
      <c r="A1167" s="103" t="s">
        <v>3062</v>
      </c>
      <c r="B1167" s="104" t="s">
        <v>3063</v>
      </c>
      <c r="C1167" s="105" t="s">
        <v>42</v>
      </c>
      <c r="D1167" s="105">
        <v>0</v>
      </c>
      <c r="E1167" s="124" t="s">
        <v>523</v>
      </c>
      <c r="F1167" s="125" t="str">
        <f t="shared" si="54"/>
        <v/>
      </c>
      <c r="G1167" s="126" t="e">
        <f>IF(A1167&lt;&gt;"",IF(AND(#REF!="Padrão",$H$4=#REF!),BDI!$B$17,IF(AND(#REF!="Padrão",$H$4=#REF!),BDI!#REF!,IF(AND(#REF!="Diferenciado",$H$4=#REF!),BDI!$E$17,IF(AND(#REF!="Diferenciado",$H$4=#REF!),BDI!#REF!,IF(#REF!="ZERO",0))))),"")</f>
        <v>#REF!</v>
      </c>
      <c r="H1167" s="127" t="str">
        <f t="shared" si="55"/>
        <v/>
      </c>
      <c r="I1167" s="125" t="str">
        <f t="shared" si="56"/>
        <v/>
      </c>
    </row>
    <row r="1168" spans="1:9" hidden="1" x14ac:dyDescent="0.25">
      <c r="A1168" s="103" t="s">
        <v>1367</v>
      </c>
      <c r="B1168" s="104" t="s">
        <v>3064</v>
      </c>
      <c r="C1168" s="105" t="s">
        <v>93</v>
      </c>
      <c r="D1168" s="105">
        <v>0</v>
      </c>
      <c r="E1168" s="124">
        <f ca="1">OFFSET(INDEX(Composições!A:J,MATCH(Orçamentária!A1168,Composições!A:A,0),8),2,0)</f>
        <v>120.21380845</v>
      </c>
      <c r="F1168" s="125">
        <f t="shared" ca="1" si="54"/>
        <v>0</v>
      </c>
      <c r="G1168" s="126" t="e">
        <f>IF(A1168&lt;&gt;"",IF(AND(#REF!="Padrão",$H$4=#REF!),BDI!$B$17,IF(AND(#REF!="Padrão",$H$4=#REF!),BDI!#REF!,IF(AND(#REF!="Diferenciado",$H$4=#REF!),BDI!$E$17,IF(AND(#REF!="Diferenciado",$H$4=#REF!),BDI!#REF!,IF(#REF!="ZERO",0))))),"")</f>
        <v>#REF!</v>
      </c>
      <c r="H1168" s="127" t="e">
        <f t="shared" ca="1" si="55"/>
        <v>#REF!</v>
      </c>
      <c r="I1168" s="125" t="e">
        <f t="shared" ca="1" si="56"/>
        <v>#REF!</v>
      </c>
    </row>
    <row r="1169" spans="1:9" hidden="1" x14ac:dyDescent="0.25">
      <c r="A1169" s="103" t="s">
        <v>1372</v>
      </c>
      <c r="B1169" s="104" t="s">
        <v>3065</v>
      </c>
      <c r="C1169" s="105" t="s">
        <v>95</v>
      </c>
      <c r="D1169" s="105">
        <v>0</v>
      </c>
      <c r="E1169" s="124">
        <f ca="1">OFFSET(INDEX(Composições!A:J,MATCH(Orçamentária!A1169,Composições!A:A,0),8),2,0)</f>
        <v>20.8800025</v>
      </c>
      <c r="F1169" s="125">
        <f t="shared" ca="1" si="54"/>
        <v>0</v>
      </c>
      <c r="G1169" s="126" t="e">
        <f>IF(A1169&lt;&gt;"",IF(AND(#REF!="Padrão",$H$4=#REF!),BDI!$B$17,IF(AND(#REF!="Padrão",$H$4=#REF!),BDI!#REF!,IF(AND(#REF!="Diferenciado",$H$4=#REF!),BDI!$E$17,IF(AND(#REF!="Diferenciado",$H$4=#REF!),BDI!#REF!,IF(#REF!="ZERO",0))))),"")</f>
        <v>#REF!</v>
      </c>
      <c r="H1169" s="127" t="e">
        <f t="shared" ca="1" si="55"/>
        <v>#REF!</v>
      </c>
      <c r="I1169" s="125" t="e">
        <f t="shared" ca="1" si="56"/>
        <v>#REF!</v>
      </c>
    </row>
    <row r="1170" spans="1:9" hidden="1" x14ac:dyDescent="0.25">
      <c r="A1170" s="103" t="s">
        <v>1373</v>
      </c>
      <c r="B1170" s="104" t="s">
        <v>3066</v>
      </c>
      <c r="C1170" s="105" t="s">
        <v>95</v>
      </c>
      <c r="D1170" s="105">
        <v>0</v>
      </c>
      <c r="E1170" s="124">
        <f ca="1">OFFSET(INDEX(Composições!A:J,MATCH(Orçamentária!A1170,Composições!A:A,0),8),2,0)</f>
        <v>62.953412500000006</v>
      </c>
      <c r="F1170" s="125">
        <f t="shared" ca="1" si="54"/>
        <v>0</v>
      </c>
      <c r="G1170" s="126" t="e">
        <f>IF(A1170&lt;&gt;"",IF(AND(#REF!="Padrão",$H$4=#REF!),BDI!$B$17,IF(AND(#REF!="Padrão",$H$4=#REF!),BDI!#REF!,IF(AND(#REF!="Diferenciado",$H$4=#REF!),BDI!$E$17,IF(AND(#REF!="Diferenciado",$H$4=#REF!),BDI!#REF!,IF(#REF!="ZERO",0))))),"")</f>
        <v>#REF!</v>
      </c>
      <c r="H1170" s="127" t="e">
        <f t="shared" ca="1" si="55"/>
        <v>#REF!</v>
      </c>
      <c r="I1170" s="125" t="e">
        <f t="shared" ca="1" si="56"/>
        <v>#REF!</v>
      </c>
    </row>
    <row r="1171" spans="1:9" hidden="1" x14ac:dyDescent="0.25">
      <c r="A1171" s="103" t="s">
        <v>1376</v>
      </c>
      <c r="B1171" s="104" t="s">
        <v>3067</v>
      </c>
      <c r="C1171" s="105" t="s">
        <v>95</v>
      </c>
      <c r="D1171" s="105">
        <v>0</v>
      </c>
      <c r="E1171" s="124">
        <f ca="1">OFFSET(INDEX(Composições!A:J,MATCH(Orçamentária!A1171,Composições!A:A,0),8),2,0)</f>
        <v>7.2475500000000004</v>
      </c>
      <c r="F1171" s="125">
        <f t="shared" ca="1" si="54"/>
        <v>0</v>
      </c>
      <c r="G1171" s="126" t="e">
        <f>IF(A1171&lt;&gt;"",IF(AND(#REF!="Padrão",$H$4=#REF!),BDI!$B$17,IF(AND(#REF!="Padrão",$H$4=#REF!),BDI!#REF!,IF(AND(#REF!="Diferenciado",$H$4=#REF!),BDI!$E$17,IF(AND(#REF!="Diferenciado",$H$4=#REF!),BDI!#REF!,IF(#REF!="ZERO",0))))),"")</f>
        <v>#REF!</v>
      </c>
      <c r="H1171" s="127" t="e">
        <f t="shared" ca="1" si="55"/>
        <v>#REF!</v>
      </c>
      <c r="I1171" s="125" t="e">
        <f t="shared" ca="1" si="56"/>
        <v>#REF!</v>
      </c>
    </row>
    <row r="1172" spans="1:9" hidden="1" x14ac:dyDescent="0.25">
      <c r="A1172" s="103" t="s">
        <v>1378</v>
      </c>
      <c r="B1172" s="104" t="s">
        <v>3068</v>
      </c>
      <c r="C1172" s="105" t="s">
        <v>95</v>
      </c>
      <c r="D1172" s="105">
        <v>0</v>
      </c>
      <c r="E1172" s="124">
        <f ca="1">OFFSET(INDEX(Composições!A:J,MATCH(Orçamentária!A1172,Composições!A:A,0),8),2,0)</f>
        <v>7.2475500000000004</v>
      </c>
      <c r="F1172" s="125">
        <f t="shared" ca="1" si="54"/>
        <v>0</v>
      </c>
      <c r="G1172" s="126" t="e">
        <f>IF(A1172&lt;&gt;"",IF(AND(#REF!="Padrão",$H$4=#REF!),BDI!$B$17,IF(AND(#REF!="Padrão",$H$4=#REF!),BDI!#REF!,IF(AND(#REF!="Diferenciado",$H$4=#REF!),BDI!$E$17,IF(AND(#REF!="Diferenciado",$H$4=#REF!),BDI!#REF!,IF(#REF!="ZERO",0))))),"")</f>
        <v>#REF!</v>
      </c>
      <c r="H1172" s="127" t="e">
        <f t="shared" ca="1" si="55"/>
        <v>#REF!</v>
      </c>
      <c r="I1172" s="125" t="e">
        <f t="shared" ca="1" si="56"/>
        <v>#REF!</v>
      </c>
    </row>
    <row r="1173" spans="1:9" hidden="1" x14ac:dyDescent="0.25">
      <c r="A1173" s="103" t="s">
        <v>1380</v>
      </c>
      <c r="B1173" s="104" t="s">
        <v>3069</v>
      </c>
      <c r="C1173" s="105" t="s">
        <v>109</v>
      </c>
      <c r="D1173" s="105">
        <v>0</v>
      </c>
      <c r="E1173" s="124">
        <f ca="1">OFFSET(INDEX(Composições!A:J,MATCH(Orçamentária!A1173,Composições!A:A,0),8),2,0)</f>
        <v>856.97658576999993</v>
      </c>
      <c r="F1173" s="125">
        <f t="shared" ca="1" si="54"/>
        <v>0</v>
      </c>
      <c r="G1173" s="126" t="e">
        <f>IF(A1173&lt;&gt;"",IF(AND(#REF!="Padrão",$H$4=#REF!),BDI!$B$17,IF(AND(#REF!="Padrão",$H$4=#REF!),BDI!#REF!,IF(AND(#REF!="Diferenciado",$H$4=#REF!),BDI!$E$17,IF(AND(#REF!="Diferenciado",$H$4=#REF!),BDI!#REF!,IF(#REF!="ZERO",0))))),"")</f>
        <v>#REF!</v>
      </c>
      <c r="H1173" s="127" t="e">
        <f t="shared" ca="1" si="55"/>
        <v>#REF!</v>
      </c>
      <c r="I1173" s="125" t="e">
        <f t="shared" ca="1" si="56"/>
        <v>#REF!</v>
      </c>
    </row>
    <row r="1174" spans="1:9" hidden="1" x14ac:dyDescent="0.25">
      <c r="A1174" s="103" t="s">
        <v>1383</v>
      </c>
      <c r="B1174" s="104" t="s">
        <v>3070</v>
      </c>
      <c r="C1174" s="105" t="s">
        <v>95</v>
      </c>
      <c r="D1174" s="105">
        <v>0</v>
      </c>
      <c r="E1174" s="124">
        <f ca="1">OFFSET(INDEX(Composições!A:J,MATCH(Orçamentária!A1174,Composições!A:A,0),8),2,0)</f>
        <v>7.1416249999999994</v>
      </c>
      <c r="F1174" s="125">
        <f t="shared" ca="1" si="54"/>
        <v>0</v>
      </c>
      <c r="G1174" s="126" t="e">
        <f>IF(A1174&lt;&gt;"",IF(AND(#REF!="Padrão",$H$4=#REF!),BDI!$B$17,IF(AND(#REF!="Padrão",$H$4=#REF!),BDI!#REF!,IF(AND(#REF!="Diferenciado",$H$4=#REF!),BDI!$E$17,IF(AND(#REF!="Diferenciado",$H$4=#REF!),BDI!#REF!,IF(#REF!="ZERO",0))))),"")</f>
        <v>#REF!</v>
      </c>
      <c r="H1174" s="127" t="e">
        <f t="shared" ca="1" si="55"/>
        <v>#REF!</v>
      </c>
      <c r="I1174" s="125" t="e">
        <f t="shared" ca="1" si="56"/>
        <v>#REF!</v>
      </c>
    </row>
    <row r="1175" spans="1:9" hidden="1" x14ac:dyDescent="0.25">
      <c r="A1175" s="103" t="s">
        <v>1388</v>
      </c>
      <c r="B1175" s="104" t="s">
        <v>3071</v>
      </c>
      <c r="C1175" s="105" t="s">
        <v>95</v>
      </c>
      <c r="D1175" s="105">
        <v>0</v>
      </c>
      <c r="E1175" s="124">
        <f ca="1">OFFSET(INDEX(Composições!A:J,MATCH(Orçamentária!A1175,Composições!A:A,0),8),2,0)</f>
        <v>138.09123999999997</v>
      </c>
      <c r="F1175" s="125">
        <f t="shared" ca="1" si="54"/>
        <v>0</v>
      </c>
      <c r="G1175" s="126" t="e">
        <f>IF(A1175&lt;&gt;"",IF(AND(#REF!="Padrão",$H$4=#REF!),BDI!$B$17,IF(AND(#REF!="Padrão",$H$4=#REF!),BDI!#REF!,IF(AND(#REF!="Diferenciado",$H$4=#REF!),BDI!$E$17,IF(AND(#REF!="Diferenciado",$H$4=#REF!),BDI!#REF!,IF(#REF!="ZERO",0))))),"")</f>
        <v>#REF!</v>
      </c>
      <c r="H1175" s="127" t="e">
        <f t="shared" ca="1" si="55"/>
        <v>#REF!</v>
      </c>
      <c r="I1175" s="125" t="e">
        <f t="shared" ca="1" si="56"/>
        <v>#REF!</v>
      </c>
    </row>
    <row r="1176" spans="1:9" hidden="1" x14ac:dyDescent="0.25">
      <c r="A1176" s="103" t="s">
        <v>1390</v>
      </c>
      <c r="B1176" s="104" t="s">
        <v>3072</v>
      </c>
      <c r="C1176" s="105" t="s">
        <v>95</v>
      </c>
      <c r="D1176" s="105">
        <v>0</v>
      </c>
      <c r="E1176" s="124">
        <f ca="1">OFFSET(INDEX(Composições!A:J,MATCH(Orçamentária!A1176,Composições!A:A,0),8),2,0)</f>
        <v>104.8494575</v>
      </c>
      <c r="F1176" s="125">
        <f t="shared" ca="1" si="54"/>
        <v>0</v>
      </c>
      <c r="G1176" s="126" t="e">
        <f>IF(A1176&lt;&gt;"",IF(AND(#REF!="Padrão",$H$4=#REF!),BDI!$B$17,IF(AND(#REF!="Padrão",$H$4=#REF!),BDI!#REF!,IF(AND(#REF!="Diferenciado",$H$4=#REF!),BDI!$E$17,IF(AND(#REF!="Diferenciado",$H$4=#REF!),BDI!#REF!,IF(#REF!="ZERO",0))))),"")</f>
        <v>#REF!</v>
      </c>
      <c r="H1176" s="127" t="e">
        <f t="shared" ca="1" si="55"/>
        <v>#REF!</v>
      </c>
      <c r="I1176" s="125" t="e">
        <f t="shared" ca="1" si="56"/>
        <v>#REF!</v>
      </c>
    </row>
    <row r="1177" spans="1:9" hidden="1" x14ac:dyDescent="0.25">
      <c r="A1177" s="103" t="s">
        <v>1393</v>
      </c>
      <c r="B1177" s="104" t="s">
        <v>3073</v>
      </c>
      <c r="C1177" s="105" t="s">
        <v>95</v>
      </c>
      <c r="D1177" s="105">
        <v>0</v>
      </c>
      <c r="E1177" s="124">
        <f ca="1">OFFSET(INDEX(Composições!A:J,MATCH(Orçamentária!A1177,Composições!A:A,0),8),2,0)</f>
        <v>39.025144999999995</v>
      </c>
      <c r="F1177" s="125">
        <f t="shared" ca="1" si="54"/>
        <v>0</v>
      </c>
      <c r="G1177" s="126" t="e">
        <f>IF(A1177&lt;&gt;"",IF(AND(#REF!="Padrão",$H$4=#REF!),BDI!$B$17,IF(AND(#REF!="Padrão",$H$4=#REF!),BDI!#REF!,IF(AND(#REF!="Diferenciado",$H$4=#REF!),BDI!$E$17,IF(AND(#REF!="Diferenciado",$H$4=#REF!),BDI!#REF!,IF(#REF!="ZERO",0))))),"")</f>
        <v>#REF!</v>
      </c>
      <c r="H1177" s="127" t="e">
        <f t="shared" ca="1" si="55"/>
        <v>#REF!</v>
      </c>
      <c r="I1177" s="125" t="e">
        <f t="shared" ca="1" si="56"/>
        <v>#REF!</v>
      </c>
    </row>
    <row r="1178" spans="1:9" hidden="1" x14ac:dyDescent="0.25">
      <c r="A1178" s="103" t="s">
        <v>1395</v>
      </c>
      <c r="B1178" s="104" t="s">
        <v>3074</v>
      </c>
      <c r="C1178" s="105" t="s">
        <v>95</v>
      </c>
      <c r="D1178" s="105">
        <v>0</v>
      </c>
      <c r="E1178" s="124">
        <f ca="1">OFFSET(INDEX(Composições!A:J,MATCH(Orçamentária!A1178,Composições!A:A,0),8),2,0)</f>
        <v>22.182499999999997</v>
      </c>
      <c r="F1178" s="125">
        <f t="shared" ca="1" si="54"/>
        <v>0</v>
      </c>
      <c r="G1178" s="126" t="e">
        <f>IF(A1178&lt;&gt;"",IF(AND(#REF!="Padrão",$H$4=#REF!),BDI!$B$17,IF(AND(#REF!="Padrão",$H$4=#REF!),BDI!#REF!,IF(AND(#REF!="Diferenciado",$H$4=#REF!),BDI!$E$17,IF(AND(#REF!="Diferenciado",$H$4=#REF!),BDI!#REF!,IF(#REF!="ZERO",0))))),"")</f>
        <v>#REF!</v>
      </c>
      <c r="H1178" s="127" t="e">
        <f t="shared" ca="1" si="55"/>
        <v>#REF!</v>
      </c>
      <c r="I1178" s="125" t="e">
        <f t="shared" ca="1" si="56"/>
        <v>#REF!</v>
      </c>
    </row>
    <row r="1179" spans="1:9" hidden="1" x14ac:dyDescent="0.25">
      <c r="A1179" s="103" t="s">
        <v>1401</v>
      </c>
      <c r="B1179" s="104" t="s">
        <v>3075</v>
      </c>
      <c r="C1179" s="105" t="s">
        <v>95</v>
      </c>
      <c r="D1179" s="105">
        <v>0</v>
      </c>
      <c r="E1179" s="124">
        <f ca="1">OFFSET(INDEX(Composições!A:J,MATCH(Orçamentária!A1179,Composições!A:A,0),8),2,0)</f>
        <v>45.563994999999991</v>
      </c>
      <c r="F1179" s="125">
        <f t="shared" ca="1" si="54"/>
        <v>0</v>
      </c>
      <c r="G1179" s="126" t="e">
        <f>IF(A1179&lt;&gt;"",IF(AND(#REF!="Padrão",$H$4=#REF!),BDI!$B$17,IF(AND(#REF!="Padrão",$H$4=#REF!),BDI!#REF!,IF(AND(#REF!="Diferenciado",$H$4=#REF!),BDI!$E$17,IF(AND(#REF!="Diferenciado",$H$4=#REF!),BDI!#REF!,IF(#REF!="ZERO",0))))),"")</f>
        <v>#REF!</v>
      </c>
      <c r="H1179" s="127" t="e">
        <f t="shared" ca="1" si="55"/>
        <v>#REF!</v>
      </c>
      <c r="I1179" s="125" t="e">
        <f t="shared" ca="1" si="56"/>
        <v>#REF!</v>
      </c>
    </row>
    <row r="1180" spans="1:9" hidden="1" x14ac:dyDescent="0.25">
      <c r="A1180" s="103" t="s">
        <v>1403</v>
      </c>
      <c r="B1180" s="104" t="s">
        <v>3076</v>
      </c>
      <c r="C1180" s="105" t="s">
        <v>95</v>
      </c>
      <c r="D1180" s="105">
        <v>0</v>
      </c>
      <c r="E1180" s="124">
        <f ca="1">OFFSET(INDEX(Composições!A:J,MATCH(Orçamentária!A1180,Composições!A:A,0),8),2,0)</f>
        <v>4.9779999999999998</v>
      </c>
      <c r="F1180" s="125">
        <f t="shared" ca="1" si="54"/>
        <v>0</v>
      </c>
      <c r="G1180" s="126" t="e">
        <f>IF(A1180&lt;&gt;"",IF(AND(#REF!="Padrão",$H$4=#REF!),BDI!$B$17,IF(AND(#REF!="Padrão",$H$4=#REF!),BDI!#REF!,IF(AND(#REF!="Diferenciado",$H$4=#REF!),BDI!$E$17,IF(AND(#REF!="Diferenciado",$H$4=#REF!),BDI!#REF!,IF(#REF!="ZERO",0))))),"")</f>
        <v>#REF!</v>
      </c>
      <c r="H1180" s="127" t="e">
        <f t="shared" ca="1" si="55"/>
        <v>#REF!</v>
      </c>
      <c r="I1180" s="125" t="e">
        <f t="shared" ca="1" si="56"/>
        <v>#REF!</v>
      </c>
    </row>
    <row r="1181" spans="1:9" hidden="1" x14ac:dyDescent="0.25">
      <c r="A1181" s="103" t="s">
        <v>1407</v>
      </c>
      <c r="B1181" s="104" t="s">
        <v>3077</v>
      </c>
      <c r="C1181" s="105" t="s">
        <v>95</v>
      </c>
      <c r="D1181" s="105">
        <v>0</v>
      </c>
      <c r="E1181" s="124">
        <f ca="1">OFFSET(INDEX(Composições!A:J,MATCH(Orçamentária!A1181,Composições!A:A,0),8),2,0)</f>
        <v>172.81093749999999</v>
      </c>
      <c r="F1181" s="125">
        <f t="shared" ca="1" si="54"/>
        <v>0</v>
      </c>
      <c r="G1181" s="126" t="e">
        <f>IF(A1181&lt;&gt;"",IF(AND(#REF!="Padrão",$H$4=#REF!),BDI!$B$17,IF(AND(#REF!="Padrão",$H$4=#REF!),BDI!#REF!,IF(AND(#REF!="Diferenciado",$H$4=#REF!),BDI!$E$17,IF(AND(#REF!="Diferenciado",$H$4=#REF!),BDI!#REF!,IF(#REF!="ZERO",0))))),"")</f>
        <v>#REF!</v>
      </c>
      <c r="H1181" s="127" t="e">
        <f t="shared" ca="1" si="55"/>
        <v>#REF!</v>
      </c>
      <c r="I1181" s="125" t="e">
        <f t="shared" ca="1" si="56"/>
        <v>#REF!</v>
      </c>
    </row>
    <row r="1182" spans="1:9" hidden="1" x14ac:dyDescent="0.25">
      <c r="A1182" s="103" t="s">
        <v>1409</v>
      </c>
      <c r="B1182" s="104" t="s">
        <v>3078</v>
      </c>
      <c r="C1182" s="105" t="s">
        <v>95</v>
      </c>
      <c r="D1182" s="105">
        <v>0</v>
      </c>
      <c r="E1182" s="124">
        <f ca="1">OFFSET(INDEX(Composições!A:J,MATCH(Orçamentária!A1182,Composições!A:A,0),8),2,0)</f>
        <v>174.1247875</v>
      </c>
      <c r="F1182" s="125">
        <f t="shared" ca="1" si="54"/>
        <v>0</v>
      </c>
      <c r="G1182" s="126" t="e">
        <f>IF(A1182&lt;&gt;"",IF(AND(#REF!="Padrão",$H$4=#REF!),BDI!$B$17,IF(AND(#REF!="Padrão",$H$4=#REF!),BDI!#REF!,IF(AND(#REF!="Diferenciado",$H$4=#REF!),BDI!$E$17,IF(AND(#REF!="Diferenciado",$H$4=#REF!),BDI!#REF!,IF(#REF!="ZERO",0))))),"")</f>
        <v>#REF!</v>
      </c>
      <c r="H1182" s="127" t="e">
        <f t="shared" ca="1" si="55"/>
        <v>#REF!</v>
      </c>
      <c r="I1182" s="125" t="e">
        <f t="shared" ca="1" si="56"/>
        <v>#REF!</v>
      </c>
    </row>
    <row r="1183" spans="1:9" hidden="1" x14ac:dyDescent="0.25">
      <c r="A1183" s="103" t="s">
        <v>3079</v>
      </c>
      <c r="B1183" s="104" t="s">
        <v>3080</v>
      </c>
      <c r="C1183" s="105" t="s">
        <v>42</v>
      </c>
      <c r="D1183" s="105">
        <v>0</v>
      </c>
      <c r="E1183" s="124" t="s">
        <v>523</v>
      </c>
      <c r="F1183" s="125" t="str">
        <f t="shared" si="54"/>
        <v/>
      </c>
      <c r="G1183" s="126" t="e">
        <f>IF(A1183&lt;&gt;"",IF(AND(#REF!="Padrão",$H$4=#REF!),BDI!$B$17,IF(AND(#REF!="Padrão",$H$4=#REF!),BDI!#REF!,IF(AND(#REF!="Diferenciado",$H$4=#REF!),BDI!$E$17,IF(AND(#REF!="Diferenciado",$H$4=#REF!),BDI!#REF!,IF(#REF!="ZERO",0))))),"")</f>
        <v>#REF!</v>
      </c>
      <c r="H1183" s="127" t="str">
        <f t="shared" si="55"/>
        <v/>
      </c>
      <c r="I1183" s="125" t="str">
        <f t="shared" si="56"/>
        <v/>
      </c>
    </row>
    <row r="1184" spans="1:9" hidden="1" x14ac:dyDescent="0.25">
      <c r="A1184" s="103" t="s">
        <v>1410</v>
      </c>
      <c r="B1184" s="104" t="s">
        <v>3081</v>
      </c>
      <c r="C1184" s="105" t="s">
        <v>42</v>
      </c>
      <c r="D1184" s="105">
        <v>0</v>
      </c>
      <c r="E1184" s="124">
        <f ca="1">OFFSET(INDEX(Composições!A:J,MATCH(Orçamentária!A1184,Composições!A:A,0),8),2,0)</f>
        <v>7.4840999999999998</v>
      </c>
      <c r="F1184" s="125">
        <f t="shared" ca="1" si="54"/>
        <v>0</v>
      </c>
      <c r="G1184" s="126" t="e">
        <f>IF(A1184&lt;&gt;"",IF(AND(#REF!="Padrão",$H$4=#REF!),BDI!$B$17,IF(AND(#REF!="Padrão",$H$4=#REF!),BDI!#REF!,IF(AND(#REF!="Diferenciado",$H$4=#REF!),BDI!$E$17,IF(AND(#REF!="Diferenciado",$H$4=#REF!),BDI!#REF!,IF(#REF!="ZERO",0))))),"")</f>
        <v>#REF!</v>
      </c>
      <c r="H1184" s="127" t="e">
        <f t="shared" ca="1" si="55"/>
        <v>#REF!</v>
      </c>
      <c r="I1184" s="125" t="e">
        <f t="shared" ca="1" si="56"/>
        <v>#REF!</v>
      </c>
    </row>
    <row r="1185" spans="1:9" hidden="1" x14ac:dyDescent="0.25">
      <c r="A1185" s="103" t="s">
        <v>1413</v>
      </c>
      <c r="B1185" s="104" t="s">
        <v>3082</v>
      </c>
      <c r="C1185" s="105" t="s">
        <v>109</v>
      </c>
      <c r="D1185" s="105">
        <v>0</v>
      </c>
      <c r="E1185" s="124">
        <f ca="1">OFFSET(INDEX(Composições!A:J,MATCH(Orçamentária!A1185,Composições!A:A,0),8),2,0)</f>
        <v>207.86256499999999</v>
      </c>
      <c r="F1185" s="125">
        <f t="shared" ca="1" si="54"/>
        <v>0</v>
      </c>
      <c r="G1185" s="126" t="e">
        <f>IF(A1185&lt;&gt;"",IF(AND(#REF!="Padrão",$H$4=#REF!),BDI!$B$17,IF(AND(#REF!="Padrão",$H$4=#REF!),BDI!#REF!,IF(AND(#REF!="Diferenciado",$H$4=#REF!),BDI!$E$17,IF(AND(#REF!="Diferenciado",$H$4=#REF!),BDI!#REF!,IF(#REF!="ZERO",0))))),"")</f>
        <v>#REF!</v>
      </c>
      <c r="H1185" s="127" t="e">
        <f t="shared" ca="1" si="55"/>
        <v>#REF!</v>
      </c>
      <c r="I1185" s="125" t="e">
        <f t="shared" ca="1" si="56"/>
        <v>#REF!</v>
      </c>
    </row>
    <row r="1186" spans="1:9" hidden="1" x14ac:dyDescent="0.25">
      <c r="A1186" s="103" t="s">
        <v>3083</v>
      </c>
      <c r="B1186" s="104" t="s">
        <v>3084</v>
      </c>
      <c r="C1186" s="105" t="s">
        <v>20</v>
      </c>
      <c r="D1186" s="105">
        <v>0</v>
      </c>
      <c r="E1186" s="124" t="s">
        <v>523</v>
      </c>
      <c r="F1186" s="125" t="str">
        <f t="shared" si="54"/>
        <v/>
      </c>
      <c r="G1186" s="126" t="e">
        <f>IF(A1186&lt;&gt;"",IF(AND(#REF!="Padrão",$H$4=#REF!),BDI!$B$17,IF(AND(#REF!="Padrão",$H$4=#REF!),BDI!#REF!,IF(AND(#REF!="Diferenciado",$H$4=#REF!),BDI!$E$17,IF(AND(#REF!="Diferenciado",$H$4=#REF!),BDI!#REF!,IF(#REF!="ZERO",0))))),"")</f>
        <v>#REF!</v>
      </c>
      <c r="H1186" s="127" t="str">
        <f t="shared" si="55"/>
        <v/>
      </c>
      <c r="I1186" s="125" t="str">
        <f t="shared" si="56"/>
        <v/>
      </c>
    </row>
    <row r="1187" spans="1:9" hidden="1" x14ac:dyDescent="0.25">
      <c r="A1187" s="103" t="s">
        <v>3085</v>
      </c>
      <c r="B1187" s="104" t="s">
        <v>3086</v>
      </c>
      <c r="C1187" s="105" t="s">
        <v>20</v>
      </c>
      <c r="D1187" s="105">
        <v>0</v>
      </c>
      <c r="E1187" s="124" t="s">
        <v>523</v>
      </c>
      <c r="F1187" s="125" t="str">
        <f t="shared" si="54"/>
        <v/>
      </c>
      <c r="G1187" s="126" t="e">
        <f>IF(A1187&lt;&gt;"",IF(AND(#REF!="Padrão",$H$4=#REF!),BDI!$B$17,IF(AND(#REF!="Padrão",$H$4=#REF!),BDI!#REF!,IF(AND(#REF!="Diferenciado",$H$4=#REF!),BDI!$E$17,IF(AND(#REF!="Diferenciado",$H$4=#REF!),BDI!#REF!,IF(#REF!="ZERO",0))))),"")</f>
        <v>#REF!</v>
      </c>
      <c r="H1187" s="127" t="str">
        <f t="shared" si="55"/>
        <v/>
      </c>
      <c r="I1187" s="125" t="str">
        <f t="shared" si="56"/>
        <v/>
      </c>
    </row>
    <row r="1188" spans="1:9" hidden="1" x14ac:dyDescent="0.25">
      <c r="A1188" s="103" t="s">
        <v>3087</v>
      </c>
      <c r="B1188" s="104" t="s">
        <v>3088</v>
      </c>
      <c r="C1188" s="105" t="s">
        <v>20</v>
      </c>
      <c r="D1188" s="105">
        <v>0</v>
      </c>
      <c r="E1188" s="124" t="s">
        <v>523</v>
      </c>
      <c r="F1188" s="125" t="str">
        <f t="shared" si="54"/>
        <v/>
      </c>
      <c r="G1188" s="126" t="e">
        <f>IF(A1188&lt;&gt;"",IF(AND(#REF!="Padrão",$H$4=#REF!),BDI!$B$17,IF(AND(#REF!="Padrão",$H$4=#REF!),BDI!#REF!,IF(AND(#REF!="Diferenciado",$H$4=#REF!),BDI!$E$17,IF(AND(#REF!="Diferenciado",$H$4=#REF!),BDI!#REF!,IF(#REF!="ZERO",0))))),"")</f>
        <v>#REF!</v>
      </c>
      <c r="H1188" s="127" t="str">
        <f t="shared" si="55"/>
        <v/>
      </c>
      <c r="I1188" s="125" t="str">
        <f t="shared" si="56"/>
        <v/>
      </c>
    </row>
    <row r="1189" spans="1:9" hidden="1" x14ac:dyDescent="0.25">
      <c r="A1189" s="103" t="s">
        <v>3089</v>
      </c>
      <c r="B1189" s="104" t="s">
        <v>3090</v>
      </c>
      <c r="C1189" s="105" t="s">
        <v>93</v>
      </c>
      <c r="D1189" s="105">
        <v>0</v>
      </c>
      <c r="E1189" s="124" t="s">
        <v>523</v>
      </c>
      <c r="F1189" s="125" t="str">
        <f t="shared" si="54"/>
        <v/>
      </c>
      <c r="G1189" s="126" t="e">
        <f>IF(A1189&lt;&gt;"",IF(AND(#REF!="Padrão",$H$4=#REF!),BDI!$B$17,IF(AND(#REF!="Padrão",$H$4=#REF!),BDI!#REF!,IF(AND(#REF!="Diferenciado",$H$4=#REF!),BDI!$E$17,IF(AND(#REF!="Diferenciado",$H$4=#REF!),BDI!#REF!,IF(#REF!="ZERO",0))))),"")</f>
        <v>#REF!</v>
      </c>
      <c r="H1189" s="127" t="str">
        <f t="shared" si="55"/>
        <v/>
      </c>
      <c r="I1189" s="125" t="str">
        <f t="shared" si="56"/>
        <v/>
      </c>
    </row>
    <row r="1190" spans="1:9" hidden="1" x14ac:dyDescent="0.25">
      <c r="A1190" s="103" t="s">
        <v>3091</v>
      </c>
      <c r="B1190" s="104" t="s">
        <v>3092</v>
      </c>
      <c r="C1190" s="105" t="s">
        <v>93</v>
      </c>
      <c r="D1190" s="105">
        <v>0</v>
      </c>
      <c r="E1190" s="124" t="s">
        <v>523</v>
      </c>
      <c r="F1190" s="125" t="str">
        <f t="shared" si="54"/>
        <v/>
      </c>
      <c r="G1190" s="126" t="e">
        <f>IF(A1190&lt;&gt;"",IF(AND(#REF!="Padrão",$H$4=#REF!),BDI!$B$17,IF(AND(#REF!="Padrão",$H$4=#REF!),BDI!#REF!,IF(AND(#REF!="Diferenciado",$H$4=#REF!),BDI!$E$17,IF(AND(#REF!="Diferenciado",$H$4=#REF!),BDI!#REF!,IF(#REF!="ZERO",0))))),"")</f>
        <v>#REF!</v>
      </c>
      <c r="H1190" s="127" t="str">
        <f t="shared" si="55"/>
        <v/>
      </c>
      <c r="I1190" s="125" t="str">
        <f t="shared" si="56"/>
        <v/>
      </c>
    </row>
    <row r="1191" spans="1:9" hidden="1" x14ac:dyDescent="0.25">
      <c r="A1191" s="103" t="s">
        <v>3093</v>
      </c>
      <c r="B1191" s="104" t="s">
        <v>3094</v>
      </c>
      <c r="C1191" s="105" t="s">
        <v>20</v>
      </c>
      <c r="D1191" s="105">
        <v>0</v>
      </c>
      <c r="E1191" s="124" t="s">
        <v>523</v>
      </c>
      <c r="F1191" s="125" t="str">
        <f t="shared" si="54"/>
        <v/>
      </c>
      <c r="G1191" s="126" t="e">
        <f>IF(A1191&lt;&gt;"",IF(AND(#REF!="Padrão",$H$4=#REF!),BDI!$B$17,IF(AND(#REF!="Padrão",$H$4=#REF!),BDI!#REF!,IF(AND(#REF!="Diferenciado",$H$4=#REF!),BDI!$E$17,IF(AND(#REF!="Diferenciado",$H$4=#REF!),BDI!#REF!,IF(#REF!="ZERO",0))))),"")</f>
        <v>#REF!</v>
      </c>
      <c r="H1191" s="127" t="str">
        <f t="shared" si="55"/>
        <v/>
      </c>
      <c r="I1191" s="125" t="str">
        <f t="shared" si="56"/>
        <v/>
      </c>
    </row>
    <row r="1192" spans="1:9" hidden="1" x14ac:dyDescent="0.25">
      <c r="A1192" s="103" t="s">
        <v>3095</v>
      </c>
      <c r="B1192" s="104" t="s">
        <v>3096</v>
      </c>
      <c r="C1192" s="105" t="s">
        <v>20</v>
      </c>
      <c r="D1192" s="105">
        <v>0</v>
      </c>
      <c r="E1192" s="124" t="s">
        <v>523</v>
      </c>
      <c r="F1192" s="125" t="str">
        <f t="shared" si="54"/>
        <v/>
      </c>
      <c r="G1192" s="126" t="e">
        <f>IF(A1192&lt;&gt;"",IF(AND(#REF!="Padrão",$H$4=#REF!),BDI!$B$17,IF(AND(#REF!="Padrão",$H$4=#REF!),BDI!#REF!,IF(AND(#REF!="Diferenciado",$H$4=#REF!),BDI!$E$17,IF(AND(#REF!="Diferenciado",$H$4=#REF!),BDI!#REF!,IF(#REF!="ZERO",0))))),"")</f>
        <v>#REF!</v>
      </c>
      <c r="H1192" s="127" t="str">
        <f t="shared" si="55"/>
        <v/>
      </c>
      <c r="I1192" s="125" t="str">
        <f t="shared" si="56"/>
        <v/>
      </c>
    </row>
    <row r="1193" spans="1:9" hidden="1" x14ac:dyDescent="0.25">
      <c r="A1193" s="103" t="s">
        <v>3097</v>
      </c>
      <c r="B1193" s="104" t="s">
        <v>3098</v>
      </c>
      <c r="C1193" s="105" t="s">
        <v>20</v>
      </c>
      <c r="D1193" s="105">
        <v>0</v>
      </c>
      <c r="E1193" s="124" t="s">
        <v>523</v>
      </c>
      <c r="F1193" s="125" t="str">
        <f t="shared" si="54"/>
        <v/>
      </c>
      <c r="G1193" s="126" t="e">
        <f>IF(A1193&lt;&gt;"",IF(AND(#REF!="Padrão",$H$4=#REF!),BDI!$B$17,IF(AND(#REF!="Padrão",$H$4=#REF!),BDI!#REF!,IF(AND(#REF!="Diferenciado",$H$4=#REF!),BDI!$E$17,IF(AND(#REF!="Diferenciado",$H$4=#REF!),BDI!#REF!,IF(#REF!="ZERO",0))))),"")</f>
        <v>#REF!</v>
      </c>
      <c r="H1193" s="127" t="str">
        <f t="shared" si="55"/>
        <v/>
      </c>
      <c r="I1193" s="125" t="str">
        <f t="shared" si="56"/>
        <v/>
      </c>
    </row>
    <row r="1194" spans="1:9" hidden="1" x14ac:dyDescent="0.25">
      <c r="A1194" s="103" t="s">
        <v>3099</v>
      </c>
      <c r="B1194" s="104" t="s">
        <v>3100</v>
      </c>
      <c r="C1194" s="105" t="s">
        <v>20</v>
      </c>
      <c r="D1194" s="105">
        <v>0</v>
      </c>
      <c r="E1194" s="124" t="s">
        <v>523</v>
      </c>
      <c r="F1194" s="125" t="str">
        <f t="shared" si="54"/>
        <v/>
      </c>
      <c r="G1194" s="126" t="e">
        <f>IF(A1194&lt;&gt;"",IF(AND(#REF!="Padrão",$H$4=#REF!),BDI!$B$17,IF(AND(#REF!="Padrão",$H$4=#REF!),BDI!#REF!,IF(AND(#REF!="Diferenciado",$H$4=#REF!),BDI!$E$17,IF(AND(#REF!="Diferenciado",$H$4=#REF!),BDI!#REF!,IF(#REF!="ZERO",0))))),"")</f>
        <v>#REF!</v>
      </c>
      <c r="H1194" s="127" t="str">
        <f t="shared" si="55"/>
        <v/>
      </c>
      <c r="I1194" s="125" t="str">
        <f t="shared" si="56"/>
        <v/>
      </c>
    </row>
    <row r="1195" spans="1:9" hidden="1" x14ac:dyDescent="0.25">
      <c r="A1195" s="103" t="s">
        <v>3101</v>
      </c>
      <c r="B1195" s="104" t="s">
        <v>3102</v>
      </c>
      <c r="C1195" s="105" t="s">
        <v>20</v>
      </c>
      <c r="D1195" s="105">
        <v>0</v>
      </c>
      <c r="E1195" s="124" t="s">
        <v>523</v>
      </c>
      <c r="F1195" s="125" t="str">
        <f t="shared" si="54"/>
        <v/>
      </c>
      <c r="G1195" s="126" t="e">
        <f>IF(A1195&lt;&gt;"",IF(AND(#REF!="Padrão",$H$4=#REF!),BDI!$B$17,IF(AND(#REF!="Padrão",$H$4=#REF!),BDI!#REF!,IF(AND(#REF!="Diferenciado",$H$4=#REF!),BDI!$E$17,IF(AND(#REF!="Diferenciado",$H$4=#REF!),BDI!#REF!,IF(#REF!="ZERO",0))))),"")</f>
        <v>#REF!</v>
      </c>
      <c r="H1195" s="127" t="str">
        <f t="shared" si="55"/>
        <v/>
      </c>
      <c r="I1195" s="125" t="str">
        <f t="shared" si="56"/>
        <v/>
      </c>
    </row>
    <row r="1196" spans="1:9" hidden="1" x14ac:dyDescent="0.25">
      <c r="A1196" s="103" t="s">
        <v>3103</v>
      </c>
      <c r="B1196" s="104" t="s">
        <v>3104</v>
      </c>
      <c r="C1196" s="105" t="s">
        <v>20</v>
      </c>
      <c r="D1196" s="105">
        <v>0</v>
      </c>
      <c r="E1196" s="124" t="s">
        <v>523</v>
      </c>
      <c r="F1196" s="125" t="str">
        <f t="shared" si="54"/>
        <v/>
      </c>
      <c r="G1196" s="126" t="e">
        <f>IF(A1196&lt;&gt;"",IF(AND(#REF!="Padrão",$H$4=#REF!),BDI!$B$17,IF(AND(#REF!="Padrão",$H$4=#REF!),BDI!#REF!,IF(AND(#REF!="Diferenciado",$H$4=#REF!),BDI!$E$17,IF(AND(#REF!="Diferenciado",$H$4=#REF!),BDI!#REF!,IF(#REF!="ZERO",0))))),"")</f>
        <v>#REF!</v>
      </c>
      <c r="H1196" s="127" t="str">
        <f t="shared" si="55"/>
        <v/>
      </c>
      <c r="I1196" s="125" t="str">
        <f t="shared" si="56"/>
        <v/>
      </c>
    </row>
    <row r="1197" spans="1:9" hidden="1" x14ac:dyDescent="0.25">
      <c r="A1197" s="103" t="s">
        <v>3105</v>
      </c>
      <c r="B1197" s="104" t="s">
        <v>6336</v>
      </c>
      <c r="C1197" s="105" t="s">
        <v>20</v>
      </c>
      <c r="D1197" s="105">
        <v>0</v>
      </c>
      <c r="E1197" s="124" t="s">
        <v>523</v>
      </c>
      <c r="F1197" s="125" t="str">
        <f t="shared" si="54"/>
        <v/>
      </c>
      <c r="G1197" s="126" t="e">
        <f>IF(A1197&lt;&gt;"",IF(AND(#REF!="Padrão",$H$4=#REF!),BDI!$B$17,IF(AND(#REF!="Padrão",$H$4=#REF!),BDI!#REF!,IF(AND(#REF!="Diferenciado",$H$4=#REF!),BDI!$E$17,IF(AND(#REF!="Diferenciado",$H$4=#REF!),BDI!#REF!,IF(#REF!="ZERO",0))))),"")</f>
        <v>#REF!</v>
      </c>
      <c r="H1197" s="127" t="str">
        <f t="shared" si="55"/>
        <v/>
      </c>
      <c r="I1197" s="125" t="str">
        <f t="shared" si="56"/>
        <v/>
      </c>
    </row>
    <row r="1198" spans="1:9" hidden="1" x14ac:dyDescent="0.25">
      <c r="A1198" s="103" t="s">
        <v>3106</v>
      </c>
      <c r="B1198" s="104" t="s">
        <v>6337</v>
      </c>
      <c r="C1198" s="105" t="s">
        <v>20</v>
      </c>
      <c r="D1198" s="105">
        <v>0</v>
      </c>
      <c r="E1198" s="124" t="s">
        <v>523</v>
      </c>
      <c r="F1198" s="125" t="str">
        <f t="shared" si="54"/>
        <v/>
      </c>
      <c r="G1198" s="126" t="e">
        <f>IF(A1198&lt;&gt;"",IF(AND(#REF!="Padrão",$H$4=#REF!),BDI!$B$17,IF(AND(#REF!="Padrão",$H$4=#REF!),BDI!#REF!,IF(AND(#REF!="Diferenciado",$H$4=#REF!),BDI!$E$17,IF(AND(#REF!="Diferenciado",$H$4=#REF!),BDI!#REF!,IF(#REF!="ZERO",0))))),"")</f>
        <v>#REF!</v>
      </c>
      <c r="H1198" s="127" t="str">
        <f t="shared" si="55"/>
        <v/>
      </c>
      <c r="I1198" s="125" t="str">
        <f t="shared" si="56"/>
        <v/>
      </c>
    </row>
    <row r="1199" spans="1:9" hidden="1" x14ac:dyDescent="0.25">
      <c r="A1199" s="103" t="s">
        <v>3107</v>
      </c>
      <c r="B1199" s="104" t="s">
        <v>6338</v>
      </c>
      <c r="C1199" s="105" t="s">
        <v>20</v>
      </c>
      <c r="D1199" s="105">
        <v>0</v>
      </c>
      <c r="E1199" s="124" t="s">
        <v>523</v>
      </c>
      <c r="F1199" s="125" t="str">
        <f t="shared" si="54"/>
        <v/>
      </c>
      <c r="G1199" s="126" t="e">
        <f>IF(A1199&lt;&gt;"",IF(AND(#REF!="Padrão",$H$4=#REF!),BDI!$B$17,IF(AND(#REF!="Padrão",$H$4=#REF!),BDI!#REF!,IF(AND(#REF!="Diferenciado",$H$4=#REF!),BDI!$E$17,IF(AND(#REF!="Diferenciado",$H$4=#REF!),BDI!#REF!,IF(#REF!="ZERO",0))))),"")</f>
        <v>#REF!</v>
      </c>
      <c r="H1199" s="127" t="str">
        <f t="shared" si="55"/>
        <v/>
      </c>
      <c r="I1199" s="125" t="str">
        <f t="shared" si="56"/>
        <v/>
      </c>
    </row>
    <row r="1200" spans="1:9" hidden="1" x14ac:dyDescent="0.25">
      <c r="A1200" s="103" t="s">
        <v>3108</v>
      </c>
      <c r="B1200" s="104" t="s">
        <v>6339</v>
      </c>
      <c r="C1200" s="105" t="s">
        <v>20</v>
      </c>
      <c r="D1200" s="105">
        <v>0</v>
      </c>
      <c r="E1200" s="124" t="s">
        <v>523</v>
      </c>
      <c r="F1200" s="125" t="str">
        <f t="shared" si="54"/>
        <v/>
      </c>
      <c r="G1200" s="126" t="e">
        <f>IF(A1200&lt;&gt;"",IF(AND(#REF!="Padrão",$H$4=#REF!),BDI!$B$17,IF(AND(#REF!="Padrão",$H$4=#REF!),BDI!#REF!,IF(AND(#REF!="Diferenciado",$H$4=#REF!),BDI!$E$17,IF(AND(#REF!="Diferenciado",$H$4=#REF!),BDI!#REF!,IF(#REF!="ZERO",0))))),"")</f>
        <v>#REF!</v>
      </c>
      <c r="H1200" s="127" t="str">
        <f t="shared" si="55"/>
        <v/>
      </c>
      <c r="I1200" s="125" t="str">
        <f t="shared" si="56"/>
        <v/>
      </c>
    </row>
    <row r="1201" spans="1:9" hidden="1" x14ac:dyDescent="0.25">
      <c r="A1201" s="103" t="s">
        <v>3109</v>
      </c>
      <c r="B1201" s="104" t="s">
        <v>3110</v>
      </c>
      <c r="C1201" s="105" t="s">
        <v>20</v>
      </c>
      <c r="D1201" s="105">
        <v>0</v>
      </c>
      <c r="E1201" s="124" t="s">
        <v>523</v>
      </c>
      <c r="F1201" s="125" t="str">
        <f t="shared" si="54"/>
        <v/>
      </c>
      <c r="G1201" s="126" t="e">
        <f>IF(A1201&lt;&gt;"",IF(AND(#REF!="Padrão",$H$4=#REF!),BDI!$B$17,IF(AND(#REF!="Padrão",$H$4=#REF!),BDI!#REF!,IF(AND(#REF!="Diferenciado",$H$4=#REF!),BDI!$E$17,IF(AND(#REF!="Diferenciado",$H$4=#REF!),BDI!#REF!,IF(#REF!="ZERO",0))))),"")</f>
        <v>#REF!</v>
      </c>
      <c r="H1201" s="127" t="str">
        <f t="shared" si="55"/>
        <v/>
      </c>
      <c r="I1201" s="125" t="str">
        <f t="shared" si="56"/>
        <v/>
      </c>
    </row>
    <row r="1202" spans="1:9" hidden="1" x14ac:dyDescent="0.25">
      <c r="A1202" s="103" t="s">
        <v>3111</v>
      </c>
      <c r="B1202" s="104" t="s">
        <v>3112</v>
      </c>
      <c r="C1202" s="105" t="s">
        <v>20</v>
      </c>
      <c r="D1202" s="105">
        <v>0</v>
      </c>
      <c r="E1202" s="124" t="s">
        <v>523</v>
      </c>
      <c r="F1202" s="125" t="str">
        <f t="shared" si="54"/>
        <v/>
      </c>
      <c r="G1202" s="126" t="e">
        <f>IF(A1202&lt;&gt;"",IF(AND(#REF!="Padrão",$H$4=#REF!),BDI!$B$17,IF(AND(#REF!="Padrão",$H$4=#REF!),BDI!#REF!,IF(AND(#REF!="Diferenciado",$H$4=#REF!),BDI!$E$17,IF(AND(#REF!="Diferenciado",$H$4=#REF!),BDI!#REF!,IF(#REF!="ZERO",0))))),"")</f>
        <v>#REF!</v>
      </c>
      <c r="H1202" s="127" t="str">
        <f t="shared" si="55"/>
        <v/>
      </c>
      <c r="I1202" s="125" t="str">
        <f t="shared" si="56"/>
        <v/>
      </c>
    </row>
    <row r="1203" spans="1:9" hidden="1" x14ac:dyDescent="0.25">
      <c r="A1203" s="103" t="s">
        <v>3113</v>
      </c>
      <c r="B1203" s="104" t="s">
        <v>3114</v>
      </c>
      <c r="C1203" s="105" t="s">
        <v>20</v>
      </c>
      <c r="D1203" s="105">
        <v>0</v>
      </c>
      <c r="E1203" s="124" t="s">
        <v>523</v>
      </c>
      <c r="F1203" s="125" t="str">
        <f t="shared" si="54"/>
        <v/>
      </c>
      <c r="G1203" s="126" t="e">
        <f>IF(A1203&lt;&gt;"",IF(AND(#REF!="Padrão",$H$4=#REF!),BDI!$B$17,IF(AND(#REF!="Padrão",$H$4=#REF!),BDI!#REF!,IF(AND(#REF!="Diferenciado",$H$4=#REF!),BDI!$E$17,IF(AND(#REF!="Diferenciado",$H$4=#REF!),BDI!#REF!,IF(#REF!="ZERO",0))))),"")</f>
        <v>#REF!</v>
      </c>
      <c r="H1203" s="127" t="str">
        <f t="shared" si="55"/>
        <v/>
      </c>
      <c r="I1203" s="125" t="str">
        <f t="shared" si="56"/>
        <v/>
      </c>
    </row>
    <row r="1204" spans="1:9" hidden="1" x14ac:dyDescent="0.25">
      <c r="A1204" s="103" t="s">
        <v>3115</v>
      </c>
      <c r="B1204" s="104" t="s">
        <v>3116</v>
      </c>
      <c r="C1204" s="105" t="s">
        <v>20</v>
      </c>
      <c r="D1204" s="105">
        <v>0</v>
      </c>
      <c r="E1204" s="124" t="s">
        <v>523</v>
      </c>
      <c r="F1204" s="125" t="str">
        <f t="shared" si="54"/>
        <v/>
      </c>
      <c r="G1204" s="126" t="e">
        <f>IF(A1204&lt;&gt;"",IF(AND(#REF!="Padrão",$H$4=#REF!),BDI!$B$17,IF(AND(#REF!="Padrão",$H$4=#REF!),BDI!#REF!,IF(AND(#REF!="Diferenciado",$H$4=#REF!),BDI!$E$17,IF(AND(#REF!="Diferenciado",$H$4=#REF!),BDI!#REF!,IF(#REF!="ZERO",0))))),"")</f>
        <v>#REF!</v>
      </c>
      <c r="H1204" s="127" t="str">
        <f t="shared" si="55"/>
        <v/>
      </c>
      <c r="I1204" s="125" t="str">
        <f t="shared" si="56"/>
        <v/>
      </c>
    </row>
    <row r="1205" spans="1:9" hidden="1" x14ac:dyDescent="0.25">
      <c r="A1205" s="103" t="s">
        <v>3117</v>
      </c>
      <c r="B1205" s="104" t="s">
        <v>3118</v>
      </c>
      <c r="C1205" s="105" t="s">
        <v>20</v>
      </c>
      <c r="D1205" s="105">
        <v>0</v>
      </c>
      <c r="E1205" s="124" t="s">
        <v>523</v>
      </c>
      <c r="F1205" s="125" t="str">
        <f t="shared" si="54"/>
        <v/>
      </c>
      <c r="G1205" s="126" t="e">
        <f>IF(A1205&lt;&gt;"",IF(AND(#REF!="Padrão",$H$4=#REF!),BDI!$B$17,IF(AND(#REF!="Padrão",$H$4=#REF!),BDI!#REF!,IF(AND(#REF!="Diferenciado",$H$4=#REF!),BDI!$E$17,IF(AND(#REF!="Diferenciado",$H$4=#REF!),BDI!#REF!,IF(#REF!="ZERO",0))))),"")</f>
        <v>#REF!</v>
      </c>
      <c r="H1205" s="127" t="str">
        <f t="shared" si="55"/>
        <v/>
      </c>
      <c r="I1205" s="125" t="str">
        <f t="shared" si="56"/>
        <v/>
      </c>
    </row>
    <row r="1206" spans="1:9" hidden="1" x14ac:dyDescent="0.25">
      <c r="A1206" s="103" t="s">
        <v>3119</v>
      </c>
      <c r="B1206" s="104" t="s">
        <v>6340</v>
      </c>
      <c r="C1206" s="105" t="s">
        <v>20</v>
      </c>
      <c r="D1206" s="105">
        <v>0</v>
      </c>
      <c r="E1206" s="124">
        <f ca="1">OFFSET(INDEX(Composições!A:J,MATCH(Orçamentária!A1206,Composições!A:A,0),8),2,0)</f>
        <v>33.953000000000003</v>
      </c>
      <c r="F1206" s="125">
        <f t="shared" ca="1" si="54"/>
        <v>0</v>
      </c>
      <c r="G1206" s="126" t="e">
        <f>IF(A1206&lt;&gt;"",IF(AND(#REF!="Padrão",$H$4=#REF!),BDI!$B$17,IF(AND(#REF!="Padrão",$H$4=#REF!),BDI!#REF!,IF(AND(#REF!="Diferenciado",$H$4=#REF!),BDI!$E$17,IF(AND(#REF!="Diferenciado",$H$4=#REF!),BDI!#REF!,IF(#REF!="ZERO",0))))),"")</f>
        <v>#REF!</v>
      </c>
      <c r="H1206" s="127" t="e">
        <f t="shared" ca="1" si="55"/>
        <v>#REF!</v>
      </c>
      <c r="I1206" s="125" t="e">
        <f t="shared" ca="1" si="56"/>
        <v>#REF!</v>
      </c>
    </row>
    <row r="1207" spans="1:9" hidden="1" x14ac:dyDescent="0.25">
      <c r="A1207" s="103" t="s">
        <v>3120</v>
      </c>
      <c r="B1207" s="104" t="s">
        <v>3121</v>
      </c>
      <c r="C1207" s="105" t="s">
        <v>20</v>
      </c>
      <c r="D1207" s="105">
        <v>0</v>
      </c>
      <c r="E1207" s="124" t="s">
        <v>523</v>
      </c>
      <c r="F1207" s="125" t="str">
        <f t="shared" si="54"/>
        <v/>
      </c>
      <c r="G1207" s="126" t="e">
        <f>IF(A1207&lt;&gt;"",IF(AND(#REF!="Padrão",$H$4=#REF!),BDI!$B$17,IF(AND(#REF!="Padrão",$H$4=#REF!),BDI!#REF!,IF(AND(#REF!="Diferenciado",$H$4=#REF!),BDI!$E$17,IF(AND(#REF!="Diferenciado",$H$4=#REF!),BDI!#REF!,IF(#REF!="ZERO",0))))),"")</f>
        <v>#REF!</v>
      </c>
      <c r="H1207" s="127" t="str">
        <f t="shared" si="55"/>
        <v/>
      </c>
      <c r="I1207" s="125" t="str">
        <f t="shared" si="56"/>
        <v/>
      </c>
    </row>
    <row r="1208" spans="1:9" hidden="1" x14ac:dyDescent="0.25">
      <c r="A1208" s="103" t="s">
        <v>3122</v>
      </c>
      <c r="B1208" s="104" t="s">
        <v>3123</v>
      </c>
      <c r="C1208" s="105" t="s">
        <v>20</v>
      </c>
      <c r="D1208" s="105">
        <v>0</v>
      </c>
      <c r="E1208" s="124" t="s">
        <v>523</v>
      </c>
      <c r="F1208" s="125" t="str">
        <f t="shared" si="54"/>
        <v/>
      </c>
      <c r="G1208" s="126" t="e">
        <f>IF(A1208&lt;&gt;"",IF(AND(#REF!="Padrão",$H$4=#REF!),BDI!$B$17,IF(AND(#REF!="Padrão",$H$4=#REF!),BDI!#REF!,IF(AND(#REF!="Diferenciado",$H$4=#REF!),BDI!$E$17,IF(AND(#REF!="Diferenciado",$H$4=#REF!),BDI!#REF!,IF(#REF!="ZERO",0))))),"")</f>
        <v>#REF!</v>
      </c>
      <c r="H1208" s="127" t="str">
        <f t="shared" si="55"/>
        <v/>
      </c>
      <c r="I1208" s="125" t="str">
        <f t="shared" si="56"/>
        <v/>
      </c>
    </row>
    <row r="1209" spans="1:9" hidden="1" x14ac:dyDescent="0.25">
      <c r="A1209" s="103" t="s">
        <v>3124</v>
      </c>
      <c r="B1209" s="104" t="s">
        <v>3125</v>
      </c>
      <c r="C1209" s="105" t="s">
        <v>20</v>
      </c>
      <c r="D1209" s="105">
        <v>0</v>
      </c>
      <c r="E1209" s="124" t="s">
        <v>523</v>
      </c>
      <c r="F1209" s="125" t="str">
        <f t="shared" si="54"/>
        <v/>
      </c>
      <c r="G1209" s="126" t="e">
        <f>IF(A1209&lt;&gt;"",IF(AND(#REF!="Padrão",$H$4=#REF!),BDI!$B$17,IF(AND(#REF!="Padrão",$H$4=#REF!),BDI!#REF!,IF(AND(#REF!="Diferenciado",$H$4=#REF!),BDI!$E$17,IF(AND(#REF!="Diferenciado",$H$4=#REF!),BDI!#REF!,IF(#REF!="ZERO",0))))),"")</f>
        <v>#REF!</v>
      </c>
      <c r="H1209" s="127" t="str">
        <f t="shared" si="55"/>
        <v/>
      </c>
      <c r="I1209" s="125" t="str">
        <f t="shared" si="56"/>
        <v/>
      </c>
    </row>
    <row r="1210" spans="1:9" hidden="1" x14ac:dyDescent="0.25">
      <c r="A1210" s="103" t="s">
        <v>3126</v>
      </c>
      <c r="B1210" s="104" t="s">
        <v>3127</v>
      </c>
      <c r="C1210" s="105" t="s">
        <v>20</v>
      </c>
      <c r="D1210" s="105">
        <v>0</v>
      </c>
      <c r="E1210" s="124">
        <f ca="1">OFFSET(INDEX(Composições!A:J,MATCH(Orçamentária!A1210,Composições!A:A,0),8),2,0)</f>
        <v>56.467999999999996</v>
      </c>
      <c r="F1210" s="125">
        <f t="shared" ca="1" si="54"/>
        <v>0</v>
      </c>
      <c r="G1210" s="126" t="e">
        <f>IF(A1210&lt;&gt;"",IF(AND(#REF!="Padrão",$H$4=#REF!),BDI!$B$17,IF(AND(#REF!="Padrão",$H$4=#REF!),BDI!#REF!,IF(AND(#REF!="Diferenciado",$H$4=#REF!),BDI!$E$17,IF(AND(#REF!="Diferenciado",$H$4=#REF!),BDI!#REF!,IF(#REF!="ZERO",0))))),"")</f>
        <v>#REF!</v>
      </c>
      <c r="H1210" s="127" t="e">
        <f t="shared" ca="1" si="55"/>
        <v>#REF!</v>
      </c>
      <c r="I1210" s="125" t="e">
        <f t="shared" ca="1" si="56"/>
        <v>#REF!</v>
      </c>
    </row>
    <row r="1211" spans="1:9" hidden="1" x14ac:dyDescent="0.25">
      <c r="A1211" s="103" t="s">
        <v>3128</v>
      </c>
      <c r="B1211" s="104" t="s">
        <v>3129</v>
      </c>
      <c r="C1211" s="105" t="s">
        <v>20</v>
      </c>
      <c r="D1211" s="105">
        <v>0</v>
      </c>
      <c r="E1211" s="124">
        <f ca="1">OFFSET(INDEX(Composições!A:J,MATCH(Orçamentária!A1211,Composições!A:A,0),8),2,0)</f>
        <v>424.41249999999997</v>
      </c>
      <c r="F1211" s="125">
        <f t="shared" ca="1" si="54"/>
        <v>0</v>
      </c>
      <c r="G1211" s="126" t="e">
        <f>IF(A1211&lt;&gt;"",IF(AND(#REF!="Padrão",$H$4=#REF!),BDI!$B$17,IF(AND(#REF!="Padrão",$H$4=#REF!),BDI!#REF!,IF(AND(#REF!="Diferenciado",$H$4=#REF!),BDI!$E$17,IF(AND(#REF!="Diferenciado",$H$4=#REF!),BDI!#REF!,IF(#REF!="ZERO",0))))),"")</f>
        <v>#REF!</v>
      </c>
      <c r="H1211" s="127" t="e">
        <f t="shared" ca="1" si="55"/>
        <v>#REF!</v>
      </c>
      <c r="I1211" s="125" t="e">
        <f t="shared" ca="1" si="56"/>
        <v>#REF!</v>
      </c>
    </row>
    <row r="1212" spans="1:9" hidden="1" x14ac:dyDescent="0.25">
      <c r="A1212" s="103" t="s">
        <v>3130</v>
      </c>
      <c r="B1212" s="104" t="s">
        <v>3131</v>
      </c>
      <c r="C1212" s="105" t="s">
        <v>20</v>
      </c>
      <c r="D1212" s="105">
        <v>0</v>
      </c>
      <c r="E1212" s="124" t="s">
        <v>523</v>
      </c>
      <c r="F1212" s="125" t="str">
        <f t="shared" si="54"/>
        <v/>
      </c>
      <c r="G1212" s="126" t="e">
        <f>IF(A1212&lt;&gt;"",IF(AND(#REF!="Padrão",$H$4=#REF!),BDI!$B$17,IF(AND(#REF!="Padrão",$H$4=#REF!),BDI!#REF!,IF(AND(#REF!="Diferenciado",$H$4=#REF!),BDI!$E$17,IF(AND(#REF!="Diferenciado",$H$4=#REF!),BDI!#REF!,IF(#REF!="ZERO",0))))),"")</f>
        <v>#REF!</v>
      </c>
      <c r="H1212" s="127" t="str">
        <f t="shared" si="55"/>
        <v/>
      </c>
      <c r="I1212" s="125" t="str">
        <f t="shared" si="56"/>
        <v/>
      </c>
    </row>
    <row r="1213" spans="1:9" hidden="1" x14ac:dyDescent="0.25">
      <c r="A1213" s="103" t="s">
        <v>3132</v>
      </c>
      <c r="B1213" s="104" t="s">
        <v>3133</v>
      </c>
      <c r="C1213" s="105" t="s">
        <v>20</v>
      </c>
      <c r="D1213" s="105">
        <v>0</v>
      </c>
      <c r="E1213" s="124" t="s">
        <v>523</v>
      </c>
      <c r="F1213" s="125" t="str">
        <f t="shared" si="54"/>
        <v/>
      </c>
      <c r="G1213" s="126" t="e">
        <f>IF(A1213&lt;&gt;"",IF(AND(#REF!="Padrão",$H$4=#REF!),BDI!$B$17,IF(AND(#REF!="Padrão",$H$4=#REF!),BDI!#REF!,IF(AND(#REF!="Diferenciado",$H$4=#REF!),BDI!$E$17,IF(AND(#REF!="Diferenciado",$H$4=#REF!),BDI!#REF!,IF(#REF!="ZERO",0))))),"")</f>
        <v>#REF!</v>
      </c>
      <c r="H1213" s="127" t="str">
        <f t="shared" si="55"/>
        <v/>
      </c>
      <c r="I1213" s="125" t="str">
        <f t="shared" si="56"/>
        <v/>
      </c>
    </row>
    <row r="1214" spans="1:9" hidden="1" x14ac:dyDescent="0.25">
      <c r="A1214" s="103" t="s">
        <v>3134</v>
      </c>
      <c r="B1214" s="104" t="s">
        <v>6341</v>
      </c>
      <c r="C1214" s="105" t="s">
        <v>20</v>
      </c>
      <c r="D1214" s="105">
        <v>0</v>
      </c>
      <c r="E1214" s="124" t="s">
        <v>523</v>
      </c>
      <c r="F1214" s="125" t="str">
        <f t="shared" si="54"/>
        <v/>
      </c>
      <c r="G1214" s="126" t="e">
        <f>IF(A1214&lt;&gt;"",IF(AND(#REF!="Padrão",$H$4=#REF!),BDI!$B$17,IF(AND(#REF!="Padrão",$H$4=#REF!),BDI!#REF!,IF(AND(#REF!="Diferenciado",$H$4=#REF!),BDI!$E$17,IF(AND(#REF!="Diferenciado",$H$4=#REF!),BDI!#REF!,IF(#REF!="ZERO",0))))),"")</f>
        <v>#REF!</v>
      </c>
      <c r="H1214" s="127" t="str">
        <f t="shared" si="55"/>
        <v/>
      </c>
      <c r="I1214" s="125" t="str">
        <f t="shared" si="56"/>
        <v/>
      </c>
    </row>
    <row r="1215" spans="1:9" hidden="1" x14ac:dyDescent="0.25">
      <c r="A1215" s="103" t="s">
        <v>3135</v>
      </c>
      <c r="B1215" s="104" t="s">
        <v>3136</v>
      </c>
      <c r="C1215" s="105" t="s">
        <v>20</v>
      </c>
      <c r="D1215" s="105">
        <v>0</v>
      </c>
      <c r="E1215" s="124" t="s">
        <v>523</v>
      </c>
      <c r="F1215" s="125" t="str">
        <f t="shared" si="54"/>
        <v/>
      </c>
      <c r="G1215" s="126" t="e">
        <f>IF(A1215&lt;&gt;"",IF(AND(#REF!="Padrão",$H$4=#REF!),BDI!$B$17,IF(AND(#REF!="Padrão",$H$4=#REF!),BDI!#REF!,IF(AND(#REF!="Diferenciado",$H$4=#REF!),BDI!$E$17,IF(AND(#REF!="Diferenciado",$H$4=#REF!),BDI!#REF!,IF(#REF!="ZERO",0))))),"")</f>
        <v>#REF!</v>
      </c>
      <c r="H1215" s="127" t="str">
        <f t="shared" si="55"/>
        <v/>
      </c>
      <c r="I1215" s="125" t="str">
        <f t="shared" si="56"/>
        <v/>
      </c>
    </row>
    <row r="1216" spans="1:9" hidden="1" x14ac:dyDescent="0.25">
      <c r="A1216" s="103" t="s">
        <v>3137</v>
      </c>
      <c r="B1216" s="104" t="s">
        <v>3138</v>
      </c>
      <c r="C1216" s="105" t="s">
        <v>20</v>
      </c>
      <c r="D1216" s="105">
        <v>0</v>
      </c>
      <c r="E1216" s="124" t="s">
        <v>523</v>
      </c>
      <c r="F1216" s="125" t="str">
        <f t="shared" si="54"/>
        <v/>
      </c>
      <c r="G1216" s="126" t="e">
        <f>IF(A1216&lt;&gt;"",IF(AND(#REF!="Padrão",$H$4=#REF!),BDI!$B$17,IF(AND(#REF!="Padrão",$H$4=#REF!),BDI!#REF!,IF(AND(#REF!="Diferenciado",$H$4=#REF!),BDI!$E$17,IF(AND(#REF!="Diferenciado",$H$4=#REF!),BDI!#REF!,IF(#REF!="ZERO",0))))),"")</f>
        <v>#REF!</v>
      </c>
      <c r="H1216" s="127" t="str">
        <f t="shared" si="55"/>
        <v/>
      </c>
      <c r="I1216" s="125" t="str">
        <f t="shared" si="56"/>
        <v/>
      </c>
    </row>
    <row r="1217" spans="1:9" hidden="1" x14ac:dyDescent="0.25">
      <c r="A1217" s="103" t="s">
        <v>3139</v>
      </c>
      <c r="B1217" s="104" t="s">
        <v>3140</v>
      </c>
      <c r="C1217" s="105" t="s">
        <v>580</v>
      </c>
      <c r="D1217" s="105">
        <v>0</v>
      </c>
      <c r="E1217" s="124" t="s">
        <v>523</v>
      </c>
      <c r="F1217" s="125" t="str">
        <f t="shared" si="54"/>
        <v/>
      </c>
      <c r="G1217" s="126" t="e">
        <f>IF(A1217&lt;&gt;"",IF(AND(#REF!="Padrão",$H$4=#REF!),BDI!$B$17,IF(AND(#REF!="Padrão",$H$4=#REF!),BDI!#REF!,IF(AND(#REF!="Diferenciado",$H$4=#REF!),BDI!$E$17,IF(AND(#REF!="Diferenciado",$H$4=#REF!),BDI!#REF!,IF(#REF!="ZERO",0))))),"")</f>
        <v>#REF!</v>
      </c>
      <c r="H1217" s="127" t="str">
        <f t="shared" si="55"/>
        <v/>
      </c>
      <c r="I1217" s="125" t="str">
        <f t="shared" si="56"/>
        <v/>
      </c>
    </row>
    <row r="1218" spans="1:9" hidden="1" x14ac:dyDescent="0.25">
      <c r="A1218" s="103" t="s">
        <v>3141</v>
      </c>
      <c r="B1218" s="104" t="s">
        <v>6342</v>
      </c>
      <c r="C1218" s="105" t="s">
        <v>20</v>
      </c>
      <c r="D1218" s="105">
        <v>0</v>
      </c>
      <c r="E1218" s="124" t="s">
        <v>523</v>
      </c>
      <c r="F1218" s="125" t="str">
        <f t="shared" si="54"/>
        <v/>
      </c>
      <c r="G1218" s="126" t="e">
        <f>IF(A1218&lt;&gt;"",IF(AND(#REF!="Padrão",$H$4=#REF!),BDI!$B$17,IF(AND(#REF!="Padrão",$H$4=#REF!),BDI!#REF!,IF(AND(#REF!="Diferenciado",$H$4=#REF!),BDI!$E$17,IF(AND(#REF!="Diferenciado",$H$4=#REF!),BDI!#REF!,IF(#REF!="ZERO",0))))),"")</f>
        <v>#REF!</v>
      </c>
      <c r="H1218" s="127" t="str">
        <f t="shared" si="55"/>
        <v/>
      </c>
      <c r="I1218" s="125" t="str">
        <f t="shared" si="56"/>
        <v/>
      </c>
    </row>
    <row r="1219" spans="1:9" hidden="1" x14ac:dyDescent="0.25">
      <c r="A1219" s="103" t="s">
        <v>3142</v>
      </c>
      <c r="B1219" s="104" t="s">
        <v>3143</v>
      </c>
      <c r="C1219" s="105" t="s">
        <v>20</v>
      </c>
      <c r="D1219" s="105">
        <v>0</v>
      </c>
      <c r="E1219" s="124">
        <f ca="1">OFFSET(INDEX(Composições!A:J,MATCH(Orçamentária!A1219,Composições!A:A,0),8),2,0)</f>
        <v>42.749999999999993</v>
      </c>
      <c r="F1219" s="125">
        <f t="shared" ca="1" si="54"/>
        <v>0</v>
      </c>
      <c r="G1219" s="126" t="e">
        <f>IF(A1219&lt;&gt;"",IF(AND(#REF!="Padrão",$H$4=#REF!),BDI!$B$17,IF(AND(#REF!="Padrão",$H$4=#REF!),BDI!#REF!,IF(AND(#REF!="Diferenciado",$H$4=#REF!),BDI!$E$17,IF(AND(#REF!="Diferenciado",$H$4=#REF!),BDI!#REF!,IF(#REF!="ZERO",0))))),"")</f>
        <v>#REF!</v>
      </c>
      <c r="H1219" s="127" t="e">
        <f t="shared" ca="1" si="55"/>
        <v>#REF!</v>
      </c>
      <c r="I1219" s="125" t="e">
        <f t="shared" ca="1" si="56"/>
        <v>#REF!</v>
      </c>
    </row>
    <row r="1220" spans="1:9" hidden="1" x14ac:dyDescent="0.25">
      <c r="A1220" s="103" t="s">
        <v>3144</v>
      </c>
      <c r="B1220" s="104" t="s">
        <v>3145</v>
      </c>
      <c r="C1220" s="105" t="s">
        <v>20</v>
      </c>
      <c r="D1220" s="105">
        <v>0</v>
      </c>
      <c r="E1220" s="124" t="s">
        <v>523</v>
      </c>
      <c r="F1220" s="125" t="str">
        <f t="shared" si="54"/>
        <v/>
      </c>
      <c r="G1220" s="126" t="e">
        <f>IF(A1220&lt;&gt;"",IF(AND(#REF!="Padrão",$H$4=#REF!),BDI!$B$17,IF(AND(#REF!="Padrão",$H$4=#REF!),BDI!#REF!,IF(AND(#REF!="Diferenciado",$H$4=#REF!),BDI!$E$17,IF(AND(#REF!="Diferenciado",$H$4=#REF!),BDI!#REF!,IF(#REF!="ZERO",0))))),"")</f>
        <v>#REF!</v>
      </c>
      <c r="H1220" s="127" t="str">
        <f t="shared" si="55"/>
        <v/>
      </c>
      <c r="I1220" s="125" t="str">
        <f t="shared" si="56"/>
        <v/>
      </c>
    </row>
    <row r="1221" spans="1:9" hidden="1" x14ac:dyDescent="0.25">
      <c r="A1221" s="103" t="s">
        <v>3146</v>
      </c>
      <c r="B1221" s="104" t="s">
        <v>3147</v>
      </c>
      <c r="C1221" s="105" t="s">
        <v>20</v>
      </c>
      <c r="D1221" s="105">
        <v>0</v>
      </c>
      <c r="E1221" s="124" t="s">
        <v>523</v>
      </c>
      <c r="F1221" s="125" t="str">
        <f t="shared" si="54"/>
        <v/>
      </c>
      <c r="G1221" s="126" t="e">
        <f>IF(A1221&lt;&gt;"",IF(AND(#REF!="Padrão",$H$4=#REF!),BDI!$B$17,IF(AND(#REF!="Padrão",$H$4=#REF!),BDI!#REF!,IF(AND(#REF!="Diferenciado",$H$4=#REF!),BDI!$E$17,IF(AND(#REF!="Diferenciado",$H$4=#REF!),BDI!#REF!,IF(#REF!="ZERO",0))))),"")</f>
        <v>#REF!</v>
      </c>
      <c r="H1221" s="127" t="str">
        <f t="shared" si="55"/>
        <v/>
      </c>
      <c r="I1221" s="125" t="str">
        <f t="shared" si="56"/>
        <v/>
      </c>
    </row>
    <row r="1222" spans="1:9" hidden="1" x14ac:dyDescent="0.25">
      <c r="A1222" s="103" t="s">
        <v>3148</v>
      </c>
      <c r="B1222" s="104" t="s">
        <v>3149</v>
      </c>
      <c r="C1222" s="105" t="s">
        <v>20</v>
      </c>
      <c r="D1222" s="105">
        <v>0</v>
      </c>
      <c r="E1222" s="124" t="s">
        <v>523</v>
      </c>
      <c r="F1222" s="125" t="str">
        <f t="shared" si="54"/>
        <v/>
      </c>
      <c r="G1222" s="126" t="e">
        <f>IF(A1222&lt;&gt;"",IF(AND(#REF!="Padrão",$H$4=#REF!),BDI!$B$17,IF(AND(#REF!="Padrão",$H$4=#REF!),BDI!#REF!,IF(AND(#REF!="Diferenciado",$H$4=#REF!),BDI!$E$17,IF(AND(#REF!="Diferenciado",$H$4=#REF!),BDI!#REF!,IF(#REF!="ZERO",0))))),"")</f>
        <v>#REF!</v>
      </c>
      <c r="H1222" s="127" t="str">
        <f t="shared" si="55"/>
        <v/>
      </c>
      <c r="I1222" s="125" t="str">
        <f t="shared" si="56"/>
        <v/>
      </c>
    </row>
    <row r="1223" spans="1:9" hidden="1" x14ac:dyDescent="0.25">
      <c r="A1223" s="103" t="s">
        <v>3150</v>
      </c>
      <c r="B1223" s="104" t="s">
        <v>3151</v>
      </c>
      <c r="C1223" s="105" t="s">
        <v>20</v>
      </c>
      <c r="D1223" s="105">
        <v>0</v>
      </c>
      <c r="E1223" s="124" t="s">
        <v>523</v>
      </c>
      <c r="F1223" s="125" t="str">
        <f t="shared" ref="F1223:F1239" si="57">IF(ISNUMBER(E1223),D1223*E1223,"")</f>
        <v/>
      </c>
      <c r="G1223" s="126" t="e">
        <f>IF(A1223&lt;&gt;"",IF(AND(#REF!="Padrão",$H$4=#REF!),BDI!$B$17,IF(AND(#REF!="Padrão",$H$4=#REF!),BDI!#REF!,IF(AND(#REF!="Diferenciado",$H$4=#REF!),BDI!$E$17,IF(AND(#REF!="Diferenciado",$H$4=#REF!),BDI!#REF!,IF(#REF!="ZERO",0))))),"")</f>
        <v>#REF!</v>
      </c>
      <c r="H1223" s="127" t="str">
        <f t="shared" ref="H1223:H1239" si="58">IF(ISNUMBER(E1223),ROUND(E1223*(1+G1223),2),"")</f>
        <v/>
      </c>
      <c r="I1223" s="125" t="str">
        <f t="shared" ref="I1223:I1239" si="59">IF(ISNUMBER(E1223),ROUND(H1223*D1223,2),"")</f>
        <v/>
      </c>
    </row>
    <row r="1224" spans="1:9" hidden="1" x14ac:dyDescent="0.25">
      <c r="A1224" s="103" t="s">
        <v>3152</v>
      </c>
      <c r="B1224" s="104" t="s">
        <v>3153</v>
      </c>
      <c r="C1224" s="105" t="s">
        <v>20</v>
      </c>
      <c r="D1224" s="105">
        <v>0</v>
      </c>
      <c r="E1224" s="124">
        <f ca="1">OFFSET(INDEX(Composições!A:J,MATCH(Orçamentária!A1224,Composições!A:A,0),8),2,0)</f>
        <v>1089.6499999999999</v>
      </c>
      <c r="F1224" s="125">
        <f t="shared" ca="1" si="57"/>
        <v>0</v>
      </c>
      <c r="G1224" s="126" t="e">
        <f>IF(A1224&lt;&gt;"",IF(AND(#REF!="Padrão",$H$4=#REF!),BDI!$B$17,IF(AND(#REF!="Padrão",$H$4=#REF!),BDI!#REF!,IF(AND(#REF!="Diferenciado",$H$4=#REF!),BDI!$E$17,IF(AND(#REF!="Diferenciado",$H$4=#REF!),BDI!#REF!,IF(#REF!="ZERO",0))))),"")</f>
        <v>#REF!</v>
      </c>
      <c r="H1224" s="127" t="e">
        <f t="shared" ca="1" si="58"/>
        <v>#REF!</v>
      </c>
      <c r="I1224" s="125" t="e">
        <f t="shared" ca="1" si="59"/>
        <v>#REF!</v>
      </c>
    </row>
    <row r="1225" spans="1:9" hidden="1" x14ac:dyDescent="0.25">
      <c r="A1225" s="103" t="s">
        <v>3154</v>
      </c>
      <c r="B1225" s="104" t="s">
        <v>6343</v>
      </c>
      <c r="C1225" s="105" t="s">
        <v>20</v>
      </c>
      <c r="D1225" s="105">
        <v>0</v>
      </c>
      <c r="E1225" s="124" t="s">
        <v>523</v>
      </c>
      <c r="F1225" s="125" t="str">
        <f t="shared" si="57"/>
        <v/>
      </c>
      <c r="G1225" s="126" t="e">
        <f>IF(A1225&lt;&gt;"",IF(AND(#REF!="Padrão",$H$4=#REF!),BDI!$B$17,IF(AND(#REF!="Padrão",$H$4=#REF!),BDI!#REF!,IF(AND(#REF!="Diferenciado",$H$4=#REF!),BDI!$E$17,IF(AND(#REF!="Diferenciado",$H$4=#REF!),BDI!#REF!,IF(#REF!="ZERO",0))))),"")</f>
        <v>#REF!</v>
      </c>
      <c r="H1225" s="127" t="str">
        <f t="shared" si="58"/>
        <v/>
      </c>
      <c r="I1225" s="125" t="str">
        <f t="shared" si="59"/>
        <v/>
      </c>
    </row>
    <row r="1226" spans="1:9" hidden="1" x14ac:dyDescent="0.25">
      <c r="A1226" s="103" t="s">
        <v>3155</v>
      </c>
      <c r="B1226" s="104" t="s">
        <v>3156</v>
      </c>
      <c r="C1226" s="105" t="s">
        <v>20</v>
      </c>
      <c r="D1226" s="105">
        <v>0</v>
      </c>
      <c r="E1226" s="124" t="s">
        <v>523</v>
      </c>
      <c r="F1226" s="125" t="str">
        <f t="shared" si="57"/>
        <v/>
      </c>
      <c r="G1226" s="126" t="e">
        <f>IF(A1226&lt;&gt;"",IF(AND(#REF!="Padrão",$H$4=#REF!),BDI!$B$17,IF(AND(#REF!="Padrão",$H$4=#REF!),BDI!#REF!,IF(AND(#REF!="Diferenciado",$H$4=#REF!),BDI!$E$17,IF(AND(#REF!="Diferenciado",$H$4=#REF!),BDI!#REF!,IF(#REF!="ZERO",0))))),"")</f>
        <v>#REF!</v>
      </c>
      <c r="H1226" s="127" t="str">
        <f t="shared" si="58"/>
        <v/>
      </c>
      <c r="I1226" s="125" t="str">
        <f t="shared" si="59"/>
        <v/>
      </c>
    </row>
    <row r="1227" spans="1:9" hidden="1" x14ac:dyDescent="0.25">
      <c r="A1227" s="103" t="s">
        <v>3157</v>
      </c>
      <c r="B1227" s="104" t="s">
        <v>3158</v>
      </c>
      <c r="C1227" s="105" t="s">
        <v>20</v>
      </c>
      <c r="D1227" s="105">
        <v>0</v>
      </c>
      <c r="E1227" s="124" t="s">
        <v>523</v>
      </c>
      <c r="F1227" s="125" t="str">
        <f t="shared" si="57"/>
        <v/>
      </c>
      <c r="G1227" s="126" t="e">
        <f>IF(A1227&lt;&gt;"",IF(AND(#REF!="Padrão",$H$4=#REF!),BDI!$B$17,IF(AND(#REF!="Padrão",$H$4=#REF!),BDI!#REF!,IF(AND(#REF!="Diferenciado",$H$4=#REF!),BDI!$E$17,IF(AND(#REF!="Diferenciado",$H$4=#REF!),BDI!#REF!,IF(#REF!="ZERO",0))))),"")</f>
        <v>#REF!</v>
      </c>
      <c r="H1227" s="127" t="str">
        <f t="shared" si="58"/>
        <v/>
      </c>
      <c r="I1227" s="125" t="str">
        <f t="shared" si="59"/>
        <v/>
      </c>
    </row>
    <row r="1228" spans="1:9" hidden="1" x14ac:dyDescent="0.25">
      <c r="A1228" s="103" t="s">
        <v>3159</v>
      </c>
      <c r="B1228" s="104" t="s">
        <v>3160</v>
      </c>
      <c r="C1228" s="105" t="s">
        <v>93</v>
      </c>
      <c r="D1228" s="105">
        <v>0</v>
      </c>
      <c r="E1228" s="124" t="s">
        <v>523</v>
      </c>
      <c r="F1228" s="125" t="str">
        <f t="shared" si="57"/>
        <v/>
      </c>
      <c r="G1228" s="126" t="e">
        <f>IF(A1228&lt;&gt;"",IF(AND(#REF!="Padrão",$H$4=#REF!),BDI!$B$17,IF(AND(#REF!="Padrão",$H$4=#REF!),BDI!#REF!,IF(AND(#REF!="Diferenciado",$H$4=#REF!),BDI!$E$17,IF(AND(#REF!="Diferenciado",$H$4=#REF!),BDI!#REF!,IF(#REF!="ZERO",0))))),"")</f>
        <v>#REF!</v>
      </c>
      <c r="H1228" s="127" t="str">
        <f t="shared" si="58"/>
        <v/>
      </c>
      <c r="I1228" s="125" t="str">
        <f t="shared" si="59"/>
        <v/>
      </c>
    </row>
    <row r="1229" spans="1:9" hidden="1" x14ac:dyDescent="0.25">
      <c r="A1229" s="103" t="s">
        <v>3161</v>
      </c>
      <c r="B1229" s="104" t="s">
        <v>3162</v>
      </c>
      <c r="C1229" s="105" t="s">
        <v>20</v>
      </c>
      <c r="D1229" s="105">
        <v>0</v>
      </c>
      <c r="E1229" s="124" t="s">
        <v>523</v>
      </c>
      <c r="F1229" s="125" t="str">
        <f t="shared" si="57"/>
        <v/>
      </c>
      <c r="G1229" s="126" t="e">
        <f>IF(A1229&lt;&gt;"",IF(AND(#REF!="Padrão",$H$4=#REF!),BDI!$B$17,IF(AND(#REF!="Padrão",$H$4=#REF!),BDI!#REF!,IF(AND(#REF!="Diferenciado",$H$4=#REF!),BDI!$E$17,IF(AND(#REF!="Diferenciado",$H$4=#REF!),BDI!#REF!,IF(#REF!="ZERO",0))))),"")</f>
        <v>#REF!</v>
      </c>
      <c r="H1229" s="127" t="str">
        <f t="shared" si="58"/>
        <v/>
      </c>
      <c r="I1229" s="125" t="str">
        <f t="shared" si="59"/>
        <v/>
      </c>
    </row>
    <row r="1230" spans="1:9" hidden="1" x14ac:dyDescent="0.25">
      <c r="A1230" s="103" t="s">
        <v>3163</v>
      </c>
      <c r="B1230" s="104" t="s">
        <v>3164</v>
      </c>
      <c r="C1230" s="105" t="s">
        <v>95</v>
      </c>
      <c r="D1230" s="105">
        <v>0</v>
      </c>
      <c r="E1230" s="124" t="s">
        <v>523</v>
      </c>
      <c r="F1230" s="125" t="str">
        <f t="shared" si="57"/>
        <v/>
      </c>
      <c r="G1230" s="126" t="e">
        <f>IF(A1230&lt;&gt;"",IF(AND(#REF!="Padrão",$H$4=#REF!),BDI!$B$17,IF(AND(#REF!="Padrão",$H$4=#REF!),BDI!#REF!,IF(AND(#REF!="Diferenciado",$H$4=#REF!),BDI!$E$17,IF(AND(#REF!="Diferenciado",$H$4=#REF!),BDI!#REF!,IF(#REF!="ZERO",0))))),"")</f>
        <v>#REF!</v>
      </c>
      <c r="H1230" s="127" t="str">
        <f t="shared" si="58"/>
        <v/>
      </c>
      <c r="I1230" s="125" t="str">
        <f t="shared" si="59"/>
        <v/>
      </c>
    </row>
    <row r="1231" spans="1:9" hidden="1" x14ac:dyDescent="0.25">
      <c r="A1231" s="103" t="s">
        <v>3165</v>
      </c>
      <c r="B1231" s="104" t="s">
        <v>3166</v>
      </c>
      <c r="C1231" s="105" t="s">
        <v>102</v>
      </c>
      <c r="D1231" s="105">
        <v>0</v>
      </c>
      <c r="E1231" s="124" t="s">
        <v>523</v>
      </c>
      <c r="F1231" s="125" t="str">
        <f t="shared" si="57"/>
        <v/>
      </c>
      <c r="G1231" s="126" t="e">
        <f>IF(A1231&lt;&gt;"",IF(AND(#REF!="Padrão",$H$4=#REF!),BDI!$B$17,IF(AND(#REF!="Padrão",$H$4=#REF!),BDI!#REF!,IF(AND(#REF!="Diferenciado",$H$4=#REF!),BDI!$E$17,IF(AND(#REF!="Diferenciado",$H$4=#REF!),BDI!#REF!,IF(#REF!="ZERO",0))))),"")</f>
        <v>#REF!</v>
      </c>
      <c r="H1231" s="127" t="str">
        <f t="shared" si="58"/>
        <v/>
      </c>
      <c r="I1231" s="125" t="str">
        <f t="shared" si="59"/>
        <v/>
      </c>
    </row>
    <row r="1232" spans="1:9" ht="38.25" hidden="1" x14ac:dyDescent="0.25">
      <c r="A1232" s="103" t="s">
        <v>3167</v>
      </c>
      <c r="B1232" s="104" t="s">
        <v>3168</v>
      </c>
      <c r="C1232" s="105" t="s">
        <v>20</v>
      </c>
      <c r="D1232" s="105">
        <v>0</v>
      </c>
      <c r="E1232" s="124" t="s">
        <v>523</v>
      </c>
      <c r="F1232" s="125" t="str">
        <f t="shared" si="57"/>
        <v/>
      </c>
      <c r="G1232" s="126" t="e">
        <f>IF(A1232&lt;&gt;"",IF(AND(#REF!="Padrão",$H$4=#REF!),BDI!$B$17,IF(AND(#REF!="Padrão",$H$4=#REF!),BDI!#REF!,IF(AND(#REF!="Diferenciado",$H$4=#REF!),BDI!$E$17,IF(AND(#REF!="Diferenciado",$H$4=#REF!),BDI!#REF!,IF(#REF!="ZERO",0))))),"")</f>
        <v>#REF!</v>
      </c>
      <c r="H1232" s="127" t="str">
        <f t="shared" si="58"/>
        <v/>
      </c>
      <c r="I1232" s="125" t="str">
        <f t="shared" si="59"/>
        <v/>
      </c>
    </row>
    <row r="1233" spans="1:9" ht="38.25" hidden="1" x14ac:dyDescent="0.25">
      <c r="A1233" s="103" t="s">
        <v>3169</v>
      </c>
      <c r="B1233" s="104" t="s">
        <v>3170</v>
      </c>
      <c r="C1233" s="105" t="s">
        <v>20</v>
      </c>
      <c r="D1233" s="105">
        <v>0</v>
      </c>
      <c r="E1233" s="124" t="s">
        <v>523</v>
      </c>
      <c r="F1233" s="125" t="str">
        <f t="shared" si="57"/>
        <v/>
      </c>
      <c r="G1233" s="126" t="e">
        <f>IF(A1233&lt;&gt;"",IF(AND(#REF!="Padrão",$H$4=#REF!),BDI!$B$17,IF(AND(#REF!="Padrão",$H$4=#REF!),BDI!#REF!,IF(AND(#REF!="Diferenciado",$H$4=#REF!),BDI!$E$17,IF(AND(#REF!="Diferenciado",$H$4=#REF!),BDI!#REF!,IF(#REF!="ZERO",0))))),"")</f>
        <v>#REF!</v>
      </c>
      <c r="H1233" s="127" t="str">
        <f t="shared" si="58"/>
        <v/>
      </c>
      <c r="I1233" s="125" t="str">
        <f t="shared" si="59"/>
        <v/>
      </c>
    </row>
    <row r="1234" spans="1:9" hidden="1" x14ac:dyDescent="0.25">
      <c r="A1234" s="103" t="s">
        <v>3171</v>
      </c>
      <c r="B1234" s="104" t="s">
        <v>3172</v>
      </c>
      <c r="C1234" s="105" t="s">
        <v>20</v>
      </c>
      <c r="D1234" s="105">
        <v>0</v>
      </c>
      <c r="E1234" s="124" t="s">
        <v>523</v>
      </c>
      <c r="F1234" s="125" t="str">
        <f t="shared" si="57"/>
        <v/>
      </c>
      <c r="G1234" s="126" t="e">
        <f>IF(A1234&lt;&gt;"",IF(AND(#REF!="Padrão",$H$4=#REF!),BDI!$B$17,IF(AND(#REF!="Padrão",$H$4=#REF!),BDI!#REF!,IF(AND(#REF!="Diferenciado",$H$4=#REF!),BDI!$E$17,IF(AND(#REF!="Diferenciado",$H$4=#REF!),BDI!#REF!,IF(#REF!="ZERO",0))))),"")</f>
        <v>#REF!</v>
      </c>
      <c r="H1234" s="127" t="str">
        <f t="shared" si="58"/>
        <v/>
      </c>
      <c r="I1234" s="125" t="str">
        <f t="shared" si="59"/>
        <v/>
      </c>
    </row>
    <row r="1235" spans="1:9" hidden="1" x14ac:dyDescent="0.25">
      <c r="A1235" s="103" t="s">
        <v>3173</v>
      </c>
      <c r="B1235" s="104" t="s">
        <v>3174</v>
      </c>
      <c r="C1235" s="105" t="s">
        <v>20</v>
      </c>
      <c r="D1235" s="105">
        <v>0</v>
      </c>
      <c r="E1235" s="124" t="s">
        <v>523</v>
      </c>
      <c r="F1235" s="125" t="str">
        <f t="shared" si="57"/>
        <v/>
      </c>
      <c r="G1235" s="126" t="e">
        <f>IF(A1235&lt;&gt;"",IF(AND(#REF!="Padrão",$H$4=#REF!),BDI!$B$17,IF(AND(#REF!="Padrão",$H$4=#REF!),BDI!#REF!,IF(AND(#REF!="Diferenciado",$H$4=#REF!),BDI!$E$17,IF(AND(#REF!="Diferenciado",$H$4=#REF!),BDI!#REF!,IF(#REF!="ZERO",0))))),"")</f>
        <v>#REF!</v>
      </c>
      <c r="H1235" s="127" t="str">
        <f t="shared" si="58"/>
        <v/>
      </c>
      <c r="I1235" s="125" t="str">
        <f t="shared" si="59"/>
        <v/>
      </c>
    </row>
    <row r="1236" spans="1:9" hidden="1" x14ac:dyDescent="0.25">
      <c r="A1236" s="103" t="s">
        <v>3175</v>
      </c>
      <c r="B1236" s="104" t="s">
        <v>3176</v>
      </c>
      <c r="C1236" s="105" t="s">
        <v>6266</v>
      </c>
      <c r="D1236" s="105">
        <v>0</v>
      </c>
      <c r="E1236" s="124" t="s">
        <v>523</v>
      </c>
      <c r="F1236" s="125" t="str">
        <f t="shared" si="57"/>
        <v/>
      </c>
      <c r="G1236" s="126" t="e">
        <f>IF(A1236&lt;&gt;"",IF(AND(#REF!="Padrão",$H$4=#REF!),BDI!$B$17,IF(AND(#REF!="Padrão",$H$4=#REF!),BDI!#REF!,IF(AND(#REF!="Diferenciado",$H$4=#REF!),BDI!$E$17,IF(AND(#REF!="Diferenciado",$H$4=#REF!),BDI!#REF!,IF(#REF!="ZERO",0))))),"")</f>
        <v>#REF!</v>
      </c>
      <c r="H1236" s="127" t="str">
        <f t="shared" si="58"/>
        <v/>
      </c>
      <c r="I1236" s="125" t="str">
        <f t="shared" si="59"/>
        <v/>
      </c>
    </row>
    <row r="1237" spans="1:9" hidden="1" x14ac:dyDescent="0.25">
      <c r="A1237" s="103" t="s">
        <v>1415</v>
      </c>
      <c r="B1237" s="104" t="s">
        <v>3177</v>
      </c>
      <c r="C1237" s="105" t="s">
        <v>95</v>
      </c>
      <c r="D1237" s="105">
        <v>0</v>
      </c>
      <c r="E1237" s="124">
        <f ca="1">OFFSET(INDEX(Composições!A:J,MATCH(Orçamentária!A1237,Composições!A:A,0),8),2,0)</f>
        <v>13.962149999999999</v>
      </c>
      <c r="F1237" s="125">
        <f t="shared" ca="1" si="57"/>
        <v>0</v>
      </c>
      <c r="G1237" s="126" t="e">
        <f>IF(A1237&lt;&gt;"",IF(AND(#REF!="Padrão",$H$4=#REF!),BDI!$B$17,IF(AND(#REF!="Padrão",$H$4=#REF!),BDI!#REF!,IF(AND(#REF!="Diferenciado",$H$4=#REF!),BDI!$E$17,IF(AND(#REF!="Diferenciado",$H$4=#REF!),BDI!#REF!,IF(#REF!="ZERO",0))))),"")</f>
        <v>#REF!</v>
      </c>
      <c r="H1237" s="127" t="e">
        <f t="shared" ca="1" si="58"/>
        <v>#REF!</v>
      </c>
      <c r="I1237" s="125" t="e">
        <f t="shared" ca="1" si="59"/>
        <v>#REF!</v>
      </c>
    </row>
    <row r="1238" spans="1:9" hidden="1" x14ac:dyDescent="0.25">
      <c r="A1238" s="103" t="s">
        <v>1418</v>
      </c>
      <c r="B1238" s="104" t="s">
        <v>3178</v>
      </c>
      <c r="C1238" s="105" t="s">
        <v>95</v>
      </c>
      <c r="D1238" s="105">
        <v>0</v>
      </c>
      <c r="E1238" s="124">
        <f ca="1">OFFSET(INDEX(Composições!A:J,MATCH(Orçamentária!A1238,Composições!A:A,0),8),2,0)</f>
        <v>2.0909500000000003</v>
      </c>
      <c r="F1238" s="125">
        <f t="shared" ca="1" si="57"/>
        <v>0</v>
      </c>
      <c r="G1238" s="126" t="e">
        <f>IF(A1238&lt;&gt;"",IF(AND(#REF!="Padrão",$H$4=#REF!),BDI!$B$17,IF(AND(#REF!="Padrão",$H$4=#REF!),BDI!#REF!,IF(AND(#REF!="Diferenciado",$H$4=#REF!),BDI!$E$17,IF(AND(#REF!="Diferenciado",$H$4=#REF!),BDI!#REF!,IF(#REF!="ZERO",0))))),"")</f>
        <v>#REF!</v>
      </c>
      <c r="H1238" s="127" t="e">
        <f t="shared" ca="1" si="58"/>
        <v>#REF!</v>
      </c>
      <c r="I1238" s="125" t="e">
        <f t="shared" ca="1" si="59"/>
        <v>#REF!</v>
      </c>
    </row>
    <row r="1239" spans="1:9" hidden="1" x14ac:dyDescent="0.25">
      <c r="A1239" s="103" t="s">
        <v>3179</v>
      </c>
      <c r="B1239" s="104" t="s">
        <v>6344</v>
      </c>
      <c r="C1239" s="105" t="s">
        <v>20</v>
      </c>
      <c r="D1239" s="105">
        <v>0</v>
      </c>
      <c r="E1239" s="124" t="s">
        <v>523</v>
      </c>
      <c r="F1239" s="125" t="str">
        <f t="shared" si="57"/>
        <v/>
      </c>
      <c r="G1239" s="126" t="e">
        <f>IF(A1239&lt;&gt;"",IF(AND(#REF!="Padrão",$H$4=#REF!),BDI!$B$17,IF(AND(#REF!="Padrão",$H$4=#REF!),BDI!#REF!,IF(AND(#REF!="Diferenciado",$H$4=#REF!),BDI!$E$17,IF(AND(#REF!="Diferenciado",$H$4=#REF!),BDI!#REF!,IF(#REF!="ZERO",0))))),"")</f>
        <v>#REF!</v>
      </c>
      <c r="H1239" s="127" t="str">
        <f t="shared" si="58"/>
        <v/>
      </c>
      <c r="I1239" s="125" t="str">
        <f t="shared" si="59"/>
        <v/>
      </c>
    </row>
    <row r="1240" spans="1:9" hidden="1" x14ac:dyDescent="0.25">
      <c r="A1240" s="103" t="s">
        <v>3398</v>
      </c>
      <c r="B1240" s="104" t="s">
        <v>3455</v>
      </c>
      <c r="C1240" s="105" t="s">
        <v>20</v>
      </c>
      <c r="D1240" s="105">
        <v>0</v>
      </c>
      <c r="E1240" s="124">
        <f ca="1">OFFSET(INDEX(Composições!A:J,MATCH(Orçamentária!A1240,Composições!A:A,0),8),2,0)</f>
        <v>928.43720513999983</v>
      </c>
      <c r="F1240" s="125">
        <f t="shared" ref="F1240:F1291" ca="1" si="60">IF(ISNUMBER(E1240),D1240*E1240,"")</f>
        <v>0</v>
      </c>
      <c r="G1240" s="126" t="e">
        <f>IF(A1240&lt;&gt;"",IF(AND(#REF!="Padrão",$H$4=#REF!),BDI!$B$17,IF(AND(#REF!="Padrão",$H$4=#REF!),BDI!#REF!,IF(AND(#REF!="Diferenciado",$H$4=#REF!),BDI!$E$17,IF(AND(#REF!="Diferenciado",$H$4=#REF!),BDI!#REF!,IF(#REF!="ZERO",0))))),"")</f>
        <v>#REF!</v>
      </c>
      <c r="H1240" s="127" t="e">
        <f t="shared" ref="H1240:H1291" ca="1" si="61">IF(ISNUMBER(E1240),ROUND(E1240*(1+G1240),2),"")</f>
        <v>#REF!</v>
      </c>
      <c r="I1240" s="125" t="e">
        <f t="shared" ref="I1240:I1291" ca="1" si="62">IF(ISNUMBER(E1240),ROUND(H1240*D1240,2),"")</f>
        <v>#REF!</v>
      </c>
    </row>
    <row r="1241" spans="1:9" hidden="1" x14ac:dyDescent="0.25">
      <c r="A1241" s="103" t="s">
        <v>3399</v>
      </c>
      <c r="B1241" s="104" t="s">
        <v>3456</v>
      </c>
      <c r="C1241" s="105" t="s">
        <v>20</v>
      </c>
      <c r="D1241" s="105">
        <v>0</v>
      </c>
      <c r="E1241" s="124">
        <f ca="1">OFFSET(INDEX(Composições!A:J,MATCH(Orçamentária!A1241,Composições!A:A,0),8),2,0)</f>
        <v>960.64578169999993</v>
      </c>
      <c r="F1241" s="125">
        <f t="shared" ca="1" si="60"/>
        <v>0</v>
      </c>
      <c r="G1241" s="126" t="e">
        <f>IF(A1241&lt;&gt;"",IF(AND(#REF!="Padrão",$H$4=#REF!),BDI!$B$17,IF(AND(#REF!="Padrão",$H$4=#REF!),BDI!#REF!,IF(AND(#REF!="Diferenciado",$H$4=#REF!),BDI!$E$17,IF(AND(#REF!="Diferenciado",$H$4=#REF!),BDI!#REF!,IF(#REF!="ZERO",0))))),"")</f>
        <v>#REF!</v>
      </c>
      <c r="H1241" s="127" t="e">
        <f t="shared" ca="1" si="61"/>
        <v>#REF!</v>
      </c>
      <c r="I1241" s="125" t="e">
        <f t="shared" ca="1" si="62"/>
        <v>#REF!</v>
      </c>
    </row>
    <row r="1242" spans="1:9" hidden="1" x14ac:dyDescent="0.25">
      <c r="A1242" s="103" t="s">
        <v>3400</v>
      </c>
      <c r="B1242" s="104" t="s">
        <v>3457</v>
      </c>
      <c r="C1242" s="105" t="s">
        <v>20</v>
      </c>
      <c r="D1242" s="105">
        <v>0</v>
      </c>
      <c r="E1242" s="124" t="s">
        <v>523</v>
      </c>
      <c r="F1242" s="125" t="str">
        <f t="shared" si="60"/>
        <v/>
      </c>
      <c r="G1242" s="126" t="e">
        <f>IF(A1242&lt;&gt;"",IF(AND(#REF!="Padrão",$H$4=#REF!),BDI!$B$17,IF(AND(#REF!="Padrão",$H$4=#REF!),BDI!#REF!,IF(AND(#REF!="Diferenciado",$H$4=#REF!),BDI!$E$17,IF(AND(#REF!="Diferenciado",$H$4=#REF!),BDI!#REF!,IF(#REF!="ZERO",0))))),"")</f>
        <v>#REF!</v>
      </c>
      <c r="H1242" s="127" t="str">
        <f t="shared" si="61"/>
        <v/>
      </c>
      <c r="I1242" s="125" t="str">
        <f t="shared" si="62"/>
        <v/>
      </c>
    </row>
    <row r="1243" spans="1:9" hidden="1" x14ac:dyDescent="0.25">
      <c r="A1243" s="103" t="s">
        <v>3401</v>
      </c>
      <c r="B1243" s="104" t="s">
        <v>3458</v>
      </c>
      <c r="C1243" s="105" t="s">
        <v>20</v>
      </c>
      <c r="D1243" s="105">
        <v>0</v>
      </c>
      <c r="E1243" s="124" t="s">
        <v>523</v>
      </c>
      <c r="F1243" s="125" t="str">
        <f t="shared" si="60"/>
        <v/>
      </c>
      <c r="G1243" s="126" t="e">
        <f>IF(A1243&lt;&gt;"",IF(AND(#REF!="Padrão",$H$4=#REF!),BDI!$B$17,IF(AND(#REF!="Padrão",$H$4=#REF!),BDI!#REF!,IF(AND(#REF!="Diferenciado",$H$4=#REF!),BDI!$E$17,IF(AND(#REF!="Diferenciado",$H$4=#REF!),BDI!#REF!,IF(#REF!="ZERO",0))))),"")</f>
        <v>#REF!</v>
      </c>
      <c r="H1243" s="127" t="str">
        <f t="shared" si="61"/>
        <v/>
      </c>
      <c r="I1243" s="125" t="str">
        <f t="shared" si="62"/>
        <v/>
      </c>
    </row>
    <row r="1244" spans="1:9" hidden="1" x14ac:dyDescent="0.25">
      <c r="A1244" s="103" t="s">
        <v>3402</v>
      </c>
      <c r="B1244" s="104" t="s">
        <v>3459</v>
      </c>
      <c r="C1244" s="105" t="s">
        <v>20</v>
      </c>
      <c r="D1244" s="105">
        <v>0</v>
      </c>
      <c r="E1244" s="124" t="s">
        <v>523</v>
      </c>
      <c r="F1244" s="125" t="str">
        <f t="shared" si="60"/>
        <v/>
      </c>
      <c r="G1244" s="126" t="e">
        <f>IF(A1244&lt;&gt;"",IF(AND(#REF!="Padrão",$H$4=#REF!),BDI!$B$17,IF(AND(#REF!="Padrão",$H$4=#REF!),BDI!#REF!,IF(AND(#REF!="Diferenciado",$H$4=#REF!),BDI!$E$17,IF(AND(#REF!="Diferenciado",$H$4=#REF!),BDI!#REF!,IF(#REF!="ZERO",0))))),"")</f>
        <v>#REF!</v>
      </c>
      <c r="H1244" s="127" t="str">
        <f t="shared" si="61"/>
        <v/>
      </c>
      <c r="I1244" s="125" t="str">
        <f t="shared" si="62"/>
        <v/>
      </c>
    </row>
    <row r="1245" spans="1:9" hidden="1" x14ac:dyDescent="0.25">
      <c r="A1245" s="103" t="s">
        <v>3403</v>
      </c>
      <c r="B1245" s="104" t="s">
        <v>3460</v>
      </c>
      <c r="C1245" s="105" t="s">
        <v>20</v>
      </c>
      <c r="D1245" s="105">
        <v>0</v>
      </c>
      <c r="E1245" s="124">
        <f ca="1">OFFSET(INDEX(Composições!A:J,MATCH(Orçamentária!A1245,Composições!A:A,0),8),2,0)</f>
        <v>3.4442249999999999</v>
      </c>
      <c r="F1245" s="125">
        <f t="shared" ca="1" si="60"/>
        <v>0</v>
      </c>
      <c r="G1245" s="126" t="e">
        <f>IF(A1245&lt;&gt;"",IF(AND(#REF!="Padrão",$H$4=#REF!),BDI!$B$17,IF(AND(#REF!="Padrão",$H$4=#REF!),BDI!#REF!,IF(AND(#REF!="Diferenciado",$H$4=#REF!),BDI!$E$17,IF(AND(#REF!="Diferenciado",$H$4=#REF!),BDI!#REF!,IF(#REF!="ZERO",0))))),"")</f>
        <v>#REF!</v>
      </c>
      <c r="H1245" s="127" t="e">
        <f t="shared" ca="1" si="61"/>
        <v>#REF!</v>
      </c>
      <c r="I1245" s="125" t="e">
        <f t="shared" ca="1" si="62"/>
        <v>#REF!</v>
      </c>
    </row>
    <row r="1246" spans="1:9" hidden="1" x14ac:dyDescent="0.25">
      <c r="A1246" s="103" t="s">
        <v>3404</v>
      </c>
      <c r="B1246" s="104" t="s">
        <v>3461</v>
      </c>
      <c r="C1246" s="105" t="s">
        <v>20</v>
      </c>
      <c r="D1246" s="105">
        <v>0</v>
      </c>
      <c r="E1246" s="124">
        <f ca="1">OFFSET(INDEX(Composições!A:J,MATCH(Orçamentária!A1246,Composições!A:A,0),8),2,0)</f>
        <v>3.4442249999999999</v>
      </c>
      <c r="F1246" s="125">
        <f t="shared" ca="1" si="60"/>
        <v>0</v>
      </c>
      <c r="G1246" s="126" t="e">
        <f>IF(A1246&lt;&gt;"",IF(AND(#REF!="Padrão",$H$4=#REF!),BDI!$B$17,IF(AND(#REF!="Padrão",$H$4=#REF!),BDI!#REF!,IF(AND(#REF!="Diferenciado",$H$4=#REF!),BDI!$E$17,IF(AND(#REF!="Diferenciado",$H$4=#REF!),BDI!#REF!,IF(#REF!="ZERO",0))))),"")</f>
        <v>#REF!</v>
      </c>
      <c r="H1246" s="127" t="e">
        <f t="shared" ca="1" si="61"/>
        <v>#REF!</v>
      </c>
      <c r="I1246" s="125" t="e">
        <f t="shared" ca="1" si="62"/>
        <v>#REF!</v>
      </c>
    </row>
    <row r="1247" spans="1:9" hidden="1" x14ac:dyDescent="0.25">
      <c r="A1247" s="103" t="s">
        <v>3405</v>
      </c>
      <c r="B1247" s="104" t="s">
        <v>3462</v>
      </c>
      <c r="C1247" s="105" t="s">
        <v>20</v>
      </c>
      <c r="D1247" s="105">
        <v>0</v>
      </c>
      <c r="E1247" s="124">
        <f ca="1">OFFSET(INDEX(Composições!A:J,MATCH(Orçamentária!A1247,Composições!A:A,0),8),2,0)</f>
        <v>3.4442249999999999</v>
      </c>
      <c r="F1247" s="125">
        <f t="shared" ca="1" si="60"/>
        <v>0</v>
      </c>
      <c r="G1247" s="126" t="e">
        <f>IF(A1247&lt;&gt;"",IF(AND(#REF!="Padrão",$H$4=#REF!),BDI!$B$17,IF(AND(#REF!="Padrão",$H$4=#REF!),BDI!#REF!,IF(AND(#REF!="Diferenciado",$H$4=#REF!),BDI!$E$17,IF(AND(#REF!="Diferenciado",$H$4=#REF!),BDI!#REF!,IF(#REF!="ZERO",0))))),"")</f>
        <v>#REF!</v>
      </c>
      <c r="H1247" s="127" t="e">
        <f t="shared" ca="1" si="61"/>
        <v>#REF!</v>
      </c>
      <c r="I1247" s="125" t="e">
        <f t="shared" ca="1" si="62"/>
        <v>#REF!</v>
      </c>
    </row>
    <row r="1248" spans="1:9" ht="25.5" hidden="1" x14ac:dyDescent="0.25">
      <c r="A1248" s="103" t="s">
        <v>3406</v>
      </c>
      <c r="B1248" s="104" t="s">
        <v>3463</v>
      </c>
      <c r="C1248" s="105" t="s">
        <v>93</v>
      </c>
      <c r="D1248" s="105">
        <v>0</v>
      </c>
      <c r="E1248" s="124">
        <f ca="1">OFFSET(INDEX(Composições!A:J,MATCH(Orçamentária!A1248,Composições!A:A,0),8),2,0)</f>
        <v>9.7824920000000013</v>
      </c>
      <c r="F1248" s="125">
        <f t="shared" ca="1" si="60"/>
        <v>0</v>
      </c>
      <c r="G1248" s="126" t="e">
        <f>IF(A1248&lt;&gt;"",IF(AND(#REF!="Padrão",$H$4=#REF!),BDI!$B$17,IF(AND(#REF!="Padrão",$H$4=#REF!),BDI!#REF!,IF(AND(#REF!="Diferenciado",$H$4=#REF!),BDI!$E$17,IF(AND(#REF!="Diferenciado",$H$4=#REF!),BDI!#REF!,IF(#REF!="ZERO",0))))),"")</f>
        <v>#REF!</v>
      </c>
      <c r="H1248" s="127" t="e">
        <f t="shared" ca="1" si="61"/>
        <v>#REF!</v>
      </c>
      <c r="I1248" s="125" t="e">
        <f t="shared" ca="1" si="62"/>
        <v>#REF!</v>
      </c>
    </row>
    <row r="1249" spans="1:9" hidden="1" x14ac:dyDescent="0.25">
      <c r="A1249" s="103" t="s">
        <v>3407</v>
      </c>
      <c r="B1249" s="104" t="s">
        <v>3464</v>
      </c>
      <c r="C1249" s="105" t="s">
        <v>93</v>
      </c>
      <c r="D1249" s="105">
        <v>0</v>
      </c>
      <c r="E1249" s="124">
        <f ca="1">OFFSET(INDEX(Composições!A:J,MATCH(Orçamentária!A1249,Composições!A:A,0),8),2,0)</f>
        <v>13.860500000000002</v>
      </c>
      <c r="F1249" s="125">
        <f t="shared" ca="1" si="60"/>
        <v>0</v>
      </c>
      <c r="G1249" s="126" t="e">
        <f>IF(A1249&lt;&gt;"",IF(AND(#REF!="Padrão",$H$4=#REF!),BDI!$B$17,IF(AND(#REF!="Padrão",$H$4=#REF!),BDI!#REF!,IF(AND(#REF!="Diferenciado",$H$4=#REF!),BDI!$E$17,IF(AND(#REF!="Diferenciado",$H$4=#REF!),BDI!#REF!,IF(#REF!="ZERO",0))))),"")</f>
        <v>#REF!</v>
      </c>
      <c r="H1249" s="127" t="e">
        <f t="shared" ca="1" si="61"/>
        <v>#REF!</v>
      </c>
      <c r="I1249" s="125" t="e">
        <f t="shared" ca="1" si="62"/>
        <v>#REF!</v>
      </c>
    </row>
    <row r="1250" spans="1:9" hidden="1" x14ac:dyDescent="0.25">
      <c r="A1250" s="103" t="s">
        <v>3408</v>
      </c>
      <c r="B1250" s="104" t="s">
        <v>3465</v>
      </c>
      <c r="C1250" s="105" t="s">
        <v>93</v>
      </c>
      <c r="D1250" s="105">
        <v>0</v>
      </c>
      <c r="E1250" s="124">
        <f ca="1">OFFSET(INDEX(Composições!A:J,MATCH(Orçamentária!A1250,Composições!A:A,0),8),2,0)</f>
        <v>5.7097850000000001</v>
      </c>
      <c r="F1250" s="125">
        <f t="shared" ca="1" si="60"/>
        <v>0</v>
      </c>
      <c r="G1250" s="126" t="e">
        <f>IF(A1250&lt;&gt;"",IF(AND(#REF!="Padrão",$H$4=#REF!),BDI!$B$17,IF(AND(#REF!="Padrão",$H$4=#REF!),BDI!#REF!,IF(AND(#REF!="Diferenciado",$H$4=#REF!),BDI!$E$17,IF(AND(#REF!="Diferenciado",$H$4=#REF!),BDI!#REF!,IF(#REF!="ZERO",0))))),"")</f>
        <v>#REF!</v>
      </c>
      <c r="H1250" s="127" t="e">
        <f t="shared" ca="1" si="61"/>
        <v>#REF!</v>
      </c>
      <c r="I1250" s="125" t="e">
        <f t="shared" ca="1" si="62"/>
        <v>#REF!</v>
      </c>
    </row>
    <row r="1251" spans="1:9" hidden="1" x14ac:dyDescent="0.25">
      <c r="A1251" s="103" t="s">
        <v>3409</v>
      </c>
      <c r="B1251" s="104" t="s">
        <v>3466</v>
      </c>
      <c r="C1251" s="105" t="s">
        <v>93</v>
      </c>
      <c r="D1251" s="105">
        <v>0</v>
      </c>
      <c r="E1251" s="124">
        <f ca="1">OFFSET(INDEX(Composições!A:J,MATCH(Orçamentária!A1251,Composições!A:A,0),8),2,0)</f>
        <v>15.456385999999998</v>
      </c>
      <c r="F1251" s="125">
        <f t="shared" ca="1" si="60"/>
        <v>0</v>
      </c>
      <c r="G1251" s="126" t="e">
        <f>IF(A1251&lt;&gt;"",IF(AND(#REF!="Padrão",$H$4=#REF!),BDI!$B$17,IF(AND(#REF!="Padrão",$H$4=#REF!),BDI!#REF!,IF(AND(#REF!="Diferenciado",$H$4=#REF!),BDI!$E$17,IF(AND(#REF!="Diferenciado",$H$4=#REF!),BDI!#REF!,IF(#REF!="ZERO",0))))),"")</f>
        <v>#REF!</v>
      </c>
      <c r="H1251" s="127" t="e">
        <f t="shared" ca="1" si="61"/>
        <v>#REF!</v>
      </c>
      <c r="I1251" s="125" t="e">
        <f t="shared" ca="1" si="62"/>
        <v>#REF!</v>
      </c>
    </row>
    <row r="1252" spans="1:9" hidden="1" x14ac:dyDescent="0.25">
      <c r="A1252" s="103" t="s">
        <v>3410</v>
      </c>
      <c r="B1252" s="104" t="s">
        <v>3467</v>
      </c>
      <c r="C1252" s="105" t="s">
        <v>93</v>
      </c>
      <c r="D1252" s="105">
        <v>0</v>
      </c>
      <c r="E1252" s="124">
        <f ca="1">OFFSET(INDEX(Composições!A:J,MATCH(Orçamentária!A1252,Composições!A:A,0),8),2,0)</f>
        <v>17.557178</v>
      </c>
      <c r="F1252" s="125">
        <f t="shared" ca="1" si="60"/>
        <v>0</v>
      </c>
      <c r="G1252" s="126" t="e">
        <f>IF(A1252&lt;&gt;"",IF(AND(#REF!="Padrão",$H$4=#REF!),BDI!$B$17,IF(AND(#REF!="Padrão",$H$4=#REF!),BDI!#REF!,IF(AND(#REF!="Diferenciado",$H$4=#REF!),BDI!$E$17,IF(AND(#REF!="Diferenciado",$H$4=#REF!),BDI!#REF!,IF(#REF!="ZERO",0))))),"")</f>
        <v>#REF!</v>
      </c>
      <c r="H1252" s="127" t="e">
        <f t="shared" ca="1" si="61"/>
        <v>#REF!</v>
      </c>
      <c r="I1252" s="125" t="e">
        <f t="shared" ca="1" si="62"/>
        <v>#REF!</v>
      </c>
    </row>
    <row r="1253" spans="1:9" hidden="1" x14ac:dyDescent="0.25">
      <c r="A1253" s="103" t="s">
        <v>3411</v>
      </c>
      <c r="B1253" s="104" t="s">
        <v>3468</v>
      </c>
      <c r="C1253" s="105" t="s">
        <v>93</v>
      </c>
      <c r="D1253" s="105">
        <v>0</v>
      </c>
      <c r="E1253" s="124">
        <f ca="1">OFFSET(INDEX(Composições!A:J,MATCH(Orçamentária!A1253,Composições!A:A,0),8),2,0)</f>
        <v>28.967362000000001</v>
      </c>
      <c r="F1253" s="125">
        <f t="shared" ca="1" si="60"/>
        <v>0</v>
      </c>
      <c r="G1253" s="126" t="e">
        <f>IF(A1253&lt;&gt;"",IF(AND(#REF!="Padrão",$H$4=#REF!),BDI!$B$17,IF(AND(#REF!="Padrão",$H$4=#REF!),BDI!#REF!,IF(AND(#REF!="Diferenciado",$H$4=#REF!),BDI!$E$17,IF(AND(#REF!="Diferenciado",$H$4=#REF!),BDI!#REF!,IF(#REF!="ZERO",0))))),"")</f>
        <v>#REF!</v>
      </c>
      <c r="H1253" s="127" t="e">
        <f t="shared" ca="1" si="61"/>
        <v>#REF!</v>
      </c>
      <c r="I1253" s="125" t="e">
        <f t="shared" ca="1" si="62"/>
        <v>#REF!</v>
      </c>
    </row>
    <row r="1254" spans="1:9" hidden="1" x14ac:dyDescent="0.25">
      <c r="A1254" s="103" t="s">
        <v>3412</v>
      </c>
      <c r="B1254" s="104" t="s">
        <v>3469</v>
      </c>
      <c r="C1254" s="105" t="s">
        <v>93</v>
      </c>
      <c r="D1254" s="105">
        <v>0</v>
      </c>
      <c r="E1254" s="124">
        <f ca="1">OFFSET(INDEX(Composições!A:J,MATCH(Orçamentária!A1254,Composições!A:A,0),8),2,0)</f>
        <v>8.9174600000000002</v>
      </c>
      <c r="F1254" s="125">
        <f t="shared" ca="1" si="60"/>
        <v>0</v>
      </c>
      <c r="G1254" s="126" t="e">
        <f>IF(A1254&lt;&gt;"",IF(AND(#REF!="Padrão",$H$4=#REF!),BDI!$B$17,IF(AND(#REF!="Padrão",$H$4=#REF!),BDI!#REF!,IF(AND(#REF!="Diferenciado",$H$4=#REF!),BDI!$E$17,IF(AND(#REF!="Diferenciado",$H$4=#REF!),BDI!#REF!,IF(#REF!="ZERO",0))))),"")</f>
        <v>#REF!</v>
      </c>
      <c r="H1254" s="127" t="e">
        <f t="shared" ca="1" si="61"/>
        <v>#REF!</v>
      </c>
      <c r="I1254" s="125" t="e">
        <f t="shared" ca="1" si="62"/>
        <v>#REF!</v>
      </c>
    </row>
    <row r="1255" spans="1:9" hidden="1" x14ac:dyDescent="0.25">
      <c r="A1255" s="103" t="s">
        <v>3413</v>
      </c>
      <c r="B1255" s="104" t="s">
        <v>3470</v>
      </c>
      <c r="C1255" s="105" t="s">
        <v>93</v>
      </c>
      <c r="D1255" s="105">
        <v>0</v>
      </c>
      <c r="E1255" s="124">
        <f ca="1">OFFSET(INDEX(Composições!A:J,MATCH(Orçamentária!A1255,Composições!A:A,0),8),2,0)</f>
        <v>9.4941480000000009</v>
      </c>
      <c r="F1255" s="125">
        <f t="shared" ca="1" si="60"/>
        <v>0</v>
      </c>
      <c r="G1255" s="126" t="e">
        <f>IF(A1255&lt;&gt;"",IF(AND(#REF!="Padrão",$H$4=#REF!),BDI!$B$17,IF(AND(#REF!="Padrão",$H$4=#REF!),BDI!#REF!,IF(AND(#REF!="Diferenciado",$H$4=#REF!),BDI!$E$17,IF(AND(#REF!="Diferenciado",$H$4=#REF!),BDI!#REF!,IF(#REF!="ZERO",0))))),"")</f>
        <v>#REF!</v>
      </c>
      <c r="H1255" s="127" t="e">
        <f t="shared" ca="1" si="61"/>
        <v>#REF!</v>
      </c>
      <c r="I1255" s="125" t="e">
        <f t="shared" ca="1" si="62"/>
        <v>#REF!</v>
      </c>
    </row>
    <row r="1256" spans="1:9" hidden="1" x14ac:dyDescent="0.25">
      <c r="A1256" s="103" t="s">
        <v>3414</v>
      </c>
      <c r="B1256" s="104" t="s">
        <v>3471</v>
      </c>
      <c r="C1256" s="105" t="s">
        <v>20</v>
      </c>
      <c r="D1256" s="105">
        <v>0</v>
      </c>
      <c r="E1256" s="124">
        <f ca="1">OFFSET(INDEX(Composições!A:J,MATCH(Orçamentária!A1256,Composições!A:A,0),8),2,0)</f>
        <v>78.95213545</v>
      </c>
      <c r="F1256" s="125">
        <f t="shared" ca="1" si="60"/>
        <v>0</v>
      </c>
      <c r="G1256" s="126" t="e">
        <f>IF(A1256&lt;&gt;"",IF(AND(#REF!="Padrão",$H$4=#REF!),BDI!$B$17,IF(AND(#REF!="Padrão",$H$4=#REF!),BDI!#REF!,IF(AND(#REF!="Diferenciado",$H$4=#REF!),BDI!$E$17,IF(AND(#REF!="Diferenciado",$H$4=#REF!),BDI!#REF!,IF(#REF!="ZERO",0))))),"")</f>
        <v>#REF!</v>
      </c>
      <c r="H1256" s="127" t="e">
        <f t="shared" ca="1" si="61"/>
        <v>#REF!</v>
      </c>
      <c r="I1256" s="125" t="e">
        <f t="shared" ca="1" si="62"/>
        <v>#REF!</v>
      </c>
    </row>
    <row r="1257" spans="1:9" hidden="1" x14ac:dyDescent="0.25">
      <c r="A1257" s="103" t="s">
        <v>3415</v>
      </c>
      <c r="B1257" s="104" t="s">
        <v>3472</v>
      </c>
      <c r="C1257" s="105" t="s">
        <v>20</v>
      </c>
      <c r="D1257" s="105">
        <v>0</v>
      </c>
      <c r="E1257" s="124">
        <f ca="1">OFFSET(INDEX(Composições!A:J,MATCH(Orçamentária!A1257,Composições!A:A,0),8),2,0)</f>
        <v>78.95213545</v>
      </c>
      <c r="F1257" s="125">
        <f t="shared" ca="1" si="60"/>
        <v>0</v>
      </c>
      <c r="G1257" s="126" t="e">
        <f>IF(A1257&lt;&gt;"",IF(AND(#REF!="Padrão",$H$4=#REF!),BDI!$B$17,IF(AND(#REF!="Padrão",$H$4=#REF!),BDI!#REF!,IF(AND(#REF!="Diferenciado",$H$4=#REF!),BDI!$E$17,IF(AND(#REF!="Diferenciado",$H$4=#REF!),BDI!#REF!,IF(#REF!="ZERO",0))))),"")</f>
        <v>#REF!</v>
      </c>
      <c r="H1257" s="127" t="e">
        <f t="shared" ca="1" si="61"/>
        <v>#REF!</v>
      </c>
      <c r="I1257" s="125" t="e">
        <f t="shared" ca="1" si="62"/>
        <v>#REF!</v>
      </c>
    </row>
    <row r="1258" spans="1:9" hidden="1" x14ac:dyDescent="0.25">
      <c r="A1258" s="103" t="s">
        <v>3416</v>
      </c>
      <c r="B1258" s="104" t="s">
        <v>3473</v>
      </c>
      <c r="C1258" s="105" t="s">
        <v>95</v>
      </c>
      <c r="D1258" s="105">
        <v>0</v>
      </c>
      <c r="E1258" s="124" t="s">
        <v>523</v>
      </c>
      <c r="F1258" s="125" t="str">
        <f t="shared" si="60"/>
        <v/>
      </c>
      <c r="G1258" s="126" t="e">
        <f>IF(A1258&lt;&gt;"",IF(AND(#REF!="Padrão",$H$4=#REF!),BDI!$B$17,IF(AND(#REF!="Padrão",$H$4=#REF!),BDI!#REF!,IF(AND(#REF!="Diferenciado",$H$4=#REF!),BDI!$E$17,IF(AND(#REF!="Diferenciado",$H$4=#REF!),BDI!#REF!,IF(#REF!="ZERO",0))))),"")</f>
        <v>#REF!</v>
      </c>
      <c r="H1258" s="127" t="str">
        <f t="shared" si="61"/>
        <v/>
      </c>
      <c r="I1258" s="125" t="str">
        <f t="shared" si="62"/>
        <v/>
      </c>
    </row>
    <row r="1259" spans="1:9" hidden="1" x14ac:dyDescent="0.25">
      <c r="A1259" s="103" t="s">
        <v>3417</v>
      </c>
      <c r="B1259" s="104" t="s">
        <v>3474</v>
      </c>
      <c r="C1259" s="105" t="s">
        <v>95</v>
      </c>
      <c r="D1259" s="105">
        <v>0</v>
      </c>
      <c r="E1259" s="124" t="s">
        <v>523</v>
      </c>
      <c r="F1259" s="125" t="str">
        <f t="shared" si="60"/>
        <v/>
      </c>
      <c r="G1259" s="126" t="e">
        <f>IF(A1259&lt;&gt;"",IF(AND(#REF!="Padrão",$H$4=#REF!),BDI!$B$17,IF(AND(#REF!="Padrão",$H$4=#REF!),BDI!#REF!,IF(AND(#REF!="Diferenciado",$H$4=#REF!),BDI!$E$17,IF(AND(#REF!="Diferenciado",$H$4=#REF!),BDI!#REF!,IF(#REF!="ZERO",0))))),"")</f>
        <v>#REF!</v>
      </c>
      <c r="H1259" s="127" t="str">
        <f t="shared" si="61"/>
        <v/>
      </c>
      <c r="I1259" s="125" t="str">
        <f t="shared" si="62"/>
        <v/>
      </c>
    </row>
    <row r="1260" spans="1:9" hidden="1" x14ac:dyDescent="0.25">
      <c r="A1260" s="103" t="s">
        <v>3418</v>
      </c>
      <c r="B1260" s="104" t="s">
        <v>3475</v>
      </c>
      <c r="C1260" s="105" t="s">
        <v>20</v>
      </c>
      <c r="D1260" s="105">
        <v>0</v>
      </c>
      <c r="E1260" s="124">
        <f ca="1">OFFSET(INDEX(Composições!A:J,MATCH(Orçamentária!A1260,Composições!A:A,0),8),2,0)</f>
        <v>13.538791049999999</v>
      </c>
      <c r="F1260" s="125">
        <f t="shared" ca="1" si="60"/>
        <v>0</v>
      </c>
      <c r="G1260" s="126" t="e">
        <f>IF(A1260&lt;&gt;"",IF(AND(#REF!="Padrão",$H$4=#REF!),BDI!$B$17,IF(AND(#REF!="Padrão",$H$4=#REF!),BDI!#REF!,IF(AND(#REF!="Diferenciado",$H$4=#REF!),BDI!$E$17,IF(AND(#REF!="Diferenciado",$H$4=#REF!),BDI!#REF!,IF(#REF!="ZERO",0))))),"")</f>
        <v>#REF!</v>
      </c>
      <c r="H1260" s="127" t="e">
        <f t="shared" ca="1" si="61"/>
        <v>#REF!</v>
      </c>
      <c r="I1260" s="125" t="e">
        <f t="shared" ca="1" si="62"/>
        <v>#REF!</v>
      </c>
    </row>
    <row r="1261" spans="1:9" hidden="1" x14ac:dyDescent="0.25">
      <c r="A1261" s="103" t="s">
        <v>3419</v>
      </c>
      <c r="B1261" s="104" t="s">
        <v>3476</v>
      </c>
      <c r="C1261" s="105" t="s">
        <v>20</v>
      </c>
      <c r="D1261" s="105">
        <v>0</v>
      </c>
      <c r="E1261" s="124">
        <f ca="1">OFFSET(INDEX(Composições!A:J,MATCH(Orçamentária!A1261,Composições!A:A,0),8),2,0)</f>
        <v>14.131586299999999</v>
      </c>
      <c r="F1261" s="125">
        <f t="shared" ca="1" si="60"/>
        <v>0</v>
      </c>
      <c r="G1261" s="126" t="e">
        <f>IF(A1261&lt;&gt;"",IF(AND(#REF!="Padrão",$H$4=#REF!),BDI!$B$17,IF(AND(#REF!="Padrão",$H$4=#REF!),BDI!#REF!,IF(AND(#REF!="Diferenciado",$H$4=#REF!),BDI!$E$17,IF(AND(#REF!="Diferenciado",$H$4=#REF!),BDI!#REF!,IF(#REF!="ZERO",0))))),"")</f>
        <v>#REF!</v>
      </c>
      <c r="H1261" s="127" t="e">
        <f t="shared" ca="1" si="61"/>
        <v>#REF!</v>
      </c>
      <c r="I1261" s="125" t="e">
        <f t="shared" ca="1" si="62"/>
        <v>#REF!</v>
      </c>
    </row>
    <row r="1262" spans="1:9" hidden="1" x14ac:dyDescent="0.25">
      <c r="A1262" s="103" t="s">
        <v>3420</v>
      </c>
      <c r="B1262" s="104" t="s">
        <v>3477</v>
      </c>
      <c r="C1262" s="105" t="s">
        <v>20</v>
      </c>
      <c r="D1262" s="105">
        <v>0</v>
      </c>
      <c r="E1262" s="124">
        <f ca="1">OFFSET(INDEX(Composições!A:J,MATCH(Orçamentária!A1262,Composições!A:A,0),8),2,0)</f>
        <v>7.0053702999999992</v>
      </c>
      <c r="F1262" s="125">
        <f t="shared" ca="1" si="60"/>
        <v>0</v>
      </c>
      <c r="G1262" s="126" t="e">
        <f>IF(A1262&lt;&gt;"",IF(AND(#REF!="Padrão",$H$4=#REF!),BDI!$B$17,IF(AND(#REF!="Padrão",$H$4=#REF!),BDI!#REF!,IF(AND(#REF!="Diferenciado",$H$4=#REF!),BDI!$E$17,IF(AND(#REF!="Diferenciado",$H$4=#REF!),BDI!#REF!,IF(#REF!="ZERO",0))))),"")</f>
        <v>#REF!</v>
      </c>
      <c r="H1262" s="127" t="e">
        <f t="shared" ca="1" si="61"/>
        <v>#REF!</v>
      </c>
      <c r="I1262" s="125" t="e">
        <f t="shared" ca="1" si="62"/>
        <v>#REF!</v>
      </c>
    </row>
    <row r="1263" spans="1:9" hidden="1" x14ac:dyDescent="0.25">
      <c r="A1263" s="103" t="s">
        <v>3421</v>
      </c>
      <c r="B1263" s="104" t="s">
        <v>3478</v>
      </c>
      <c r="C1263" s="105" t="s">
        <v>20</v>
      </c>
      <c r="D1263" s="105">
        <v>0</v>
      </c>
      <c r="E1263" s="124">
        <f ca="1">OFFSET(INDEX(Composições!A:J,MATCH(Orçamentária!A1263,Composições!A:A,0),8),2,0)</f>
        <v>14.131586299999999</v>
      </c>
      <c r="F1263" s="125">
        <f t="shared" ca="1" si="60"/>
        <v>0</v>
      </c>
      <c r="G1263" s="126" t="e">
        <f>IF(A1263&lt;&gt;"",IF(AND(#REF!="Padrão",$H$4=#REF!),BDI!$B$17,IF(AND(#REF!="Padrão",$H$4=#REF!),BDI!#REF!,IF(AND(#REF!="Diferenciado",$H$4=#REF!),BDI!$E$17,IF(AND(#REF!="Diferenciado",$H$4=#REF!),BDI!#REF!,IF(#REF!="ZERO",0))))),"")</f>
        <v>#REF!</v>
      </c>
      <c r="H1263" s="127" t="e">
        <f t="shared" ca="1" si="61"/>
        <v>#REF!</v>
      </c>
      <c r="I1263" s="125" t="e">
        <f t="shared" ca="1" si="62"/>
        <v>#REF!</v>
      </c>
    </row>
    <row r="1264" spans="1:9" hidden="1" x14ac:dyDescent="0.25">
      <c r="A1264" s="103" t="s">
        <v>3422</v>
      </c>
      <c r="B1264" s="104" t="s">
        <v>3479</v>
      </c>
      <c r="C1264" s="105" t="s">
        <v>20</v>
      </c>
      <c r="D1264" s="105">
        <v>0</v>
      </c>
      <c r="E1264" s="124">
        <f ca="1">OFFSET(INDEX(Composições!A:J,MATCH(Orçamentária!A1264,Composições!A:A,0),8),2,0)</f>
        <v>7.0053702999999992</v>
      </c>
      <c r="F1264" s="125">
        <f t="shared" ca="1" si="60"/>
        <v>0</v>
      </c>
      <c r="G1264" s="126" t="e">
        <f>IF(A1264&lt;&gt;"",IF(AND(#REF!="Padrão",$H$4=#REF!),BDI!$B$17,IF(AND(#REF!="Padrão",$H$4=#REF!),BDI!#REF!,IF(AND(#REF!="Diferenciado",$H$4=#REF!),BDI!$E$17,IF(AND(#REF!="Diferenciado",$H$4=#REF!),BDI!#REF!,IF(#REF!="ZERO",0))))),"")</f>
        <v>#REF!</v>
      </c>
      <c r="H1264" s="127" t="e">
        <f t="shared" ca="1" si="61"/>
        <v>#REF!</v>
      </c>
      <c r="I1264" s="125" t="e">
        <f t="shared" ca="1" si="62"/>
        <v>#REF!</v>
      </c>
    </row>
    <row r="1265" spans="1:9" hidden="1" x14ac:dyDescent="0.25">
      <c r="A1265" s="103" t="s">
        <v>3423</v>
      </c>
      <c r="B1265" s="104" t="s">
        <v>3480</v>
      </c>
      <c r="C1265" s="105" t="s">
        <v>20</v>
      </c>
      <c r="D1265" s="105">
        <v>0</v>
      </c>
      <c r="E1265" s="124">
        <f ca="1">OFFSET(INDEX(Composições!A:J,MATCH(Orçamentária!A1265,Composições!A:A,0),8),2,0)</f>
        <v>6.8884499999999997</v>
      </c>
      <c r="F1265" s="125">
        <f t="shared" ca="1" si="60"/>
        <v>0</v>
      </c>
      <c r="G1265" s="126" t="e">
        <f>IF(A1265&lt;&gt;"",IF(AND(#REF!="Padrão",$H$4=#REF!),BDI!$B$17,IF(AND(#REF!="Padrão",$H$4=#REF!),BDI!#REF!,IF(AND(#REF!="Diferenciado",$H$4=#REF!),BDI!$E$17,IF(AND(#REF!="Diferenciado",$H$4=#REF!),BDI!#REF!,IF(#REF!="ZERO",0))))),"")</f>
        <v>#REF!</v>
      </c>
      <c r="H1265" s="127" t="e">
        <f t="shared" ca="1" si="61"/>
        <v>#REF!</v>
      </c>
      <c r="I1265" s="125" t="e">
        <f t="shared" ca="1" si="62"/>
        <v>#REF!</v>
      </c>
    </row>
    <row r="1266" spans="1:9" hidden="1" x14ac:dyDescent="0.25">
      <c r="A1266" s="103" t="s">
        <v>3424</v>
      </c>
      <c r="B1266" s="104" t="s">
        <v>3481</v>
      </c>
      <c r="C1266" s="105" t="s">
        <v>20</v>
      </c>
      <c r="D1266" s="105">
        <v>0</v>
      </c>
      <c r="E1266" s="124">
        <f ca="1">OFFSET(INDEX(Composições!A:J,MATCH(Orçamentária!A1266,Composições!A:A,0),8),2,0)</f>
        <v>15.726679999999998</v>
      </c>
      <c r="F1266" s="125">
        <f t="shared" ca="1" si="60"/>
        <v>0</v>
      </c>
      <c r="G1266" s="126" t="e">
        <f>IF(A1266&lt;&gt;"",IF(AND(#REF!="Padrão",$H$4=#REF!),BDI!$B$17,IF(AND(#REF!="Padrão",$H$4=#REF!),BDI!#REF!,IF(AND(#REF!="Diferenciado",$H$4=#REF!),BDI!$E$17,IF(AND(#REF!="Diferenciado",$H$4=#REF!),BDI!#REF!,IF(#REF!="ZERO",0))))),"")</f>
        <v>#REF!</v>
      </c>
      <c r="H1266" s="127" t="e">
        <f t="shared" ca="1" si="61"/>
        <v>#REF!</v>
      </c>
      <c r="I1266" s="125" t="e">
        <f t="shared" ca="1" si="62"/>
        <v>#REF!</v>
      </c>
    </row>
    <row r="1267" spans="1:9" hidden="1" x14ac:dyDescent="0.25">
      <c r="A1267" s="103" t="s">
        <v>3425</v>
      </c>
      <c r="B1267" s="104" t="s">
        <v>3482</v>
      </c>
      <c r="C1267" s="105" t="s">
        <v>20</v>
      </c>
      <c r="D1267" s="105">
        <v>0</v>
      </c>
      <c r="E1267" s="124">
        <f ca="1">OFFSET(INDEX(Composições!A:J,MATCH(Orçamentária!A1267,Composições!A:A,0),8),2,0)</f>
        <v>41.291826</v>
      </c>
      <c r="F1267" s="125">
        <f t="shared" ca="1" si="60"/>
        <v>0</v>
      </c>
      <c r="G1267" s="126" t="e">
        <f>IF(A1267&lt;&gt;"",IF(AND(#REF!="Padrão",$H$4=#REF!),BDI!$B$17,IF(AND(#REF!="Padrão",$H$4=#REF!),BDI!#REF!,IF(AND(#REF!="Diferenciado",$H$4=#REF!),BDI!$E$17,IF(AND(#REF!="Diferenciado",$H$4=#REF!),BDI!#REF!,IF(#REF!="ZERO",0))))),"")</f>
        <v>#REF!</v>
      </c>
      <c r="H1267" s="127" t="e">
        <f t="shared" ca="1" si="61"/>
        <v>#REF!</v>
      </c>
      <c r="I1267" s="125" t="e">
        <f t="shared" ca="1" si="62"/>
        <v>#REF!</v>
      </c>
    </row>
    <row r="1268" spans="1:9" hidden="1" x14ac:dyDescent="0.25">
      <c r="A1268" s="103" t="s">
        <v>3426</v>
      </c>
      <c r="B1268" s="104" t="s">
        <v>3483</v>
      </c>
      <c r="C1268" s="105" t="s">
        <v>20</v>
      </c>
      <c r="D1268" s="105">
        <v>0</v>
      </c>
      <c r="E1268" s="124">
        <f ca="1">OFFSET(INDEX(Composições!A:J,MATCH(Orçamentária!A1268,Composições!A:A,0),8),2,0)</f>
        <v>32.418050799999996</v>
      </c>
      <c r="F1268" s="125">
        <f t="shared" ca="1" si="60"/>
        <v>0</v>
      </c>
      <c r="G1268" s="126" t="e">
        <f>IF(A1268&lt;&gt;"",IF(AND(#REF!="Padrão",$H$4=#REF!),BDI!$B$17,IF(AND(#REF!="Padrão",$H$4=#REF!),BDI!#REF!,IF(AND(#REF!="Diferenciado",$H$4=#REF!),BDI!$E$17,IF(AND(#REF!="Diferenciado",$H$4=#REF!),BDI!#REF!,IF(#REF!="ZERO",0))))),"")</f>
        <v>#REF!</v>
      </c>
      <c r="H1268" s="127" t="e">
        <f t="shared" ca="1" si="61"/>
        <v>#REF!</v>
      </c>
      <c r="I1268" s="125" t="e">
        <f t="shared" ca="1" si="62"/>
        <v>#REF!</v>
      </c>
    </row>
    <row r="1269" spans="1:9" hidden="1" x14ac:dyDescent="0.25">
      <c r="A1269" s="103" t="s">
        <v>3427</v>
      </c>
      <c r="B1269" s="104" t="s">
        <v>3484</v>
      </c>
      <c r="C1269" s="105" t="s">
        <v>20</v>
      </c>
      <c r="D1269" s="105">
        <v>0</v>
      </c>
      <c r="E1269" s="124">
        <f ca="1">OFFSET(INDEX(Composições!A:J,MATCH(Orçamentária!A1269,Composições!A:A,0),8),2,0)</f>
        <v>32.418050799999996</v>
      </c>
      <c r="F1269" s="125">
        <f t="shared" ca="1" si="60"/>
        <v>0</v>
      </c>
      <c r="G1269" s="126" t="e">
        <f>IF(A1269&lt;&gt;"",IF(AND(#REF!="Padrão",$H$4=#REF!),BDI!$B$17,IF(AND(#REF!="Padrão",$H$4=#REF!),BDI!#REF!,IF(AND(#REF!="Diferenciado",$H$4=#REF!),BDI!$E$17,IF(AND(#REF!="Diferenciado",$H$4=#REF!),BDI!#REF!,IF(#REF!="ZERO",0))))),"")</f>
        <v>#REF!</v>
      </c>
      <c r="H1269" s="127" t="e">
        <f t="shared" ca="1" si="61"/>
        <v>#REF!</v>
      </c>
      <c r="I1269" s="125" t="e">
        <f t="shared" ca="1" si="62"/>
        <v>#REF!</v>
      </c>
    </row>
    <row r="1270" spans="1:9" hidden="1" x14ac:dyDescent="0.25">
      <c r="A1270" s="103" t="s">
        <v>3428</v>
      </c>
      <c r="B1270" s="104" t="s">
        <v>3485</v>
      </c>
      <c r="C1270" s="105" t="s">
        <v>20</v>
      </c>
      <c r="D1270" s="105">
        <v>0</v>
      </c>
      <c r="E1270" s="124">
        <f ca="1">OFFSET(INDEX(Composições!A:J,MATCH(Orçamentária!A1270,Composições!A:A,0),8),2,0)</f>
        <v>15.720599999999999</v>
      </c>
      <c r="F1270" s="125">
        <f t="shared" ca="1" si="60"/>
        <v>0</v>
      </c>
      <c r="G1270" s="126" t="e">
        <f>IF(A1270&lt;&gt;"",IF(AND(#REF!="Padrão",$H$4=#REF!),BDI!$B$17,IF(AND(#REF!="Padrão",$H$4=#REF!),BDI!#REF!,IF(AND(#REF!="Diferenciado",$H$4=#REF!),BDI!$E$17,IF(AND(#REF!="Diferenciado",$H$4=#REF!),BDI!#REF!,IF(#REF!="ZERO",0))))),"")</f>
        <v>#REF!</v>
      </c>
      <c r="H1270" s="127" t="e">
        <f t="shared" ca="1" si="61"/>
        <v>#REF!</v>
      </c>
      <c r="I1270" s="125" t="e">
        <f t="shared" ca="1" si="62"/>
        <v>#REF!</v>
      </c>
    </row>
    <row r="1271" spans="1:9" hidden="1" x14ac:dyDescent="0.25">
      <c r="A1271" s="103" t="s">
        <v>3429</v>
      </c>
      <c r="B1271" s="104" t="s">
        <v>3554</v>
      </c>
      <c r="C1271" s="105" t="s">
        <v>20</v>
      </c>
      <c r="D1271" s="105">
        <v>0</v>
      </c>
      <c r="E1271" s="124">
        <f ca="1">OFFSET(INDEX(Composições!A:J,MATCH(Orçamentária!A1271,Composições!A:A,0),8),2,0)</f>
        <v>278.11212759999995</v>
      </c>
      <c r="F1271" s="125">
        <f t="shared" ca="1" si="60"/>
        <v>0</v>
      </c>
      <c r="G1271" s="126" t="e">
        <f>IF(A1271&lt;&gt;"",IF(AND(#REF!="Padrão",$H$4=#REF!),BDI!$B$17,IF(AND(#REF!="Padrão",$H$4=#REF!),BDI!#REF!,IF(AND(#REF!="Diferenciado",$H$4=#REF!),BDI!$E$17,IF(AND(#REF!="Diferenciado",$H$4=#REF!),BDI!#REF!,IF(#REF!="ZERO",0))))),"")</f>
        <v>#REF!</v>
      </c>
      <c r="H1271" s="127" t="e">
        <f t="shared" ca="1" si="61"/>
        <v>#REF!</v>
      </c>
      <c r="I1271" s="125" t="e">
        <f t="shared" ca="1" si="62"/>
        <v>#REF!</v>
      </c>
    </row>
    <row r="1272" spans="1:9" hidden="1" x14ac:dyDescent="0.25">
      <c r="A1272" s="103" t="s">
        <v>3430</v>
      </c>
      <c r="B1272" s="104" t="s">
        <v>3555</v>
      </c>
      <c r="C1272" s="105" t="s">
        <v>20</v>
      </c>
      <c r="D1272" s="105">
        <v>0</v>
      </c>
      <c r="E1272" s="124">
        <f ca="1">OFFSET(INDEX(Composições!A:J,MATCH(Orçamentária!A1272,Composições!A:A,0),8),2,0)</f>
        <v>302.84918519999997</v>
      </c>
      <c r="F1272" s="125">
        <f t="shared" ca="1" si="60"/>
        <v>0</v>
      </c>
      <c r="G1272" s="126" t="e">
        <f>IF(A1272&lt;&gt;"",IF(AND(#REF!="Padrão",$H$4=#REF!),BDI!$B$17,IF(AND(#REF!="Padrão",$H$4=#REF!),BDI!#REF!,IF(AND(#REF!="Diferenciado",$H$4=#REF!),BDI!$E$17,IF(AND(#REF!="Diferenciado",$H$4=#REF!),BDI!#REF!,IF(#REF!="ZERO",0))))),"")</f>
        <v>#REF!</v>
      </c>
      <c r="H1272" s="127" t="e">
        <f t="shared" ca="1" si="61"/>
        <v>#REF!</v>
      </c>
      <c r="I1272" s="125" t="e">
        <f t="shared" ca="1" si="62"/>
        <v>#REF!</v>
      </c>
    </row>
    <row r="1273" spans="1:9" hidden="1" x14ac:dyDescent="0.25">
      <c r="A1273" s="103" t="s">
        <v>3431</v>
      </c>
      <c r="B1273" s="104" t="s">
        <v>3556</v>
      </c>
      <c r="C1273" s="105" t="s">
        <v>20</v>
      </c>
      <c r="D1273" s="105">
        <v>0</v>
      </c>
      <c r="E1273" s="124">
        <f ca="1">OFFSET(INDEX(Composições!A:J,MATCH(Orçamentária!A1273,Composições!A:A,0),8),2,0)</f>
        <v>340.69624279999994</v>
      </c>
      <c r="F1273" s="125">
        <f t="shared" ca="1" si="60"/>
        <v>0</v>
      </c>
      <c r="G1273" s="126" t="e">
        <f>IF(A1273&lt;&gt;"",IF(AND(#REF!="Padrão",$H$4=#REF!),BDI!$B$17,IF(AND(#REF!="Padrão",$H$4=#REF!),BDI!#REF!,IF(AND(#REF!="Diferenciado",$H$4=#REF!),BDI!$E$17,IF(AND(#REF!="Diferenciado",$H$4=#REF!),BDI!#REF!,IF(#REF!="ZERO",0))))),"")</f>
        <v>#REF!</v>
      </c>
      <c r="H1273" s="127" t="e">
        <f t="shared" ca="1" si="61"/>
        <v>#REF!</v>
      </c>
      <c r="I1273" s="125" t="e">
        <f t="shared" ca="1" si="62"/>
        <v>#REF!</v>
      </c>
    </row>
    <row r="1274" spans="1:9" hidden="1" x14ac:dyDescent="0.25">
      <c r="A1274" s="103" t="s">
        <v>3432</v>
      </c>
      <c r="B1274" s="104" t="s">
        <v>3557</v>
      </c>
      <c r="C1274" s="105" t="s">
        <v>20</v>
      </c>
      <c r="D1274" s="105">
        <v>0</v>
      </c>
      <c r="E1274" s="124">
        <f ca="1">OFFSET(INDEX(Composições!A:J,MATCH(Orçamentária!A1274,Composições!A:A,0),8),2,0)</f>
        <v>379.43630039999999</v>
      </c>
      <c r="F1274" s="125">
        <f t="shared" ca="1" si="60"/>
        <v>0</v>
      </c>
      <c r="G1274" s="126" t="e">
        <f>IF(A1274&lt;&gt;"",IF(AND(#REF!="Padrão",$H$4=#REF!),BDI!$B$17,IF(AND(#REF!="Padrão",$H$4=#REF!),BDI!#REF!,IF(AND(#REF!="Diferenciado",$H$4=#REF!),BDI!$E$17,IF(AND(#REF!="Diferenciado",$H$4=#REF!),BDI!#REF!,IF(#REF!="ZERO",0))))),"")</f>
        <v>#REF!</v>
      </c>
      <c r="H1274" s="127" t="e">
        <f t="shared" ca="1" si="61"/>
        <v>#REF!</v>
      </c>
      <c r="I1274" s="125" t="e">
        <f t="shared" ca="1" si="62"/>
        <v>#REF!</v>
      </c>
    </row>
    <row r="1275" spans="1:9" hidden="1" x14ac:dyDescent="0.25">
      <c r="A1275" s="103" t="s">
        <v>3433</v>
      </c>
      <c r="B1275" s="104" t="s">
        <v>3486</v>
      </c>
      <c r="C1275" s="105" t="s">
        <v>20</v>
      </c>
      <c r="D1275" s="105">
        <v>0</v>
      </c>
      <c r="E1275" s="124">
        <f ca="1">OFFSET(INDEX(Composições!A:J,MATCH(Orçamentária!A1275,Composições!A:A,0),8),2,0)</f>
        <v>78.808199999999999</v>
      </c>
      <c r="F1275" s="125">
        <f t="shared" ca="1" si="60"/>
        <v>0</v>
      </c>
      <c r="G1275" s="126" t="e">
        <f>IF(A1275&lt;&gt;"",IF(AND(#REF!="Padrão",$H$4=#REF!),BDI!$B$17,IF(AND(#REF!="Padrão",$H$4=#REF!),BDI!#REF!,IF(AND(#REF!="Diferenciado",$H$4=#REF!),BDI!$E$17,IF(AND(#REF!="Diferenciado",$H$4=#REF!),BDI!#REF!,IF(#REF!="ZERO",0))))),"")</f>
        <v>#REF!</v>
      </c>
      <c r="H1275" s="127" t="e">
        <f t="shared" ca="1" si="61"/>
        <v>#REF!</v>
      </c>
      <c r="I1275" s="125" t="e">
        <f t="shared" ca="1" si="62"/>
        <v>#REF!</v>
      </c>
    </row>
    <row r="1276" spans="1:9" hidden="1" x14ac:dyDescent="0.25">
      <c r="A1276" s="103" t="s">
        <v>3434</v>
      </c>
      <c r="B1276" s="104" t="s">
        <v>3487</v>
      </c>
      <c r="C1276" s="105" t="s">
        <v>95</v>
      </c>
      <c r="D1276" s="105">
        <v>0</v>
      </c>
      <c r="E1276" s="124">
        <f ca="1">OFFSET(INDEX(Composições!A:J,MATCH(Orçamentária!A1276,Composições!A:A,0),8),2,0)</f>
        <v>26.226839999999996</v>
      </c>
      <c r="F1276" s="125">
        <f t="shared" ca="1" si="60"/>
        <v>0</v>
      </c>
      <c r="G1276" s="126" t="e">
        <f>IF(A1276&lt;&gt;"",IF(AND(#REF!="Padrão",$H$4=#REF!),BDI!$B$17,IF(AND(#REF!="Padrão",$H$4=#REF!),BDI!#REF!,IF(AND(#REF!="Diferenciado",$H$4=#REF!),BDI!$E$17,IF(AND(#REF!="Diferenciado",$H$4=#REF!),BDI!#REF!,IF(#REF!="ZERO",0))))),"")</f>
        <v>#REF!</v>
      </c>
      <c r="H1276" s="127" t="e">
        <f t="shared" ca="1" si="61"/>
        <v>#REF!</v>
      </c>
      <c r="I1276" s="125" t="e">
        <f t="shared" ca="1" si="62"/>
        <v>#REF!</v>
      </c>
    </row>
    <row r="1277" spans="1:9" hidden="1" x14ac:dyDescent="0.25">
      <c r="A1277" s="103" t="s">
        <v>3435</v>
      </c>
      <c r="B1277" s="104" t="s">
        <v>3488</v>
      </c>
      <c r="C1277" s="105" t="s">
        <v>95</v>
      </c>
      <c r="D1277" s="105">
        <v>0</v>
      </c>
      <c r="E1277" s="124">
        <f ca="1">OFFSET(INDEX(Composições!A:J,MATCH(Orçamentária!A1277,Composições!A:A,0),8),2,0)</f>
        <v>29.618720000000003</v>
      </c>
      <c r="F1277" s="125">
        <f t="shared" ca="1" si="60"/>
        <v>0</v>
      </c>
      <c r="G1277" s="126" t="e">
        <f>IF(A1277&lt;&gt;"",IF(AND(#REF!="Padrão",$H$4=#REF!),BDI!$B$17,IF(AND(#REF!="Padrão",$H$4=#REF!),BDI!#REF!,IF(AND(#REF!="Diferenciado",$H$4=#REF!),BDI!$E$17,IF(AND(#REF!="Diferenciado",$H$4=#REF!),BDI!#REF!,IF(#REF!="ZERO",0))))),"")</f>
        <v>#REF!</v>
      </c>
      <c r="H1277" s="127" t="e">
        <f t="shared" ca="1" si="61"/>
        <v>#REF!</v>
      </c>
      <c r="I1277" s="125" t="e">
        <f t="shared" ca="1" si="62"/>
        <v>#REF!</v>
      </c>
    </row>
    <row r="1278" spans="1:9" hidden="1" x14ac:dyDescent="0.25">
      <c r="A1278" s="103" t="s">
        <v>3436</v>
      </c>
      <c r="B1278" s="104" t="s">
        <v>3489</v>
      </c>
      <c r="C1278" s="105" t="s">
        <v>95</v>
      </c>
      <c r="D1278" s="105">
        <v>0</v>
      </c>
      <c r="E1278" s="124">
        <f ca="1">OFFSET(INDEX(Composições!A:J,MATCH(Orçamentária!A1278,Composições!A:A,0),8),2,0)</f>
        <v>42.323685599999997</v>
      </c>
      <c r="F1278" s="125">
        <f t="shared" ca="1" si="60"/>
        <v>0</v>
      </c>
      <c r="G1278" s="126" t="e">
        <f>IF(A1278&lt;&gt;"",IF(AND(#REF!="Padrão",$H$4=#REF!),BDI!$B$17,IF(AND(#REF!="Padrão",$H$4=#REF!),BDI!#REF!,IF(AND(#REF!="Diferenciado",$H$4=#REF!),BDI!$E$17,IF(AND(#REF!="Diferenciado",$H$4=#REF!),BDI!#REF!,IF(#REF!="ZERO",0))))),"")</f>
        <v>#REF!</v>
      </c>
      <c r="H1278" s="127" t="e">
        <f t="shared" ca="1" si="61"/>
        <v>#REF!</v>
      </c>
      <c r="I1278" s="125" t="e">
        <f t="shared" ca="1" si="62"/>
        <v>#REF!</v>
      </c>
    </row>
    <row r="1279" spans="1:9" hidden="1" x14ac:dyDescent="0.25">
      <c r="A1279" s="103" t="s">
        <v>3437</v>
      </c>
      <c r="B1279" s="104" t="s">
        <v>3490</v>
      </c>
      <c r="C1279" s="105" t="s">
        <v>93</v>
      </c>
      <c r="D1279" s="105">
        <v>0</v>
      </c>
      <c r="E1279" s="124" t="s">
        <v>523</v>
      </c>
      <c r="F1279" s="125" t="str">
        <f t="shared" si="60"/>
        <v/>
      </c>
      <c r="G1279" s="126" t="e">
        <f>IF(A1279&lt;&gt;"",IF(AND(#REF!="Padrão",$H$4=#REF!),BDI!$B$17,IF(AND(#REF!="Padrão",$H$4=#REF!),BDI!#REF!,IF(AND(#REF!="Diferenciado",$H$4=#REF!),BDI!$E$17,IF(AND(#REF!="Diferenciado",$H$4=#REF!),BDI!#REF!,IF(#REF!="ZERO",0))))),"")</f>
        <v>#REF!</v>
      </c>
      <c r="H1279" s="127" t="str">
        <f t="shared" si="61"/>
        <v/>
      </c>
      <c r="I1279" s="125" t="str">
        <f t="shared" si="62"/>
        <v/>
      </c>
    </row>
    <row r="1280" spans="1:9" hidden="1" x14ac:dyDescent="0.25">
      <c r="A1280" s="103" t="s">
        <v>3438</v>
      </c>
      <c r="B1280" s="104" t="s">
        <v>3491</v>
      </c>
      <c r="C1280" s="105" t="s">
        <v>93</v>
      </c>
      <c r="D1280" s="105">
        <v>0</v>
      </c>
      <c r="E1280" s="124" t="s">
        <v>523</v>
      </c>
      <c r="F1280" s="125" t="str">
        <f t="shared" si="60"/>
        <v/>
      </c>
      <c r="G1280" s="126" t="e">
        <f>IF(A1280&lt;&gt;"",IF(AND(#REF!="Padrão",$H$4=#REF!),BDI!$B$17,IF(AND(#REF!="Padrão",$H$4=#REF!),BDI!#REF!,IF(AND(#REF!="Diferenciado",$H$4=#REF!),BDI!$E$17,IF(AND(#REF!="Diferenciado",$H$4=#REF!),BDI!#REF!,IF(#REF!="ZERO",0))))),"")</f>
        <v>#REF!</v>
      </c>
      <c r="H1280" s="127" t="str">
        <f t="shared" si="61"/>
        <v/>
      </c>
      <c r="I1280" s="125" t="str">
        <f t="shared" si="62"/>
        <v/>
      </c>
    </row>
    <row r="1281" spans="1:9" hidden="1" x14ac:dyDescent="0.25">
      <c r="A1281" s="103" t="s">
        <v>3439</v>
      </c>
      <c r="B1281" s="104" t="s">
        <v>3492</v>
      </c>
      <c r="C1281" s="105" t="s">
        <v>93</v>
      </c>
      <c r="D1281" s="105">
        <v>0</v>
      </c>
      <c r="E1281" s="124" t="s">
        <v>523</v>
      </c>
      <c r="F1281" s="125" t="str">
        <f t="shared" si="60"/>
        <v/>
      </c>
      <c r="G1281" s="126" t="e">
        <f>IF(A1281&lt;&gt;"",IF(AND(#REF!="Padrão",$H$4=#REF!),BDI!$B$17,IF(AND(#REF!="Padrão",$H$4=#REF!),BDI!#REF!,IF(AND(#REF!="Diferenciado",$H$4=#REF!),BDI!$E$17,IF(AND(#REF!="Diferenciado",$H$4=#REF!),BDI!#REF!,IF(#REF!="ZERO",0))))),"")</f>
        <v>#REF!</v>
      </c>
      <c r="H1281" s="127" t="str">
        <f t="shared" si="61"/>
        <v/>
      </c>
      <c r="I1281" s="125" t="str">
        <f t="shared" si="62"/>
        <v/>
      </c>
    </row>
    <row r="1282" spans="1:9" hidden="1" x14ac:dyDescent="0.25">
      <c r="A1282" s="103" t="s">
        <v>3440</v>
      </c>
      <c r="B1282" s="104" t="s">
        <v>3493</v>
      </c>
      <c r="C1282" s="105" t="s">
        <v>93</v>
      </c>
      <c r="D1282" s="105">
        <v>0</v>
      </c>
      <c r="E1282" s="124" t="s">
        <v>523</v>
      </c>
      <c r="F1282" s="125" t="str">
        <f t="shared" si="60"/>
        <v/>
      </c>
      <c r="G1282" s="126" t="e">
        <f>IF(A1282&lt;&gt;"",IF(AND(#REF!="Padrão",$H$4=#REF!),BDI!$B$17,IF(AND(#REF!="Padrão",$H$4=#REF!),BDI!#REF!,IF(AND(#REF!="Diferenciado",$H$4=#REF!),BDI!$E$17,IF(AND(#REF!="Diferenciado",$H$4=#REF!),BDI!#REF!,IF(#REF!="ZERO",0))))),"")</f>
        <v>#REF!</v>
      </c>
      <c r="H1282" s="127" t="str">
        <f t="shared" si="61"/>
        <v/>
      </c>
      <c r="I1282" s="125" t="str">
        <f t="shared" si="62"/>
        <v/>
      </c>
    </row>
    <row r="1283" spans="1:9" hidden="1" x14ac:dyDescent="0.25">
      <c r="A1283" s="103" t="s">
        <v>3441</v>
      </c>
      <c r="B1283" s="104" t="s">
        <v>3494</v>
      </c>
      <c r="C1283" s="105" t="s">
        <v>93</v>
      </c>
      <c r="D1283" s="105">
        <v>0</v>
      </c>
      <c r="E1283" s="124">
        <f ca="1">OFFSET(INDEX(Composições!A:J,MATCH(Orçamentária!A1283,Composições!A:A,0),8),2,0)</f>
        <v>9.7374999999999989</v>
      </c>
      <c r="F1283" s="125">
        <f t="shared" ca="1" si="60"/>
        <v>0</v>
      </c>
      <c r="G1283" s="126" t="e">
        <f>IF(A1283&lt;&gt;"",IF(AND(#REF!="Padrão",$H$4=#REF!),BDI!$B$17,IF(AND(#REF!="Padrão",$H$4=#REF!),BDI!#REF!,IF(AND(#REF!="Diferenciado",$H$4=#REF!),BDI!$E$17,IF(AND(#REF!="Diferenciado",$H$4=#REF!),BDI!#REF!,IF(#REF!="ZERO",0))))),"")</f>
        <v>#REF!</v>
      </c>
      <c r="H1283" s="127" t="e">
        <f t="shared" ca="1" si="61"/>
        <v>#REF!</v>
      </c>
      <c r="I1283" s="125" t="e">
        <f t="shared" ca="1" si="62"/>
        <v>#REF!</v>
      </c>
    </row>
    <row r="1284" spans="1:9" hidden="1" x14ac:dyDescent="0.25">
      <c r="A1284" s="103" t="s">
        <v>3442</v>
      </c>
      <c r="B1284" s="104" t="s">
        <v>3495</v>
      </c>
      <c r="C1284" s="105" t="s">
        <v>93</v>
      </c>
      <c r="D1284" s="105">
        <v>0</v>
      </c>
      <c r="E1284" s="124">
        <f ca="1">OFFSET(INDEX(Composições!A:J,MATCH(Orçamentária!A1284,Composições!A:A,0),8),2,0)</f>
        <v>31.473452499999997</v>
      </c>
      <c r="F1284" s="125">
        <f t="shared" ca="1" si="60"/>
        <v>0</v>
      </c>
      <c r="G1284" s="126" t="e">
        <f>IF(A1284&lt;&gt;"",IF(AND(#REF!="Padrão",$H$4=#REF!),BDI!$B$17,IF(AND(#REF!="Padrão",$H$4=#REF!),BDI!#REF!,IF(AND(#REF!="Diferenciado",$H$4=#REF!),BDI!$E$17,IF(AND(#REF!="Diferenciado",$H$4=#REF!),BDI!#REF!,IF(#REF!="ZERO",0))))),"")</f>
        <v>#REF!</v>
      </c>
      <c r="H1284" s="127" t="e">
        <f t="shared" ca="1" si="61"/>
        <v>#REF!</v>
      </c>
      <c r="I1284" s="125" t="e">
        <f t="shared" ca="1" si="62"/>
        <v>#REF!</v>
      </c>
    </row>
    <row r="1285" spans="1:9" hidden="1" x14ac:dyDescent="0.25">
      <c r="A1285" s="103" t="s">
        <v>3443</v>
      </c>
      <c r="B1285" s="104" t="s">
        <v>3496</v>
      </c>
      <c r="C1285" s="105" t="s">
        <v>93</v>
      </c>
      <c r="D1285" s="105">
        <v>0</v>
      </c>
      <c r="E1285" s="124">
        <f ca="1">OFFSET(INDEX(Composições!A:J,MATCH(Orçamentária!A1285,Composições!A:A,0),8),2,0)</f>
        <v>44.260585499999998</v>
      </c>
      <c r="F1285" s="125">
        <f t="shared" ca="1" si="60"/>
        <v>0</v>
      </c>
      <c r="G1285" s="126" t="e">
        <f>IF(A1285&lt;&gt;"",IF(AND(#REF!="Padrão",$H$4=#REF!),BDI!$B$17,IF(AND(#REF!="Padrão",$H$4=#REF!),BDI!#REF!,IF(AND(#REF!="Diferenciado",$H$4=#REF!),BDI!$E$17,IF(AND(#REF!="Diferenciado",$H$4=#REF!),BDI!#REF!,IF(#REF!="ZERO",0))))),"")</f>
        <v>#REF!</v>
      </c>
      <c r="H1285" s="127" t="e">
        <f t="shared" ca="1" si="61"/>
        <v>#REF!</v>
      </c>
      <c r="I1285" s="125" t="e">
        <f t="shared" ca="1" si="62"/>
        <v>#REF!</v>
      </c>
    </row>
    <row r="1286" spans="1:9" hidden="1" x14ac:dyDescent="0.25">
      <c r="A1286" s="103" t="s">
        <v>3444</v>
      </c>
      <c r="B1286" s="104" t="s">
        <v>3497</v>
      </c>
      <c r="C1286" s="105" t="s">
        <v>20</v>
      </c>
      <c r="D1286" s="105">
        <v>0</v>
      </c>
      <c r="E1286" s="124">
        <f ca="1">OFFSET(INDEX(Composições!A:J,MATCH(Orçamentária!A1286,Composições!A:A,0),8),2,0)</f>
        <v>78.95213545</v>
      </c>
      <c r="F1286" s="125">
        <f t="shared" ca="1" si="60"/>
        <v>0</v>
      </c>
      <c r="G1286" s="126" t="e">
        <f>IF(A1286&lt;&gt;"",IF(AND(#REF!="Padrão",$H$4=#REF!),BDI!$B$17,IF(AND(#REF!="Padrão",$H$4=#REF!),BDI!#REF!,IF(AND(#REF!="Diferenciado",$H$4=#REF!),BDI!$E$17,IF(AND(#REF!="Diferenciado",$H$4=#REF!),BDI!#REF!,IF(#REF!="ZERO",0))))),"")</f>
        <v>#REF!</v>
      </c>
      <c r="H1286" s="127" t="e">
        <f t="shared" ca="1" si="61"/>
        <v>#REF!</v>
      </c>
      <c r="I1286" s="125" t="e">
        <f t="shared" ca="1" si="62"/>
        <v>#REF!</v>
      </c>
    </row>
    <row r="1287" spans="1:9" hidden="1" x14ac:dyDescent="0.25">
      <c r="A1287" s="103" t="s">
        <v>3445</v>
      </c>
      <c r="B1287" s="104" t="s">
        <v>3498</v>
      </c>
      <c r="C1287" s="105" t="s">
        <v>20</v>
      </c>
      <c r="D1287" s="105">
        <v>0</v>
      </c>
      <c r="E1287" s="124">
        <f ca="1">OFFSET(INDEX(Composições!A:J,MATCH(Orçamentária!A1287,Composições!A:A,0),8),2,0)</f>
        <v>21.849452800000002</v>
      </c>
      <c r="F1287" s="125">
        <f t="shared" ca="1" si="60"/>
        <v>0</v>
      </c>
      <c r="G1287" s="126" t="e">
        <f>IF(A1287&lt;&gt;"",IF(AND(#REF!="Padrão",$H$4=#REF!),BDI!$B$17,IF(AND(#REF!="Padrão",$H$4=#REF!),BDI!#REF!,IF(AND(#REF!="Diferenciado",$H$4=#REF!),BDI!$E$17,IF(AND(#REF!="Diferenciado",$H$4=#REF!),BDI!#REF!,IF(#REF!="ZERO",0))))),"")</f>
        <v>#REF!</v>
      </c>
      <c r="H1287" s="127" t="e">
        <f t="shared" ca="1" si="61"/>
        <v>#REF!</v>
      </c>
      <c r="I1287" s="125" t="e">
        <f t="shared" ca="1" si="62"/>
        <v>#REF!</v>
      </c>
    </row>
    <row r="1288" spans="1:9" hidden="1" x14ac:dyDescent="0.25">
      <c r="A1288" s="103" t="s">
        <v>3446</v>
      </c>
      <c r="B1288" s="104" t="s">
        <v>3499</v>
      </c>
      <c r="C1288" s="105" t="s">
        <v>20</v>
      </c>
      <c r="D1288" s="105">
        <v>0</v>
      </c>
      <c r="E1288" s="124">
        <f ca="1">OFFSET(INDEX(Composições!A:J,MATCH(Orçamentária!A1288,Composições!A:A,0),8),2,0)</f>
        <v>13.538791049999999</v>
      </c>
      <c r="F1288" s="125">
        <f t="shared" ca="1" si="60"/>
        <v>0</v>
      </c>
      <c r="G1288" s="126" t="e">
        <f>IF(A1288&lt;&gt;"",IF(AND(#REF!="Padrão",$H$4=#REF!),BDI!$B$17,IF(AND(#REF!="Padrão",$H$4=#REF!),BDI!#REF!,IF(AND(#REF!="Diferenciado",$H$4=#REF!),BDI!$E$17,IF(AND(#REF!="Diferenciado",$H$4=#REF!),BDI!#REF!,IF(#REF!="ZERO",0))))),"")</f>
        <v>#REF!</v>
      </c>
      <c r="H1288" s="127" t="e">
        <f t="shared" ca="1" si="61"/>
        <v>#REF!</v>
      </c>
      <c r="I1288" s="125" t="e">
        <f t="shared" ca="1" si="62"/>
        <v>#REF!</v>
      </c>
    </row>
    <row r="1289" spans="1:9" hidden="1" x14ac:dyDescent="0.25">
      <c r="A1289" s="103" t="s">
        <v>3447</v>
      </c>
      <c r="B1289" s="104" t="s">
        <v>3500</v>
      </c>
      <c r="C1289" s="105" t="s">
        <v>20</v>
      </c>
      <c r="D1289" s="105">
        <v>0</v>
      </c>
      <c r="E1289" s="124">
        <f ca="1">OFFSET(INDEX(Composições!A:J,MATCH(Orçamentária!A1289,Composições!A:A,0),8),2,0)</f>
        <v>263.21840000000003</v>
      </c>
      <c r="F1289" s="125">
        <f t="shared" ca="1" si="60"/>
        <v>0</v>
      </c>
      <c r="G1289" s="126" t="e">
        <f>IF(A1289&lt;&gt;"",IF(AND(#REF!="Padrão",$H$4=#REF!),BDI!$B$17,IF(AND(#REF!="Padrão",$H$4=#REF!),BDI!#REF!,IF(AND(#REF!="Diferenciado",$H$4=#REF!),BDI!$E$17,IF(AND(#REF!="Diferenciado",$H$4=#REF!),BDI!#REF!,IF(#REF!="ZERO",0))))),"")</f>
        <v>#REF!</v>
      </c>
      <c r="H1289" s="127" t="e">
        <f t="shared" ca="1" si="61"/>
        <v>#REF!</v>
      </c>
      <c r="I1289" s="125" t="e">
        <f t="shared" ca="1" si="62"/>
        <v>#REF!</v>
      </c>
    </row>
    <row r="1290" spans="1:9" hidden="1" x14ac:dyDescent="0.25">
      <c r="A1290" s="103" t="s">
        <v>3448</v>
      </c>
      <c r="B1290" s="104" t="s">
        <v>3501</v>
      </c>
      <c r="C1290" s="105" t="s">
        <v>20</v>
      </c>
      <c r="D1290" s="105">
        <v>0</v>
      </c>
      <c r="E1290" s="124">
        <f ca="1">OFFSET(INDEX(Composições!A:J,MATCH(Orçamentária!A1290,Composições!A:A,0),8),2,0)</f>
        <v>19.034885899999999</v>
      </c>
      <c r="F1290" s="125">
        <f t="shared" ca="1" si="60"/>
        <v>0</v>
      </c>
      <c r="G1290" s="126" t="e">
        <f>IF(A1290&lt;&gt;"",IF(AND(#REF!="Padrão",$H$4=#REF!),BDI!$B$17,IF(AND(#REF!="Padrão",$H$4=#REF!),BDI!#REF!,IF(AND(#REF!="Diferenciado",$H$4=#REF!),BDI!$E$17,IF(AND(#REF!="Diferenciado",$H$4=#REF!),BDI!#REF!,IF(#REF!="ZERO",0))))),"")</f>
        <v>#REF!</v>
      </c>
      <c r="H1290" s="127" t="e">
        <f t="shared" ca="1" si="61"/>
        <v>#REF!</v>
      </c>
      <c r="I1290" s="125" t="e">
        <f t="shared" ca="1" si="62"/>
        <v>#REF!</v>
      </c>
    </row>
    <row r="1291" spans="1:9" hidden="1" x14ac:dyDescent="0.25">
      <c r="A1291" s="103" t="s">
        <v>3449</v>
      </c>
      <c r="B1291" s="104" t="s">
        <v>3502</v>
      </c>
      <c r="C1291" s="105" t="s">
        <v>20</v>
      </c>
      <c r="D1291" s="105">
        <v>0</v>
      </c>
      <c r="E1291" s="124">
        <f ca="1">OFFSET(INDEX(Composições!A:J,MATCH(Orçamentária!A1291,Composições!A:A,0),8),2,0)</f>
        <v>9.5186579999999985</v>
      </c>
      <c r="F1291" s="125">
        <f t="shared" ca="1" si="60"/>
        <v>0</v>
      </c>
      <c r="G1291" s="126" t="e">
        <f>IF(A1291&lt;&gt;"",IF(AND(#REF!="Padrão",$H$4=#REF!),BDI!$B$17,IF(AND(#REF!="Padrão",$H$4=#REF!),BDI!#REF!,IF(AND(#REF!="Diferenciado",$H$4=#REF!),BDI!$E$17,IF(AND(#REF!="Diferenciado",$H$4=#REF!),BDI!#REF!,IF(#REF!="ZERO",0))))),"")</f>
        <v>#REF!</v>
      </c>
      <c r="H1291" s="127" t="e">
        <f t="shared" ca="1" si="61"/>
        <v>#REF!</v>
      </c>
      <c r="I1291" s="125" t="e">
        <f t="shared" ca="1" si="62"/>
        <v>#REF!</v>
      </c>
    </row>
    <row r="1292" spans="1:9" hidden="1" x14ac:dyDescent="0.25">
      <c r="A1292" s="103" t="s">
        <v>3450</v>
      </c>
      <c r="B1292" s="104" t="s">
        <v>3503</v>
      </c>
      <c r="C1292" s="105" t="s">
        <v>20</v>
      </c>
      <c r="D1292" s="105">
        <v>0</v>
      </c>
      <c r="E1292" s="124">
        <f ca="1">OFFSET(INDEX(Composições!A:J,MATCH(Orçamentária!A1292,Composições!A:A,0),8),2,0)</f>
        <v>15.638804999999998</v>
      </c>
      <c r="F1292" s="125">
        <f t="shared" ref="F1292:F1299" ca="1" si="63">IF(ISNUMBER(E1292),D1292*E1292,"")</f>
        <v>0</v>
      </c>
      <c r="G1292" s="126" t="e">
        <f>IF(A1292&lt;&gt;"",IF(AND(#REF!="Padrão",$H$4=#REF!),BDI!$B$17,IF(AND(#REF!="Padrão",$H$4=#REF!),BDI!#REF!,IF(AND(#REF!="Diferenciado",$H$4=#REF!),BDI!$E$17,IF(AND(#REF!="Diferenciado",$H$4=#REF!),BDI!#REF!,IF(#REF!="ZERO",0))))),"")</f>
        <v>#REF!</v>
      </c>
      <c r="H1292" s="127" t="e">
        <f t="shared" ref="H1292:H1299" ca="1" si="64">IF(ISNUMBER(E1292),ROUND(E1292*(1+G1292),2),"")</f>
        <v>#REF!</v>
      </c>
      <c r="I1292" s="125" t="e">
        <f t="shared" ref="I1292:I1299" ca="1" si="65">IF(ISNUMBER(E1292),ROUND(H1292*D1292,2),"")</f>
        <v>#REF!</v>
      </c>
    </row>
    <row r="1293" spans="1:9" hidden="1" x14ac:dyDescent="0.25">
      <c r="A1293" s="103" t="s">
        <v>3451</v>
      </c>
      <c r="B1293" s="104" t="s">
        <v>3504</v>
      </c>
      <c r="C1293" s="105" t="s">
        <v>20</v>
      </c>
      <c r="D1293" s="105">
        <v>0</v>
      </c>
      <c r="E1293" s="124">
        <f ca="1">OFFSET(INDEX(Composições!A:J,MATCH(Orçamentária!A1293,Composições!A:A,0),8),2,0)</f>
        <v>17.111874999999998</v>
      </c>
      <c r="F1293" s="125">
        <f t="shared" ca="1" si="63"/>
        <v>0</v>
      </c>
      <c r="G1293" s="126" t="e">
        <f>IF(A1293&lt;&gt;"",IF(AND(#REF!="Padrão",$H$4=#REF!),BDI!$B$17,IF(AND(#REF!="Padrão",$H$4=#REF!),BDI!#REF!,IF(AND(#REF!="Diferenciado",$H$4=#REF!),BDI!$E$17,IF(AND(#REF!="Diferenciado",$H$4=#REF!),BDI!#REF!,IF(#REF!="ZERO",0))))),"")</f>
        <v>#REF!</v>
      </c>
      <c r="H1293" s="127" t="e">
        <f t="shared" ca="1" si="64"/>
        <v>#REF!</v>
      </c>
      <c r="I1293" s="125" t="e">
        <f t="shared" ca="1" si="65"/>
        <v>#REF!</v>
      </c>
    </row>
    <row r="1294" spans="1:9" hidden="1" x14ac:dyDescent="0.25">
      <c r="A1294" s="103" t="s">
        <v>3452</v>
      </c>
      <c r="B1294" s="104" t="s">
        <v>3505</v>
      </c>
      <c r="C1294" s="105" t="s">
        <v>20</v>
      </c>
      <c r="D1294" s="105">
        <v>0</v>
      </c>
      <c r="E1294" s="124">
        <f ca="1">OFFSET(INDEX(Composições!A:J,MATCH(Orçamentária!A1294,Composições!A:A,0),8),2,0)</f>
        <v>95.396348549999999</v>
      </c>
      <c r="F1294" s="125">
        <f t="shared" ca="1" si="63"/>
        <v>0</v>
      </c>
      <c r="G1294" s="126" t="e">
        <f>IF(A1294&lt;&gt;"",IF(AND(#REF!="Padrão",$H$4=#REF!),BDI!$B$17,IF(AND(#REF!="Padrão",$H$4=#REF!),BDI!#REF!,IF(AND(#REF!="Diferenciado",$H$4=#REF!),BDI!$E$17,IF(AND(#REF!="Diferenciado",$H$4=#REF!),BDI!#REF!,IF(#REF!="ZERO",0))))),"")</f>
        <v>#REF!</v>
      </c>
      <c r="H1294" s="127" t="e">
        <f t="shared" ca="1" si="64"/>
        <v>#REF!</v>
      </c>
      <c r="I1294" s="125" t="e">
        <f t="shared" ca="1" si="65"/>
        <v>#REF!</v>
      </c>
    </row>
    <row r="1295" spans="1:9" hidden="1" x14ac:dyDescent="0.25">
      <c r="A1295" s="103" t="s">
        <v>3453</v>
      </c>
      <c r="B1295" s="104" t="s">
        <v>3506</v>
      </c>
      <c r="C1295" s="105" t="s">
        <v>20</v>
      </c>
      <c r="D1295" s="105">
        <v>0</v>
      </c>
      <c r="E1295" s="124" t="s">
        <v>523</v>
      </c>
      <c r="F1295" s="125" t="str">
        <f t="shared" si="63"/>
        <v/>
      </c>
      <c r="G1295" s="126" t="e">
        <f>IF(A1295&lt;&gt;"",IF(AND(#REF!="Padrão",$H$4=#REF!),BDI!$B$17,IF(AND(#REF!="Padrão",$H$4=#REF!),BDI!#REF!,IF(AND(#REF!="Diferenciado",$H$4=#REF!),BDI!$E$17,IF(AND(#REF!="Diferenciado",$H$4=#REF!),BDI!#REF!,IF(#REF!="ZERO",0))))),"")</f>
        <v>#REF!</v>
      </c>
      <c r="H1295" s="127" t="str">
        <f t="shared" si="64"/>
        <v/>
      </c>
      <c r="I1295" s="125" t="str">
        <f t="shared" si="65"/>
        <v/>
      </c>
    </row>
    <row r="1296" spans="1:9" hidden="1" x14ac:dyDescent="0.25">
      <c r="A1296" s="103" t="s">
        <v>3454</v>
      </c>
      <c r="B1296" s="104" t="s">
        <v>3700</v>
      </c>
      <c r="C1296" s="105" t="s">
        <v>95</v>
      </c>
      <c r="D1296" s="105">
        <v>0</v>
      </c>
      <c r="E1296" s="124" t="s">
        <v>523</v>
      </c>
      <c r="F1296" s="125" t="str">
        <f t="shared" si="63"/>
        <v/>
      </c>
      <c r="G1296" s="126" t="e">
        <f>IF(A1296&lt;&gt;"",IF(AND(#REF!="Padrão",$H$4=#REF!),BDI!$B$17,IF(AND(#REF!="Padrão",$H$4=#REF!),BDI!#REF!,IF(AND(#REF!="Diferenciado",$H$4=#REF!),BDI!$E$17,IF(AND(#REF!="Diferenciado",$H$4=#REF!),BDI!#REF!,IF(#REF!="ZERO",0))))),"")</f>
        <v>#REF!</v>
      </c>
      <c r="H1296" s="127" t="str">
        <f t="shared" si="64"/>
        <v/>
      </c>
      <c r="I1296" s="125" t="str">
        <f t="shared" si="65"/>
        <v/>
      </c>
    </row>
    <row r="1297" spans="1:9" hidden="1" x14ac:dyDescent="0.25">
      <c r="A1297" s="103" t="s">
        <v>3510</v>
      </c>
      <c r="B1297" s="104" t="s">
        <v>3507</v>
      </c>
      <c r="C1297" s="105" t="s">
        <v>20</v>
      </c>
      <c r="D1297" s="105">
        <v>0</v>
      </c>
      <c r="E1297" s="124" t="s">
        <v>523</v>
      </c>
      <c r="F1297" s="125" t="str">
        <f t="shared" si="63"/>
        <v/>
      </c>
      <c r="G1297" s="126" t="e">
        <f>IF(A1297&lt;&gt;"",IF(AND(#REF!="Padrão",$H$4=#REF!),BDI!$B$17,IF(AND(#REF!="Padrão",$H$4=#REF!),BDI!#REF!,IF(AND(#REF!="Diferenciado",$H$4=#REF!),BDI!$E$17,IF(AND(#REF!="Diferenciado",$H$4=#REF!),BDI!#REF!,IF(#REF!="ZERO",0))))),"")</f>
        <v>#REF!</v>
      </c>
      <c r="H1297" s="127" t="str">
        <f t="shared" si="64"/>
        <v/>
      </c>
      <c r="I1297" s="125" t="str">
        <f t="shared" si="65"/>
        <v/>
      </c>
    </row>
    <row r="1298" spans="1:9" hidden="1" x14ac:dyDescent="0.25">
      <c r="A1298" s="103" t="s">
        <v>3511</v>
      </c>
      <c r="B1298" s="104" t="s">
        <v>3508</v>
      </c>
      <c r="C1298" s="105" t="s">
        <v>20</v>
      </c>
      <c r="D1298" s="105">
        <v>0</v>
      </c>
      <c r="E1298" s="124" t="s">
        <v>523</v>
      </c>
      <c r="F1298" s="125" t="str">
        <f t="shared" si="63"/>
        <v/>
      </c>
      <c r="G1298" s="126" t="e">
        <f>IF(A1298&lt;&gt;"",IF(AND(#REF!="Padrão",$H$4=#REF!),BDI!$B$17,IF(AND(#REF!="Padrão",$H$4=#REF!),BDI!#REF!,IF(AND(#REF!="Diferenciado",$H$4=#REF!),BDI!$E$17,IF(AND(#REF!="Diferenciado",$H$4=#REF!),BDI!#REF!,IF(#REF!="ZERO",0))))),"")</f>
        <v>#REF!</v>
      </c>
      <c r="H1298" s="127" t="str">
        <f t="shared" si="64"/>
        <v/>
      </c>
      <c r="I1298" s="125" t="str">
        <f t="shared" si="65"/>
        <v/>
      </c>
    </row>
    <row r="1299" spans="1:9" hidden="1" x14ac:dyDescent="0.25">
      <c r="A1299" s="103" t="s">
        <v>3512</v>
      </c>
      <c r="B1299" s="104" t="s">
        <v>3509</v>
      </c>
      <c r="C1299" s="105" t="s">
        <v>20</v>
      </c>
      <c r="D1299" s="105">
        <v>0</v>
      </c>
      <c r="E1299" s="124" t="s">
        <v>523</v>
      </c>
      <c r="F1299" s="125" t="str">
        <f t="shared" si="63"/>
        <v/>
      </c>
      <c r="G1299" s="126" t="e">
        <f>IF(A1299&lt;&gt;"",IF(AND(#REF!="Padrão",$H$4=#REF!),BDI!$B$17,IF(AND(#REF!="Padrão",$H$4=#REF!),BDI!#REF!,IF(AND(#REF!="Diferenciado",$H$4=#REF!),BDI!$E$17,IF(AND(#REF!="Diferenciado",$H$4=#REF!),BDI!#REF!,IF(#REF!="ZERO",0))))),"")</f>
        <v>#REF!</v>
      </c>
      <c r="H1299" s="127" t="str">
        <f t="shared" si="64"/>
        <v/>
      </c>
      <c r="I1299" s="125" t="str">
        <f t="shared" si="65"/>
        <v/>
      </c>
    </row>
    <row r="1300" spans="1:9" hidden="1" x14ac:dyDescent="0.25">
      <c r="A1300" s="103" t="s">
        <v>3588</v>
      </c>
      <c r="B1300" s="104" t="s">
        <v>3589</v>
      </c>
      <c r="C1300" s="105" t="s">
        <v>95</v>
      </c>
      <c r="D1300" s="105">
        <v>0</v>
      </c>
      <c r="E1300" s="124">
        <f ca="1">OFFSET(INDEX(Composições!A:J,MATCH(Orçamentária!A1300,Composições!A:A,0),8),2,0)</f>
        <v>228.7425702595238</v>
      </c>
      <c r="F1300" s="125">
        <f t="shared" ref="F1300:F1343" ca="1" si="66">IF(ISNUMBER(E1300),D1300*E1300,"")</f>
        <v>0</v>
      </c>
      <c r="G1300" s="126" t="e">
        <f>IF(A1300&lt;&gt;"",IF(AND(#REF!="Padrão",$H$4=#REF!),BDI!$B$17,IF(AND(#REF!="Padrão",$H$4=#REF!),BDI!#REF!,IF(AND(#REF!="Diferenciado",$H$4=#REF!),BDI!$E$17,IF(AND(#REF!="Diferenciado",$H$4=#REF!),BDI!#REF!,IF(#REF!="ZERO",0))))),"")</f>
        <v>#REF!</v>
      </c>
      <c r="H1300" s="127" t="e">
        <f t="shared" ref="H1300:H1343" ca="1" si="67">IF(ISNUMBER(E1300),ROUND(E1300*(1+G1300),2),"")</f>
        <v>#REF!</v>
      </c>
      <c r="I1300" s="125" t="e">
        <f t="shared" ref="I1300:I1343" ca="1" si="68">IF(ISNUMBER(E1300),ROUND(H1300*D1300,2),"")</f>
        <v>#REF!</v>
      </c>
    </row>
    <row r="1301" spans="1:9" hidden="1" x14ac:dyDescent="0.25">
      <c r="A1301" s="103" t="s">
        <v>3590</v>
      </c>
      <c r="B1301" s="104" t="s">
        <v>3591</v>
      </c>
      <c r="C1301" s="105" t="s">
        <v>95</v>
      </c>
      <c r="D1301" s="105">
        <v>0</v>
      </c>
      <c r="E1301" s="124">
        <f ca="1">OFFSET(INDEX(Composições!A:J,MATCH(Orçamentária!A1301,Composições!A:A,0),8),2,0)</f>
        <v>247.94410478333336</v>
      </c>
      <c r="F1301" s="125">
        <f t="shared" ca="1" si="66"/>
        <v>0</v>
      </c>
      <c r="G1301" s="126" t="e">
        <f>IF(A1301&lt;&gt;"",IF(AND(#REF!="Padrão",$H$4=#REF!),BDI!$B$17,IF(AND(#REF!="Padrão",$H$4=#REF!),BDI!#REF!,IF(AND(#REF!="Diferenciado",$H$4=#REF!),BDI!$E$17,IF(AND(#REF!="Diferenciado",$H$4=#REF!),BDI!#REF!,IF(#REF!="ZERO",0))))),"")</f>
        <v>#REF!</v>
      </c>
      <c r="H1301" s="127" t="e">
        <f t="shared" ca="1" si="67"/>
        <v>#REF!</v>
      </c>
      <c r="I1301" s="125" t="e">
        <f t="shared" ca="1" si="68"/>
        <v>#REF!</v>
      </c>
    </row>
    <row r="1302" spans="1:9" ht="25.5" hidden="1" x14ac:dyDescent="0.25">
      <c r="A1302" s="103" t="s">
        <v>3592</v>
      </c>
      <c r="B1302" s="104" t="s">
        <v>3593</v>
      </c>
      <c r="C1302" s="105" t="s">
        <v>20</v>
      </c>
      <c r="D1302" s="105">
        <v>0</v>
      </c>
      <c r="E1302" s="124" t="s">
        <v>523</v>
      </c>
      <c r="F1302" s="125" t="str">
        <f t="shared" si="66"/>
        <v/>
      </c>
      <c r="G1302" s="126" t="e">
        <f>IF(A1302&lt;&gt;"",IF(AND(#REF!="Padrão",$H$4=#REF!),BDI!$B$17,IF(AND(#REF!="Padrão",$H$4=#REF!),BDI!#REF!,IF(AND(#REF!="Diferenciado",$H$4=#REF!),BDI!$E$17,IF(AND(#REF!="Diferenciado",$H$4=#REF!),BDI!#REF!,IF(#REF!="ZERO",0))))),"")</f>
        <v>#REF!</v>
      </c>
      <c r="H1302" s="127" t="str">
        <f t="shared" si="67"/>
        <v/>
      </c>
      <c r="I1302" s="125" t="str">
        <f t="shared" si="68"/>
        <v/>
      </c>
    </row>
    <row r="1303" spans="1:9" ht="25.5" hidden="1" x14ac:dyDescent="0.25">
      <c r="A1303" s="103" t="s">
        <v>3594</v>
      </c>
      <c r="B1303" s="104" t="s">
        <v>3595</v>
      </c>
      <c r="C1303" s="105" t="s">
        <v>20</v>
      </c>
      <c r="D1303" s="105">
        <v>0</v>
      </c>
      <c r="E1303" s="124" t="s">
        <v>523</v>
      </c>
      <c r="F1303" s="125" t="str">
        <f t="shared" si="66"/>
        <v/>
      </c>
      <c r="G1303" s="126" t="e">
        <f>IF(A1303&lt;&gt;"",IF(AND(#REF!="Padrão",$H$4=#REF!),BDI!$B$17,IF(AND(#REF!="Padrão",$H$4=#REF!),BDI!#REF!,IF(AND(#REF!="Diferenciado",$H$4=#REF!),BDI!$E$17,IF(AND(#REF!="Diferenciado",$H$4=#REF!),BDI!#REF!,IF(#REF!="ZERO",0))))),"")</f>
        <v>#REF!</v>
      </c>
      <c r="H1303" s="127" t="str">
        <f t="shared" si="67"/>
        <v/>
      </c>
      <c r="I1303" s="125" t="str">
        <f t="shared" si="68"/>
        <v/>
      </c>
    </row>
    <row r="1304" spans="1:9" ht="25.5" hidden="1" x14ac:dyDescent="0.25">
      <c r="A1304" s="103" t="s">
        <v>3596</v>
      </c>
      <c r="B1304" s="104" t="s">
        <v>3597</v>
      </c>
      <c r="C1304" s="105" t="s">
        <v>20</v>
      </c>
      <c r="D1304" s="105">
        <v>0</v>
      </c>
      <c r="E1304" s="124" t="s">
        <v>523</v>
      </c>
      <c r="F1304" s="125" t="str">
        <f t="shared" si="66"/>
        <v/>
      </c>
      <c r="G1304" s="126" t="e">
        <f>IF(A1304&lt;&gt;"",IF(AND(#REF!="Padrão",$H$4=#REF!),BDI!$B$17,IF(AND(#REF!="Padrão",$H$4=#REF!),BDI!#REF!,IF(AND(#REF!="Diferenciado",$H$4=#REF!),BDI!$E$17,IF(AND(#REF!="Diferenciado",$H$4=#REF!),BDI!#REF!,IF(#REF!="ZERO",0))))),"")</f>
        <v>#REF!</v>
      </c>
      <c r="H1304" s="127" t="str">
        <f t="shared" si="67"/>
        <v/>
      </c>
      <c r="I1304" s="125" t="str">
        <f t="shared" si="68"/>
        <v/>
      </c>
    </row>
    <row r="1305" spans="1:9" ht="25.5" hidden="1" x14ac:dyDescent="0.25">
      <c r="A1305" s="103" t="s">
        <v>3598</v>
      </c>
      <c r="B1305" s="104" t="s">
        <v>3599</v>
      </c>
      <c r="C1305" s="105" t="s">
        <v>20</v>
      </c>
      <c r="D1305" s="105">
        <v>0</v>
      </c>
      <c r="E1305" s="124" t="s">
        <v>523</v>
      </c>
      <c r="F1305" s="125" t="str">
        <f t="shared" si="66"/>
        <v/>
      </c>
      <c r="G1305" s="126" t="e">
        <f>IF(A1305&lt;&gt;"",IF(AND(#REF!="Padrão",$H$4=#REF!),BDI!$B$17,IF(AND(#REF!="Padrão",$H$4=#REF!),BDI!#REF!,IF(AND(#REF!="Diferenciado",$H$4=#REF!),BDI!$E$17,IF(AND(#REF!="Diferenciado",$H$4=#REF!),BDI!#REF!,IF(#REF!="ZERO",0))))),"")</f>
        <v>#REF!</v>
      </c>
      <c r="H1305" s="127" t="str">
        <f t="shared" si="67"/>
        <v/>
      </c>
      <c r="I1305" s="125" t="str">
        <f t="shared" si="68"/>
        <v/>
      </c>
    </row>
    <row r="1306" spans="1:9" ht="38.25" hidden="1" x14ac:dyDescent="0.25">
      <c r="A1306" s="103" t="s">
        <v>3600</v>
      </c>
      <c r="B1306" s="104" t="s">
        <v>3601</v>
      </c>
      <c r="C1306" s="105" t="s">
        <v>20</v>
      </c>
      <c r="D1306" s="105">
        <v>0</v>
      </c>
      <c r="E1306" s="124" t="s">
        <v>523</v>
      </c>
      <c r="F1306" s="125" t="str">
        <f t="shared" si="66"/>
        <v/>
      </c>
      <c r="G1306" s="126" t="e">
        <f>IF(A1306&lt;&gt;"",IF(AND(#REF!="Padrão",$H$4=#REF!),BDI!$B$17,IF(AND(#REF!="Padrão",$H$4=#REF!),BDI!#REF!,IF(AND(#REF!="Diferenciado",$H$4=#REF!),BDI!$E$17,IF(AND(#REF!="Diferenciado",$H$4=#REF!),BDI!#REF!,IF(#REF!="ZERO",0))))),"")</f>
        <v>#REF!</v>
      </c>
      <c r="H1306" s="127" t="str">
        <f t="shared" si="67"/>
        <v/>
      </c>
      <c r="I1306" s="125" t="str">
        <f t="shared" si="68"/>
        <v/>
      </c>
    </row>
    <row r="1307" spans="1:9" ht="25.5" hidden="1" x14ac:dyDescent="0.25">
      <c r="A1307" s="103" t="s">
        <v>3602</v>
      </c>
      <c r="B1307" s="104" t="s">
        <v>3603</v>
      </c>
      <c r="C1307" s="105" t="s">
        <v>20</v>
      </c>
      <c r="D1307" s="105">
        <v>0</v>
      </c>
      <c r="E1307" s="124" t="s">
        <v>523</v>
      </c>
      <c r="F1307" s="125" t="str">
        <f t="shared" si="66"/>
        <v/>
      </c>
      <c r="G1307" s="126" t="e">
        <f>IF(A1307&lt;&gt;"",IF(AND(#REF!="Padrão",$H$4=#REF!),BDI!$B$17,IF(AND(#REF!="Padrão",$H$4=#REF!),BDI!#REF!,IF(AND(#REF!="Diferenciado",$H$4=#REF!),BDI!$E$17,IF(AND(#REF!="Diferenciado",$H$4=#REF!),BDI!#REF!,IF(#REF!="ZERO",0))))),"")</f>
        <v>#REF!</v>
      </c>
      <c r="H1307" s="127" t="str">
        <f t="shared" si="67"/>
        <v/>
      </c>
      <c r="I1307" s="125" t="str">
        <f t="shared" si="68"/>
        <v/>
      </c>
    </row>
    <row r="1308" spans="1:9" ht="25.5" hidden="1" x14ac:dyDescent="0.25">
      <c r="A1308" s="103" t="s">
        <v>3604</v>
      </c>
      <c r="B1308" s="104" t="s">
        <v>3605</v>
      </c>
      <c r="C1308" s="105" t="s">
        <v>20</v>
      </c>
      <c r="D1308" s="105">
        <v>0</v>
      </c>
      <c r="E1308" s="124" t="s">
        <v>523</v>
      </c>
      <c r="F1308" s="125" t="str">
        <f t="shared" si="66"/>
        <v/>
      </c>
      <c r="G1308" s="126" t="e">
        <f>IF(A1308&lt;&gt;"",IF(AND(#REF!="Padrão",$H$4=#REF!),BDI!$B$17,IF(AND(#REF!="Padrão",$H$4=#REF!),BDI!#REF!,IF(AND(#REF!="Diferenciado",$H$4=#REF!),BDI!$E$17,IF(AND(#REF!="Diferenciado",$H$4=#REF!),BDI!#REF!,IF(#REF!="ZERO",0))))),"")</f>
        <v>#REF!</v>
      </c>
      <c r="H1308" s="127" t="str">
        <f t="shared" si="67"/>
        <v/>
      </c>
      <c r="I1308" s="125" t="str">
        <f t="shared" si="68"/>
        <v/>
      </c>
    </row>
    <row r="1309" spans="1:9" ht="38.25" hidden="1" x14ac:dyDescent="0.25">
      <c r="A1309" s="103" t="s">
        <v>3606</v>
      </c>
      <c r="B1309" s="104" t="s">
        <v>3607</v>
      </c>
      <c r="C1309" s="105" t="s">
        <v>20</v>
      </c>
      <c r="D1309" s="105">
        <v>0</v>
      </c>
      <c r="E1309" s="124" t="s">
        <v>523</v>
      </c>
      <c r="F1309" s="125" t="str">
        <f t="shared" si="66"/>
        <v/>
      </c>
      <c r="G1309" s="126" t="e">
        <f>IF(A1309&lt;&gt;"",IF(AND(#REF!="Padrão",$H$4=#REF!),BDI!$B$17,IF(AND(#REF!="Padrão",$H$4=#REF!),BDI!#REF!,IF(AND(#REF!="Diferenciado",$H$4=#REF!),BDI!$E$17,IF(AND(#REF!="Diferenciado",$H$4=#REF!),BDI!#REF!,IF(#REF!="ZERO",0))))),"")</f>
        <v>#REF!</v>
      </c>
      <c r="H1309" s="127" t="str">
        <f t="shared" si="67"/>
        <v/>
      </c>
      <c r="I1309" s="125" t="str">
        <f t="shared" si="68"/>
        <v/>
      </c>
    </row>
    <row r="1310" spans="1:9" ht="38.25" hidden="1" x14ac:dyDescent="0.25">
      <c r="A1310" s="103" t="s">
        <v>3608</v>
      </c>
      <c r="B1310" s="104" t="s">
        <v>3609</v>
      </c>
      <c r="C1310" s="105" t="s">
        <v>20</v>
      </c>
      <c r="D1310" s="105">
        <v>0</v>
      </c>
      <c r="E1310" s="124" t="s">
        <v>523</v>
      </c>
      <c r="F1310" s="125" t="str">
        <f t="shared" si="66"/>
        <v/>
      </c>
      <c r="G1310" s="126" t="e">
        <f>IF(A1310&lt;&gt;"",IF(AND(#REF!="Padrão",$H$4=#REF!),BDI!$B$17,IF(AND(#REF!="Padrão",$H$4=#REF!),BDI!#REF!,IF(AND(#REF!="Diferenciado",$H$4=#REF!),BDI!$E$17,IF(AND(#REF!="Diferenciado",$H$4=#REF!),BDI!#REF!,IF(#REF!="ZERO",0))))),"")</f>
        <v>#REF!</v>
      </c>
      <c r="H1310" s="127" t="str">
        <f t="shared" si="67"/>
        <v/>
      </c>
      <c r="I1310" s="125" t="str">
        <f t="shared" si="68"/>
        <v/>
      </c>
    </row>
    <row r="1311" spans="1:9" ht="25.5" hidden="1" x14ac:dyDescent="0.25">
      <c r="A1311" s="103" t="s">
        <v>3610</v>
      </c>
      <c r="B1311" s="104" t="s">
        <v>3611</v>
      </c>
      <c r="C1311" s="105" t="s">
        <v>20</v>
      </c>
      <c r="D1311" s="105">
        <v>0</v>
      </c>
      <c r="E1311" s="124" t="s">
        <v>523</v>
      </c>
      <c r="F1311" s="125" t="str">
        <f t="shared" si="66"/>
        <v/>
      </c>
      <c r="G1311" s="126" t="e">
        <f>IF(A1311&lt;&gt;"",IF(AND(#REF!="Padrão",$H$4=#REF!),BDI!$B$17,IF(AND(#REF!="Padrão",$H$4=#REF!),BDI!#REF!,IF(AND(#REF!="Diferenciado",$H$4=#REF!),BDI!$E$17,IF(AND(#REF!="Diferenciado",$H$4=#REF!),BDI!#REF!,IF(#REF!="ZERO",0))))),"")</f>
        <v>#REF!</v>
      </c>
      <c r="H1311" s="127" t="str">
        <f t="shared" si="67"/>
        <v/>
      </c>
      <c r="I1311" s="125" t="str">
        <f t="shared" si="68"/>
        <v/>
      </c>
    </row>
    <row r="1312" spans="1:9" ht="38.25" hidden="1" x14ac:dyDescent="0.25">
      <c r="A1312" s="103" t="s">
        <v>3612</v>
      </c>
      <c r="B1312" s="104" t="s">
        <v>3613</v>
      </c>
      <c r="C1312" s="105" t="s">
        <v>20</v>
      </c>
      <c r="D1312" s="105">
        <v>0</v>
      </c>
      <c r="E1312" s="124" t="s">
        <v>523</v>
      </c>
      <c r="F1312" s="125" t="str">
        <f t="shared" si="66"/>
        <v/>
      </c>
      <c r="G1312" s="126" t="e">
        <f>IF(A1312&lt;&gt;"",IF(AND(#REF!="Padrão",$H$4=#REF!),BDI!$B$17,IF(AND(#REF!="Padrão",$H$4=#REF!),BDI!#REF!,IF(AND(#REF!="Diferenciado",$H$4=#REF!),BDI!$E$17,IF(AND(#REF!="Diferenciado",$H$4=#REF!),BDI!#REF!,IF(#REF!="ZERO",0))))),"")</f>
        <v>#REF!</v>
      </c>
      <c r="H1312" s="127" t="str">
        <f t="shared" si="67"/>
        <v/>
      </c>
      <c r="I1312" s="125" t="str">
        <f t="shared" si="68"/>
        <v/>
      </c>
    </row>
    <row r="1313" spans="1:9" ht="25.5" hidden="1" x14ac:dyDescent="0.25">
      <c r="A1313" s="103" t="s">
        <v>3614</v>
      </c>
      <c r="B1313" s="104" t="s">
        <v>3615</v>
      </c>
      <c r="C1313" s="105" t="s">
        <v>20</v>
      </c>
      <c r="D1313" s="105">
        <v>0</v>
      </c>
      <c r="E1313" s="124" t="s">
        <v>523</v>
      </c>
      <c r="F1313" s="125" t="str">
        <f t="shared" si="66"/>
        <v/>
      </c>
      <c r="G1313" s="126" t="e">
        <f>IF(A1313&lt;&gt;"",IF(AND(#REF!="Padrão",$H$4=#REF!),BDI!$B$17,IF(AND(#REF!="Padrão",$H$4=#REF!),BDI!#REF!,IF(AND(#REF!="Diferenciado",$H$4=#REF!),BDI!$E$17,IF(AND(#REF!="Diferenciado",$H$4=#REF!),BDI!#REF!,IF(#REF!="ZERO",0))))),"")</f>
        <v>#REF!</v>
      </c>
      <c r="H1313" s="127" t="str">
        <f t="shared" si="67"/>
        <v/>
      </c>
      <c r="I1313" s="125" t="str">
        <f t="shared" si="68"/>
        <v/>
      </c>
    </row>
    <row r="1314" spans="1:9" ht="38.25" hidden="1" x14ac:dyDescent="0.25">
      <c r="A1314" s="103" t="s">
        <v>3616</v>
      </c>
      <c r="B1314" s="104" t="s">
        <v>3617</v>
      </c>
      <c r="C1314" s="105" t="s">
        <v>20</v>
      </c>
      <c r="D1314" s="105">
        <v>0</v>
      </c>
      <c r="E1314" s="124" t="s">
        <v>523</v>
      </c>
      <c r="F1314" s="125" t="str">
        <f t="shared" si="66"/>
        <v/>
      </c>
      <c r="G1314" s="126" t="e">
        <f>IF(A1314&lt;&gt;"",IF(AND(#REF!="Padrão",$H$4=#REF!),BDI!$B$17,IF(AND(#REF!="Padrão",$H$4=#REF!),BDI!#REF!,IF(AND(#REF!="Diferenciado",$H$4=#REF!),BDI!$E$17,IF(AND(#REF!="Diferenciado",$H$4=#REF!),BDI!#REF!,IF(#REF!="ZERO",0))))),"")</f>
        <v>#REF!</v>
      </c>
      <c r="H1314" s="127" t="str">
        <f t="shared" si="67"/>
        <v/>
      </c>
      <c r="I1314" s="125" t="str">
        <f t="shared" si="68"/>
        <v/>
      </c>
    </row>
    <row r="1315" spans="1:9" hidden="1" x14ac:dyDescent="0.25">
      <c r="A1315" s="103" t="s">
        <v>3618</v>
      </c>
      <c r="B1315" s="104" t="s">
        <v>3619</v>
      </c>
      <c r="C1315" s="105" t="s">
        <v>20</v>
      </c>
      <c r="D1315" s="105">
        <v>0</v>
      </c>
      <c r="E1315" s="124">
        <f ca="1">OFFSET(INDEX(Composições!A:J,MATCH(Orçamentária!A1315,Composições!A:A,0),8),2,0)</f>
        <v>40.358280000000001</v>
      </c>
      <c r="F1315" s="125">
        <f t="shared" ca="1" si="66"/>
        <v>0</v>
      </c>
      <c r="G1315" s="126" t="e">
        <f>IF(A1315&lt;&gt;"",IF(AND(#REF!="Padrão",$H$4=#REF!),BDI!$B$17,IF(AND(#REF!="Padrão",$H$4=#REF!),BDI!#REF!,IF(AND(#REF!="Diferenciado",$H$4=#REF!),BDI!$E$17,IF(AND(#REF!="Diferenciado",$H$4=#REF!),BDI!#REF!,IF(#REF!="ZERO",0))))),"")</f>
        <v>#REF!</v>
      </c>
      <c r="H1315" s="127" t="e">
        <f t="shared" ca="1" si="67"/>
        <v>#REF!</v>
      </c>
      <c r="I1315" s="125" t="e">
        <f t="shared" ca="1" si="68"/>
        <v>#REF!</v>
      </c>
    </row>
    <row r="1316" spans="1:9" hidden="1" x14ac:dyDescent="0.25">
      <c r="A1316" s="103" t="s">
        <v>3620</v>
      </c>
      <c r="B1316" s="104" t="s">
        <v>3621</v>
      </c>
      <c r="C1316" s="105" t="s">
        <v>20</v>
      </c>
      <c r="D1316" s="105">
        <v>0</v>
      </c>
      <c r="E1316" s="124">
        <f ca="1">OFFSET(INDEX(Composições!A:J,MATCH(Orçamentária!A1316,Composições!A:A,0),8),2,0)</f>
        <v>87.116072550000013</v>
      </c>
      <c r="F1316" s="125">
        <f t="shared" ca="1" si="66"/>
        <v>0</v>
      </c>
      <c r="G1316" s="126" t="e">
        <f>IF(A1316&lt;&gt;"",IF(AND(#REF!="Padrão",$H$4=#REF!),BDI!$B$17,IF(AND(#REF!="Padrão",$H$4=#REF!),BDI!#REF!,IF(AND(#REF!="Diferenciado",$H$4=#REF!),BDI!$E$17,IF(AND(#REF!="Diferenciado",$H$4=#REF!),BDI!#REF!,IF(#REF!="ZERO",0))))),"")</f>
        <v>#REF!</v>
      </c>
      <c r="H1316" s="127" t="e">
        <f t="shared" ca="1" si="67"/>
        <v>#REF!</v>
      </c>
      <c r="I1316" s="125" t="e">
        <f t="shared" ca="1" si="68"/>
        <v>#REF!</v>
      </c>
    </row>
    <row r="1317" spans="1:9" hidden="1" x14ac:dyDescent="0.25">
      <c r="A1317" s="103" t="s">
        <v>3622</v>
      </c>
      <c r="B1317" s="104" t="s">
        <v>3623</v>
      </c>
      <c r="C1317" s="105" t="s">
        <v>20</v>
      </c>
      <c r="D1317" s="105">
        <v>0</v>
      </c>
      <c r="E1317" s="124">
        <f ca="1">OFFSET(INDEX(Composições!A:J,MATCH(Orçamentária!A1317,Composições!A:A,0),8),2,0)</f>
        <v>87.116072550000013</v>
      </c>
      <c r="F1317" s="125">
        <f t="shared" ca="1" si="66"/>
        <v>0</v>
      </c>
      <c r="G1317" s="126" t="e">
        <f>IF(A1317&lt;&gt;"",IF(AND(#REF!="Padrão",$H$4=#REF!),BDI!$B$17,IF(AND(#REF!="Padrão",$H$4=#REF!),BDI!#REF!,IF(AND(#REF!="Diferenciado",$H$4=#REF!),BDI!$E$17,IF(AND(#REF!="Diferenciado",$H$4=#REF!),BDI!#REF!,IF(#REF!="ZERO",0))))),"")</f>
        <v>#REF!</v>
      </c>
      <c r="H1317" s="127" t="e">
        <f t="shared" ca="1" si="67"/>
        <v>#REF!</v>
      </c>
      <c r="I1317" s="125" t="e">
        <f t="shared" ca="1" si="68"/>
        <v>#REF!</v>
      </c>
    </row>
    <row r="1318" spans="1:9" hidden="1" x14ac:dyDescent="0.25">
      <c r="A1318" s="103" t="s">
        <v>3624</v>
      </c>
      <c r="B1318" s="104" t="s">
        <v>3625</v>
      </c>
      <c r="C1318" s="105" t="s">
        <v>20</v>
      </c>
      <c r="D1318" s="105">
        <v>0</v>
      </c>
      <c r="E1318" s="124">
        <f ca="1">OFFSET(INDEX(Composições!A:J,MATCH(Orçamentária!A1318,Composições!A:A,0),8),2,0)</f>
        <v>87.116072550000013</v>
      </c>
      <c r="F1318" s="125">
        <f t="shared" ca="1" si="66"/>
        <v>0</v>
      </c>
      <c r="G1318" s="126" t="e">
        <f>IF(A1318&lt;&gt;"",IF(AND(#REF!="Padrão",$H$4=#REF!),BDI!$B$17,IF(AND(#REF!="Padrão",$H$4=#REF!),BDI!#REF!,IF(AND(#REF!="Diferenciado",$H$4=#REF!),BDI!$E$17,IF(AND(#REF!="Diferenciado",$H$4=#REF!),BDI!#REF!,IF(#REF!="ZERO",0))))),"")</f>
        <v>#REF!</v>
      </c>
      <c r="H1318" s="127" t="e">
        <f t="shared" ca="1" si="67"/>
        <v>#REF!</v>
      </c>
      <c r="I1318" s="125" t="e">
        <f t="shared" ca="1" si="68"/>
        <v>#REF!</v>
      </c>
    </row>
    <row r="1319" spans="1:9" hidden="1" x14ac:dyDescent="0.25">
      <c r="A1319" s="103" t="s">
        <v>3626</v>
      </c>
      <c r="B1319" s="104" t="s">
        <v>3627</v>
      </c>
      <c r="C1319" s="105" t="s">
        <v>20</v>
      </c>
      <c r="D1319" s="105">
        <v>0</v>
      </c>
      <c r="E1319" s="124">
        <f ca="1">OFFSET(INDEX(Composições!A:J,MATCH(Orçamentária!A1319,Composições!A:A,0),8),2,0)</f>
        <v>100.51854524999999</v>
      </c>
      <c r="F1319" s="125">
        <f t="shared" ca="1" si="66"/>
        <v>0</v>
      </c>
      <c r="G1319" s="126" t="e">
        <f>IF(A1319&lt;&gt;"",IF(AND(#REF!="Padrão",$H$4=#REF!),BDI!$B$17,IF(AND(#REF!="Padrão",$H$4=#REF!),BDI!#REF!,IF(AND(#REF!="Diferenciado",$H$4=#REF!),BDI!$E$17,IF(AND(#REF!="Diferenciado",$H$4=#REF!),BDI!#REF!,IF(#REF!="ZERO",0))))),"")</f>
        <v>#REF!</v>
      </c>
      <c r="H1319" s="127" t="e">
        <f t="shared" ca="1" si="67"/>
        <v>#REF!</v>
      </c>
      <c r="I1319" s="125" t="e">
        <f t="shared" ca="1" si="68"/>
        <v>#REF!</v>
      </c>
    </row>
    <row r="1320" spans="1:9" hidden="1" x14ac:dyDescent="0.25">
      <c r="A1320" s="103" t="s">
        <v>3628</v>
      </c>
      <c r="B1320" s="104" t="s">
        <v>3629</v>
      </c>
      <c r="C1320" s="105" t="s">
        <v>20</v>
      </c>
      <c r="D1320" s="105">
        <v>0</v>
      </c>
      <c r="E1320" s="124">
        <f ca="1">OFFSET(INDEX(Composições!A:J,MATCH(Orçamentária!A1320,Composições!A:A,0),8),2,0)</f>
        <v>17.011232</v>
      </c>
      <c r="F1320" s="125">
        <f t="shared" ca="1" si="66"/>
        <v>0</v>
      </c>
      <c r="G1320" s="126" t="e">
        <f>IF(A1320&lt;&gt;"",IF(AND(#REF!="Padrão",$H$4=#REF!),BDI!$B$17,IF(AND(#REF!="Padrão",$H$4=#REF!),BDI!#REF!,IF(AND(#REF!="Diferenciado",$H$4=#REF!),BDI!$E$17,IF(AND(#REF!="Diferenciado",$H$4=#REF!),BDI!#REF!,IF(#REF!="ZERO",0))))),"")</f>
        <v>#REF!</v>
      </c>
      <c r="H1320" s="127" t="e">
        <f t="shared" ca="1" si="67"/>
        <v>#REF!</v>
      </c>
      <c r="I1320" s="125" t="e">
        <f t="shared" ca="1" si="68"/>
        <v>#REF!</v>
      </c>
    </row>
    <row r="1321" spans="1:9" hidden="1" x14ac:dyDescent="0.25">
      <c r="A1321" s="103" t="s">
        <v>3630</v>
      </c>
      <c r="B1321" s="104" t="s">
        <v>3631</v>
      </c>
      <c r="C1321" s="105" t="s">
        <v>20</v>
      </c>
      <c r="D1321" s="105">
        <v>0</v>
      </c>
      <c r="E1321" s="124">
        <f ca="1">OFFSET(INDEX(Composições!A:J,MATCH(Orçamentária!A1321,Composições!A:A,0),8),2,0)</f>
        <v>87.116072550000013</v>
      </c>
      <c r="F1321" s="125">
        <f t="shared" ca="1" si="66"/>
        <v>0</v>
      </c>
      <c r="G1321" s="126" t="e">
        <f>IF(A1321&lt;&gt;"",IF(AND(#REF!="Padrão",$H$4=#REF!),BDI!$B$17,IF(AND(#REF!="Padrão",$H$4=#REF!),BDI!#REF!,IF(AND(#REF!="Diferenciado",$H$4=#REF!),BDI!$E$17,IF(AND(#REF!="Diferenciado",$H$4=#REF!),BDI!#REF!,IF(#REF!="ZERO",0))))),"")</f>
        <v>#REF!</v>
      </c>
      <c r="H1321" s="127" t="e">
        <f t="shared" ca="1" si="67"/>
        <v>#REF!</v>
      </c>
      <c r="I1321" s="125" t="e">
        <f t="shared" ca="1" si="68"/>
        <v>#REF!</v>
      </c>
    </row>
    <row r="1322" spans="1:9" hidden="1" x14ac:dyDescent="0.25">
      <c r="A1322" s="103" t="s">
        <v>3632</v>
      </c>
      <c r="B1322" s="104" t="s">
        <v>3633</v>
      </c>
      <c r="C1322" s="105" t="s">
        <v>93</v>
      </c>
      <c r="D1322" s="105">
        <v>0</v>
      </c>
      <c r="E1322" s="124">
        <f ca="1">OFFSET(INDEX(Composições!A:J,MATCH(Orçamentária!A1322,Composições!A:A,0),8),2,0)</f>
        <v>4.1660159999999999</v>
      </c>
      <c r="F1322" s="125">
        <f t="shared" ca="1" si="66"/>
        <v>0</v>
      </c>
      <c r="G1322" s="126" t="e">
        <f>IF(A1322&lt;&gt;"",IF(AND(#REF!="Padrão",$H$4=#REF!),BDI!$B$17,IF(AND(#REF!="Padrão",$H$4=#REF!),BDI!#REF!,IF(AND(#REF!="Diferenciado",$H$4=#REF!),BDI!$E$17,IF(AND(#REF!="Diferenciado",$H$4=#REF!),BDI!#REF!,IF(#REF!="ZERO",0))))),"")</f>
        <v>#REF!</v>
      </c>
      <c r="H1322" s="127" t="e">
        <f t="shared" ca="1" si="67"/>
        <v>#REF!</v>
      </c>
      <c r="I1322" s="125" t="e">
        <f t="shared" ca="1" si="68"/>
        <v>#REF!</v>
      </c>
    </row>
    <row r="1323" spans="1:9" hidden="1" x14ac:dyDescent="0.25">
      <c r="A1323" s="103" t="s">
        <v>3634</v>
      </c>
      <c r="B1323" s="104" t="s">
        <v>3635</v>
      </c>
      <c r="C1323" s="105" t="s">
        <v>20</v>
      </c>
      <c r="D1323" s="105">
        <v>0</v>
      </c>
      <c r="E1323" s="124">
        <f ca="1">OFFSET(INDEX(Composições!A:J,MATCH(Orçamentária!A1323,Composições!A:A,0),8),2,0)</f>
        <v>8.1518835000000003</v>
      </c>
      <c r="F1323" s="125">
        <f t="shared" ca="1" si="66"/>
        <v>0</v>
      </c>
      <c r="G1323" s="126" t="e">
        <f>IF(A1323&lt;&gt;"",IF(AND(#REF!="Padrão",$H$4=#REF!),BDI!$B$17,IF(AND(#REF!="Padrão",$H$4=#REF!),BDI!#REF!,IF(AND(#REF!="Diferenciado",$H$4=#REF!),BDI!$E$17,IF(AND(#REF!="Diferenciado",$H$4=#REF!),BDI!#REF!,IF(#REF!="ZERO",0))))),"")</f>
        <v>#REF!</v>
      </c>
      <c r="H1323" s="127" t="e">
        <f t="shared" ca="1" si="67"/>
        <v>#REF!</v>
      </c>
      <c r="I1323" s="125" t="e">
        <f t="shared" ca="1" si="68"/>
        <v>#REF!</v>
      </c>
    </row>
    <row r="1324" spans="1:9" ht="25.5" hidden="1" x14ac:dyDescent="0.25">
      <c r="A1324" s="103" t="s">
        <v>3636</v>
      </c>
      <c r="B1324" s="104" t="s">
        <v>3637</v>
      </c>
      <c r="C1324" s="105" t="s">
        <v>20</v>
      </c>
      <c r="D1324" s="105">
        <v>0</v>
      </c>
      <c r="E1324" s="124">
        <f ca="1">OFFSET(INDEX(Composições!A:J,MATCH(Orçamentária!A1324,Composições!A:A,0),8),2,0)</f>
        <v>59.340305049999998</v>
      </c>
      <c r="F1324" s="125">
        <f t="shared" ca="1" si="66"/>
        <v>0</v>
      </c>
      <c r="G1324" s="126" t="e">
        <f>IF(A1324&lt;&gt;"",IF(AND(#REF!="Padrão",$H$4=#REF!),BDI!$B$17,IF(AND(#REF!="Padrão",$H$4=#REF!),BDI!#REF!,IF(AND(#REF!="Diferenciado",$H$4=#REF!),BDI!$E$17,IF(AND(#REF!="Diferenciado",$H$4=#REF!),BDI!#REF!,IF(#REF!="ZERO",0))))),"")</f>
        <v>#REF!</v>
      </c>
      <c r="H1324" s="127" t="e">
        <f t="shared" ca="1" si="67"/>
        <v>#REF!</v>
      </c>
      <c r="I1324" s="125" t="e">
        <f t="shared" ca="1" si="68"/>
        <v>#REF!</v>
      </c>
    </row>
    <row r="1325" spans="1:9" hidden="1" x14ac:dyDescent="0.25">
      <c r="A1325" s="103" t="s">
        <v>3638</v>
      </c>
      <c r="B1325" s="104" t="s">
        <v>3639</v>
      </c>
      <c r="C1325" s="105" t="s">
        <v>20</v>
      </c>
      <c r="D1325" s="105">
        <v>0</v>
      </c>
      <c r="E1325" s="124" t="s">
        <v>523</v>
      </c>
      <c r="F1325" s="125" t="str">
        <f t="shared" si="66"/>
        <v/>
      </c>
      <c r="G1325" s="126" t="e">
        <f>IF(A1325&lt;&gt;"",IF(AND(#REF!="Padrão",$H$4=#REF!),BDI!$B$17,IF(AND(#REF!="Padrão",$H$4=#REF!),BDI!#REF!,IF(AND(#REF!="Diferenciado",$H$4=#REF!),BDI!$E$17,IF(AND(#REF!="Diferenciado",$H$4=#REF!),BDI!#REF!,IF(#REF!="ZERO",0))))),"")</f>
        <v>#REF!</v>
      </c>
      <c r="H1325" s="127" t="str">
        <f t="shared" si="67"/>
        <v/>
      </c>
      <c r="I1325" s="125" t="str">
        <f t="shared" si="68"/>
        <v/>
      </c>
    </row>
    <row r="1326" spans="1:9" hidden="1" x14ac:dyDescent="0.25">
      <c r="A1326" s="103" t="s">
        <v>3640</v>
      </c>
      <c r="B1326" s="104" t="s">
        <v>3641</v>
      </c>
      <c r="C1326" s="105" t="s">
        <v>20</v>
      </c>
      <c r="D1326" s="105">
        <v>0</v>
      </c>
      <c r="E1326" s="124" t="s">
        <v>523</v>
      </c>
      <c r="F1326" s="125" t="str">
        <f t="shared" si="66"/>
        <v/>
      </c>
      <c r="G1326" s="126" t="e">
        <f>IF(A1326&lt;&gt;"",IF(AND(#REF!="Padrão",$H$4=#REF!),BDI!$B$17,IF(AND(#REF!="Padrão",$H$4=#REF!),BDI!#REF!,IF(AND(#REF!="Diferenciado",$H$4=#REF!),BDI!$E$17,IF(AND(#REF!="Diferenciado",$H$4=#REF!),BDI!#REF!,IF(#REF!="ZERO",0))))),"")</f>
        <v>#REF!</v>
      </c>
      <c r="H1326" s="127" t="str">
        <f t="shared" si="67"/>
        <v/>
      </c>
      <c r="I1326" s="125" t="str">
        <f t="shared" si="68"/>
        <v/>
      </c>
    </row>
    <row r="1327" spans="1:9" hidden="1" x14ac:dyDescent="0.25">
      <c r="A1327" s="103" t="s">
        <v>3642</v>
      </c>
      <c r="B1327" s="104" t="s">
        <v>3643</v>
      </c>
      <c r="C1327" s="105" t="s">
        <v>20</v>
      </c>
      <c r="D1327" s="105">
        <v>0</v>
      </c>
      <c r="E1327" s="124" t="s">
        <v>523</v>
      </c>
      <c r="F1327" s="125" t="str">
        <f t="shared" si="66"/>
        <v/>
      </c>
      <c r="G1327" s="126" t="e">
        <f>IF(A1327&lt;&gt;"",IF(AND(#REF!="Padrão",$H$4=#REF!),BDI!$B$17,IF(AND(#REF!="Padrão",$H$4=#REF!),BDI!#REF!,IF(AND(#REF!="Diferenciado",$H$4=#REF!),BDI!$E$17,IF(AND(#REF!="Diferenciado",$H$4=#REF!),BDI!#REF!,IF(#REF!="ZERO",0))))),"")</f>
        <v>#REF!</v>
      </c>
      <c r="H1327" s="127" t="str">
        <f t="shared" si="67"/>
        <v/>
      </c>
      <c r="I1327" s="125" t="str">
        <f t="shared" si="68"/>
        <v/>
      </c>
    </row>
    <row r="1328" spans="1:9" hidden="1" x14ac:dyDescent="0.25">
      <c r="A1328" s="103" t="s">
        <v>3644</v>
      </c>
      <c r="B1328" s="104" t="s">
        <v>3645</v>
      </c>
      <c r="C1328" s="105" t="s">
        <v>20</v>
      </c>
      <c r="D1328" s="105">
        <v>0</v>
      </c>
      <c r="E1328" s="124" t="s">
        <v>523</v>
      </c>
      <c r="F1328" s="125" t="str">
        <f t="shared" si="66"/>
        <v/>
      </c>
      <c r="G1328" s="126" t="e">
        <f>IF(A1328&lt;&gt;"",IF(AND(#REF!="Padrão",$H$4=#REF!),BDI!$B$17,IF(AND(#REF!="Padrão",$H$4=#REF!),BDI!#REF!,IF(AND(#REF!="Diferenciado",$H$4=#REF!),BDI!$E$17,IF(AND(#REF!="Diferenciado",$H$4=#REF!),BDI!#REF!,IF(#REF!="ZERO",0))))),"")</f>
        <v>#REF!</v>
      </c>
      <c r="H1328" s="127" t="str">
        <f t="shared" si="67"/>
        <v/>
      </c>
      <c r="I1328" s="125" t="str">
        <f t="shared" si="68"/>
        <v/>
      </c>
    </row>
    <row r="1329" spans="1:9" hidden="1" x14ac:dyDescent="0.25">
      <c r="A1329" s="103" t="s">
        <v>3646</v>
      </c>
      <c r="B1329" s="104" t="s">
        <v>3647</v>
      </c>
      <c r="C1329" s="105" t="s">
        <v>20</v>
      </c>
      <c r="D1329" s="105">
        <v>0</v>
      </c>
      <c r="E1329" s="124" t="s">
        <v>523</v>
      </c>
      <c r="F1329" s="125" t="str">
        <f t="shared" si="66"/>
        <v/>
      </c>
      <c r="G1329" s="126" t="e">
        <f>IF(A1329&lt;&gt;"",IF(AND(#REF!="Padrão",$H$4=#REF!),BDI!$B$17,IF(AND(#REF!="Padrão",$H$4=#REF!),BDI!#REF!,IF(AND(#REF!="Diferenciado",$H$4=#REF!),BDI!$E$17,IF(AND(#REF!="Diferenciado",$H$4=#REF!),BDI!#REF!,IF(#REF!="ZERO",0))))),"")</f>
        <v>#REF!</v>
      </c>
      <c r="H1329" s="127" t="str">
        <f t="shared" si="67"/>
        <v/>
      </c>
      <c r="I1329" s="125" t="str">
        <f t="shared" si="68"/>
        <v/>
      </c>
    </row>
    <row r="1330" spans="1:9" hidden="1" x14ac:dyDescent="0.25">
      <c r="A1330" s="103" t="s">
        <v>3648</v>
      </c>
      <c r="B1330" s="104" t="s">
        <v>3649</v>
      </c>
      <c r="C1330" s="105" t="s">
        <v>20</v>
      </c>
      <c r="D1330" s="105">
        <v>0</v>
      </c>
      <c r="E1330" s="124">
        <f ca="1">OFFSET(INDEX(Composições!A:J,MATCH(Orçamentária!A1330,Composições!A:A,0),8),2,0)</f>
        <v>91.85634834999999</v>
      </c>
      <c r="F1330" s="125">
        <f t="shared" ca="1" si="66"/>
        <v>0</v>
      </c>
      <c r="G1330" s="126" t="e">
        <f>IF(A1330&lt;&gt;"",IF(AND(#REF!="Padrão",$H$4=#REF!),BDI!$B$17,IF(AND(#REF!="Padrão",$H$4=#REF!),BDI!#REF!,IF(AND(#REF!="Diferenciado",$H$4=#REF!),BDI!$E$17,IF(AND(#REF!="Diferenciado",$H$4=#REF!),BDI!#REF!,IF(#REF!="ZERO",0))))),"")</f>
        <v>#REF!</v>
      </c>
      <c r="H1330" s="127" t="e">
        <f t="shared" ca="1" si="67"/>
        <v>#REF!</v>
      </c>
      <c r="I1330" s="125" t="e">
        <f t="shared" ca="1" si="68"/>
        <v>#REF!</v>
      </c>
    </row>
    <row r="1331" spans="1:9" hidden="1" x14ac:dyDescent="0.25">
      <c r="A1331" s="103" t="s">
        <v>3650</v>
      </c>
      <c r="B1331" s="104" t="s">
        <v>3651</v>
      </c>
      <c r="C1331" s="105" t="s">
        <v>93</v>
      </c>
      <c r="D1331" s="105">
        <v>0</v>
      </c>
      <c r="E1331" s="124">
        <f ca="1">OFFSET(INDEX(Composições!A:J,MATCH(Orçamentária!A1331,Composições!A:A,0),8),2,0)</f>
        <v>498.22494742235193</v>
      </c>
      <c r="F1331" s="125">
        <f t="shared" ca="1" si="66"/>
        <v>0</v>
      </c>
      <c r="G1331" s="126" t="e">
        <f>IF(A1331&lt;&gt;"",IF(AND(#REF!="Padrão",$H$4=#REF!),BDI!$B$17,IF(AND(#REF!="Padrão",$H$4=#REF!),BDI!#REF!,IF(AND(#REF!="Diferenciado",$H$4=#REF!),BDI!$E$17,IF(AND(#REF!="Diferenciado",$H$4=#REF!),BDI!#REF!,IF(#REF!="ZERO",0))))),"")</f>
        <v>#REF!</v>
      </c>
      <c r="H1331" s="127" t="e">
        <f t="shared" ca="1" si="67"/>
        <v>#REF!</v>
      </c>
      <c r="I1331" s="125" t="e">
        <f t="shared" ca="1" si="68"/>
        <v>#REF!</v>
      </c>
    </row>
    <row r="1332" spans="1:9" hidden="1" x14ac:dyDescent="0.25">
      <c r="A1332" s="103" t="s">
        <v>3652</v>
      </c>
      <c r="B1332" s="104" t="s">
        <v>3653</v>
      </c>
      <c r="C1332" s="105" t="s">
        <v>93</v>
      </c>
      <c r="D1332" s="105">
        <v>0</v>
      </c>
      <c r="E1332" s="124">
        <f ca="1">OFFSET(INDEX(Composições!A:J,MATCH(Orçamentária!A1332,Composições!A:A,0),8),2,0)</f>
        <v>839.89537056312736</v>
      </c>
      <c r="F1332" s="125">
        <f t="shared" ca="1" si="66"/>
        <v>0</v>
      </c>
      <c r="G1332" s="126" t="e">
        <f>IF(A1332&lt;&gt;"",IF(AND(#REF!="Padrão",$H$4=#REF!),BDI!$B$17,IF(AND(#REF!="Padrão",$H$4=#REF!),BDI!#REF!,IF(AND(#REF!="Diferenciado",$H$4=#REF!),BDI!$E$17,IF(AND(#REF!="Diferenciado",$H$4=#REF!),BDI!#REF!,IF(#REF!="ZERO",0))))),"")</f>
        <v>#REF!</v>
      </c>
      <c r="H1332" s="127" t="e">
        <f t="shared" ca="1" si="67"/>
        <v>#REF!</v>
      </c>
      <c r="I1332" s="125" t="e">
        <f t="shared" ca="1" si="68"/>
        <v>#REF!</v>
      </c>
    </row>
    <row r="1333" spans="1:9" hidden="1" x14ac:dyDescent="0.25">
      <c r="A1333" s="103" t="s">
        <v>3654</v>
      </c>
      <c r="B1333" s="104" t="s">
        <v>3655</v>
      </c>
      <c r="C1333" s="105" t="s">
        <v>20</v>
      </c>
      <c r="D1333" s="105">
        <v>0</v>
      </c>
      <c r="E1333" s="124">
        <f ca="1">OFFSET(INDEX(Composições!A:J,MATCH(Orçamentária!A1333,Composições!A:A,0),8),2,0)</f>
        <v>49.986013199999995</v>
      </c>
      <c r="F1333" s="125">
        <f t="shared" ca="1" si="66"/>
        <v>0</v>
      </c>
      <c r="G1333" s="126" t="e">
        <f>IF(A1333&lt;&gt;"",IF(AND(#REF!="Padrão",$H$4=#REF!),BDI!$B$17,IF(AND(#REF!="Padrão",$H$4=#REF!),BDI!#REF!,IF(AND(#REF!="Diferenciado",$H$4=#REF!),BDI!$E$17,IF(AND(#REF!="Diferenciado",$H$4=#REF!),BDI!#REF!,IF(#REF!="ZERO",0))))),"")</f>
        <v>#REF!</v>
      </c>
      <c r="H1333" s="127" t="e">
        <f t="shared" ca="1" si="67"/>
        <v>#REF!</v>
      </c>
      <c r="I1333" s="125" t="e">
        <f t="shared" ca="1" si="68"/>
        <v>#REF!</v>
      </c>
    </row>
    <row r="1334" spans="1:9" hidden="1" x14ac:dyDescent="0.25">
      <c r="A1334" s="103" t="s">
        <v>3656</v>
      </c>
      <c r="B1334" s="104" t="s">
        <v>3657</v>
      </c>
      <c r="C1334" s="105" t="s">
        <v>20</v>
      </c>
      <c r="D1334" s="105">
        <v>0</v>
      </c>
      <c r="E1334" s="124">
        <f ca="1">OFFSET(INDEX(Composições!A:J,MATCH(Orçamentária!A1334,Composições!A:A,0),8),2,0)</f>
        <v>32.081872400000002</v>
      </c>
      <c r="F1334" s="125">
        <f t="shared" ca="1" si="66"/>
        <v>0</v>
      </c>
      <c r="G1334" s="126" t="e">
        <f>IF(A1334&lt;&gt;"",IF(AND(#REF!="Padrão",$H$4=#REF!),BDI!$B$17,IF(AND(#REF!="Padrão",$H$4=#REF!),BDI!#REF!,IF(AND(#REF!="Diferenciado",$H$4=#REF!),BDI!$E$17,IF(AND(#REF!="Diferenciado",$H$4=#REF!),BDI!#REF!,IF(#REF!="ZERO",0))))),"")</f>
        <v>#REF!</v>
      </c>
      <c r="H1334" s="127" t="e">
        <f t="shared" ca="1" si="67"/>
        <v>#REF!</v>
      </c>
      <c r="I1334" s="125" t="e">
        <f t="shared" ca="1" si="68"/>
        <v>#REF!</v>
      </c>
    </row>
    <row r="1335" spans="1:9" hidden="1" x14ac:dyDescent="0.25">
      <c r="A1335" s="103" t="s">
        <v>3658</v>
      </c>
      <c r="B1335" s="104" t="s">
        <v>3659</v>
      </c>
      <c r="C1335" s="105" t="s">
        <v>20</v>
      </c>
      <c r="D1335" s="105">
        <v>0</v>
      </c>
      <c r="E1335" s="124" t="s">
        <v>523</v>
      </c>
      <c r="F1335" s="125" t="str">
        <f t="shared" si="66"/>
        <v/>
      </c>
      <c r="G1335" s="126" t="e">
        <f>IF(A1335&lt;&gt;"",IF(AND(#REF!="Padrão",$H$4=#REF!),BDI!$B$17,IF(AND(#REF!="Padrão",$H$4=#REF!),BDI!#REF!,IF(AND(#REF!="Diferenciado",$H$4=#REF!),BDI!$E$17,IF(AND(#REF!="Diferenciado",$H$4=#REF!),BDI!#REF!,IF(#REF!="ZERO",0))))),"")</f>
        <v>#REF!</v>
      </c>
      <c r="H1335" s="127" t="str">
        <f t="shared" si="67"/>
        <v/>
      </c>
      <c r="I1335" s="125" t="str">
        <f t="shared" si="68"/>
        <v/>
      </c>
    </row>
    <row r="1336" spans="1:9" hidden="1" x14ac:dyDescent="0.25">
      <c r="A1336" s="103" t="s">
        <v>3660</v>
      </c>
      <c r="B1336" s="104" t="s">
        <v>3661</v>
      </c>
      <c r="C1336" s="105" t="s">
        <v>93</v>
      </c>
      <c r="D1336" s="105">
        <v>0</v>
      </c>
      <c r="E1336" s="124">
        <f ca="1">OFFSET(INDEX(Composições!A:J,MATCH(Orçamentária!A1336,Composições!A:A,0),8),2,0)</f>
        <v>3.1678604999999997</v>
      </c>
      <c r="F1336" s="125">
        <f t="shared" ca="1" si="66"/>
        <v>0</v>
      </c>
      <c r="G1336" s="126" t="e">
        <f>IF(A1336&lt;&gt;"",IF(AND(#REF!="Padrão",$H$4=#REF!),BDI!$B$17,IF(AND(#REF!="Padrão",$H$4=#REF!),BDI!#REF!,IF(AND(#REF!="Diferenciado",$H$4=#REF!),BDI!$E$17,IF(AND(#REF!="Diferenciado",$H$4=#REF!),BDI!#REF!,IF(#REF!="ZERO",0))))),"")</f>
        <v>#REF!</v>
      </c>
      <c r="H1336" s="127" t="e">
        <f t="shared" ca="1" si="67"/>
        <v>#REF!</v>
      </c>
      <c r="I1336" s="125" t="e">
        <f t="shared" ca="1" si="68"/>
        <v>#REF!</v>
      </c>
    </row>
    <row r="1337" spans="1:9" hidden="1" x14ac:dyDescent="0.25">
      <c r="A1337" s="103" t="s">
        <v>3662</v>
      </c>
      <c r="B1337" s="104" t="s">
        <v>3663</v>
      </c>
      <c r="C1337" s="105" t="s">
        <v>93</v>
      </c>
      <c r="D1337" s="105">
        <v>0</v>
      </c>
      <c r="E1337" s="124">
        <f ca="1">OFFSET(INDEX(Composições!A:J,MATCH(Orçamentária!A1337,Composições!A:A,0),8),2,0)</f>
        <v>6.184234</v>
      </c>
      <c r="F1337" s="125">
        <f t="shared" ca="1" si="66"/>
        <v>0</v>
      </c>
      <c r="G1337" s="126" t="e">
        <f>IF(A1337&lt;&gt;"",IF(AND(#REF!="Padrão",$H$4=#REF!),BDI!$B$17,IF(AND(#REF!="Padrão",$H$4=#REF!),BDI!#REF!,IF(AND(#REF!="Diferenciado",$H$4=#REF!),BDI!$E$17,IF(AND(#REF!="Diferenciado",$H$4=#REF!),BDI!#REF!,IF(#REF!="ZERO",0))))),"")</f>
        <v>#REF!</v>
      </c>
      <c r="H1337" s="127" t="e">
        <f t="shared" ca="1" si="67"/>
        <v>#REF!</v>
      </c>
      <c r="I1337" s="125" t="e">
        <f t="shared" ca="1" si="68"/>
        <v>#REF!</v>
      </c>
    </row>
    <row r="1338" spans="1:9" hidden="1" x14ac:dyDescent="0.25">
      <c r="A1338" s="103" t="s">
        <v>3664</v>
      </c>
      <c r="B1338" s="104" t="s">
        <v>6442</v>
      </c>
      <c r="C1338" s="105" t="s">
        <v>93</v>
      </c>
      <c r="D1338" s="105">
        <v>0</v>
      </c>
      <c r="E1338" s="124">
        <f ca="1">OFFSET(INDEX(Composições!A:J,MATCH(Orçamentária!A1338,Composições!A:A,0),8),2,0)</f>
        <v>11.604458999999999</v>
      </c>
      <c r="F1338" s="125">
        <f t="shared" ca="1" si="66"/>
        <v>0</v>
      </c>
      <c r="G1338" s="126" t="e">
        <f>IF(A1338&lt;&gt;"",IF(AND(#REF!="Padrão",$H$4=#REF!),BDI!$B$17,IF(AND(#REF!="Padrão",$H$4=#REF!),BDI!#REF!,IF(AND(#REF!="Diferenciado",$H$4=#REF!),BDI!$E$17,IF(AND(#REF!="Diferenciado",$H$4=#REF!),BDI!#REF!,IF(#REF!="ZERO",0))))),"")</f>
        <v>#REF!</v>
      </c>
      <c r="H1338" s="127" t="e">
        <f t="shared" ca="1" si="67"/>
        <v>#REF!</v>
      </c>
      <c r="I1338" s="125" t="e">
        <f t="shared" ca="1" si="68"/>
        <v>#REF!</v>
      </c>
    </row>
    <row r="1339" spans="1:9" hidden="1" x14ac:dyDescent="0.25">
      <c r="A1339" s="103" t="s">
        <v>3666</v>
      </c>
      <c r="B1339" s="104" t="s">
        <v>3667</v>
      </c>
      <c r="C1339" s="105" t="s">
        <v>20</v>
      </c>
      <c r="D1339" s="105">
        <v>0</v>
      </c>
      <c r="E1339" s="124">
        <f ca="1">OFFSET(INDEX(Composições!A:J,MATCH(Orçamentária!A1339,Composições!A:A,0),8),2,0)</f>
        <v>1871.4193233782182</v>
      </c>
      <c r="F1339" s="125">
        <f t="shared" ca="1" si="66"/>
        <v>0</v>
      </c>
      <c r="G1339" s="126" t="e">
        <f>IF(A1339&lt;&gt;"",IF(AND(#REF!="Padrão",$H$4=#REF!),BDI!$B$17,IF(AND(#REF!="Padrão",$H$4=#REF!),BDI!#REF!,IF(AND(#REF!="Diferenciado",$H$4=#REF!),BDI!$E$17,IF(AND(#REF!="Diferenciado",$H$4=#REF!),BDI!#REF!,IF(#REF!="ZERO",0))))),"")</f>
        <v>#REF!</v>
      </c>
      <c r="H1339" s="127" t="e">
        <f t="shared" ca="1" si="67"/>
        <v>#REF!</v>
      </c>
      <c r="I1339" s="125" t="e">
        <f t="shared" ca="1" si="68"/>
        <v>#REF!</v>
      </c>
    </row>
    <row r="1340" spans="1:9" hidden="1" x14ac:dyDescent="0.25">
      <c r="A1340" s="103" t="s">
        <v>3668</v>
      </c>
      <c r="B1340" s="104" t="s">
        <v>3669</v>
      </c>
      <c r="C1340" s="105" t="s">
        <v>20</v>
      </c>
      <c r="D1340" s="105">
        <v>0</v>
      </c>
      <c r="E1340" s="124">
        <f ca="1">OFFSET(INDEX(Composições!A:J,MATCH(Orçamentária!A1340,Composições!A:A,0),8),2,0)</f>
        <v>5092.4299999999994</v>
      </c>
      <c r="F1340" s="125">
        <f t="shared" ca="1" si="66"/>
        <v>0</v>
      </c>
      <c r="G1340" s="126" t="e">
        <f>IF(A1340&lt;&gt;"",IF(AND(#REF!="Padrão",$H$4=#REF!),BDI!$B$17,IF(AND(#REF!="Padrão",$H$4=#REF!),BDI!#REF!,IF(AND(#REF!="Diferenciado",$H$4=#REF!),BDI!$E$17,IF(AND(#REF!="Diferenciado",$H$4=#REF!),BDI!#REF!,IF(#REF!="ZERO",0))))),"")</f>
        <v>#REF!</v>
      </c>
      <c r="H1340" s="127" t="e">
        <f t="shared" ca="1" si="67"/>
        <v>#REF!</v>
      </c>
      <c r="I1340" s="125" t="e">
        <f t="shared" ca="1" si="68"/>
        <v>#REF!</v>
      </c>
    </row>
    <row r="1341" spans="1:9" hidden="1" x14ac:dyDescent="0.25">
      <c r="A1341" s="103" t="s">
        <v>3670</v>
      </c>
      <c r="B1341" s="104" t="s">
        <v>3671</v>
      </c>
      <c r="C1341" s="105" t="s">
        <v>93</v>
      </c>
      <c r="D1341" s="105">
        <v>0</v>
      </c>
      <c r="E1341" s="124">
        <f ca="1">OFFSET(INDEX(Composições!A:J,MATCH(Orçamentária!A1341,Composições!A:A,0),8),2,0)</f>
        <v>10.344597500000001</v>
      </c>
      <c r="F1341" s="125">
        <f t="shared" ca="1" si="66"/>
        <v>0</v>
      </c>
      <c r="G1341" s="126" t="e">
        <f>IF(A1341&lt;&gt;"",IF(AND(#REF!="Padrão",$H$4=#REF!),BDI!$B$17,IF(AND(#REF!="Padrão",$H$4=#REF!),BDI!#REF!,IF(AND(#REF!="Diferenciado",$H$4=#REF!),BDI!$E$17,IF(AND(#REF!="Diferenciado",$H$4=#REF!),BDI!#REF!,IF(#REF!="ZERO",0))))),"")</f>
        <v>#REF!</v>
      </c>
      <c r="H1341" s="127" t="e">
        <f t="shared" ca="1" si="67"/>
        <v>#REF!</v>
      </c>
      <c r="I1341" s="125" t="e">
        <f t="shared" ca="1" si="68"/>
        <v>#REF!</v>
      </c>
    </row>
    <row r="1342" spans="1:9" hidden="1" x14ac:dyDescent="0.25">
      <c r="A1342" s="103" t="s">
        <v>3672</v>
      </c>
      <c r="B1342" s="104" t="s">
        <v>3673</v>
      </c>
      <c r="C1342" s="105" t="s">
        <v>93</v>
      </c>
      <c r="D1342" s="105">
        <v>0</v>
      </c>
      <c r="E1342" s="124" t="s">
        <v>523</v>
      </c>
      <c r="F1342" s="125" t="str">
        <f t="shared" si="66"/>
        <v/>
      </c>
      <c r="G1342" s="126" t="e">
        <f>IF(A1342&lt;&gt;"",IF(AND(#REF!="Padrão",$H$4=#REF!),BDI!$B$17,IF(AND(#REF!="Padrão",$H$4=#REF!),BDI!#REF!,IF(AND(#REF!="Diferenciado",$H$4=#REF!),BDI!$E$17,IF(AND(#REF!="Diferenciado",$H$4=#REF!),BDI!#REF!,IF(#REF!="ZERO",0))))),"")</f>
        <v>#REF!</v>
      </c>
      <c r="H1342" s="127" t="str">
        <f t="shared" si="67"/>
        <v/>
      </c>
      <c r="I1342" s="125" t="str">
        <f t="shared" si="68"/>
        <v/>
      </c>
    </row>
    <row r="1343" spans="1:9" hidden="1" x14ac:dyDescent="0.25">
      <c r="A1343" s="103" t="s">
        <v>3674</v>
      </c>
      <c r="B1343" s="104" t="s">
        <v>3675</v>
      </c>
      <c r="C1343" s="105" t="s">
        <v>93</v>
      </c>
      <c r="D1343" s="105">
        <v>0</v>
      </c>
      <c r="E1343" s="124" t="s">
        <v>523</v>
      </c>
      <c r="F1343" s="125" t="str">
        <f t="shared" si="66"/>
        <v/>
      </c>
      <c r="G1343" s="126" t="e">
        <f>IF(A1343&lt;&gt;"",IF(AND(#REF!="Padrão",$H$4=#REF!),BDI!$B$17,IF(AND(#REF!="Padrão",$H$4=#REF!),BDI!#REF!,IF(AND(#REF!="Diferenciado",$H$4=#REF!),BDI!$E$17,IF(AND(#REF!="Diferenciado",$H$4=#REF!),BDI!#REF!,IF(#REF!="ZERO",0))))),"")</f>
        <v>#REF!</v>
      </c>
      <c r="H1343" s="127" t="str">
        <f t="shared" si="67"/>
        <v/>
      </c>
      <c r="I1343" s="125" t="str">
        <f t="shared" si="68"/>
        <v/>
      </c>
    </row>
    <row r="1344" spans="1:9" hidden="1" x14ac:dyDescent="0.25">
      <c r="A1344" s="103" t="s">
        <v>3676</v>
      </c>
      <c r="B1344" s="104" t="s">
        <v>3677</v>
      </c>
      <c r="C1344" s="105" t="s">
        <v>20</v>
      </c>
      <c r="D1344" s="105">
        <v>0</v>
      </c>
      <c r="E1344" s="124">
        <f ca="1">OFFSET(INDEX(Composições!A:J,MATCH(Orçamentária!A1344,Composições!A:A,0),8),2,0)</f>
        <v>683.10519494303799</v>
      </c>
      <c r="F1344" s="125">
        <f t="shared" ref="F1344:F1351" ca="1" si="69">IF(ISNUMBER(E1344),D1344*E1344,"")</f>
        <v>0</v>
      </c>
      <c r="G1344" s="126" t="e">
        <f>IF(A1344&lt;&gt;"",IF(AND(#REF!="Padrão",$H$4=#REF!),BDI!$B$17,IF(AND(#REF!="Padrão",$H$4=#REF!),BDI!#REF!,IF(AND(#REF!="Diferenciado",$H$4=#REF!),BDI!$E$17,IF(AND(#REF!="Diferenciado",$H$4=#REF!),BDI!#REF!,IF(#REF!="ZERO",0))))),"")</f>
        <v>#REF!</v>
      </c>
      <c r="H1344" s="127" t="e">
        <f t="shared" ref="H1344:H1351" ca="1" si="70">IF(ISNUMBER(E1344),ROUND(E1344*(1+G1344),2),"")</f>
        <v>#REF!</v>
      </c>
      <c r="I1344" s="125" t="e">
        <f t="shared" ref="I1344:I1351" ca="1" si="71">IF(ISNUMBER(E1344),ROUND(H1344*D1344,2),"")</f>
        <v>#REF!</v>
      </c>
    </row>
    <row r="1345" spans="1:9" hidden="1" x14ac:dyDescent="0.25">
      <c r="A1345" s="103" t="s">
        <v>3714</v>
      </c>
      <c r="B1345" s="104" t="s">
        <v>3715</v>
      </c>
      <c r="C1345" s="105" t="s">
        <v>20</v>
      </c>
      <c r="D1345" s="105">
        <v>0</v>
      </c>
      <c r="E1345" s="124" t="s">
        <v>523</v>
      </c>
      <c r="F1345" s="125" t="str">
        <f t="shared" si="69"/>
        <v/>
      </c>
      <c r="G1345" s="126" t="e">
        <f>IF(A1345&lt;&gt;"",IF(AND(#REF!="Padrão",$H$4=#REF!),BDI!$B$17,IF(AND(#REF!="Padrão",$H$4=#REF!),BDI!#REF!,IF(AND(#REF!="Diferenciado",$H$4=#REF!),BDI!$E$17,IF(AND(#REF!="Diferenciado",$H$4=#REF!),BDI!#REF!,IF(#REF!="ZERO",0))))),"")</f>
        <v>#REF!</v>
      </c>
      <c r="H1345" s="127" t="str">
        <f t="shared" si="70"/>
        <v/>
      </c>
      <c r="I1345" s="125" t="str">
        <f t="shared" si="71"/>
        <v/>
      </c>
    </row>
    <row r="1346" spans="1:9" hidden="1" x14ac:dyDescent="0.25">
      <c r="A1346" s="103" t="s">
        <v>3716</v>
      </c>
      <c r="B1346" s="104" t="s">
        <v>3717</v>
      </c>
      <c r="C1346" s="105" t="s">
        <v>20</v>
      </c>
      <c r="D1346" s="105">
        <v>0</v>
      </c>
      <c r="E1346" s="124" t="s">
        <v>523</v>
      </c>
      <c r="F1346" s="125" t="str">
        <f t="shared" si="69"/>
        <v/>
      </c>
      <c r="G1346" s="126" t="e">
        <f>IF(A1346&lt;&gt;"",IF(AND(#REF!="Padrão",$H$4=#REF!),BDI!$B$17,IF(AND(#REF!="Padrão",$H$4=#REF!),BDI!#REF!,IF(AND(#REF!="Diferenciado",$H$4=#REF!),BDI!$E$17,IF(AND(#REF!="Diferenciado",$H$4=#REF!),BDI!#REF!,IF(#REF!="ZERO",0))))),"")</f>
        <v>#REF!</v>
      </c>
      <c r="H1346" s="127" t="str">
        <f t="shared" si="70"/>
        <v/>
      </c>
      <c r="I1346" s="125" t="str">
        <f t="shared" si="71"/>
        <v/>
      </c>
    </row>
    <row r="1347" spans="1:9" hidden="1" x14ac:dyDescent="0.25">
      <c r="A1347" s="103" t="s">
        <v>3718</v>
      </c>
      <c r="B1347" s="104" t="s">
        <v>6345</v>
      </c>
      <c r="C1347" s="105" t="s">
        <v>93</v>
      </c>
      <c r="D1347" s="105">
        <v>0</v>
      </c>
      <c r="E1347" s="124">
        <f ca="1">OFFSET(INDEX(Composições!A:J,MATCH(Orçamentária!A1347,Composições!A:A,0),8),2,0)</f>
        <v>26.863982199999999</v>
      </c>
      <c r="F1347" s="125">
        <f t="shared" ca="1" si="69"/>
        <v>0</v>
      </c>
      <c r="G1347" s="126" t="e">
        <f>IF(A1347&lt;&gt;"",IF(AND(#REF!="Padrão",$H$4=#REF!),BDI!$B$17,IF(AND(#REF!="Padrão",$H$4=#REF!),BDI!#REF!,IF(AND(#REF!="Diferenciado",$H$4=#REF!),BDI!$E$17,IF(AND(#REF!="Diferenciado",$H$4=#REF!),BDI!#REF!,IF(#REF!="ZERO",0))))),"")</f>
        <v>#REF!</v>
      </c>
      <c r="H1347" s="127" t="e">
        <f t="shared" ca="1" si="70"/>
        <v>#REF!</v>
      </c>
      <c r="I1347" s="125" t="e">
        <f t="shared" ca="1" si="71"/>
        <v>#REF!</v>
      </c>
    </row>
    <row r="1348" spans="1:9" hidden="1" x14ac:dyDescent="0.25">
      <c r="A1348" s="103" t="s">
        <v>3719</v>
      </c>
      <c r="B1348" s="104" t="s">
        <v>6346</v>
      </c>
      <c r="C1348" s="105" t="s">
        <v>93</v>
      </c>
      <c r="D1348" s="105">
        <v>0</v>
      </c>
      <c r="E1348" s="124">
        <f ca="1">OFFSET(INDEX(Composições!A:J,MATCH(Orçamentária!A1348,Composições!A:A,0),8),2,0)</f>
        <v>35.660623100000002</v>
      </c>
      <c r="F1348" s="125">
        <f t="shared" ca="1" si="69"/>
        <v>0</v>
      </c>
      <c r="G1348" s="126" t="e">
        <f>IF(A1348&lt;&gt;"",IF(AND(#REF!="Padrão",$H$4=#REF!),BDI!$B$17,IF(AND(#REF!="Padrão",$H$4=#REF!),BDI!#REF!,IF(AND(#REF!="Diferenciado",$H$4=#REF!),BDI!$E$17,IF(AND(#REF!="Diferenciado",$H$4=#REF!),BDI!#REF!,IF(#REF!="ZERO",0))))),"")</f>
        <v>#REF!</v>
      </c>
      <c r="H1348" s="127" t="e">
        <f t="shared" ca="1" si="70"/>
        <v>#REF!</v>
      </c>
      <c r="I1348" s="125" t="e">
        <f t="shared" ca="1" si="71"/>
        <v>#REF!</v>
      </c>
    </row>
    <row r="1349" spans="1:9" hidden="1" x14ac:dyDescent="0.25">
      <c r="A1349" s="103" t="s">
        <v>3720</v>
      </c>
      <c r="B1349" s="104" t="s">
        <v>6347</v>
      </c>
      <c r="C1349" s="105" t="s">
        <v>20</v>
      </c>
      <c r="D1349" s="105">
        <v>0</v>
      </c>
      <c r="E1349" s="124" t="s">
        <v>523</v>
      </c>
      <c r="F1349" s="125" t="str">
        <f t="shared" si="69"/>
        <v/>
      </c>
      <c r="G1349" s="126" t="e">
        <f>IF(A1349&lt;&gt;"",IF(AND(#REF!="Padrão",$H$4=#REF!),BDI!$B$17,IF(AND(#REF!="Padrão",$H$4=#REF!),BDI!#REF!,IF(AND(#REF!="Diferenciado",$H$4=#REF!),BDI!$E$17,IF(AND(#REF!="Diferenciado",$H$4=#REF!),BDI!#REF!,IF(#REF!="ZERO",0))))),"")</f>
        <v>#REF!</v>
      </c>
      <c r="H1349" s="127" t="str">
        <f t="shared" si="70"/>
        <v/>
      </c>
      <c r="I1349" s="125" t="str">
        <f t="shared" si="71"/>
        <v/>
      </c>
    </row>
    <row r="1350" spans="1:9" hidden="1" x14ac:dyDescent="0.25">
      <c r="A1350" s="103" t="s">
        <v>3721</v>
      </c>
      <c r="B1350" s="104" t="s">
        <v>3723</v>
      </c>
      <c r="C1350" s="105" t="s">
        <v>20</v>
      </c>
      <c r="D1350" s="105">
        <v>0</v>
      </c>
      <c r="E1350" s="124" t="s">
        <v>523</v>
      </c>
      <c r="F1350" s="125" t="str">
        <f t="shared" si="69"/>
        <v/>
      </c>
      <c r="G1350" s="126" t="e">
        <f>IF(A1350&lt;&gt;"",IF(AND(#REF!="Padrão",$H$4=#REF!),BDI!$B$17,IF(AND(#REF!="Padrão",$H$4=#REF!),BDI!#REF!,IF(AND(#REF!="Diferenciado",$H$4=#REF!),BDI!$E$17,IF(AND(#REF!="Diferenciado",$H$4=#REF!),BDI!#REF!,IF(#REF!="ZERO",0))))),"")</f>
        <v>#REF!</v>
      </c>
      <c r="H1350" s="127" t="str">
        <f t="shared" si="70"/>
        <v/>
      </c>
      <c r="I1350" s="125" t="str">
        <f t="shared" si="71"/>
        <v/>
      </c>
    </row>
    <row r="1351" spans="1:9" hidden="1" x14ac:dyDescent="0.25">
      <c r="A1351" s="103" t="s">
        <v>3722</v>
      </c>
      <c r="B1351" s="104" t="s">
        <v>6348</v>
      </c>
      <c r="C1351" s="105" t="s">
        <v>20</v>
      </c>
      <c r="D1351" s="105">
        <v>0</v>
      </c>
      <c r="E1351" s="124" t="s">
        <v>523</v>
      </c>
      <c r="F1351" s="125" t="str">
        <f t="shared" si="69"/>
        <v/>
      </c>
      <c r="G1351" s="126" t="e">
        <f>IF(A1351&lt;&gt;"",IF(AND(#REF!="Padrão",$H$4=#REF!),BDI!$B$17,IF(AND(#REF!="Padrão",$H$4=#REF!),BDI!#REF!,IF(AND(#REF!="Diferenciado",$H$4=#REF!),BDI!$E$17,IF(AND(#REF!="Diferenciado",$H$4=#REF!),BDI!#REF!,IF(#REF!="ZERO",0))))),"")</f>
        <v>#REF!</v>
      </c>
      <c r="H1351" s="127" t="str">
        <f t="shared" si="70"/>
        <v/>
      </c>
      <c r="I1351" s="125" t="str">
        <f t="shared" si="71"/>
        <v/>
      </c>
    </row>
    <row r="1352" spans="1:9" s="184" customFormat="1" x14ac:dyDescent="0.25">
      <c r="A1352" s="185" t="s">
        <v>3767</v>
      </c>
      <c r="B1352" s="186" t="s">
        <v>3799</v>
      </c>
      <c r="C1352" s="187" t="s">
        <v>20</v>
      </c>
      <c r="D1352" s="187">
        <v>79</v>
      </c>
      <c r="E1352" s="124">
        <f ca="1">OFFSET(INDEX(Composições!A:J,MATCH(Orçamentária!A1352,Composições!A:A,0),8),2,0)</f>
        <v>270.96555254999998</v>
      </c>
      <c r="F1352" s="125">
        <f t="shared" ref="F1352:F1383" ca="1" si="72">IF(ISNUMBER(E1352),D1352*E1352,"")</f>
        <v>21406.27865145</v>
      </c>
      <c r="G1352" s="126">
        <f>BDI!$B$17</f>
        <v>0.191</v>
      </c>
      <c r="H1352" s="127">
        <f t="shared" ref="H1352:H1383" ca="1" si="73">IF(ISNUMBER(E1352),ROUND(E1352*(1+G1352),2),"")</f>
        <v>322.72000000000003</v>
      </c>
      <c r="I1352" s="204">
        <f t="shared" ref="I1352:I1383" ca="1" si="74">IF(ISNUMBER(E1352),ROUND(H1352*D1352,2),"")</f>
        <v>25494.880000000001</v>
      </c>
    </row>
    <row r="1353" spans="1:9" hidden="1" x14ac:dyDescent="0.25">
      <c r="A1353" s="103" t="s">
        <v>3768</v>
      </c>
      <c r="B1353" s="104" t="s">
        <v>3800</v>
      </c>
      <c r="C1353" s="105" t="s">
        <v>93</v>
      </c>
      <c r="D1353" s="105">
        <v>0</v>
      </c>
      <c r="E1353" s="124">
        <f ca="1">OFFSET(INDEX(Composições!A:J,MATCH(Orçamentária!A1353,Composições!A:A,0),8),2,0)</f>
        <v>0.12475399999999999</v>
      </c>
      <c r="F1353" s="125">
        <f t="shared" ca="1" si="72"/>
        <v>0</v>
      </c>
      <c r="G1353" s="126" t="e">
        <f>IF(A1353&lt;&gt;"",IF(AND(#REF!="Padrão",$H$4=#REF!),BDI!$B$17,IF(AND(#REF!="Padrão",$H$4=#REF!),BDI!#REF!,IF(AND(#REF!="Diferenciado",$H$4=#REF!),BDI!$E$17,IF(AND(#REF!="Diferenciado",$H$4=#REF!),BDI!#REF!,IF(#REF!="ZERO",0))))),"")</f>
        <v>#REF!</v>
      </c>
      <c r="H1353" s="127" t="e">
        <f t="shared" ca="1" si="73"/>
        <v>#REF!</v>
      </c>
      <c r="I1353" s="125" t="e">
        <f t="shared" ca="1" si="74"/>
        <v>#REF!</v>
      </c>
    </row>
    <row r="1354" spans="1:9" hidden="1" x14ac:dyDescent="0.25">
      <c r="A1354" s="103" t="s">
        <v>3769</v>
      </c>
      <c r="B1354" s="104" t="s">
        <v>3801</v>
      </c>
      <c r="C1354" s="105" t="s">
        <v>93</v>
      </c>
      <c r="D1354" s="105">
        <v>0</v>
      </c>
      <c r="E1354" s="124">
        <f ca="1">OFFSET(INDEX(Composições!A:J,MATCH(Orçamentária!A1354,Composições!A:A,0),8),2,0)</f>
        <v>3.1678604999999997</v>
      </c>
      <c r="F1354" s="125">
        <f t="shared" ca="1" si="72"/>
        <v>0</v>
      </c>
      <c r="G1354" s="126" t="e">
        <f>IF(A1354&lt;&gt;"",IF(AND(#REF!="Padrão",$H$4=#REF!),BDI!$B$17,IF(AND(#REF!="Padrão",$H$4=#REF!),BDI!#REF!,IF(AND(#REF!="Diferenciado",$H$4=#REF!),BDI!$E$17,IF(AND(#REF!="Diferenciado",$H$4=#REF!),BDI!#REF!,IF(#REF!="ZERO",0))))),"")</f>
        <v>#REF!</v>
      </c>
      <c r="H1354" s="127" t="e">
        <f t="shared" ca="1" si="73"/>
        <v>#REF!</v>
      </c>
      <c r="I1354" s="125" t="e">
        <f t="shared" ca="1" si="74"/>
        <v>#REF!</v>
      </c>
    </row>
    <row r="1355" spans="1:9" hidden="1" x14ac:dyDescent="0.25">
      <c r="A1355" s="103" t="s">
        <v>3770</v>
      </c>
      <c r="B1355" s="104" t="s">
        <v>3802</v>
      </c>
      <c r="C1355" s="105" t="s">
        <v>93</v>
      </c>
      <c r="D1355" s="105">
        <v>0</v>
      </c>
      <c r="E1355" s="124">
        <f ca="1">OFFSET(INDEX(Composições!A:J,MATCH(Orçamentária!A1355,Composições!A:A,0),8),2,0)</f>
        <v>0.12475399999999999</v>
      </c>
      <c r="F1355" s="125">
        <f t="shared" ca="1" si="72"/>
        <v>0</v>
      </c>
      <c r="G1355" s="126" t="e">
        <f>IF(A1355&lt;&gt;"",IF(AND(#REF!="Padrão",$H$4=#REF!),BDI!$B$17,IF(AND(#REF!="Padrão",$H$4=#REF!),BDI!#REF!,IF(AND(#REF!="Diferenciado",$H$4=#REF!),BDI!$E$17,IF(AND(#REF!="Diferenciado",$H$4=#REF!),BDI!#REF!,IF(#REF!="ZERO",0))))),"")</f>
        <v>#REF!</v>
      </c>
      <c r="H1355" s="127" t="e">
        <f t="shared" ca="1" si="73"/>
        <v>#REF!</v>
      </c>
      <c r="I1355" s="125" t="e">
        <f t="shared" ca="1" si="74"/>
        <v>#REF!</v>
      </c>
    </row>
    <row r="1356" spans="1:9" hidden="1" x14ac:dyDescent="0.25">
      <c r="A1356" s="103" t="s">
        <v>3771</v>
      </c>
      <c r="B1356" s="104" t="s">
        <v>3803</v>
      </c>
      <c r="C1356" s="105" t="s">
        <v>93</v>
      </c>
      <c r="D1356" s="105">
        <v>0</v>
      </c>
      <c r="E1356" s="124">
        <f ca="1">OFFSET(INDEX(Composições!A:J,MATCH(Orçamentária!A1356,Composições!A:A,0),8),2,0)</f>
        <v>0.12475399999999999</v>
      </c>
      <c r="F1356" s="125">
        <f t="shared" ca="1" si="72"/>
        <v>0</v>
      </c>
      <c r="G1356" s="126" t="e">
        <f>IF(A1356&lt;&gt;"",IF(AND(#REF!="Padrão",$H$4=#REF!),BDI!$B$17,IF(AND(#REF!="Padrão",$H$4=#REF!),BDI!#REF!,IF(AND(#REF!="Diferenciado",$H$4=#REF!),BDI!$E$17,IF(AND(#REF!="Diferenciado",$H$4=#REF!),BDI!#REF!,IF(#REF!="ZERO",0))))),"")</f>
        <v>#REF!</v>
      </c>
      <c r="H1356" s="127" t="e">
        <f t="shared" ca="1" si="73"/>
        <v>#REF!</v>
      </c>
      <c r="I1356" s="125" t="e">
        <f t="shared" ca="1" si="74"/>
        <v>#REF!</v>
      </c>
    </row>
    <row r="1357" spans="1:9" hidden="1" x14ac:dyDescent="0.25">
      <c r="A1357" s="103" t="s">
        <v>3772</v>
      </c>
      <c r="B1357" s="104" t="s">
        <v>3804</v>
      </c>
      <c r="C1357" s="105" t="s">
        <v>20</v>
      </c>
      <c r="D1357" s="105">
        <v>0</v>
      </c>
      <c r="E1357" s="124">
        <f ca="1">OFFSET(INDEX(Composições!A:J,MATCH(Orçamentária!A1357,Composições!A:A,0),8),2,0)</f>
        <v>78.562615499999993</v>
      </c>
      <c r="F1357" s="125">
        <f t="shared" ca="1" si="72"/>
        <v>0</v>
      </c>
      <c r="G1357" s="126" t="e">
        <f>IF(A1357&lt;&gt;"",IF(AND(#REF!="Padrão",$H$4=#REF!),BDI!$B$17,IF(AND(#REF!="Padrão",$H$4=#REF!),BDI!#REF!,IF(AND(#REF!="Diferenciado",$H$4=#REF!),BDI!$E$17,IF(AND(#REF!="Diferenciado",$H$4=#REF!),BDI!#REF!,IF(#REF!="ZERO",0))))),"")</f>
        <v>#REF!</v>
      </c>
      <c r="H1357" s="127" t="e">
        <f t="shared" ca="1" si="73"/>
        <v>#REF!</v>
      </c>
      <c r="I1357" s="125" t="e">
        <f t="shared" ca="1" si="74"/>
        <v>#REF!</v>
      </c>
    </row>
    <row r="1358" spans="1:9" hidden="1" x14ac:dyDescent="0.25">
      <c r="A1358" s="103" t="s">
        <v>3773</v>
      </c>
      <c r="B1358" s="104" t="s">
        <v>3805</v>
      </c>
      <c r="C1358" s="105" t="s">
        <v>93</v>
      </c>
      <c r="D1358" s="105">
        <v>0</v>
      </c>
      <c r="E1358" s="124">
        <f ca="1">OFFSET(INDEX(Composições!A:J,MATCH(Orçamentária!A1358,Composições!A:A,0),8),2,0)</f>
        <v>5.7382659999999994</v>
      </c>
      <c r="F1358" s="125">
        <f t="shared" ca="1" si="72"/>
        <v>0</v>
      </c>
      <c r="G1358" s="126" t="e">
        <f>IF(A1358&lt;&gt;"",IF(AND(#REF!="Padrão",$H$4=#REF!),BDI!$B$17,IF(AND(#REF!="Padrão",$H$4=#REF!),BDI!#REF!,IF(AND(#REF!="Diferenciado",$H$4=#REF!),BDI!$E$17,IF(AND(#REF!="Diferenciado",$H$4=#REF!),BDI!#REF!,IF(#REF!="ZERO",0))))),"")</f>
        <v>#REF!</v>
      </c>
      <c r="H1358" s="127" t="e">
        <f t="shared" ca="1" si="73"/>
        <v>#REF!</v>
      </c>
      <c r="I1358" s="125" t="e">
        <f t="shared" ca="1" si="74"/>
        <v>#REF!</v>
      </c>
    </row>
    <row r="1359" spans="1:9" hidden="1" x14ac:dyDescent="0.25">
      <c r="A1359" s="103" t="s">
        <v>3774</v>
      </c>
      <c r="B1359" s="104" t="s">
        <v>3806</v>
      </c>
      <c r="C1359" s="105" t="s">
        <v>93</v>
      </c>
      <c r="D1359" s="105">
        <v>0</v>
      </c>
      <c r="E1359" s="124">
        <f ca="1">OFFSET(INDEX(Composições!A:J,MATCH(Orçamentária!A1359,Composições!A:A,0),8),2,0)</f>
        <v>11.753190999999999</v>
      </c>
      <c r="F1359" s="125">
        <f t="shared" ca="1" si="72"/>
        <v>0</v>
      </c>
      <c r="G1359" s="126" t="e">
        <f>IF(A1359&lt;&gt;"",IF(AND(#REF!="Padrão",$H$4=#REF!),BDI!$B$17,IF(AND(#REF!="Padrão",$H$4=#REF!),BDI!#REF!,IF(AND(#REF!="Diferenciado",$H$4=#REF!),BDI!$E$17,IF(AND(#REF!="Diferenciado",$H$4=#REF!),BDI!#REF!,IF(#REF!="ZERO",0))))),"")</f>
        <v>#REF!</v>
      </c>
      <c r="H1359" s="127" t="e">
        <f t="shared" ca="1" si="73"/>
        <v>#REF!</v>
      </c>
      <c r="I1359" s="125" t="e">
        <f t="shared" ca="1" si="74"/>
        <v>#REF!</v>
      </c>
    </row>
    <row r="1360" spans="1:9" hidden="1" x14ac:dyDescent="0.25">
      <c r="A1360" s="103" t="s">
        <v>3775</v>
      </c>
      <c r="B1360" s="104" t="s">
        <v>3807</v>
      </c>
      <c r="C1360" s="105" t="s">
        <v>20</v>
      </c>
      <c r="D1360" s="105">
        <v>0</v>
      </c>
      <c r="E1360" s="124">
        <f ca="1">OFFSET(INDEX(Composições!A:J,MATCH(Orçamentária!A1360,Composições!A:A,0),8),2,0)</f>
        <v>111.38749999999999</v>
      </c>
      <c r="F1360" s="125">
        <f t="shared" ca="1" si="72"/>
        <v>0</v>
      </c>
      <c r="G1360" s="126" t="e">
        <f>IF(A1360&lt;&gt;"",IF(AND(#REF!="Padrão",$H$4=#REF!),BDI!$B$17,IF(AND(#REF!="Padrão",$H$4=#REF!),BDI!#REF!,IF(AND(#REF!="Diferenciado",$H$4=#REF!),BDI!$E$17,IF(AND(#REF!="Diferenciado",$H$4=#REF!),BDI!#REF!,IF(#REF!="ZERO",0))))),"")</f>
        <v>#REF!</v>
      </c>
      <c r="H1360" s="127" t="e">
        <f t="shared" ca="1" si="73"/>
        <v>#REF!</v>
      </c>
      <c r="I1360" s="125" t="e">
        <f t="shared" ca="1" si="74"/>
        <v>#REF!</v>
      </c>
    </row>
    <row r="1361" spans="1:9" hidden="1" x14ac:dyDescent="0.25">
      <c r="A1361" s="103" t="s">
        <v>3776</v>
      </c>
      <c r="B1361" s="104" t="s">
        <v>3808</v>
      </c>
      <c r="C1361" s="105" t="s">
        <v>93</v>
      </c>
      <c r="D1361" s="105">
        <v>0</v>
      </c>
      <c r="E1361" s="124">
        <f ca="1">OFFSET(INDEX(Composições!A:J,MATCH(Orçamentária!A1361,Composições!A:A,0),8),2,0)</f>
        <v>10.24765</v>
      </c>
      <c r="F1361" s="125">
        <f t="shared" ca="1" si="72"/>
        <v>0</v>
      </c>
      <c r="G1361" s="126" t="e">
        <f>IF(A1361&lt;&gt;"",IF(AND(#REF!="Padrão",$H$4=#REF!),BDI!$B$17,IF(AND(#REF!="Padrão",$H$4=#REF!),BDI!#REF!,IF(AND(#REF!="Diferenciado",$H$4=#REF!),BDI!$E$17,IF(AND(#REF!="Diferenciado",$H$4=#REF!),BDI!#REF!,IF(#REF!="ZERO",0))))),"")</f>
        <v>#REF!</v>
      </c>
      <c r="H1361" s="127" t="e">
        <f t="shared" ca="1" si="73"/>
        <v>#REF!</v>
      </c>
      <c r="I1361" s="125" t="e">
        <f t="shared" ca="1" si="74"/>
        <v>#REF!</v>
      </c>
    </row>
    <row r="1362" spans="1:9" hidden="1" x14ac:dyDescent="0.25">
      <c r="A1362" s="103" t="s">
        <v>3777</v>
      </c>
      <c r="B1362" s="104" t="s">
        <v>3809</v>
      </c>
      <c r="C1362" s="105" t="s">
        <v>20</v>
      </c>
      <c r="D1362" s="105">
        <v>0</v>
      </c>
      <c r="E1362" s="124" t="s">
        <v>523</v>
      </c>
      <c r="F1362" s="125" t="str">
        <f t="shared" si="72"/>
        <v/>
      </c>
      <c r="G1362" s="126" t="e">
        <f>IF(A1362&lt;&gt;"",IF(AND(#REF!="Padrão",$H$4=#REF!),BDI!$B$17,IF(AND(#REF!="Padrão",$H$4=#REF!),BDI!#REF!,IF(AND(#REF!="Diferenciado",$H$4=#REF!),BDI!$E$17,IF(AND(#REF!="Diferenciado",$H$4=#REF!),BDI!#REF!,IF(#REF!="ZERO",0))))),"")</f>
        <v>#REF!</v>
      </c>
      <c r="H1362" s="127" t="str">
        <f t="shared" si="73"/>
        <v/>
      </c>
      <c r="I1362" s="125" t="str">
        <f t="shared" si="74"/>
        <v/>
      </c>
    </row>
    <row r="1363" spans="1:9" hidden="1" x14ac:dyDescent="0.25">
      <c r="A1363" s="103" t="s">
        <v>3778</v>
      </c>
      <c r="B1363" s="104" t="s">
        <v>3810</v>
      </c>
      <c r="C1363" s="105" t="s">
        <v>20</v>
      </c>
      <c r="D1363" s="105">
        <v>0</v>
      </c>
      <c r="E1363" s="124">
        <f ca="1">OFFSET(INDEX(Composições!A:J,MATCH(Orçamentária!A1363,Composições!A:A,0),8),2,0)</f>
        <v>12.33325</v>
      </c>
      <c r="F1363" s="125">
        <f t="shared" ca="1" si="72"/>
        <v>0</v>
      </c>
      <c r="G1363" s="126" t="e">
        <f>IF(A1363&lt;&gt;"",IF(AND(#REF!="Padrão",$H$4=#REF!),BDI!$B$17,IF(AND(#REF!="Padrão",$H$4=#REF!),BDI!#REF!,IF(AND(#REF!="Diferenciado",$H$4=#REF!),BDI!$E$17,IF(AND(#REF!="Diferenciado",$H$4=#REF!),BDI!#REF!,IF(#REF!="ZERO",0))))),"")</f>
        <v>#REF!</v>
      </c>
      <c r="H1363" s="127" t="e">
        <f t="shared" ca="1" si="73"/>
        <v>#REF!</v>
      </c>
      <c r="I1363" s="125" t="e">
        <f t="shared" ca="1" si="74"/>
        <v>#REF!</v>
      </c>
    </row>
    <row r="1364" spans="1:9" hidden="1" x14ac:dyDescent="0.25">
      <c r="A1364" s="103" t="s">
        <v>3779</v>
      </c>
      <c r="B1364" s="104" t="s">
        <v>3811</v>
      </c>
      <c r="C1364" s="105" t="s">
        <v>93</v>
      </c>
      <c r="D1364" s="105">
        <v>0</v>
      </c>
      <c r="E1364" s="124">
        <f ca="1">OFFSET(INDEX(Composições!A:J,MATCH(Orçamentária!A1364,Composições!A:A,0),8),2,0)</f>
        <v>26.732999999999997</v>
      </c>
      <c r="F1364" s="125">
        <f t="shared" ca="1" si="72"/>
        <v>0</v>
      </c>
      <c r="G1364" s="126" t="e">
        <f>IF(A1364&lt;&gt;"",IF(AND(#REF!="Padrão",$H$4=#REF!),BDI!$B$17,IF(AND(#REF!="Padrão",$H$4=#REF!),BDI!#REF!,IF(AND(#REF!="Diferenciado",$H$4=#REF!),BDI!$E$17,IF(AND(#REF!="Diferenciado",$H$4=#REF!),BDI!#REF!,IF(#REF!="ZERO",0))))),"")</f>
        <v>#REF!</v>
      </c>
      <c r="H1364" s="127" t="e">
        <f t="shared" ca="1" si="73"/>
        <v>#REF!</v>
      </c>
      <c r="I1364" s="125" t="e">
        <f t="shared" ca="1" si="74"/>
        <v>#REF!</v>
      </c>
    </row>
    <row r="1365" spans="1:9" hidden="1" x14ac:dyDescent="0.25">
      <c r="A1365" s="103" t="s">
        <v>3780</v>
      </c>
      <c r="B1365" s="104" t="s">
        <v>3812</v>
      </c>
      <c r="C1365" s="105" t="s">
        <v>93</v>
      </c>
      <c r="D1365" s="105">
        <v>0</v>
      </c>
      <c r="E1365" s="124">
        <f ca="1">OFFSET(INDEX(Composições!A:J,MATCH(Orçamentária!A1365,Composições!A:A,0),8),2,0)</f>
        <v>31.188499999999998</v>
      </c>
      <c r="F1365" s="125">
        <f t="shared" ca="1" si="72"/>
        <v>0</v>
      </c>
      <c r="G1365" s="126" t="e">
        <f>IF(A1365&lt;&gt;"",IF(AND(#REF!="Padrão",$H$4=#REF!),BDI!$B$17,IF(AND(#REF!="Padrão",$H$4=#REF!),BDI!#REF!,IF(AND(#REF!="Diferenciado",$H$4=#REF!),BDI!$E$17,IF(AND(#REF!="Diferenciado",$H$4=#REF!),BDI!#REF!,IF(#REF!="ZERO",0))))),"")</f>
        <v>#REF!</v>
      </c>
      <c r="H1365" s="127" t="e">
        <f t="shared" ca="1" si="73"/>
        <v>#REF!</v>
      </c>
      <c r="I1365" s="125" t="e">
        <f t="shared" ca="1" si="74"/>
        <v>#REF!</v>
      </c>
    </row>
    <row r="1366" spans="1:9" s="184" customFormat="1" x14ac:dyDescent="0.25">
      <c r="A1366" s="185" t="s">
        <v>3781</v>
      </c>
      <c r="B1366" s="186" t="s">
        <v>3813</v>
      </c>
      <c r="C1366" s="187" t="s">
        <v>20</v>
      </c>
      <c r="D1366" s="187">
        <v>83</v>
      </c>
      <c r="E1366" s="124">
        <f ca="1">OFFSET(INDEX(Composições!A:J,MATCH(Orçamentária!A1366,Composições!A:A,0),8),2,0)</f>
        <v>189.48255755000002</v>
      </c>
      <c r="F1366" s="125">
        <f t="shared" ca="1" si="72"/>
        <v>15727.052276650002</v>
      </c>
      <c r="G1366" s="126">
        <f>BDI!$B$17</f>
        <v>0.191</v>
      </c>
      <c r="H1366" s="127">
        <f t="shared" ca="1" si="73"/>
        <v>225.67</v>
      </c>
      <c r="I1366" s="204">
        <f t="shared" ca="1" si="74"/>
        <v>18730.61</v>
      </c>
    </row>
    <row r="1367" spans="1:9" hidden="1" x14ac:dyDescent="0.25">
      <c r="A1367" s="103" t="s">
        <v>3782</v>
      </c>
      <c r="B1367" s="104" t="s">
        <v>3814</v>
      </c>
      <c r="C1367" s="105" t="s">
        <v>20</v>
      </c>
      <c r="D1367" s="105">
        <v>0</v>
      </c>
      <c r="E1367" s="124">
        <f ca="1">OFFSET(INDEX(Composições!A:J,MATCH(Orçamentária!A1367,Composições!A:A,0),8),2,0)</f>
        <v>478.22509229999997</v>
      </c>
      <c r="F1367" s="125">
        <f t="shared" ca="1" si="72"/>
        <v>0</v>
      </c>
      <c r="G1367" s="126" t="e">
        <f>IF(A1367&lt;&gt;"",IF(AND(#REF!="Padrão",$H$4=#REF!),BDI!$B$17,IF(AND(#REF!="Padrão",$H$4=#REF!),BDI!#REF!,IF(AND(#REF!="Diferenciado",$H$4=#REF!),BDI!$E$17,IF(AND(#REF!="Diferenciado",$H$4=#REF!),BDI!#REF!,IF(#REF!="ZERO",0))))),"")</f>
        <v>#REF!</v>
      </c>
      <c r="H1367" s="127" t="e">
        <f t="shared" ca="1" si="73"/>
        <v>#REF!</v>
      </c>
      <c r="I1367" s="125" t="e">
        <f t="shared" ca="1" si="74"/>
        <v>#REF!</v>
      </c>
    </row>
    <row r="1368" spans="1:9" hidden="1" x14ac:dyDescent="0.25">
      <c r="A1368" s="103" t="s">
        <v>3783</v>
      </c>
      <c r="B1368" s="104" t="s">
        <v>3815</v>
      </c>
      <c r="C1368" s="105" t="s">
        <v>20</v>
      </c>
      <c r="D1368" s="105">
        <v>0</v>
      </c>
      <c r="E1368" s="124">
        <f ca="1">OFFSET(INDEX(Composições!A:J,MATCH(Orçamentária!A1368,Composições!A:A,0),8),2,0)</f>
        <v>613.42909229999998</v>
      </c>
      <c r="F1368" s="125">
        <f t="shared" ca="1" si="72"/>
        <v>0</v>
      </c>
      <c r="G1368" s="126" t="e">
        <f>IF(A1368&lt;&gt;"",IF(AND(#REF!="Padrão",$H$4=#REF!),BDI!$B$17,IF(AND(#REF!="Padrão",$H$4=#REF!),BDI!#REF!,IF(AND(#REF!="Diferenciado",$H$4=#REF!),BDI!$E$17,IF(AND(#REF!="Diferenciado",$H$4=#REF!),BDI!#REF!,IF(#REF!="ZERO",0))))),"")</f>
        <v>#REF!</v>
      </c>
      <c r="H1368" s="127" t="e">
        <f t="shared" ca="1" si="73"/>
        <v>#REF!</v>
      </c>
      <c r="I1368" s="125" t="e">
        <f t="shared" ca="1" si="74"/>
        <v>#REF!</v>
      </c>
    </row>
    <row r="1369" spans="1:9" hidden="1" x14ac:dyDescent="0.25">
      <c r="A1369" s="103" t="s">
        <v>3784</v>
      </c>
      <c r="B1369" s="104" t="s">
        <v>3816</v>
      </c>
      <c r="C1369" s="105" t="s">
        <v>20</v>
      </c>
      <c r="D1369" s="105">
        <v>0</v>
      </c>
      <c r="E1369" s="124" t="s">
        <v>523</v>
      </c>
      <c r="F1369" s="125" t="str">
        <f t="shared" si="72"/>
        <v/>
      </c>
      <c r="G1369" s="126" t="e">
        <f>IF(A1369&lt;&gt;"",IF(AND(#REF!="Padrão",$H$4=#REF!),BDI!$B$17,IF(AND(#REF!="Padrão",$H$4=#REF!),BDI!#REF!,IF(AND(#REF!="Diferenciado",$H$4=#REF!),BDI!$E$17,IF(AND(#REF!="Diferenciado",$H$4=#REF!),BDI!#REF!,IF(#REF!="ZERO",0))))),"")</f>
        <v>#REF!</v>
      </c>
      <c r="H1369" s="127" t="str">
        <f t="shared" si="73"/>
        <v/>
      </c>
      <c r="I1369" s="125" t="str">
        <f t="shared" si="74"/>
        <v/>
      </c>
    </row>
    <row r="1370" spans="1:9" hidden="1" x14ac:dyDescent="0.25">
      <c r="A1370" s="103" t="s">
        <v>3785</v>
      </c>
      <c r="B1370" s="104" t="s">
        <v>3817</v>
      </c>
      <c r="C1370" s="105" t="s">
        <v>20</v>
      </c>
      <c r="D1370" s="105">
        <v>0</v>
      </c>
      <c r="E1370" s="124" t="s">
        <v>523</v>
      </c>
      <c r="F1370" s="125" t="str">
        <f t="shared" si="72"/>
        <v/>
      </c>
      <c r="G1370" s="126" t="e">
        <f>IF(A1370&lt;&gt;"",IF(AND(#REF!="Padrão",$H$4=#REF!),BDI!$B$17,IF(AND(#REF!="Padrão",$H$4=#REF!),BDI!#REF!,IF(AND(#REF!="Diferenciado",$H$4=#REF!),BDI!$E$17,IF(AND(#REF!="Diferenciado",$H$4=#REF!),BDI!#REF!,IF(#REF!="ZERO",0))))),"")</f>
        <v>#REF!</v>
      </c>
      <c r="H1370" s="127" t="str">
        <f t="shared" si="73"/>
        <v/>
      </c>
      <c r="I1370" s="125" t="str">
        <f t="shared" si="74"/>
        <v/>
      </c>
    </row>
    <row r="1371" spans="1:9" hidden="1" x14ac:dyDescent="0.25">
      <c r="A1371" s="103" t="s">
        <v>3786</v>
      </c>
      <c r="B1371" s="104" t="s">
        <v>3818</v>
      </c>
      <c r="C1371" s="105" t="s">
        <v>20</v>
      </c>
      <c r="D1371" s="105">
        <v>0</v>
      </c>
      <c r="E1371" s="124" t="s">
        <v>523</v>
      </c>
      <c r="F1371" s="125" t="str">
        <f t="shared" si="72"/>
        <v/>
      </c>
      <c r="G1371" s="126" t="e">
        <f>IF(A1371&lt;&gt;"",IF(AND(#REF!="Padrão",$H$4=#REF!),BDI!$B$17,IF(AND(#REF!="Padrão",$H$4=#REF!),BDI!#REF!,IF(AND(#REF!="Diferenciado",$H$4=#REF!),BDI!$E$17,IF(AND(#REF!="Diferenciado",$H$4=#REF!),BDI!#REF!,IF(#REF!="ZERO",0))))),"")</f>
        <v>#REF!</v>
      </c>
      <c r="H1371" s="127" t="str">
        <f t="shared" si="73"/>
        <v/>
      </c>
      <c r="I1371" s="125" t="str">
        <f t="shared" si="74"/>
        <v/>
      </c>
    </row>
    <row r="1372" spans="1:9" hidden="1" x14ac:dyDescent="0.25">
      <c r="A1372" s="103" t="s">
        <v>3787</v>
      </c>
      <c r="B1372" s="104" t="s">
        <v>3819</v>
      </c>
      <c r="C1372" s="105" t="s">
        <v>20</v>
      </c>
      <c r="D1372" s="105">
        <v>0</v>
      </c>
      <c r="E1372" s="124" t="s">
        <v>523</v>
      </c>
      <c r="F1372" s="125" t="str">
        <f t="shared" si="72"/>
        <v/>
      </c>
      <c r="G1372" s="126" t="e">
        <f>IF(A1372&lt;&gt;"",IF(AND(#REF!="Padrão",$H$4=#REF!),BDI!$B$17,IF(AND(#REF!="Padrão",$H$4=#REF!),BDI!#REF!,IF(AND(#REF!="Diferenciado",$H$4=#REF!),BDI!$E$17,IF(AND(#REF!="Diferenciado",$H$4=#REF!),BDI!#REF!,IF(#REF!="ZERO",0))))),"")</f>
        <v>#REF!</v>
      </c>
      <c r="H1372" s="127" t="str">
        <f t="shared" si="73"/>
        <v/>
      </c>
      <c r="I1372" s="125" t="str">
        <f t="shared" si="74"/>
        <v/>
      </c>
    </row>
    <row r="1373" spans="1:9" hidden="1" x14ac:dyDescent="0.25">
      <c r="A1373" s="103" t="s">
        <v>3788</v>
      </c>
      <c r="B1373" s="104" t="s">
        <v>3820</v>
      </c>
      <c r="C1373" s="105" t="s">
        <v>20</v>
      </c>
      <c r="D1373" s="105">
        <v>0</v>
      </c>
      <c r="E1373" s="124" t="s">
        <v>523</v>
      </c>
      <c r="F1373" s="125" t="str">
        <f t="shared" si="72"/>
        <v/>
      </c>
      <c r="G1373" s="126" t="e">
        <f>IF(A1373&lt;&gt;"",IF(AND(#REF!="Padrão",$H$4=#REF!),BDI!$B$17,IF(AND(#REF!="Padrão",$H$4=#REF!),BDI!#REF!,IF(AND(#REF!="Diferenciado",$H$4=#REF!),BDI!$E$17,IF(AND(#REF!="Diferenciado",$H$4=#REF!),BDI!#REF!,IF(#REF!="ZERO",0))))),"")</f>
        <v>#REF!</v>
      </c>
      <c r="H1373" s="127" t="str">
        <f t="shared" si="73"/>
        <v/>
      </c>
      <c r="I1373" s="125" t="str">
        <f t="shared" si="74"/>
        <v/>
      </c>
    </row>
    <row r="1374" spans="1:9" hidden="1" x14ac:dyDescent="0.25">
      <c r="A1374" s="103" t="s">
        <v>3789</v>
      </c>
      <c r="B1374" s="104" t="s">
        <v>3821</v>
      </c>
      <c r="C1374" s="105" t="s">
        <v>20</v>
      </c>
      <c r="D1374" s="105">
        <v>0</v>
      </c>
      <c r="E1374" s="124">
        <f ca="1">OFFSET(INDEX(Composições!A:J,MATCH(Orçamentária!A1374,Composições!A:A,0),8),2,0)</f>
        <v>2238.8732935000003</v>
      </c>
      <c r="F1374" s="125">
        <f t="shared" ca="1" si="72"/>
        <v>0</v>
      </c>
      <c r="G1374" s="126" t="e">
        <f>IF(A1374&lt;&gt;"",IF(AND(#REF!="Padrão",$H$4=#REF!),BDI!$B$17,IF(AND(#REF!="Padrão",$H$4=#REF!),BDI!#REF!,IF(AND(#REF!="Diferenciado",$H$4=#REF!),BDI!$E$17,IF(AND(#REF!="Diferenciado",$H$4=#REF!),BDI!#REF!,IF(#REF!="ZERO",0))))),"")</f>
        <v>#REF!</v>
      </c>
      <c r="H1374" s="127" t="e">
        <f t="shared" ca="1" si="73"/>
        <v>#REF!</v>
      </c>
      <c r="I1374" s="125" t="e">
        <f t="shared" ca="1" si="74"/>
        <v>#REF!</v>
      </c>
    </row>
    <row r="1375" spans="1:9" hidden="1" x14ac:dyDescent="0.25">
      <c r="A1375" s="103" t="s">
        <v>3790</v>
      </c>
      <c r="B1375" s="104" t="s">
        <v>3822</v>
      </c>
      <c r="C1375" s="105" t="s">
        <v>20</v>
      </c>
      <c r="D1375" s="105">
        <v>0</v>
      </c>
      <c r="E1375" s="124">
        <f ca="1">OFFSET(INDEX(Composições!A:J,MATCH(Orçamentária!A1375,Composições!A:A,0),8),2,0)</f>
        <v>262.98601425184779</v>
      </c>
      <c r="F1375" s="125">
        <f t="shared" ca="1" si="72"/>
        <v>0</v>
      </c>
      <c r="G1375" s="126" t="e">
        <f>IF(A1375&lt;&gt;"",IF(AND(#REF!="Padrão",$H$4=#REF!),BDI!$B$17,IF(AND(#REF!="Padrão",$H$4=#REF!),BDI!#REF!,IF(AND(#REF!="Diferenciado",$H$4=#REF!),BDI!$E$17,IF(AND(#REF!="Diferenciado",$H$4=#REF!),BDI!#REF!,IF(#REF!="ZERO",0))))),"")</f>
        <v>#REF!</v>
      </c>
      <c r="H1375" s="127" t="e">
        <f t="shared" ca="1" si="73"/>
        <v>#REF!</v>
      </c>
      <c r="I1375" s="125" t="e">
        <f t="shared" ca="1" si="74"/>
        <v>#REF!</v>
      </c>
    </row>
    <row r="1376" spans="1:9" hidden="1" x14ac:dyDescent="0.25">
      <c r="A1376" s="103" t="s">
        <v>3791</v>
      </c>
      <c r="B1376" s="104" t="s">
        <v>3823</v>
      </c>
      <c r="C1376" s="105" t="s">
        <v>20</v>
      </c>
      <c r="D1376" s="105">
        <v>0</v>
      </c>
      <c r="E1376" s="124" t="s">
        <v>523</v>
      </c>
      <c r="F1376" s="125" t="str">
        <f t="shared" si="72"/>
        <v/>
      </c>
      <c r="G1376" s="126" t="e">
        <f>IF(A1376&lt;&gt;"",IF(AND(#REF!="Padrão",$H$4=#REF!),BDI!$B$17,IF(AND(#REF!="Padrão",$H$4=#REF!),BDI!#REF!,IF(AND(#REF!="Diferenciado",$H$4=#REF!),BDI!$E$17,IF(AND(#REF!="Diferenciado",$H$4=#REF!),BDI!#REF!,IF(#REF!="ZERO",0))))),"")</f>
        <v>#REF!</v>
      </c>
      <c r="H1376" s="127" t="str">
        <f t="shared" si="73"/>
        <v/>
      </c>
      <c r="I1376" s="125" t="str">
        <f t="shared" si="74"/>
        <v/>
      </c>
    </row>
    <row r="1377" spans="1:9" hidden="1" x14ac:dyDescent="0.25">
      <c r="A1377" s="103" t="s">
        <v>3792</v>
      </c>
      <c r="B1377" s="104" t="s">
        <v>3824</v>
      </c>
      <c r="C1377" s="105" t="s">
        <v>20</v>
      </c>
      <c r="D1377" s="105">
        <v>0</v>
      </c>
      <c r="E1377" s="124" t="s">
        <v>523</v>
      </c>
      <c r="F1377" s="125" t="str">
        <f t="shared" si="72"/>
        <v/>
      </c>
      <c r="G1377" s="126" t="e">
        <f>IF(A1377&lt;&gt;"",IF(AND(#REF!="Padrão",$H$4=#REF!),BDI!$B$17,IF(AND(#REF!="Padrão",$H$4=#REF!),BDI!#REF!,IF(AND(#REF!="Diferenciado",$H$4=#REF!),BDI!$E$17,IF(AND(#REF!="Diferenciado",$H$4=#REF!),BDI!#REF!,IF(#REF!="ZERO",0))))),"")</f>
        <v>#REF!</v>
      </c>
      <c r="H1377" s="127" t="str">
        <f t="shared" si="73"/>
        <v/>
      </c>
      <c r="I1377" s="125" t="str">
        <f t="shared" si="74"/>
        <v/>
      </c>
    </row>
    <row r="1378" spans="1:9" hidden="1" x14ac:dyDescent="0.25">
      <c r="A1378" s="103" t="s">
        <v>3793</v>
      </c>
      <c r="B1378" s="104" t="s">
        <v>3825</v>
      </c>
      <c r="C1378" s="105" t="s">
        <v>20</v>
      </c>
      <c r="D1378" s="105">
        <v>0</v>
      </c>
      <c r="E1378" s="124">
        <f ca="1">OFFSET(INDEX(Composições!A:J,MATCH(Orçamentária!A1378,Composições!A:A,0),8),2,0)</f>
        <v>702.67721419822374</v>
      </c>
      <c r="F1378" s="125">
        <f t="shared" ca="1" si="72"/>
        <v>0</v>
      </c>
      <c r="G1378" s="126" t="e">
        <f>IF(A1378&lt;&gt;"",IF(AND(#REF!="Padrão",$H$4=#REF!),BDI!$B$17,IF(AND(#REF!="Padrão",$H$4=#REF!),BDI!#REF!,IF(AND(#REF!="Diferenciado",$H$4=#REF!),BDI!$E$17,IF(AND(#REF!="Diferenciado",$H$4=#REF!),BDI!#REF!,IF(#REF!="ZERO",0))))),"")</f>
        <v>#REF!</v>
      </c>
      <c r="H1378" s="127" t="e">
        <f t="shared" ca="1" si="73"/>
        <v>#REF!</v>
      </c>
      <c r="I1378" s="125" t="e">
        <f t="shared" ca="1" si="74"/>
        <v>#REF!</v>
      </c>
    </row>
    <row r="1379" spans="1:9" hidden="1" x14ac:dyDescent="0.25">
      <c r="A1379" s="103" t="s">
        <v>3794</v>
      </c>
      <c r="B1379" s="104" t="s">
        <v>3826</v>
      </c>
      <c r="C1379" s="105" t="s">
        <v>20</v>
      </c>
      <c r="D1379" s="105">
        <v>0</v>
      </c>
      <c r="E1379" s="124" t="s">
        <v>523</v>
      </c>
      <c r="F1379" s="125" t="str">
        <f t="shared" si="72"/>
        <v/>
      </c>
      <c r="G1379" s="126" t="e">
        <f>IF(A1379&lt;&gt;"",IF(AND(#REF!="Padrão",$H$4=#REF!),BDI!$B$17,IF(AND(#REF!="Padrão",$H$4=#REF!),BDI!#REF!,IF(AND(#REF!="Diferenciado",$H$4=#REF!),BDI!$E$17,IF(AND(#REF!="Diferenciado",$H$4=#REF!),BDI!#REF!,IF(#REF!="ZERO",0))))),"")</f>
        <v>#REF!</v>
      </c>
      <c r="H1379" s="127" t="str">
        <f t="shared" si="73"/>
        <v/>
      </c>
      <c r="I1379" s="125" t="str">
        <f t="shared" si="74"/>
        <v/>
      </c>
    </row>
    <row r="1380" spans="1:9" hidden="1" x14ac:dyDescent="0.25">
      <c r="A1380" s="103" t="s">
        <v>3795</v>
      </c>
      <c r="B1380" s="104" t="s">
        <v>3827</v>
      </c>
      <c r="C1380" s="105" t="s">
        <v>20</v>
      </c>
      <c r="D1380" s="105">
        <v>0</v>
      </c>
      <c r="E1380" s="124">
        <f ca="1">OFFSET(INDEX(Composições!A:J,MATCH(Orçamentária!A1380,Composições!A:A,0),8),2,0)</f>
        <v>22.277499999999996</v>
      </c>
      <c r="F1380" s="125">
        <f t="shared" ca="1" si="72"/>
        <v>0</v>
      </c>
      <c r="G1380" s="126" t="e">
        <f>IF(A1380&lt;&gt;"",IF(AND(#REF!="Padrão",$H$4=#REF!),BDI!$B$17,IF(AND(#REF!="Padrão",$H$4=#REF!),BDI!#REF!,IF(AND(#REF!="Diferenciado",$H$4=#REF!),BDI!$E$17,IF(AND(#REF!="Diferenciado",$H$4=#REF!),BDI!#REF!,IF(#REF!="ZERO",0))))),"")</f>
        <v>#REF!</v>
      </c>
      <c r="H1380" s="127" t="e">
        <f t="shared" ca="1" si="73"/>
        <v>#REF!</v>
      </c>
      <c r="I1380" s="125" t="e">
        <f t="shared" ca="1" si="74"/>
        <v>#REF!</v>
      </c>
    </row>
    <row r="1381" spans="1:9" hidden="1" x14ac:dyDescent="0.25">
      <c r="A1381" s="103" t="s">
        <v>3796</v>
      </c>
      <c r="B1381" s="104" t="s">
        <v>3828</v>
      </c>
      <c r="C1381" s="105" t="s">
        <v>20</v>
      </c>
      <c r="D1381" s="105">
        <v>0</v>
      </c>
      <c r="E1381" s="124">
        <f ca="1">OFFSET(INDEX(Composições!A:J,MATCH(Orçamentária!A1381,Composições!A:A,0),8),2,0)</f>
        <v>22.277499999999996</v>
      </c>
      <c r="F1381" s="125">
        <f t="shared" ca="1" si="72"/>
        <v>0</v>
      </c>
      <c r="G1381" s="126" t="e">
        <f>IF(A1381&lt;&gt;"",IF(AND(#REF!="Padrão",$H$4=#REF!),BDI!$B$17,IF(AND(#REF!="Padrão",$H$4=#REF!),BDI!#REF!,IF(AND(#REF!="Diferenciado",$H$4=#REF!),BDI!$E$17,IF(AND(#REF!="Diferenciado",$H$4=#REF!),BDI!#REF!,IF(#REF!="ZERO",0))))),"")</f>
        <v>#REF!</v>
      </c>
      <c r="H1381" s="127" t="e">
        <f t="shared" ca="1" si="73"/>
        <v>#REF!</v>
      </c>
      <c r="I1381" s="125" t="e">
        <f t="shared" ca="1" si="74"/>
        <v>#REF!</v>
      </c>
    </row>
    <row r="1382" spans="1:9" s="184" customFormat="1" x14ac:dyDescent="0.25">
      <c r="A1382" s="185" t="s">
        <v>3797</v>
      </c>
      <c r="B1382" s="186" t="s">
        <v>3829</v>
      </c>
      <c r="C1382" s="187" t="s">
        <v>20</v>
      </c>
      <c r="D1382" s="187">
        <v>110</v>
      </c>
      <c r="E1382" s="124">
        <f ca="1">OFFSET(INDEX(Composições!A:J,MATCH(Orçamentária!A1382,Composições!A:A,0),8),2,0)</f>
        <v>38.702939999999998</v>
      </c>
      <c r="F1382" s="125">
        <f t="shared" ca="1" si="72"/>
        <v>4257.3234000000002</v>
      </c>
      <c r="G1382" s="126">
        <f>BDI!$B$17</f>
        <v>0.191</v>
      </c>
      <c r="H1382" s="127">
        <f t="shared" ca="1" si="73"/>
        <v>46.1</v>
      </c>
      <c r="I1382" s="204">
        <f t="shared" ca="1" si="74"/>
        <v>5071</v>
      </c>
    </row>
    <row r="1383" spans="1:9" hidden="1" x14ac:dyDescent="0.25">
      <c r="A1383" s="103" t="s">
        <v>3798</v>
      </c>
      <c r="B1383" s="104" t="s">
        <v>3830</v>
      </c>
      <c r="C1383" s="105" t="s">
        <v>20</v>
      </c>
      <c r="D1383" s="105">
        <v>0</v>
      </c>
      <c r="E1383" s="124" t="s">
        <v>523</v>
      </c>
      <c r="F1383" s="125" t="str">
        <f t="shared" si="72"/>
        <v/>
      </c>
      <c r="G1383" s="126" t="e">
        <f>IF(A1383&lt;&gt;"",IF(AND(#REF!="Padrão",$H$4=#REF!),BDI!$B$17,IF(AND(#REF!="Padrão",$H$4=#REF!),BDI!#REF!,IF(AND(#REF!="Diferenciado",$H$4=#REF!),BDI!$E$17,IF(AND(#REF!="Diferenciado",$H$4=#REF!),BDI!#REF!,IF(#REF!="ZERO",0))))),"")</f>
        <v>#REF!</v>
      </c>
      <c r="H1383" s="127" t="str">
        <f t="shared" si="73"/>
        <v/>
      </c>
      <c r="I1383" s="125" t="str">
        <f t="shared" si="74"/>
        <v/>
      </c>
    </row>
    <row r="1384" spans="1:9" hidden="1" x14ac:dyDescent="0.25">
      <c r="A1384" s="103" t="s">
        <v>3728</v>
      </c>
      <c r="B1384" s="104" t="s">
        <v>3729</v>
      </c>
      <c r="C1384" s="105" t="s">
        <v>20</v>
      </c>
      <c r="D1384" s="105">
        <v>0</v>
      </c>
      <c r="E1384" s="124" t="s">
        <v>523</v>
      </c>
      <c r="F1384" s="125" t="str">
        <f>IF(ISNUMBER(E1384),D1384*E1384,"")</f>
        <v/>
      </c>
      <c r="G1384" s="126" t="e">
        <f>IF(A1384&lt;&gt;"",IF(AND(#REF!="Padrão",$H$4=#REF!),BDI!$B$17,IF(AND(#REF!="Padrão",$H$4=#REF!),BDI!#REF!,IF(AND(#REF!="Diferenciado",$H$4=#REF!),BDI!$E$17,IF(AND(#REF!="Diferenciado",$H$4=#REF!),BDI!#REF!,IF(#REF!="ZERO",0))))),"")</f>
        <v>#REF!</v>
      </c>
      <c r="H1384" s="127" t="str">
        <f>IF(ISNUMBER(E1384),ROUND(E1384*(1+G1384),2),"")</f>
        <v/>
      </c>
      <c r="I1384" s="125" t="str">
        <f>IF(ISNUMBER(E1384),ROUND(H1384*D1384,2),"")</f>
        <v/>
      </c>
    </row>
    <row r="1385" spans="1:9" hidden="1" x14ac:dyDescent="0.25">
      <c r="A1385" s="103" t="s">
        <v>3726</v>
      </c>
      <c r="B1385" s="104" t="s">
        <v>3727</v>
      </c>
      <c r="C1385" s="105" t="s">
        <v>5021</v>
      </c>
      <c r="D1385" s="105">
        <v>0</v>
      </c>
      <c r="E1385" s="124" t="s">
        <v>523</v>
      </c>
      <c r="F1385" s="125" t="str">
        <f>IF(ISNUMBER(E1385),D1385*E1385,"")</f>
        <v/>
      </c>
      <c r="G1385" s="126" t="e">
        <f>IF(A1385&lt;&gt;"",IF(AND(#REF!="Padrão",$H$4=#REF!),BDI!$B$17,IF(AND(#REF!="Padrão",$H$4=#REF!),BDI!#REF!,IF(AND(#REF!="Diferenciado",$H$4=#REF!),BDI!$E$17,IF(AND(#REF!="Diferenciado",$H$4=#REF!),BDI!#REF!,IF(#REF!="ZERO",0))))),"")</f>
        <v>#REF!</v>
      </c>
      <c r="H1385" s="127" t="str">
        <f>IF(ISNUMBER(E1385),ROUND(E1385*(1+G1385),2),"")</f>
        <v/>
      </c>
      <c r="I1385" s="125" t="str">
        <f>IF(ISNUMBER(E1385),ROUND(H1385*D1385,2),"")</f>
        <v/>
      </c>
    </row>
    <row r="1386" spans="1:9" hidden="1" x14ac:dyDescent="0.25">
      <c r="A1386" s="103" t="s">
        <v>3748</v>
      </c>
      <c r="B1386" s="104" t="s">
        <v>3751</v>
      </c>
      <c r="C1386" s="105" t="s">
        <v>95</v>
      </c>
      <c r="D1386" s="105">
        <v>0</v>
      </c>
      <c r="E1386" s="124" t="s">
        <v>523</v>
      </c>
      <c r="F1386" s="125" t="str">
        <f>IF(ISNUMBER(E1386),D1386*E1386,"")</f>
        <v/>
      </c>
      <c r="G1386" s="126" t="e">
        <f>IF(A1386&lt;&gt;"",IF(AND(#REF!="Padrão",$H$4=#REF!),BDI!$B$17,IF(AND(#REF!="Padrão",$H$4=#REF!),BDI!#REF!,IF(AND(#REF!="Diferenciado",$H$4=#REF!),BDI!$E$17,IF(AND(#REF!="Diferenciado",$H$4=#REF!),BDI!#REF!,IF(#REF!="ZERO",0))))),"")</f>
        <v>#REF!</v>
      </c>
      <c r="H1386" s="127" t="str">
        <f>IF(ISNUMBER(E1386),ROUND(E1386*(1+G1386),2),"")</f>
        <v/>
      </c>
      <c r="I1386" s="125" t="str">
        <f>IF(ISNUMBER(E1386),ROUND(H1386*D1386,2),"")</f>
        <v/>
      </c>
    </row>
    <row r="1387" spans="1:9" hidden="1" x14ac:dyDescent="0.25">
      <c r="A1387" s="103" t="s">
        <v>3749</v>
      </c>
      <c r="B1387" s="104" t="s">
        <v>3752</v>
      </c>
      <c r="C1387" s="105" t="s">
        <v>95</v>
      </c>
      <c r="D1387" s="105">
        <v>0</v>
      </c>
      <c r="E1387" s="124" t="s">
        <v>523</v>
      </c>
      <c r="F1387" s="125" t="str">
        <f>IF(ISNUMBER(E1387),D1387*E1387,"")</f>
        <v/>
      </c>
      <c r="G1387" s="126" t="e">
        <f>IF(A1387&lt;&gt;"",IF(AND(#REF!="Padrão",$H$4=#REF!),BDI!$B$17,IF(AND(#REF!="Padrão",$H$4=#REF!),BDI!#REF!,IF(AND(#REF!="Diferenciado",$H$4=#REF!),BDI!$E$17,IF(AND(#REF!="Diferenciado",$H$4=#REF!),BDI!#REF!,IF(#REF!="ZERO",0))))),"")</f>
        <v>#REF!</v>
      </c>
      <c r="H1387" s="127" t="str">
        <f>IF(ISNUMBER(E1387),ROUND(E1387*(1+G1387),2),"")</f>
        <v/>
      </c>
      <c r="I1387" s="125" t="str">
        <f>IF(ISNUMBER(E1387),ROUND(H1387*D1387,2),"")</f>
        <v/>
      </c>
    </row>
    <row r="1388" spans="1:9" hidden="1" x14ac:dyDescent="0.25">
      <c r="A1388" s="103" t="s">
        <v>3750</v>
      </c>
      <c r="B1388" s="104" t="s">
        <v>3753</v>
      </c>
      <c r="C1388" s="105" t="s">
        <v>95</v>
      </c>
      <c r="D1388" s="105">
        <v>0</v>
      </c>
      <c r="E1388" s="124" t="s">
        <v>523</v>
      </c>
      <c r="F1388" s="125" t="str">
        <f>IF(ISNUMBER(E1388),D1388*E1388,"")</f>
        <v/>
      </c>
      <c r="G1388" s="126" t="e">
        <f>IF(A1388&lt;&gt;"",IF(AND(#REF!="Padrão",$H$4=#REF!),BDI!$B$17,IF(AND(#REF!="Padrão",$H$4=#REF!),BDI!#REF!,IF(AND(#REF!="Diferenciado",$H$4=#REF!),BDI!$E$17,IF(AND(#REF!="Diferenciado",$H$4=#REF!),BDI!#REF!,IF(#REF!="ZERO",0))))),"")</f>
        <v>#REF!</v>
      </c>
      <c r="H1388" s="127" t="str">
        <f>IF(ISNUMBER(E1388),ROUND(E1388*(1+G1388),2),"")</f>
        <v/>
      </c>
      <c r="I1388" s="125" t="str">
        <f>IF(ISNUMBER(E1388),ROUND(H1388*D1388,2),"")</f>
        <v/>
      </c>
    </row>
    <row r="1389" spans="1:9" hidden="1" x14ac:dyDescent="0.25">
      <c r="A1389" s="103" t="s">
        <v>5024</v>
      </c>
      <c r="B1389" s="104" t="s">
        <v>3831</v>
      </c>
      <c r="C1389" s="105" t="s">
        <v>93</v>
      </c>
      <c r="D1389" s="105">
        <v>0</v>
      </c>
      <c r="E1389" s="124">
        <f ca="1">OFFSET(INDEX(Composições!A:J,MATCH(Orçamentária!A1389,Composições!A:A,0),8),2,0)</f>
        <v>48.390653499999999</v>
      </c>
      <c r="F1389" s="125">
        <f t="shared" ref="F1389:F1452" ca="1" si="75">IF(ISNUMBER(E1389),D1389*E1389,"")</f>
        <v>0</v>
      </c>
      <c r="G1389" s="126" t="e">
        <f>IF(A1389&lt;&gt;"",IF(AND(#REF!="Padrão",$H$4=#REF!),BDI!$B$17,IF(AND(#REF!="Padrão",$H$4=#REF!),BDI!#REF!,IF(AND(#REF!="Diferenciado",$H$4=#REF!),BDI!$E$17,IF(AND(#REF!="Diferenciado",$H$4=#REF!),BDI!#REF!,IF(#REF!="ZERO",0))))),"")</f>
        <v>#REF!</v>
      </c>
      <c r="H1389" s="127" t="e">
        <f t="shared" ref="H1389:H1452" ca="1" si="76">IF(ISNUMBER(E1389),ROUND(E1389*(1+G1389),2),"")</f>
        <v>#REF!</v>
      </c>
      <c r="I1389" s="125" t="e">
        <f t="shared" ref="I1389:I1452" ca="1" si="77">IF(ISNUMBER(E1389),ROUND(H1389*D1389,2),"")</f>
        <v>#REF!</v>
      </c>
    </row>
    <row r="1390" spans="1:9" hidden="1" x14ac:dyDescent="0.25">
      <c r="A1390" s="103" t="s">
        <v>5025</v>
      </c>
      <c r="B1390" s="104" t="s">
        <v>3832</v>
      </c>
      <c r="C1390" s="105" t="s">
        <v>20</v>
      </c>
      <c r="D1390" s="105">
        <v>0</v>
      </c>
      <c r="E1390" s="124" t="s">
        <v>523</v>
      </c>
      <c r="F1390" s="125" t="str">
        <f t="shared" si="75"/>
        <v/>
      </c>
      <c r="G1390" s="126" t="e">
        <f>IF(A1390&lt;&gt;"",IF(AND(#REF!="Padrão",$H$4=#REF!),BDI!$B$17,IF(AND(#REF!="Padrão",$H$4=#REF!),BDI!#REF!,IF(AND(#REF!="Diferenciado",$H$4=#REF!),BDI!$E$17,IF(AND(#REF!="Diferenciado",$H$4=#REF!),BDI!#REF!,IF(#REF!="ZERO",0))))),"")</f>
        <v>#REF!</v>
      </c>
      <c r="H1390" s="127" t="str">
        <f t="shared" si="76"/>
        <v/>
      </c>
      <c r="I1390" s="125" t="str">
        <f t="shared" si="77"/>
        <v/>
      </c>
    </row>
    <row r="1391" spans="1:9" hidden="1" x14ac:dyDescent="0.25">
      <c r="A1391" s="103" t="s">
        <v>5026</v>
      </c>
      <c r="B1391" s="104" t="s">
        <v>3833</v>
      </c>
      <c r="C1391" s="105" t="s">
        <v>20</v>
      </c>
      <c r="D1391" s="105">
        <v>0</v>
      </c>
      <c r="E1391" s="124">
        <f ca="1">OFFSET(INDEX(Composições!A:J,MATCH(Orçamentária!A1391,Composições!A:A,0),8),2,0)</f>
        <v>17.621502499999998</v>
      </c>
      <c r="F1391" s="125">
        <f t="shared" ca="1" si="75"/>
        <v>0</v>
      </c>
      <c r="G1391" s="126" t="e">
        <f>IF(A1391&lt;&gt;"",IF(AND(#REF!="Padrão",$H$4=#REF!),BDI!$B$17,IF(AND(#REF!="Padrão",$H$4=#REF!),BDI!#REF!,IF(AND(#REF!="Diferenciado",$H$4=#REF!),BDI!$E$17,IF(AND(#REF!="Diferenciado",$H$4=#REF!),BDI!#REF!,IF(#REF!="ZERO",0))))),"")</f>
        <v>#REF!</v>
      </c>
      <c r="H1391" s="127" t="e">
        <f t="shared" ca="1" si="76"/>
        <v>#REF!</v>
      </c>
      <c r="I1391" s="125" t="e">
        <f t="shared" ca="1" si="77"/>
        <v>#REF!</v>
      </c>
    </row>
    <row r="1392" spans="1:9" hidden="1" x14ac:dyDescent="0.25">
      <c r="A1392" s="103" t="s">
        <v>5027</v>
      </c>
      <c r="B1392" s="104" t="s">
        <v>3834</v>
      </c>
      <c r="C1392" s="105" t="s">
        <v>93</v>
      </c>
      <c r="D1392" s="105">
        <v>0</v>
      </c>
      <c r="E1392" s="124">
        <f ca="1">OFFSET(INDEX(Composições!A:J,MATCH(Orçamentária!A1392,Composições!A:A,0),8),2,0)</f>
        <v>33.416249999999991</v>
      </c>
      <c r="F1392" s="125">
        <f t="shared" ca="1" si="75"/>
        <v>0</v>
      </c>
      <c r="G1392" s="126" t="e">
        <f>IF(A1392&lt;&gt;"",IF(AND(#REF!="Padrão",$H$4=#REF!),BDI!$B$17,IF(AND(#REF!="Padrão",$H$4=#REF!),BDI!#REF!,IF(AND(#REF!="Diferenciado",$H$4=#REF!),BDI!$E$17,IF(AND(#REF!="Diferenciado",$H$4=#REF!),BDI!#REF!,IF(#REF!="ZERO",0))))),"")</f>
        <v>#REF!</v>
      </c>
      <c r="H1392" s="127" t="e">
        <f t="shared" ca="1" si="76"/>
        <v>#REF!</v>
      </c>
      <c r="I1392" s="125" t="e">
        <f t="shared" ca="1" si="77"/>
        <v>#REF!</v>
      </c>
    </row>
    <row r="1393" spans="1:9" hidden="1" x14ac:dyDescent="0.25">
      <c r="A1393" s="103" t="s">
        <v>5028</v>
      </c>
      <c r="B1393" s="104" t="s">
        <v>3835</v>
      </c>
      <c r="C1393" s="105" t="s">
        <v>1462</v>
      </c>
      <c r="D1393" s="105">
        <v>0</v>
      </c>
      <c r="E1393" s="124">
        <f ca="1">OFFSET(INDEX(Composições!A:J,MATCH(Orçamentária!A1393,Composições!A:A,0),8),2,0)</f>
        <v>103.759</v>
      </c>
      <c r="F1393" s="125">
        <f t="shared" ca="1" si="75"/>
        <v>0</v>
      </c>
      <c r="G1393" s="126" t="e">
        <f>IF(A1393&lt;&gt;"",IF(AND(#REF!="Padrão",$H$4=#REF!),BDI!$B$17,IF(AND(#REF!="Padrão",$H$4=#REF!),BDI!#REF!,IF(AND(#REF!="Diferenciado",$H$4=#REF!),BDI!$E$17,IF(AND(#REF!="Diferenciado",$H$4=#REF!),BDI!#REF!,IF(#REF!="ZERO",0))))),"")</f>
        <v>#REF!</v>
      </c>
      <c r="H1393" s="127" t="e">
        <f t="shared" ca="1" si="76"/>
        <v>#REF!</v>
      </c>
      <c r="I1393" s="125" t="e">
        <f t="shared" ca="1" si="77"/>
        <v>#REF!</v>
      </c>
    </row>
    <row r="1394" spans="1:9" hidden="1" x14ac:dyDescent="0.25">
      <c r="A1394" s="103" t="s">
        <v>5029</v>
      </c>
      <c r="B1394" s="104" t="s">
        <v>3836</v>
      </c>
      <c r="C1394" s="105" t="s">
        <v>20</v>
      </c>
      <c r="D1394" s="105">
        <v>0</v>
      </c>
      <c r="E1394" s="124" t="s">
        <v>523</v>
      </c>
      <c r="F1394" s="125" t="str">
        <f t="shared" si="75"/>
        <v/>
      </c>
      <c r="G1394" s="126" t="e">
        <f>IF(A1394&lt;&gt;"",IF(AND(#REF!="Padrão",$H$4=#REF!),BDI!$B$17,IF(AND(#REF!="Padrão",$H$4=#REF!),BDI!#REF!,IF(AND(#REF!="Diferenciado",$H$4=#REF!),BDI!$E$17,IF(AND(#REF!="Diferenciado",$H$4=#REF!),BDI!#REF!,IF(#REF!="ZERO",0))))),"")</f>
        <v>#REF!</v>
      </c>
      <c r="H1394" s="127" t="str">
        <f t="shared" si="76"/>
        <v/>
      </c>
      <c r="I1394" s="125" t="str">
        <f t="shared" si="77"/>
        <v/>
      </c>
    </row>
    <row r="1395" spans="1:9" hidden="1" x14ac:dyDescent="0.25">
      <c r="A1395" s="103" t="s">
        <v>5030</v>
      </c>
      <c r="B1395" s="104" t="s">
        <v>3837</v>
      </c>
      <c r="C1395" s="105" t="s">
        <v>20</v>
      </c>
      <c r="D1395" s="105">
        <v>0</v>
      </c>
      <c r="E1395" s="124">
        <f ca="1">OFFSET(INDEX(Composições!A:J,MATCH(Orçamentária!A1395,Composições!A:A,0),8),2,0)</f>
        <v>18.303614849999999</v>
      </c>
      <c r="F1395" s="125">
        <f t="shared" ca="1" si="75"/>
        <v>0</v>
      </c>
      <c r="G1395" s="126" t="e">
        <f>IF(A1395&lt;&gt;"",IF(AND(#REF!="Padrão",$H$4=#REF!),BDI!$B$17,IF(AND(#REF!="Padrão",$H$4=#REF!),BDI!#REF!,IF(AND(#REF!="Diferenciado",$H$4=#REF!),BDI!$E$17,IF(AND(#REF!="Diferenciado",$H$4=#REF!),BDI!#REF!,IF(#REF!="ZERO",0))))),"")</f>
        <v>#REF!</v>
      </c>
      <c r="H1395" s="127" t="e">
        <f t="shared" ca="1" si="76"/>
        <v>#REF!</v>
      </c>
      <c r="I1395" s="125" t="e">
        <f t="shared" ca="1" si="77"/>
        <v>#REF!</v>
      </c>
    </row>
    <row r="1396" spans="1:9" hidden="1" x14ac:dyDescent="0.25">
      <c r="A1396" s="103" t="s">
        <v>5031</v>
      </c>
      <c r="B1396" s="104" t="s">
        <v>3838</v>
      </c>
      <c r="C1396" s="105" t="s">
        <v>102</v>
      </c>
      <c r="D1396" s="105">
        <v>0</v>
      </c>
      <c r="E1396" s="124">
        <f ca="1">OFFSET(INDEX(Composições!A:J,MATCH(Orçamentária!A1396,Composições!A:A,0),8),2,0)</f>
        <v>6.8209999999999997</v>
      </c>
      <c r="F1396" s="125">
        <f t="shared" ca="1" si="75"/>
        <v>0</v>
      </c>
      <c r="G1396" s="126" t="e">
        <f>IF(A1396&lt;&gt;"",IF(AND(#REF!="Padrão",$H$4=#REF!),BDI!$B$17,IF(AND(#REF!="Padrão",$H$4=#REF!),BDI!#REF!,IF(AND(#REF!="Diferenciado",$H$4=#REF!),BDI!$E$17,IF(AND(#REF!="Diferenciado",$H$4=#REF!),BDI!#REF!,IF(#REF!="ZERO",0))))),"")</f>
        <v>#REF!</v>
      </c>
      <c r="H1396" s="127" t="e">
        <f t="shared" ca="1" si="76"/>
        <v>#REF!</v>
      </c>
      <c r="I1396" s="125" t="e">
        <f t="shared" ca="1" si="77"/>
        <v>#REF!</v>
      </c>
    </row>
    <row r="1397" spans="1:9" hidden="1" x14ac:dyDescent="0.25">
      <c r="A1397" s="103" t="s">
        <v>5032</v>
      </c>
      <c r="B1397" s="104" t="s">
        <v>3839</v>
      </c>
      <c r="C1397" s="105" t="s">
        <v>20</v>
      </c>
      <c r="D1397" s="105">
        <v>0</v>
      </c>
      <c r="E1397" s="124" t="s">
        <v>523</v>
      </c>
      <c r="F1397" s="125" t="str">
        <f t="shared" si="75"/>
        <v/>
      </c>
      <c r="G1397" s="126" t="e">
        <f>IF(A1397&lt;&gt;"",IF(AND(#REF!="Padrão",$H$4=#REF!),BDI!$B$17,IF(AND(#REF!="Padrão",$H$4=#REF!),BDI!#REF!,IF(AND(#REF!="Diferenciado",$H$4=#REF!),BDI!$E$17,IF(AND(#REF!="Diferenciado",$H$4=#REF!),BDI!#REF!,IF(#REF!="ZERO",0))))),"")</f>
        <v>#REF!</v>
      </c>
      <c r="H1397" s="127" t="str">
        <f t="shared" si="76"/>
        <v/>
      </c>
      <c r="I1397" s="125" t="str">
        <f t="shared" si="77"/>
        <v/>
      </c>
    </row>
    <row r="1398" spans="1:9" hidden="1" x14ac:dyDescent="0.25">
      <c r="A1398" s="103" t="s">
        <v>5033</v>
      </c>
      <c r="B1398" s="104" t="s">
        <v>3840</v>
      </c>
      <c r="C1398" s="105" t="s">
        <v>20</v>
      </c>
      <c r="D1398" s="105">
        <v>0</v>
      </c>
      <c r="E1398" s="124" t="s">
        <v>523</v>
      </c>
      <c r="F1398" s="125" t="str">
        <f t="shared" si="75"/>
        <v/>
      </c>
      <c r="G1398" s="126" t="e">
        <f>IF(A1398&lt;&gt;"",IF(AND(#REF!="Padrão",$H$4=#REF!),BDI!$B$17,IF(AND(#REF!="Padrão",$H$4=#REF!),BDI!#REF!,IF(AND(#REF!="Diferenciado",$H$4=#REF!),BDI!$E$17,IF(AND(#REF!="Diferenciado",$H$4=#REF!),BDI!#REF!,IF(#REF!="ZERO",0))))),"")</f>
        <v>#REF!</v>
      </c>
      <c r="H1398" s="127" t="str">
        <f t="shared" si="76"/>
        <v/>
      </c>
      <c r="I1398" s="125" t="str">
        <f t="shared" si="77"/>
        <v/>
      </c>
    </row>
    <row r="1399" spans="1:9" hidden="1" x14ac:dyDescent="0.25">
      <c r="A1399" s="103" t="s">
        <v>5034</v>
      </c>
      <c r="B1399" s="104" t="s">
        <v>3841</v>
      </c>
      <c r="C1399" s="105" t="s">
        <v>20</v>
      </c>
      <c r="D1399" s="105">
        <v>0</v>
      </c>
      <c r="E1399" s="124" t="s">
        <v>523</v>
      </c>
      <c r="F1399" s="125" t="str">
        <f t="shared" si="75"/>
        <v/>
      </c>
      <c r="G1399" s="126" t="e">
        <f>IF(A1399&lt;&gt;"",IF(AND(#REF!="Padrão",$H$4=#REF!),BDI!$B$17,IF(AND(#REF!="Padrão",$H$4=#REF!),BDI!#REF!,IF(AND(#REF!="Diferenciado",$H$4=#REF!),BDI!$E$17,IF(AND(#REF!="Diferenciado",$H$4=#REF!),BDI!#REF!,IF(#REF!="ZERO",0))))),"")</f>
        <v>#REF!</v>
      </c>
      <c r="H1399" s="127" t="str">
        <f t="shared" si="76"/>
        <v/>
      </c>
      <c r="I1399" s="125" t="str">
        <f t="shared" si="77"/>
        <v/>
      </c>
    </row>
    <row r="1400" spans="1:9" hidden="1" x14ac:dyDescent="0.25">
      <c r="A1400" s="103" t="s">
        <v>5035</v>
      </c>
      <c r="B1400" s="104" t="s">
        <v>3842</v>
      </c>
      <c r="C1400" s="105" t="s">
        <v>20</v>
      </c>
      <c r="D1400" s="105">
        <v>0</v>
      </c>
      <c r="E1400" s="124" t="s">
        <v>523</v>
      </c>
      <c r="F1400" s="125" t="str">
        <f t="shared" si="75"/>
        <v/>
      </c>
      <c r="G1400" s="126" t="e">
        <f>IF(A1400&lt;&gt;"",IF(AND(#REF!="Padrão",$H$4=#REF!),BDI!$B$17,IF(AND(#REF!="Padrão",$H$4=#REF!),BDI!#REF!,IF(AND(#REF!="Diferenciado",$H$4=#REF!),BDI!$E$17,IF(AND(#REF!="Diferenciado",$H$4=#REF!),BDI!#REF!,IF(#REF!="ZERO",0))))),"")</f>
        <v>#REF!</v>
      </c>
      <c r="H1400" s="127" t="str">
        <f t="shared" si="76"/>
        <v/>
      </c>
      <c r="I1400" s="125" t="str">
        <f t="shared" si="77"/>
        <v/>
      </c>
    </row>
    <row r="1401" spans="1:9" hidden="1" x14ac:dyDescent="0.25">
      <c r="A1401" s="103" t="s">
        <v>5036</v>
      </c>
      <c r="B1401" s="104" t="s">
        <v>3843</v>
      </c>
      <c r="C1401" s="105" t="s">
        <v>20</v>
      </c>
      <c r="D1401" s="105">
        <v>0</v>
      </c>
      <c r="E1401" s="124" t="s">
        <v>523</v>
      </c>
      <c r="F1401" s="125" t="str">
        <f t="shared" si="75"/>
        <v/>
      </c>
      <c r="G1401" s="126" t="e">
        <f>IF(A1401&lt;&gt;"",IF(AND(#REF!="Padrão",$H$4=#REF!),BDI!$B$17,IF(AND(#REF!="Padrão",$H$4=#REF!),BDI!#REF!,IF(AND(#REF!="Diferenciado",$H$4=#REF!),BDI!$E$17,IF(AND(#REF!="Diferenciado",$H$4=#REF!),BDI!#REF!,IF(#REF!="ZERO",0))))),"")</f>
        <v>#REF!</v>
      </c>
      <c r="H1401" s="127" t="str">
        <f t="shared" si="76"/>
        <v/>
      </c>
      <c r="I1401" s="125" t="str">
        <f t="shared" si="77"/>
        <v/>
      </c>
    </row>
    <row r="1402" spans="1:9" hidden="1" x14ac:dyDescent="0.25">
      <c r="A1402" s="103" t="s">
        <v>5037</v>
      </c>
      <c r="B1402" s="104" t="s">
        <v>3844</v>
      </c>
      <c r="C1402" s="105" t="s">
        <v>20</v>
      </c>
      <c r="D1402" s="105">
        <v>0</v>
      </c>
      <c r="E1402" s="124" t="s">
        <v>523</v>
      </c>
      <c r="F1402" s="125" t="str">
        <f t="shared" si="75"/>
        <v/>
      </c>
      <c r="G1402" s="126" t="e">
        <f>IF(A1402&lt;&gt;"",IF(AND(#REF!="Padrão",$H$4=#REF!),BDI!$B$17,IF(AND(#REF!="Padrão",$H$4=#REF!),BDI!#REF!,IF(AND(#REF!="Diferenciado",$H$4=#REF!),BDI!$E$17,IF(AND(#REF!="Diferenciado",$H$4=#REF!),BDI!#REF!,IF(#REF!="ZERO",0))))),"")</f>
        <v>#REF!</v>
      </c>
      <c r="H1402" s="127" t="str">
        <f t="shared" si="76"/>
        <v/>
      </c>
      <c r="I1402" s="125" t="str">
        <f t="shared" si="77"/>
        <v/>
      </c>
    </row>
    <row r="1403" spans="1:9" hidden="1" x14ac:dyDescent="0.25">
      <c r="A1403" s="103" t="s">
        <v>5038</v>
      </c>
      <c r="B1403" s="104" t="s">
        <v>3845</v>
      </c>
      <c r="C1403" s="105" t="s">
        <v>20</v>
      </c>
      <c r="D1403" s="105">
        <v>0</v>
      </c>
      <c r="E1403" s="124" t="s">
        <v>523</v>
      </c>
      <c r="F1403" s="125" t="str">
        <f t="shared" si="75"/>
        <v/>
      </c>
      <c r="G1403" s="126" t="e">
        <f>IF(A1403&lt;&gt;"",IF(AND(#REF!="Padrão",$H$4=#REF!),BDI!$B$17,IF(AND(#REF!="Padrão",$H$4=#REF!),BDI!#REF!,IF(AND(#REF!="Diferenciado",$H$4=#REF!),BDI!$E$17,IF(AND(#REF!="Diferenciado",$H$4=#REF!),BDI!#REF!,IF(#REF!="ZERO",0))))),"")</f>
        <v>#REF!</v>
      </c>
      <c r="H1403" s="127" t="str">
        <f t="shared" si="76"/>
        <v/>
      </c>
      <c r="I1403" s="125" t="str">
        <f t="shared" si="77"/>
        <v/>
      </c>
    </row>
    <row r="1404" spans="1:9" hidden="1" x14ac:dyDescent="0.25">
      <c r="A1404" s="103" t="s">
        <v>5039</v>
      </c>
      <c r="B1404" s="104" t="s">
        <v>3846</v>
      </c>
      <c r="C1404" s="105" t="s">
        <v>20</v>
      </c>
      <c r="D1404" s="105">
        <v>0</v>
      </c>
      <c r="E1404" s="124" t="s">
        <v>523</v>
      </c>
      <c r="F1404" s="125" t="str">
        <f t="shared" si="75"/>
        <v/>
      </c>
      <c r="G1404" s="126" t="e">
        <f>IF(A1404&lt;&gt;"",IF(AND(#REF!="Padrão",$H$4=#REF!),BDI!$B$17,IF(AND(#REF!="Padrão",$H$4=#REF!),BDI!#REF!,IF(AND(#REF!="Diferenciado",$H$4=#REF!),BDI!$E$17,IF(AND(#REF!="Diferenciado",$H$4=#REF!),BDI!#REF!,IF(#REF!="ZERO",0))))),"")</f>
        <v>#REF!</v>
      </c>
      <c r="H1404" s="127" t="str">
        <f t="shared" si="76"/>
        <v/>
      </c>
      <c r="I1404" s="125" t="str">
        <f t="shared" si="77"/>
        <v/>
      </c>
    </row>
    <row r="1405" spans="1:9" hidden="1" x14ac:dyDescent="0.25">
      <c r="A1405" s="103" t="s">
        <v>5040</v>
      </c>
      <c r="B1405" s="104" t="s">
        <v>3847</v>
      </c>
      <c r="C1405" s="105" t="s">
        <v>20</v>
      </c>
      <c r="D1405" s="105">
        <v>0</v>
      </c>
      <c r="E1405" s="124" t="s">
        <v>523</v>
      </c>
      <c r="F1405" s="125" t="str">
        <f t="shared" si="75"/>
        <v/>
      </c>
      <c r="G1405" s="126" t="e">
        <f>IF(A1405&lt;&gt;"",IF(AND(#REF!="Padrão",$H$4=#REF!),BDI!$B$17,IF(AND(#REF!="Padrão",$H$4=#REF!),BDI!#REF!,IF(AND(#REF!="Diferenciado",$H$4=#REF!),BDI!$E$17,IF(AND(#REF!="Diferenciado",$H$4=#REF!),BDI!#REF!,IF(#REF!="ZERO",0))))),"")</f>
        <v>#REF!</v>
      </c>
      <c r="H1405" s="127" t="str">
        <f t="shared" si="76"/>
        <v/>
      </c>
      <c r="I1405" s="125" t="str">
        <f t="shared" si="77"/>
        <v/>
      </c>
    </row>
    <row r="1406" spans="1:9" hidden="1" x14ac:dyDescent="0.25">
      <c r="A1406" s="103" t="s">
        <v>5041</v>
      </c>
      <c r="B1406" s="104" t="s">
        <v>3848</v>
      </c>
      <c r="C1406" s="105" t="s">
        <v>20</v>
      </c>
      <c r="D1406" s="105">
        <v>0</v>
      </c>
      <c r="E1406" s="124" t="s">
        <v>523</v>
      </c>
      <c r="F1406" s="125" t="str">
        <f t="shared" si="75"/>
        <v/>
      </c>
      <c r="G1406" s="126" t="e">
        <f>IF(A1406&lt;&gt;"",IF(AND(#REF!="Padrão",$H$4=#REF!),BDI!$B$17,IF(AND(#REF!="Padrão",$H$4=#REF!),BDI!#REF!,IF(AND(#REF!="Diferenciado",$H$4=#REF!),BDI!$E$17,IF(AND(#REF!="Diferenciado",$H$4=#REF!),BDI!#REF!,IF(#REF!="ZERO",0))))),"")</f>
        <v>#REF!</v>
      </c>
      <c r="H1406" s="127" t="str">
        <f t="shared" si="76"/>
        <v/>
      </c>
      <c r="I1406" s="125" t="str">
        <f t="shared" si="77"/>
        <v/>
      </c>
    </row>
    <row r="1407" spans="1:9" ht="25.5" hidden="1" x14ac:dyDescent="0.25">
      <c r="A1407" s="103" t="s">
        <v>5042</v>
      </c>
      <c r="B1407" s="104" t="s">
        <v>3849</v>
      </c>
      <c r="C1407" s="105" t="s">
        <v>20</v>
      </c>
      <c r="D1407" s="105">
        <v>0</v>
      </c>
      <c r="E1407" s="124" t="s">
        <v>523</v>
      </c>
      <c r="F1407" s="125" t="str">
        <f t="shared" si="75"/>
        <v/>
      </c>
      <c r="G1407" s="126" t="e">
        <f>IF(A1407&lt;&gt;"",IF(AND(#REF!="Padrão",$H$4=#REF!),BDI!$B$17,IF(AND(#REF!="Padrão",$H$4=#REF!),BDI!#REF!,IF(AND(#REF!="Diferenciado",$H$4=#REF!),BDI!$E$17,IF(AND(#REF!="Diferenciado",$H$4=#REF!),BDI!#REF!,IF(#REF!="ZERO",0))))),"")</f>
        <v>#REF!</v>
      </c>
      <c r="H1407" s="127" t="str">
        <f t="shared" si="76"/>
        <v/>
      </c>
      <c r="I1407" s="125" t="str">
        <f t="shared" si="77"/>
        <v/>
      </c>
    </row>
    <row r="1408" spans="1:9" hidden="1" x14ac:dyDescent="0.25">
      <c r="A1408" s="103" t="s">
        <v>5043</v>
      </c>
      <c r="B1408" s="104" t="s">
        <v>3850</v>
      </c>
      <c r="C1408" s="105" t="s">
        <v>2463</v>
      </c>
      <c r="D1408" s="105">
        <v>0</v>
      </c>
      <c r="E1408" s="124">
        <f ca="1">OFFSET(INDEX(Composições!A:J,MATCH(Orçamentária!A1408,Composições!A:A,0),8),2,0)</f>
        <v>10862.747603899999</v>
      </c>
      <c r="F1408" s="125">
        <f t="shared" ca="1" si="75"/>
        <v>0</v>
      </c>
      <c r="G1408" s="126" t="e">
        <f>IF(A1408&lt;&gt;"",IF(AND(#REF!="Padrão",$H$4=#REF!),BDI!$B$17,IF(AND(#REF!="Padrão",$H$4=#REF!),BDI!#REF!,IF(AND(#REF!="Diferenciado",$H$4=#REF!),BDI!$E$17,IF(AND(#REF!="Diferenciado",$H$4=#REF!),BDI!#REF!,IF(#REF!="ZERO",0))))),"")</f>
        <v>#REF!</v>
      </c>
      <c r="H1408" s="127" t="e">
        <f t="shared" ca="1" si="76"/>
        <v>#REF!</v>
      </c>
      <c r="I1408" s="125" t="e">
        <f t="shared" ca="1" si="77"/>
        <v>#REF!</v>
      </c>
    </row>
    <row r="1409" spans="1:9" hidden="1" x14ac:dyDescent="0.25">
      <c r="A1409" s="103" t="s">
        <v>5044</v>
      </c>
      <c r="B1409" s="104" t="s">
        <v>3851</v>
      </c>
      <c r="C1409" s="105" t="s">
        <v>2463</v>
      </c>
      <c r="D1409" s="105">
        <v>0</v>
      </c>
      <c r="E1409" s="124">
        <f ca="1">OFFSET(INDEX(Composições!A:J,MATCH(Orçamentária!A1409,Composições!A:A,0),8),2,0)</f>
        <v>10862.747603899999</v>
      </c>
      <c r="F1409" s="125">
        <f t="shared" ca="1" si="75"/>
        <v>0</v>
      </c>
      <c r="G1409" s="126" t="e">
        <f>IF(A1409&lt;&gt;"",IF(AND(#REF!="Padrão",$H$4=#REF!),BDI!$B$17,IF(AND(#REF!="Padrão",$H$4=#REF!),BDI!#REF!,IF(AND(#REF!="Diferenciado",$H$4=#REF!),BDI!$E$17,IF(AND(#REF!="Diferenciado",$H$4=#REF!),BDI!#REF!,IF(#REF!="ZERO",0))))),"")</f>
        <v>#REF!</v>
      </c>
      <c r="H1409" s="127" t="e">
        <f t="shared" ca="1" si="76"/>
        <v>#REF!</v>
      </c>
      <c r="I1409" s="125" t="e">
        <f t="shared" ca="1" si="77"/>
        <v>#REF!</v>
      </c>
    </row>
    <row r="1410" spans="1:9" hidden="1" x14ac:dyDescent="0.25">
      <c r="A1410" s="103" t="s">
        <v>5045</v>
      </c>
      <c r="B1410" s="104" t="s">
        <v>3852</v>
      </c>
      <c r="C1410" s="105" t="s">
        <v>2463</v>
      </c>
      <c r="D1410" s="105">
        <v>0</v>
      </c>
      <c r="E1410" s="124">
        <f ca="1">OFFSET(INDEX(Composições!A:J,MATCH(Orçamentária!A1410,Composições!A:A,0),8),2,0)</f>
        <v>3963.3811757500002</v>
      </c>
      <c r="F1410" s="125">
        <f t="shared" ca="1" si="75"/>
        <v>0</v>
      </c>
      <c r="G1410" s="126" t="e">
        <f>IF(A1410&lt;&gt;"",IF(AND(#REF!="Padrão",$H$4=#REF!),BDI!$B$17,IF(AND(#REF!="Padrão",$H$4=#REF!),BDI!#REF!,IF(AND(#REF!="Diferenciado",$H$4=#REF!),BDI!$E$17,IF(AND(#REF!="Diferenciado",$H$4=#REF!),BDI!#REF!,IF(#REF!="ZERO",0))))),"")</f>
        <v>#REF!</v>
      </c>
      <c r="H1410" s="127" t="e">
        <f t="shared" ca="1" si="76"/>
        <v>#REF!</v>
      </c>
      <c r="I1410" s="125" t="e">
        <f t="shared" ca="1" si="77"/>
        <v>#REF!</v>
      </c>
    </row>
    <row r="1411" spans="1:9" hidden="1" x14ac:dyDescent="0.25">
      <c r="A1411" s="103" t="s">
        <v>5046</v>
      </c>
      <c r="B1411" s="104" t="s">
        <v>3853</v>
      </c>
      <c r="C1411" s="105" t="s">
        <v>2463</v>
      </c>
      <c r="D1411" s="105">
        <v>0</v>
      </c>
      <c r="E1411" s="124">
        <f ca="1">OFFSET(INDEX(Composições!A:J,MATCH(Orçamentária!A1411,Composições!A:A,0),8),2,0)</f>
        <v>1894.6652797499999</v>
      </c>
      <c r="F1411" s="125">
        <f t="shared" ca="1" si="75"/>
        <v>0</v>
      </c>
      <c r="G1411" s="126" t="e">
        <f>IF(A1411&lt;&gt;"",IF(AND(#REF!="Padrão",$H$4=#REF!),BDI!$B$17,IF(AND(#REF!="Padrão",$H$4=#REF!),BDI!#REF!,IF(AND(#REF!="Diferenciado",$H$4=#REF!),BDI!$E$17,IF(AND(#REF!="Diferenciado",$H$4=#REF!),BDI!#REF!,IF(#REF!="ZERO",0))))),"")</f>
        <v>#REF!</v>
      </c>
      <c r="H1411" s="127" t="e">
        <f t="shared" ca="1" si="76"/>
        <v>#REF!</v>
      </c>
      <c r="I1411" s="125" t="e">
        <f t="shared" ca="1" si="77"/>
        <v>#REF!</v>
      </c>
    </row>
    <row r="1412" spans="1:9" hidden="1" x14ac:dyDescent="0.25">
      <c r="A1412" s="103" t="s">
        <v>5047</v>
      </c>
      <c r="B1412" s="104" t="s">
        <v>3854</v>
      </c>
      <c r="C1412" s="105" t="s">
        <v>2463</v>
      </c>
      <c r="D1412" s="105">
        <v>0</v>
      </c>
      <c r="E1412" s="124">
        <f ca="1">OFFSET(INDEX(Composições!A:J,MATCH(Orçamentária!A1412,Composições!A:A,0),8),2,0)</f>
        <v>2136.3469925999998</v>
      </c>
      <c r="F1412" s="125">
        <f t="shared" ca="1" si="75"/>
        <v>0</v>
      </c>
      <c r="G1412" s="126" t="e">
        <f>IF(A1412&lt;&gt;"",IF(AND(#REF!="Padrão",$H$4=#REF!),BDI!$B$17,IF(AND(#REF!="Padrão",$H$4=#REF!),BDI!#REF!,IF(AND(#REF!="Diferenciado",$H$4=#REF!),BDI!$E$17,IF(AND(#REF!="Diferenciado",$H$4=#REF!),BDI!#REF!,IF(#REF!="ZERO",0))))),"")</f>
        <v>#REF!</v>
      </c>
      <c r="H1412" s="127" t="e">
        <f t="shared" ca="1" si="76"/>
        <v>#REF!</v>
      </c>
      <c r="I1412" s="125" t="e">
        <f t="shared" ca="1" si="77"/>
        <v>#REF!</v>
      </c>
    </row>
    <row r="1413" spans="1:9" hidden="1" x14ac:dyDescent="0.25">
      <c r="A1413" s="103" t="s">
        <v>5048</v>
      </c>
      <c r="B1413" s="104" t="s">
        <v>3855</v>
      </c>
      <c r="C1413" s="105" t="s">
        <v>2463</v>
      </c>
      <c r="D1413" s="105">
        <v>0</v>
      </c>
      <c r="E1413" s="124">
        <f ca="1">OFFSET(INDEX(Composições!A:J,MATCH(Orçamentária!A1413,Composições!A:A,0),8),2,0)</f>
        <v>1541.5911724999999</v>
      </c>
      <c r="F1413" s="125">
        <f t="shared" ca="1" si="75"/>
        <v>0</v>
      </c>
      <c r="G1413" s="126" t="e">
        <f>IF(A1413&lt;&gt;"",IF(AND(#REF!="Padrão",$H$4=#REF!),BDI!$B$17,IF(AND(#REF!="Padrão",$H$4=#REF!),BDI!#REF!,IF(AND(#REF!="Diferenciado",$H$4=#REF!),BDI!$E$17,IF(AND(#REF!="Diferenciado",$H$4=#REF!),BDI!#REF!,IF(#REF!="ZERO",0))))),"")</f>
        <v>#REF!</v>
      </c>
      <c r="H1413" s="127" t="e">
        <f t="shared" ca="1" si="76"/>
        <v>#REF!</v>
      </c>
      <c r="I1413" s="125" t="e">
        <f t="shared" ca="1" si="77"/>
        <v>#REF!</v>
      </c>
    </row>
    <row r="1414" spans="1:9" hidden="1" x14ac:dyDescent="0.25">
      <c r="A1414" s="103" t="s">
        <v>5049</v>
      </c>
      <c r="B1414" s="104" t="s">
        <v>3856</v>
      </c>
      <c r="C1414" s="105" t="s">
        <v>2463</v>
      </c>
      <c r="D1414" s="105">
        <v>0</v>
      </c>
      <c r="E1414" s="124">
        <f ca="1">OFFSET(INDEX(Composições!A:J,MATCH(Orçamentária!A1414,Composições!A:A,0),8),2,0)</f>
        <v>3198.5530391999996</v>
      </c>
      <c r="F1414" s="125">
        <f t="shared" ca="1" si="75"/>
        <v>0</v>
      </c>
      <c r="G1414" s="126" t="e">
        <f>IF(A1414&lt;&gt;"",IF(AND(#REF!="Padrão",$H$4=#REF!),BDI!$B$17,IF(AND(#REF!="Padrão",$H$4=#REF!),BDI!#REF!,IF(AND(#REF!="Diferenciado",$H$4=#REF!),BDI!$E$17,IF(AND(#REF!="Diferenciado",$H$4=#REF!),BDI!#REF!,IF(#REF!="ZERO",0))))),"")</f>
        <v>#REF!</v>
      </c>
      <c r="H1414" s="127" t="e">
        <f t="shared" ca="1" si="76"/>
        <v>#REF!</v>
      </c>
      <c r="I1414" s="125" t="e">
        <f t="shared" ca="1" si="77"/>
        <v>#REF!</v>
      </c>
    </row>
    <row r="1415" spans="1:9" hidden="1" x14ac:dyDescent="0.25">
      <c r="A1415" s="103" t="s">
        <v>5050</v>
      </c>
      <c r="B1415" s="104" t="s">
        <v>3857</v>
      </c>
      <c r="C1415" s="105" t="s">
        <v>2463</v>
      </c>
      <c r="D1415" s="105">
        <v>0</v>
      </c>
      <c r="E1415" s="124">
        <f ca="1">OFFSET(INDEX(Composições!A:J,MATCH(Orçamentária!A1415,Composições!A:A,0),8),2,0)</f>
        <v>3198.5530391999996</v>
      </c>
      <c r="F1415" s="125">
        <f t="shared" ca="1" si="75"/>
        <v>0</v>
      </c>
      <c r="G1415" s="126" t="e">
        <f>IF(A1415&lt;&gt;"",IF(AND(#REF!="Padrão",$H$4=#REF!),BDI!$B$17,IF(AND(#REF!="Padrão",$H$4=#REF!),BDI!#REF!,IF(AND(#REF!="Diferenciado",$H$4=#REF!),BDI!$E$17,IF(AND(#REF!="Diferenciado",$H$4=#REF!),BDI!#REF!,IF(#REF!="ZERO",0))))),"")</f>
        <v>#REF!</v>
      </c>
      <c r="H1415" s="127" t="e">
        <f t="shared" ca="1" si="76"/>
        <v>#REF!</v>
      </c>
      <c r="I1415" s="125" t="e">
        <f t="shared" ca="1" si="77"/>
        <v>#REF!</v>
      </c>
    </row>
    <row r="1416" spans="1:9" hidden="1" x14ac:dyDescent="0.25">
      <c r="A1416" s="103" t="s">
        <v>5051</v>
      </c>
      <c r="B1416" s="104" t="s">
        <v>3858</v>
      </c>
      <c r="C1416" s="105" t="s">
        <v>2463</v>
      </c>
      <c r="D1416" s="105">
        <v>0</v>
      </c>
      <c r="E1416" s="124">
        <f ca="1">OFFSET(INDEX(Composições!A:J,MATCH(Orçamentária!A1416,Composições!A:A,0),8),2,0)</f>
        <v>3198.5530391999996</v>
      </c>
      <c r="F1416" s="125">
        <f t="shared" ca="1" si="75"/>
        <v>0</v>
      </c>
      <c r="G1416" s="126" t="e">
        <f>IF(A1416&lt;&gt;"",IF(AND(#REF!="Padrão",$H$4=#REF!),BDI!$B$17,IF(AND(#REF!="Padrão",$H$4=#REF!),BDI!#REF!,IF(AND(#REF!="Diferenciado",$H$4=#REF!),BDI!$E$17,IF(AND(#REF!="Diferenciado",$H$4=#REF!),BDI!#REF!,IF(#REF!="ZERO",0))))),"")</f>
        <v>#REF!</v>
      </c>
      <c r="H1416" s="127" t="e">
        <f t="shared" ca="1" si="76"/>
        <v>#REF!</v>
      </c>
      <c r="I1416" s="125" t="e">
        <f t="shared" ca="1" si="77"/>
        <v>#REF!</v>
      </c>
    </row>
    <row r="1417" spans="1:9" hidden="1" x14ac:dyDescent="0.25">
      <c r="A1417" s="103" t="s">
        <v>5052</v>
      </c>
      <c r="B1417" s="104" t="s">
        <v>3859</v>
      </c>
      <c r="C1417" s="105" t="s">
        <v>2463</v>
      </c>
      <c r="D1417" s="105">
        <v>0</v>
      </c>
      <c r="E1417" s="124">
        <f ca="1">OFFSET(INDEX(Composições!A:J,MATCH(Orçamentária!A1417,Composições!A:A,0),8),2,0)</f>
        <v>3198.5530391999996</v>
      </c>
      <c r="F1417" s="125">
        <f t="shared" ca="1" si="75"/>
        <v>0</v>
      </c>
      <c r="G1417" s="126" t="e">
        <f>IF(A1417&lt;&gt;"",IF(AND(#REF!="Padrão",$H$4=#REF!),BDI!$B$17,IF(AND(#REF!="Padrão",$H$4=#REF!),BDI!#REF!,IF(AND(#REF!="Diferenciado",$H$4=#REF!),BDI!$E$17,IF(AND(#REF!="Diferenciado",$H$4=#REF!),BDI!#REF!,IF(#REF!="ZERO",0))))),"")</f>
        <v>#REF!</v>
      </c>
      <c r="H1417" s="127" t="e">
        <f t="shared" ca="1" si="76"/>
        <v>#REF!</v>
      </c>
      <c r="I1417" s="125" t="e">
        <f t="shared" ca="1" si="77"/>
        <v>#REF!</v>
      </c>
    </row>
    <row r="1418" spans="1:9" hidden="1" x14ac:dyDescent="0.25">
      <c r="A1418" s="103" t="s">
        <v>5053</v>
      </c>
      <c r="B1418" s="104" t="s">
        <v>3860</v>
      </c>
      <c r="C1418" s="105" t="s">
        <v>2463</v>
      </c>
      <c r="D1418" s="105">
        <v>0</v>
      </c>
      <c r="E1418" s="124">
        <f ca="1">OFFSET(INDEX(Composições!A:J,MATCH(Orçamentária!A1418,Composições!A:A,0),8),2,0)</f>
        <v>2632.6398926499996</v>
      </c>
      <c r="F1418" s="125">
        <f t="shared" ca="1" si="75"/>
        <v>0</v>
      </c>
      <c r="G1418" s="126" t="e">
        <f>IF(A1418&lt;&gt;"",IF(AND(#REF!="Padrão",$H$4=#REF!),BDI!$B$17,IF(AND(#REF!="Padrão",$H$4=#REF!),BDI!#REF!,IF(AND(#REF!="Diferenciado",$H$4=#REF!),BDI!$E$17,IF(AND(#REF!="Diferenciado",$H$4=#REF!),BDI!#REF!,IF(#REF!="ZERO",0))))),"")</f>
        <v>#REF!</v>
      </c>
      <c r="H1418" s="127" t="e">
        <f t="shared" ca="1" si="76"/>
        <v>#REF!</v>
      </c>
      <c r="I1418" s="125" t="e">
        <f t="shared" ca="1" si="77"/>
        <v>#REF!</v>
      </c>
    </row>
    <row r="1419" spans="1:9" hidden="1" x14ac:dyDescent="0.25">
      <c r="A1419" s="103" t="s">
        <v>5054</v>
      </c>
      <c r="B1419" s="104" t="s">
        <v>3861</v>
      </c>
      <c r="C1419" s="105" t="s">
        <v>2463</v>
      </c>
      <c r="D1419" s="105">
        <v>0</v>
      </c>
      <c r="E1419" s="124">
        <f ca="1">OFFSET(INDEX(Composições!A:J,MATCH(Orçamentária!A1419,Composições!A:A,0),8),2,0)</f>
        <v>2031.9166228499998</v>
      </c>
      <c r="F1419" s="125">
        <f t="shared" ca="1" si="75"/>
        <v>0</v>
      </c>
      <c r="G1419" s="126" t="e">
        <f>IF(A1419&lt;&gt;"",IF(AND(#REF!="Padrão",$H$4=#REF!),BDI!$B$17,IF(AND(#REF!="Padrão",$H$4=#REF!),BDI!#REF!,IF(AND(#REF!="Diferenciado",$H$4=#REF!),BDI!$E$17,IF(AND(#REF!="Diferenciado",$H$4=#REF!),BDI!#REF!,IF(#REF!="ZERO",0))))),"")</f>
        <v>#REF!</v>
      </c>
      <c r="H1419" s="127" t="e">
        <f t="shared" ca="1" si="76"/>
        <v>#REF!</v>
      </c>
      <c r="I1419" s="125" t="e">
        <f t="shared" ca="1" si="77"/>
        <v>#REF!</v>
      </c>
    </row>
    <row r="1420" spans="1:9" hidden="1" x14ac:dyDescent="0.25">
      <c r="A1420" s="103" t="s">
        <v>5055</v>
      </c>
      <c r="B1420" s="104" t="s">
        <v>3862</v>
      </c>
      <c r="C1420" s="105" t="s">
        <v>2463</v>
      </c>
      <c r="D1420" s="105">
        <v>0</v>
      </c>
      <c r="E1420" s="124">
        <f ca="1">OFFSET(INDEX(Composições!A:J,MATCH(Orçamentária!A1420,Composições!A:A,0),8),2,0)</f>
        <v>3198.5530391999996</v>
      </c>
      <c r="F1420" s="125">
        <f t="shared" ca="1" si="75"/>
        <v>0</v>
      </c>
      <c r="G1420" s="126" t="e">
        <f>IF(A1420&lt;&gt;"",IF(AND(#REF!="Padrão",$H$4=#REF!),BDI!$B$17,IF(AND(#REF!="Padrão",$H$4=#REF!),BDI!#REF!,IF(AND(#REF!="Diferenciado",$H$4=#REF!),BDI!$E$17,IF(AND(#REF!="Diferenciado",$H$4=#REF!),BDI!#REF!,IF(#REF!="ZERO",0))))),"")</f>
        <v>#REF!</v>
      </c>
      <c r="H1420" s="127" t="e">
        <f t="shared" ca="1" si="76"/>
        <v>#REF!</v>
      </c>
      <c r="I1420" s="125" t="e">
        <f t="shared" ca="1" si="77"/>
        <v>#REF!</v>
      </c>
    </row>
    <row r="1421" spans="1:9" hidden="1" x14ac:dyDescent="0.25">
      <c r="A1421" s="103" t="s">
        <v>5056</v>
      </c>
      <c r="B1421" s="104" t="s">
        <v>3863</v>
      </c>
      <c r="C1421" s="105" t="s">
        <v>2463</v>
      </c>
      <c r="D1421" s="105">
        <v>0</v>
      </c>
      <c r="E1421" s="124">
        <f ca="1">OFFSET(INDEX(Composições!A:J,MATCH(Orçamentária!A1421,Composições!A:A,0),8),2,0)</f>
        <v>3198.5530391999996</v>
      </c>
      <c r="F1421" s="125">
        <f t="shared" ca="1" si="75"/>
        <v>0</v>
      </c>
      <c r="G1421" s="126" t="e">
        <f>IF(A1421&lt;&gt;"",IF(AND(#REF!="Padrão",$H$4=#REF!),BDI!$B$17,IF(AND(#REF!="Padrão",$H$4=#REF!),BDI!#REF!,IF(AND(#REF!="Diferenciado",$H$4=#REF!),BDI!$E$17,IF(AND(#REF!="Diferenciado",$H$4=#REF!),BDI!#REF!,IF(#REF!="ZERO",0))))),"")</f>
        <v>#REF!</v>
      </c>
      <c r="H1421" s="127" t="e">
        <f t="shared" ca="1" si="76"/>
        <v>#REF!</v>
      </c>
      <c r="I1421" s="125" t="e">
        <f t="shared" ca="1" si="77"/>
        <v>#REF!</v>
      </c>
    </row>
    <row r="1422" spans="1:9" hidden="1" x14ac:dyDescent="0.25">
      <c r="A1422" s="103" t="s">
        <v>5057</v>
      </c>
      <c r="B1422" s="104" t="s">
        <v>3864</v>
      </c>
      <c r="C1422" s="105" t="s">
        <v>2463</v>
      </c>
      <c r="D1422" s="105">
        <v>0</v>
      </c>
      <c r="E1422" s="124">
        <f ca="1">OFFSET(INDEX(Composições!A:J,MATCH(Orçamentária!A1422,Composições!A:A,0),8),2,0)</f>
        <v>3198.5530391999996</v>
      </c>
      <c r="F1422" s="125">
        <f t="shared" ca="1" si="75"/>
        <v>0</v>
      </c>
      <c r="G1422" s="126" t="e">
        <f>IF(A1422&lt;&gt;"",IF(AND(#REF!="Padrão",$H$4=#REF!),BDI!$B$17,IF(AND(#REF!="Padrão",$H$4=#REF!),BDI!#REF!,IF(AND(#REF!="Diferenciado",$H$4=#REF!),BDI!$E$17,IF(AND(#REF!="Diferenciado",$H$4=#REF!),BDI!#REF!,IF(#REF!="ZERO",0))))),"")</f>
        <v>#REF!</v>
      </c>
      <c r="H1422" s="127" t="e">
        <f t="shared" ca="1" si="76"/>
        <v>#REF!</v>
      </c>
      <c r="I1422" s="125" t="e">
        <f t="shared" ca="1" si="77"/>
        <v>#REF!</v>
      </c>
    </row>
    <row r="1423" spans="1:9" hidden="1" x14ac:dyDescent="0.25">
      <c r="A1423" s="103" t="s">
        <v>5058</v>
      </c>
      <c r="B1423" s="104" t="s">
        <v>3865</v>
      </c>
      <c r="C1423" s="105" t="s">
        <v>2463</v>
      </c>
      <c r="D1423" s="105">
        <v>0</v>
      </c>
      <c r="E1423" s="124">
        <f ca="1">OFFSET(INDEX(Composições!A:J,MATCH(Orçamentária!A1423,Composições!A:A,0),8),2,0)</f>
        <v>3198.5530391999996</v>
      </c>
      <c r="F1423" s="125">
        <f t="shared" ca="1" si="75"/>
        <v>0</v>
      </c>
      <c r="G1423" s="126" t="e">
        <f>IF(A1423&lt;&gt;"",IF(AND(#REF!="Padrão",$H$4=#REF!),BDI!$B$17,IF(AND(#REF!="Padrão",$H$4=#REF!),BDI!#REF!,IF(AND(#REF!="Diferenciado",$H$4=#REF!),BDI!$E$17,IF(AND(#REF!="Diferenciado",$H$4=#REF!),BDI!#REF!,IF(#REF!="ZERO",0))))),"")</f>
        <v>#REF!</v>
      </c>
      <c r="H1423" s="127" t="e">
        <f t="shared" ca="1" si="76"/>
        <v>#REF!</v>
      </c>
      <c r="I1423" s="125" t="e">
        <f t="shared" ca="1" si="77"/>
        <v>#REF!</v>
      </c>
    </row>
    <row r="1424" spans="1:9" hidden="1" x14ac:dyDescent="0.25">
      <c r="A1424" s="103" t="s">
        <v>5059</v>
      </c>
      <c r="B1424" s="104" t="s">
        <v>3866</v>
      </c>
      <c r="C1424" s="105" t="s">
        <v>2463</v>
      </c>
      <c r="D1424" s="105">
        <v>0</v>
      </c>
      <c r="E1424" s="124">
        <f ca="1">OFFSET(INDEX(Composições!A:J,MATCH(Orçamentária!A1424,Composições!A:A,0),8),2,0)</f>
        <v>2632.6398926499996</v>
      </c>
      <c r="F1424" s="125">
        <f t="shared" ca="1" si="75"/>
        <v>0</v>
      </c>
      <c r="G1424" s="126" t="e">
        <f>IF(A1424&lt;&gt;"",IF(AND(#REF!="Padrão",$H$4=#REF!),BDI!$B$17,IF(AND(#REF!="Padrão",$H$4=#REF!),BDI!#REF!,IF(AND(#REF!="Diferenciado",$H$4=#REF!),BDI!$E$17,IF(AND(#REF!="Diferenciado",$H$4=#REF!),BDI!#REF!,IF(#REF!="ZERO",0))))),"")</f>
        <v>#REF!</v>
      </c>
      <c r="H1424" s="127" t="e">
        <f t="shared" ca="1" si="76"/>
        <v>#REF!</v>
      </c>
      <c r="I1424" s="125" t="e">
        <f t="shared" ca="1" si="77"/>
        <v>#REF!</v>
      </c>
    </row>
    <row r="1425" spans="1:9" hidden="1" x14ac:dyDescent="0.25">
      <c r="A1425" s="103" t="s">
        <v>5060</v>
      </c>
      <c r="B1425" s="104" t="s">
        <v>3867</v>
      </c>
      <c r="C1425" s="105" t="s">
        <v>2463</v>
      </c>
      <c r="D1425" s="105">
        <v>0</v>
      </c>
      <c r="E1425" s="124">
        <f ca="1">OFFSET(INDEX(Composições!A:J,MATCH(Orçamentária!A1425,Composições!A:A,0),8),2,0)</f>
        <v>2632.6398926499996</v>
      </c>
      <c r="F1425" s="125">
        <f t="shared" ca="1" si="75"/>
        <v>0</v>
      </c>
      <c r="G1425" s="126" t="e">
        <f>IF(A1425&lt;&gt;"",IF(AND(#REF!="Padrão",$H$4=#REF!),BDI!$B$17,IF(AND(#REF!="Padrão",$H$4=#REF!),BDI!#REF!,IF(AND(#REF!="Diferenciado",$H$4=#REF!),BDI!$E$17,IF(AND(#REF!="Diferenciado",$H$4=#REF!),BDI!#REF!,IF(#REF!="ZERO",0))))),"")</f>
        <v>#REF!</v>
      </c>
      <c r="H1425" s="127" t="e">
        <f t="shared" ca="1" si="76"/>
        <v>#REF!</v>
      </c>
      <c r="I1425" s="125" t="e">
        <f t="shared" ca="1" si="77"/>
        <v>#REF!</v>
      </c>
    </row>
    <row r="1426" spans="1:9" hidden="1" x14ac:dyDescent="0.25">
      <c r="A1426" s="103" t="s">
        <v>5061</v>
      </c>
      <c r="B1426" s="104" t="s">
        <v>3868</v>
      </c>
      <c r="C1426" s="105" t="s">
        <v>2463</v>
      </c>
      <c r="D1426" s="105">
        <v>0</v>
      </c>
      <c r="E1426" s="124">
        <f ca="1">OFFSET(INDEX(Composições!A:J,MATCH(Orçamentária!A1426,Composições!A:A,0),8),2,0)</f>
        <v>2632.6398926499996</v>
      </c>
      <c r="F1426" s="125">
        <f t="shared" ca="1" si="75"/>
        <v>0</v>
      </c>
      <c r="G1426" s="126" t="e">
        <f>IF(A1426&lt;&gt;"",IF(AND(#REF!="Padrão",$H$4=#REF!),BDI!$B$17,IF(AND(#REF!="Padrão",$H$4=#REF!),BDI!#REF!,IF(AND(#REF!="Diferenciado",$H$4=#REF!),BDI!$E$17,IF(AND(#REF!="Diferenciado",$H$4=#REF!),BDI!#REF!,IF(#REF!="ZERO",0))))),"")</f>
        <v>#REF!</v>
      </c>
      <c r="H1426" s="127" t="e">
        <f t="shared" ca="1" si="76"/>
        <v>#REF!</v>
      </c>
      <c r="I1426" s="125" t="e">
        <f t="shared" ca="1" si="77"/>
        <v>#REF!</v>
      </c>
    </row>
    <row r="1427" spans="1:9" hidden="1" x14ac:dyDescent="0.25">
      <c r="A1427" s="103" t="s">
        <v>5062</v>
      </c>
      <c r="B1427" s="104" t="s">
        <v>3869</v>
      </c>
      <c r="C1427" s="105" t="s">
        <v>2463</v>
      </c>
      <c r="D1427" s="105">
        <v>0</v>
      </c>
      <c r="E1427" s="124">
        <f ca="1">OFFSET(INDEX(Composições!A:J,MATCH(Orçamentária!A1427,Composições!A:A,0),8),2,0)</f>
        <v>2632.6398926499996</v>
      </c>
      <c r="F1427" s="125">
        <f t="shared" ca="1" si="75"/>
        <v>0</v>
      </c>
      <c r="G1427" s="126" t="e">
        <f>IF(A1427&lt;&gt;"",IF(AND(#REF!="Padrão",$H$4=#REF!),BDI!$B$17,IF(AND(#REF!="Padrão",$H$4=#REF!),BDI!#REF!,IF(AND(#REF!="Diferenciado",$H$4=#REF!),BDI!$E$17,IF(AND(#REF!="Diferenciado",$H$4=#REF!),BDI!#REF!,IF(#REF!="ZERO",0))))),"")</f>
        <v>#REF!</v>
      </c>
      <c r="H1427" s="127" t="e">
        <f t="shared" ca="1" si="76"/>
        <v>#REF!</v>
      </c>
      <c r="I1427" s="125" t="e">
        <f t="shared" ca="1" si="77"/>
        <v>#REF!</v>
      </c>
    </row>
    <row r="1428" spans="1:9" hidden="1" x14ac:dyDescent="0.25">
      <c r="A1428" s="103" t="s">
        <v>5063</v>
      </c>
      <c r="B1428" s="104" t="s">
        <v>3870</v>
      </c>
      <c r="C1428" s="105" t="s">
        <v>20</v>
      </c>
      <c r="D1428" s="105">
        <v>0</v>
      </c>
      <c r="E1428" s="124" t="s">
        <v>523</v>
      </c>
      <c r="F1428" s="125" t="str">
        <f t="shared" si="75"/>
        <v/>
      </c>
      <c r="G1428" s="126" t="e">
        <f>IF(A1428&lt;&gt;"",IF(AND(#REF!="Padrão",$H$4=#REF!),BDI!$B$17,IF(AND(#REF!="Padrão",$H$4=#REF!),BDI!#REF!,IF(AND(#REF!="Diferenciado",$H$4=#REF!),BDI!$E$17,IF(AND(#REF!="Diferenciado",$H$4=#REF!),BDI!#REF!,IF(#REF!="ZERO",0))))),"")</f>
        <v>#REF!</v>
      </c>
      <c r="H1428" s="127" t="str">
        <f t="shared" si="76"/>
        <v/>
      </c>
      <c r="I1428" s="125" t="str">
        <f t="shared" si="77"/>
        <v/>
      </c>
    </row>
    <row r="1429" spans="1:9" hidden="1" x14ac:dyDescent="0.25">
      <c r="A1429" s="103" t="s">
        <v>5064</v>
      </c>
      <c r="B1429" s="104" t="s">
        <v>3871</v>
      </c>
      <c r="C1429" s="105" t="s">
        <v>20</v>
      </c>
      <c r="D1429" s="105">
        <v>0</v>
      </c>
      <c r="E1429" s="124" t="s">
        <v>523</v>
      </c>
      <c r="F1429" s="125" t="str">
        <f t="shared" si="75"/>
        <v/>
      </c>
      <c r="G1429" s="126" t="e">
        <f>IF(A1429&lt;&gt;"",IF(AND(#REF!="Padrão",$H$4=#REF!),BDI!$B$17,IF(AND(#REF!="Padrão",$H$4=#REF!),BDI!#REF!,IF(AND(#REF!="Diferenciado",$H$4=#REF!),BDI!$E$17,IF(AND(#REF!="Diferenciado",$H$4=#REF!),BDI!#REF!,IF(#REF!="ZERO",0))))),"")</f>
        <v>#REF!</v>
      </c>
      <c r="H1429" s="127" t="str">
        <f t="shared" si="76"/>
        <v/>
      </c>
      <c r="I1429" s="125" t="str">
        <f t="shared" si="77"/>
        <v/>
      </c>
    </row>
    <row r="1430" spans="1:9" hidden="1" x14ac:dyDescent="0.25">
      <c r="A1430" s="103" t="s">
        <v>5065</v>
      </c>
      <c r="B1430" s="104" t="s">
        <v>3872</v>
      </c>
      <c r="C1430" s="105" t="s">
        <v>20</v>
      </c>
      <c r="D1430" s="105">
        <v>0</v>
      </c>
      <c r="E1430" s="124" t="s">
        <v>523</v>
      </c>
      <c r="F1430" s="125" t="str">
        <f t="shared" si="75"/>
        <v/>
      </c>
      <c r="G1430" s="126" t="e">
        <f>IF(A1430&lt;&gt;"",IF(AND(#REF!="Padrão",$H$4=#REF!),BDI!$B$17,IF(AND(#REF!="Padrão",$H$4=#REF!),BDI!#REF!,IF(AND(#REF!="Diferenciado",$H$4=#REF!),BDI!$E$17,IF(AND(#REF!="Diferenciado",$H$4=#REF!),BDI!#REF!,IF(#REF!="ZERO",0))))),"")</f>
        <v>#REF!</v>
      </c>
      <c r="H1430" s="127" t="str">
        <f t="shared" si="76"/>
        <v/>
      </c>
      <c r="I1430" s="125" t="str">
        <f t="shared" si="77"/>
        <v/>
      </c>
    </row>
    <row r="1431" spans="1:9" hidden="1" x14ac:dyDescent="0.25">
      <c r="A1431" s="103" t="s">
        <v>5066</v>
      </c>
      <c r="B1431" s="104" t="s">
        <v>3873</v>
      </c>
      <c r="C1431" s="105" t="s">
        <v>20</v>
      </c>
      <c r="D1431" s="105">
        <v>0</v>
      </c>
      <c r="E1431" s="124" t="s">
        <v>523</v>
      </c>
      <c r="F1431" s="125" t="str">
        <f t="shared" si="75"/>
        <v/>
      </c>
      <c r="G1431" s="126" t="e">
        <f>IF(A1431&lt;&gt;"",IF(AND(#REF!="Padrão",$H$4=#REF!),BDI!$B$17,IF(AND(#REF!="Padrão",$H$4=#REF!),BDI!#REF!,IF(AND(#REF!="Diferenciado",$H$4=#REF!),BDI!$E$17,IF(AND(#REF!="Diferenciado",$H$4=#REF!),BDI!#REF!,IF(#REF!="ZERO",0))))),"")</f>
        <v>#REF!</v>
      </c>
      <c r="H1431" s="127" t="str">
        <f t="shared" si="76"/>
        <v/>
      </c>
      <c r="I1431" s="125" t="str">
        <f t="shared" si="77"/>
        <v/>
      </c>
    </row>
    <row r="1432" spans="1:9" hidden="1" x14ac:dyDescent="0.25">
      <c r="A1432" s="103" t="s">
        <v>5067</v>
      </c>
      <c r="B1432" s="104" t="s">
        <v>3874</v>
      </c>
      <c r="C1432" s="105" t="s">
        <v>20</v>
      </c>
      <c r="D1432" s="105">
        <v>0</v>
      </c>
      <c r="E1432" s="124" t="s">
        <v>523</v>
      </c>
      <c r="F1432" s="125" t="str">
        <f t="shared" si="75"/>
        <v/>
      </c>
      <c r="G1432" s="126" t="e">
        <f>IF(A1432&lt;&gt;"",IF(AND(#REF!="Padrão",$H$4=#REF!),BDI!$B$17,IF(AND(#REF!="Padrão",$H$4=#REF!),BDI!#REF!,IF(AND(#REF!="Diferenciado",$H$4=#REF!),BDI!$E$17,IF(AND(#REF!="Diferenciado",$H$4=#REF!),BDI!#REF!,IF(#REF!="ZERO",0))))),"")</f>
        <v>#REF!</v>
      </c>
      <c r="H1432" s="127" t="str">
        <f t="shared" si="76"/>
        <v/>
      </c>
      <c r="I1432" s="125" t="str">
        <f t="shared" si="77"/>
        <v/>
      </c>
    </row>
    <row r="1433" spans="1:9" hidden="1" x14ac:dyDescent="0.25">
      <c r="A1433" s="103" t="s">
        <v>5068</v>
      </c>
      <c r="B1433" s="104" t="s">
        <v>3875</v>
      </c>
      <c r="C1433" s="105" t="s">
        <v>20</v>
      </c>
      <c r="D1433" s="105">
        <v>0</v>
      </c>
      <c r="E1433" s="124" t="s">
        <v>523</v>
      </c>
      <c r="F1433" s="125" t="str">
        <f t="shared" si="75"/>
        <v/>
      </c>
      <c r="G1433" s="126" t="e">
        <f>IF(A1433&lt;&gt;"",IF(AND(#REF!="Padrão",$H$4=#REF!),BDI!$B$17,IF(AND(#REF!="Padrão",$H$4=#REF!),BDI!#REF!,IF(AND(#REF!="Diferenciado",$H$4=#REF!),BDI!$E$17,IF(AND(#REF!="Diferenciado",$H$4=#REF!),BDI!#REF!,IF(#REF!="ZERO",0))))),"")</f>
        <v>#REF!</v>
      </c>
      <c r="H1433" s="127" t="str">
        <f t="shared" si="76"/>
        <v/>
      </c>
      <c r="I1433" s="125" t="str">
        <f t="shared" si="77"/>
        <v/>
      </c>
    </row>
    <row r="1434" spans="1:9" hidden="1" x14ac:dyDescent="0.25">
      <c r="A1434" s="103" t="s">
        <v>5069</v>
      </c>
      <c r="B1434" s="104" t="s">
        <v>3876</v>
      </c>
      <c r="C1434" s="105" t="s">
        <v>20</v>
      </c>
      <c r="D1434" s="105">
        <v>0</v>
      </c>
      <c r="E1434" s="124" t="s">
        <v>523</v>
      </c>
      <c r="F1434" s="125" t="str">
        <f t="shared" si="75"/>
        <v/>
      </c>
      <c r="G1434" s="126" t="e">
        <f>IF(A1434&lt;&gt;"",IF(AND(#REF!="Padrão",$H$4=#REF!),BDI!$B$17,IF(AND(#REF!="Padrão",$H$4=#REF!),BDI!#REF!,IF(AND(#REF!="Diferenciado",$H$4=#REF!),BDI!$E$17,IF(AND(#REF!="Diferenciado",$H$4=#REF!),BDI!#REF!,IF(#REF!="ZERO",0))))),"")</f>
        <v>#REF!</v>
      </c>
      <c r="H1434" s="127" t="str">
        <f t="shared" si="76"/>
        <v/>
      </c>
      <c r="I1434" s="125" t="str">
        <f t="shared" si="77"/>
        <v/>
      </c>
    </row>
    <row r="1435" spans="1:9" hidden="1" x14ac:dyDescent="0.25">
      <c r="A1435" s="103" t="s">
        <v>5070</v>
      </c>
      <c r="B1435" s="104" t="s">
        <v>3877</v>
      </c>
      <c r="C1435" s="105" t="s">
        <v>20</v>
      </c>
      <c r="D1435" s="105">
        <v>0</v>
      </c>
      <c r="E1435" s="124" t="s">
        <v>523</v>
      </c>
      <c r="F1435" s="125" t="str">
        <f t="shared" si="75"/>
        <v/>
      </c>
      <c r="G1435" s="126" t="e">
        <f>IF(A1435&lt;&gt;"",IF(AND(#REF!="Padrão",$H$4=#REF!),BDI!$B$17,IF(AND(#REF!="Padrão",$H$4=#REF!),BDI!#REF!,IF(AND(#REF!="Diferenciado",$H$4=#REF!),BDI!$E$17,IF(AND(#REF!="Diferenciado",$H$4=#REF!),BDI!#REF!,IF(#REF!="ZERO",0))))),"")</f>
        <v>#REF!</v>
      </c>
      <c r="H1435" s="127" t="str">
        <f t="shared" si="76"/>
        <v/>
      </c>
      <c r="I1435" s="125" t="str">
        <f t="shared" si="77"/>
        <v/>
      </c>
    </row>
    <row r="1436" spans="1:9" hidden="1" x14ac:dyDescent="0.25">
      <c r="A1436" s="103" t="s">
        <v>5071</v>
      </c>
      <c r="B1436" s="104" t="s">
        <v>3878</v>
      </c>
      <c r="C1436" s="105" t="s">
        <v>20</v>
      </c>
      <c r="D1436" s="105">
        <v>0</v>
      </c>
      <c r="E1436" s="124" t="s">
        <v>523</v>
      </c>
      <c r="F1436" s="125" t="str">
        <f t="shared" si="75"/>
        <v/>
      </c>
      <c r="G1436" s="126" t="e">
        <f>IF(A1436&lt;&gt;"",IF(AND(#REF!="Padrão",$H$4=#REF!),BDI!$B$17,IF(AND(#REF!="Padrão",$H$4=#REF!),BDI!#REF!,IF(AND(#REF!="Diferenciado",$H$4=#REF!),BDI!$E$17,IF(AND(#REF!="Diferenciado",$H$4=#REF!),BDI!#REF!,IF(#REF!="ZERO",0))))),"")</f>
        <v>#REF!</v>
      </c>
      <c r="H1436" s="127" t="str">
        <f t="shared" si="76"/>
        <v/>
      </c>
      <c r="I1436" s="125" t="str">
        <f t="shared" si="77"/>
        <v/>
      </c>
    </row>
    <row r="1437" spans="1:9" hidden="1" x14ac:dyDescent="0.25">
      <c r="A1437" s="103" t="s">
        <v>5072</v>
      </c>
      <c r="B1437" s="104" t="s">
        <v>3879</v>
      </c>
      <c r="C1437" s="105" t="s">
        <v>20</v>
      </c>
      <c r="D1437" s="105">
        <v>0</v>
      </c>
      <c r="E1437" s="124" t="s">
        <v>523</v>
      </c>
      <c r="F1437" s="125" t="str">
        <f t="shared" si="75"/>
        <v/>
      </c>
      <c r="G1437" s="126" t="e">
        <f>IF(A1437&lt;&gt;"",IF(AND(#REF!="Padrão",$H$4=#REF!),BDI!$B$17,IF(AND(#REF!="Padrão",$H$4=#REF!),BDI!#REF!,IF(AND(#REF!="Diferenciado",$H$4=#REF!),BDI!$E$17,IF(AND(#REF!="Diferenciado",$H$4=#REF!),BDI!#REF!,IF(#REF!="ZERO",0))))),"")</f>
        <v>#REF!</v>
      </c>
      <c r="H1437" s="127" t="str">
        <f t="shared" si="76"/>
        <v/>
      </c>
      <c r="I1437" s="125" t="str">
        <f t="shared" si="77"/>
        <v/>
      </c>
    </row>
    <row r="1438" spans="1:9" hidden="1" x14ac:dyDescent="0.25">
      <c r="A1438" s="103" t="s">
        <v>5073</v>
      </c>
      <c r="B1438" s="104" t="s">
        <v>3880</v>
      </c>
      <c r="C1438" s="105" t="s">
        <v>20</v>
      </c>
      <c r="D1438" s="105">
        <v>0</v>
      </c>
      <c r="E1438" s="124" t="s">
        <v>523</v>
      </c>
      <c r="F1438" s="125" t="str">
        <f t="shared" si="75"/>
        <v/>
      </c>
      <c r="G1438" s="126" t="e">
        <f>IF(A1438&lt;&gt;"",IF(AND(#REF!="Padrão",$H$4=#REF!),BDI!$B$17,IF(AND(#REF!="Padrão",$H$4=#REF!),BDI!#REF!,IF(AND(#REF!="Diferenciado",$H$4=#REF!),BDI!$E$17,IF(AND(#REF!="Diferenciado",$H$4=#REF!),BDI!#REF!,IF(#REF!="ZERO",0))))),"")</f>
        <v>#REF!</v>
      </c>
      <c r="H1438" s="127" t="str">
        <f t="shared" si="76"/>
        <v/>
      </c>
      <c r="I1438" s="125" t="str">
        <f t="shared" si="77"/>
        <v/>
      </c>
    </row>
    <row r="1439" spans="1:9" hidden="1" x14ac:dyDescent="0.25">
      <c r="A1439" s="103" t="s">
        <v>5074</v>
      </c>
      <c r="B1439" s="104" t="s">
        <v>3881</v>
      </c>
      <c r="C1439" s="105" t="s">
        <v>20</v>
      </c>
      <c r="D1439" s="105">
        <v>0</v>
      </c>
      <c r="E1439" s="124" t="s">
        <v>523</v>
      </c>
      <c r="F1439" s="125" t="str">
        <f t="shared" si="75"/>
        <v/>
      </c>
      <c r="G1439" s="126" t="e">
        <f>IF(A1439&lt;&gt;"",IF(AND(#REF!="Padrão",$H$4=#REF!),BDI!$B$17,IF(AND(#REF!="Padrão",$H$4=#REF!),BDI!#REF!,IF(AND(#REF!="Diferenciado",$H$4=#REF!),BDI!$E$17,IF(AND(#REF!="Diferenciado",$H$4=#REF!),BDI!#REF!,IF(#REF!="ZERO",0))))),"")</f>
        <v>#REF!</v>
      </c>
      <c r="H1439" s="127" t="str">
        <f t="shared" si="76"/>
        <v/>
      </c>
      <c r="I1439" s="125" t="str">
        <f t="shared" si="77"/>
        <v/>
      </c>
    </row>
    <row r="1440" spans="1:9" hidden="1" x14ac:dyDescent="0.25">
      <c r="A1440" s="103" t="s">
        <v>5075</v>
      </c>
      <c r="B1440" s="104" t="s">
        <v>3882</v>
      </c>
      <c r="C1440" s="105" t="s">
        <v>93</v>
      </c>
      <c r="D1440" s="105">
        <v>0</v>
      </c>
      <c r="E1440" s="124" t="s">
        <v>523</v>
      </c>
      <c r="F1440" s="125" t="str">
        <f t="shared" si="75"/>
        <v/>
      </c>
      <c r="G1440" s="126" t="e">
        <f>IF(A1440&lt;&gt;"",IF(AND(#REF!="Padrão",$H$4=#REF!),BDI!$B$17,IF(AND(#REF!="Padrão",$H$4=#REF!),BDI!#REF!,IF(AND(#REF!="Diferenciado",$H$4=#REF!),BDI!$E$17,IF(AND(#REF!="Diferenciado",$H$4=#REF!),BDI!#REF!,IF(#REF!="ZERO",0))))),"")</f>
        <v>#REF!</v>
      </c>
      <c r="H1440" s="127" t="str">
        <f t="shared" si="76"/>
        <v/>
      </c>
      <c r="I1440" s="125" t="str">
        <f t="shared" si="77"/>
        <v/>
      </c>
    </row>
    <row r="1441" spans="1:9" hidden="1" x14ac:dyDescent="0.25">
      <c r="A1441" s="103" t="s">
        <v>5076</v>
      </c>
      <c r="B1441" s="104" t="s">
        <v>3883</v>
      </c>
      <c r="C1441" s="105" t="s">
        <v>20</v>
      </c>
      <c r="D1441" s="105">
        <v>0</v>
      </c>
      <c r="E1441" s="124" t="s">
        <v>523</v>
      </c>
      <c r="F1441" s="125" t="str">
        <f t="shared" si="75"/>
        <v/>
      </c>
      <c r="G1441" s="126" t="e">
        <f>IF(A1441&lt;&gt;"",IF(AND(#REF!="Padrão",$H$4=#REF!),BDI!$B$17,IF(AND(#REF!="Padrão",$H$4=#REF!),BDI!#REF!,IF(AND(#REF!="Diferenciado",$H$4=#REF!),BDI!$E$17,IF(AND(#REF!="Diferenciado",$H$4=#REF!),BDI!#REF!,IF(#REF!="ZERO",0))))),"")</f>
        <v>#REF!</v>
      </c>
      <c r="H1441" s="127" t="str">
        <f t="shared" si="76"/>
        <v/>
      </c>
      <c r="I1441" s="125" t="str">
        <f t="shared" si="77"/>
        <v/>
      </c>
    </row>
    <row r="1442" spans="1:9" hidden="1" x14ac:dyDescent="0.25">
      <c r="A1442" s="103" t="s">
        <v>5077</v>
      </c>
      <c r="B1442" s="104" t="s">
        <v>3884</v>
      </c>
      <c r="C1442" s="105" t="s">
        <v>6268</v>
      </c>
      <c r="D1442" s="105">
        <v>0</v>
      </c>
      <c r="E1442" s="124" t="s">
        <v>523</v>
      </c>
      <c r="F1442" s="125" t="str">
        <f t="shared" si="75"/>
        <v/>
      </c>
      <c r="G1442" s="126" t="e">
        <f>IF(A1442&lt;&gt;"",IF(AND(#REF!="Padrão",$H$4=#REF!),BDI!$B$17,IF(AND(#REF!="Padrão",$H$4=#REF!),BDI!#REF!,IF(AND(#REF!="Diferenciado",$H$4=#REF!),BDI!$E$17,IF(AND(#REF!="Diferenciado",$H$4=#REF!),BDI!#REF!,IF(#REF!="ZERO",0))))),"")</f>
        <v>#REF!</v>
      </c>
      <c r="H1442" s="127" t="str">
        <f t="shared" si="76"/>
        <v/>
      </c>
      <c r="I1442" s="125" t="str">
        <f t="shared" si="77"/>
        <v/>
      </c>
    </row>
    <row r="1443" spans="1:9" hidden="1" x14ac:dyDescent="0.25">
      <c r="A1443" s="103" t="s">
        <v>5078</v>
      </c>
      <c r="B1443" s="104" t="s">
        <v>3885</v>
      </c>
      <c r="C1443" s="105" t="s">
        <v>20</v>
      </c>
      <c r="D1443" s="105">
        <v>0</v>
      </c>
      <c r="E1443" s="124" t="s">
        <v>523</v>
      </c>
      <c r="F1443" s="125" t="str">
        <f t="shared" si="75"/>
        <v/>
      </c>
      <c r="G1443" s="126" t="e">
        <f>IF(A1443&lt;&gt;"",IF(AND(#REF!="Padrão",$H$4=#REF!),BDI!$B$17,IF(AND(#REF!="Padrão",$H$4=#REF!),BDI!#REF!,IF(AND(#REF!="Diferenciado",$H$4=#REF!),BDI!$E$17,IF(AND(#REF!="Diferenciado",$H$4=#REF!),BDI!#REF!,IF(#REF!="ZERO",0))))),"")</f>
        <v>#REF!</v>
      </c>
      <c r="H1443" s="127" t="str">
        <f t="shared" si="76"/>
        <v/>
      </c>
      <c r="I1443" s="125" t="str">
        <f t="shared" si="77"/>
        <v/>
      </c>
    </row>
    <row r="1444" spans="1:9" hidden="1" x14ac:dyDescent="0.25">
      <c r="A1444" s="103" t="s">
        <v>5079</v>
      </c>
      <c r="B1444" s="104" t="s">
        <v>3886</v>
      </c>
      <c r="C1444" s="105" t="s">
        <v>20</v>
      </c>
      <c r="D1444" s="105">
        <v>0</v>
      </c>
      <c r="E1444" s="124" t="s">
        <v>523</v>
      </c>
      <c r="F1444" s="125" t="str">
        <f t="shared" si="75"/>
        <v/>
      </c>
      <c r="G1444" s="126" t="e">
        <f>IF(A1444&lt;&gt;"",IF(AND(#REF!="Padrão",$H$4=#REF!),BDI!$B$17,IF(AND(#REF!="Padrão",$H$4=#REF!),BDI!#REF!,IF(AND(#REF!="Diferenciado",$H$4=#REF!),BDI!$E$17,IF(AND(#REF!="Diferenciado",$H$4=#REF!),BDI!#REF!,IF(#REF!="ZERO",0))))),"")</f>
        <v>#REF!</v>
      </c>
      <c r="H1444" s="127" t="str">
        <f t="shared" si="76"/>
        <v/>
      </c>
      <c r="I1444" s="125" t="str">
        <f t="shared" si="77"/>
        <v/>
      </c>
    </row>
    <row r="1445" spans="1:9" hidden="1" x14ac:dyDescent="0.25">
      <c r="A1445" s="103" t="s">
        <v>5080</v>
      </c>
      <c r="B1445" s="104" t="s">
        <v>3887</v>
      </c>
      <c r="C1445" s="105" t="s">
        <v>20</v>
      </c>
      <c r="D1445" s="105">
        <v>0</v>
      </c>
      <c r="E1445" s="124" t="s">
        <v>523</v>
      </c>
      <c r="F1445" s="125" t="str">
        <f t="shared" si="75"/>
        <v/>
      </c>
      <c r="G1445" s="126" t="e">
        <f>IF(A1445&lt;&gt;"",IF(AND(#REF!="Padrão",$H$4=#REF!),BDI!$B$17,IF(AND(#REF!="Padrão",$H$4=#REF!),BDI!#REF!,IF(AND(#REF!="Diferenciado",$H$4=#REF!),BDI!$E$17,IF(AND(#REF!="Diferenciado",$H$4=#REF!),BDI!#REF!,IF(#REF!="ZERO",0))))),"")</f>
        <v>#REF!</v>
      </c>
      <c r="H1445" s="127" t="str">
        <f t="shared" si="76"/>
        <v/>
      </c>
      <c r="I1445" s="125" t="str">
        <f t="shared" si="77"/>
        <v/>
      </c>
    </row>
    <row r="1446" spans="1:9" hidden="1" x14ac:dyDescent="0.25">
      <c r="A1446" s="103" t="s">
        <v>5081</v>
      </c>
      <c r="B1446" s="104" t="s">
        <v>3888</v>
      </c>
      <c r="C1446" s="105" t="s">
        <v>20</v>
      </c>
      <c r="D1446" s="105">
        <v>0</v>
      </c>
      <c r="E1446" s="124" t="s">
        <v>523</v>
      </c>
      <c r="F1446" s="125" t="str">
        <f t="shared" si="75"/>
        <v/>
      </c>
      <c r="G1446" s="126" t="e">
        <f>IF(A1446&lt;&gt;"",IF(AND(#REF!="Padrão",$H$4=#REF!),BDI!$B$17,IF(AND(#REF!="Padrão",$H$4=#REF!),BDI!#REF!,IF(AND(#REF!="Diferenciado",$H$4=#REF!),BDI!$E$17,IF(AND(#REF!="Diferenciado",$H$4=#REF!),BDI!#REF!,IF(#REF!="ZERO",0))))),"")</f>
        <v>#REF!</v>
      </c>
      <c r="H1446" s="127" t="str">
        <f t="shared" si="76"/>
        <v/>
      </c>
      <c r="I1446" s="125" t="str">
        <f t="shared" si="77"/>
        <v/>
      </c>
    </row>
    <row r="1447" spans="1:9" hidden="1" x14ac:dyDescent="0.25">
      <c r="A1447" s="103" t="s">
        <v>5082</v>
      </c>
      <c r="B1447" s="104" t="s">
        <v>3889</v>
      </c>
      <c r="C1447" s="105" t="s">
        <v>20</v>
      </c>
      <c r="D1447" s="105">
        <v>0</v>
      </c>
      <c r="E1447" s="124" t="s">
        <v>523</v>
      </c>
      <c r="F1447" s="125" t="str">
        <f t="shared" si="75"/>
        <v/>
      </c>
      <c r="G1447" s="126" t="e">
        <f>IF(A1447&lt;&gt;"",IF(AND(#REF!="Padrão",$H$4=#REF!),BDI!$B$17,IF(AND(#REF!="Padrão",$H$4=#REF!),BDI!#REF!,IF(AND(#REF!="Diferenciado",$H$4=#REF!),BDI!$E$17,IF(AND(#REF!="Diferenciado",$H$4=#REF!),BDI!#REF!,IF(#REF!="ZERO",0))))),"")</f>
        <v>#REF!</v>
      </c>
      <c r="H1447" s="127" t="str">
        <f t="shared" si="76"/>
        <v/>
      </c>
      <c r="I1447" s="125" t="str">
        <f t="shared" si="77"/>
        <v/>
      </c>
    </row>
    <row r="1448" spans="1:9" hidden="1" x14ac:dyDescent="0.25">
      <c r="A1448" s="103" t="s">
        <v>5083</v>
      </c>
      <c r="B1448" s="104" t="s">
        <v>3890</v>
      </c>
      <c r="C1448" s="105" t="s">
        <v>20</v>
      </c>
      <c r="D1448" s="105">
        <v>0</v>
      </c>
      <c r="E1448" s="124" t="s">
        <v>523</v>
      </c>
      <c r="F1448" s="125" t="str">
        <f t="shared" si="75"/>
        <v/>
      </c>
      <c r="G1448" s="126" t="e">
        <f>IF(A1448&lt;&gt;"",IF(AND(#REF!="Padrão",$H$4=#REF!),BDI!$B$17,IF(AND(#REF!="Padrão",$H$4=#REF!),BDI!#REF!,IF(AND(#REF!="Diferenciado",$H$4=#REF!),BDI!$E$17,IF(AND(#REF!="Diferenciado",$H$4=#REF!),BDI!#REF!,IF(#REF!="ZERO",0))))),"")</f>
        <v>#REF!</v>
      </c>
      <c r="H1448" s="127" t="str">
        <f t="shared" si="76"/>
        <v/>
      </c>
      <c r="I1448" s="125" t="str">
        <f t="shared" si="77"/>
        <v/>
      </c>
    </row>
    <row r="1449" spans="1:9" hidden="1" x14ac:dyDescent="0.25">
      <c r="A1449" s="103" t="s">
        <v>5084</v>
      </c>
      <c r="B1449" s="104" t="s">
        <v>3891</v>
      </c>
      <c r="C1449" s="105" t="s">
        <v>20</v>
      </c>
      <c r="D1449" s="105">
        <v>0</v>
      </c>
      <c r="E1449" s="124" t="s">
        <v>523</v>
      </c>
      <c r="F1449" s="125" t="str">
        <f t="shared" si="75"/>
        <v/>
      </c>
      <c r="G1449" s="126" t="e">
        <f>IF(A1449&lt;&gt;"",IF(AND(#REF!="Padrão",$H$4=#REF!),BDI!$B$17,IF(AND(#REF!="Padrão",$H$4=#REF!),BDI!#REF!,IF(AND(#REF!="Diferenciado",$H$4=#REF!),BDI!$E$17,IF(AND(#REF!="Diferenciado",$H$4=#REF!),BDI!#REF!,IF(#REF!="ZERO",0))))),"")</f>
        <v>#REF!</v>
      </c>
      <c r="H1449" s="127" t="str">
        <f t="shared" si="76"/>
        <v/>
      </c>
      <c r="I1449" s="125" t="str">
        <f t="shared" si="77"/>
        <v/>
      </c>
    </row>
    <row r="1450" spans="1:9" hidden="1" x14ac:dyDescent="0.25">
      <c r="A1450" s="103" t="s">
        <v>5085</v>
      </c>
      <c r="B1450" s="104" t="s">
        <v>3892</v>
      </c>
      <c r="C1450" s="105" t="s">
        <v>5022</v>
      </c>
      <c r="D1450" s="105">
        <v>0</v>
      </c>
      <c r="E1450" s="124" t="s">
        <v>523</v>
      </c>
      <c r="F1450" s="125" t="str">
        <f t="shared" si="75"/>
        <v/>
      </c>
      <c r="G1450" s="126" t="e">
        <f>IF(A1450&lt;&gt;"",IF(AND(#REF!="Padrão",$H$4=#REF!),BDI!$B$17,IF(AND(#REF!="Padrão",$H$4=#REF!),BDI!#REF!,IF(AND(#REF!="Diferenciado",$H$4=#REF!),BDI!$E$17,IF(AND(#REF!="Diferenciado",$H$4=#REF!),BDI!#REF!,IF(#REF!="ZERO",0))))),"")</f>
        <v>#REF!</v>
      </c>
      <c r="H1450" s="127" t="str">
        <f t="shared" si="76"/>
        <v/>
      </c>
      <c r="I1450" s="125" t="str">
        <f t="shared" si="77"/>
        <v/>
      </c>
    </row>
    <row r="1451" spans="1:9" hidden="1" x14ac:dyDescent="0.25">
      <c r="A1451" s="103" t="s">
        <v>5086</v>
      </c>
      <c r="B1451" s="104" t="s">
        <v>3893</v>
      </c>
      <c r="C1451" s="105" t="s">
        <v>93</v>
      </c>
      <c r="D1451" s="105">
        <v>0</v>
      </c>
      <c r="E1451" s="124" t="s">
        <v>523</v>
      </c>
      <c r="F1451" s="125" t="str">
        <f t="shared" si="75"/>
        <v/>
      </c>
      <c r="G1451" s="126" t="e">
        <f>IF(A1451&lt;&gt;"",IF(AND(#REF!="Padrão",$H$4=#REF!),BDI!$B$17,IF(AND(#REF!="Padrão",$H$4=#REF!),BDI!#REF!,IF(AND(#REF!="Diferenciado",$H$4=#REF!),BDI!$E$17,IF(AND(#REF!="Diferenciado",$H$4=#REF!),BDI!#REF!,IF(#REF!="ZERO",0))))),"")</f>
        <v>#REF!</v>
      </c>
      <c r="H1451" s="127" t="str">
        <f t="shared" si="76"/>
        <v/>
      </c>
      <c r="I1451" s="125" t="str">
        <f t="shared" si="77"/>
        <v/>
      </c>
    </row>
    <row r="1452" spans="1:9" hidden="1" x14ac:dyDescent="0.25">
      <c r="A1452" s="103" t="s">
        <v>5087</v>
      </c>
      <c r="B1452" s="104" t="s">
        <v>3894</v>
      </c>
      <c r="C1452" s="105" t="s">
        <v>93</v>
      </c>
      <c r="D1452" s="105">
        <v>0</v>
      </c>
      <c r="E1452" s="124" t="s">
        <v>523</v>
      </c>
      <c r="F1452" s="125" t="str">
        <f t="shared" si="75"/>
        <v/>
      </c>
      <c r="G1452" s="126" t="e">
        <f>IF(A1452&lt;&gt;"",IF(AND(#REF!="Padrão",$H$4=#REF!),BDI!$B$17,IF(AND(#REF!="Padrão",$H$4=#REF!),BDI!#REF!,IF(AND(#REF!="Diferenciado",$H$4=#REF!),BDI!$E$17,IF(AND(#REF!="Diferenciado",$H$4=#REF!),BDI!#REF!,IF(#REF!="ZERO",0))))),"")</f>
        <v>#REF!</v>
      </c>
      <c r="H1452" s="127" t="str">
        <f t="shared" si="76"/>
        <v/>
      </c>
      <c r="I1452" s="125" t="str">
        <f t="shared" si="77"/>
        <v/>
      </c>
    </row>
    <row r="1453" spans="1:9" hidden="1" x14ac:dyDescent="0.25">
      <c r="A1453" s="103" t="s">
        <v>5088</v>
      </c>
      <c r="B1453" s="104" t="s">
        <v>3895</v>
      </c>
      <c r="C1453" s="105" t="s">
        <v>93</v>
      </c>
      <c r="D1453" s="105">
        <v>0</v>
      </c>
      <c r="E1453" s="124" t="s">
        <v>523</v>
      </c>
      <c r="F1453" s="125" t="str">
        <f t="shared" ref="F1453:F1516" si="78">IF(ISNUMBER(E1453),D1453*E1453,"")</f>
        <v/>
      </c>
      <c r="G1453" s="126" t="e">
        <f>IF(A1453&lt;&gt;"",IF(AND(#REF!="Padrão",$H$4=#REF!),BDI!$B$17,IF(AND(#REF!="Padrão",$H$4=#REF!),BDI!#REF!,IF(AND(#REF!="Diferenciado",$H$4=#REF!),BDI!$E$17,IF(AND(#REF!="Diferenciado",$H$4=#REF!),BDI!#REF!,IF(#REF!="ZERO",0))))),"")</f>
        <v>#REF!</v>
      </c>
      <c r="H1453" s="127" t="str">
        <f t="shared" ref="H1453:H1516" si="79">IF(ISNUMBER(E1453),ROUND(E1453*(1+G1453),2),"")</f>
        <v/>
      </c>
      <c r="I1453" s="125" t="str">
        <f t="shared" ref="I1453:I1516" si="80">IF(ISNUMBER(E1453),ROUND(H1453*D1453,2),"")</f>
        <v/>
      </c>
    </row>
    <row r="1454" spans="1:9" hidden="1" x14ac:dyDescent="0.25">
      <c r="A1454" s="103" t="s">
        <v>5089</v>
      </c>
      <c r="B1454" s="104" t="s">
        <v>3896</v>
      </c>
      <c r="C1454" s="105" t="s">
        <v>93</v>
      </c>
      <c r="D1454" s="105">
        <v>0</v>
      </c>
      <c r="E1454" s="124" t="s">
        <v>523</v>
      </c>
      <c r="F1454" s="125" t="str">
        <f t="shared" si="78"/>
        <v/>
      </c>
      <c r="G1454" s="126" t="e">
        <f>IF(A1454&lt;&gt;"",IF(AND(#REF!="Padrão",$H$4=#REF!),BDI!$B$17,IF(AND(#REF!="Padrão",$H$4=#REF!),BDI!#REF!,IF(AND(#REF!="Diferenciado",$H$4=#REF!),BDI!$E$17,IF(AND(#REF!="Diferenciado",$H$4=#REF!),BDI!#REF!,IF(#REF!="ZERO",0))))),"")</f>
        <v>#REF!</v>
      </c>
      <c r="H1454" s="127" t="str">
        <f t="shared" si="79"/>
        <v/>
      </c>
      <c r="I1454" s="125" t="str">
        <f t="shared" si="80"/>
        <v/>
      </c>
    </row>
    <row r="1455" spans="1:9" hidden="1" x14ac:dyDescent="0.25">
      <c r="A1455" s="103" t="s">
        <v>5090</v>
      </c>
      <c r="B1455" s="104" t="s">
        <v>3897</v>
      </c>
      <c r="C1455" s="105" t="s">
        <v>93</v>
      </c>
      <c r="D1455" s="105">
        <v>0</v>
      </c>
      <c r="E1455" s="124" t="s">
        <v>523</v>
      </c>
      <c r="F1455" s="125" t="str">
        <f t="shared" si="78"/>
        <v/>
      </c>
      <c r="G1455" s="126" t="e">
        <f>IF(A1455&lt;&gt;"",IF(AND(#REF!="Padrão",$H$4=#REF!),BDI!$B$17,IF(AND(#REF!="Padrão",$H$4=#REF!),BDI!#REF!,IF(AND(#REF!="Diferenciado",$H$4=#REF!),BDI!$E$17,IF(AND(#REF!="Diferenciado",$H$4=#REF!),BDI!#REF!,IF(#REF!="ZERO",0))))),"")</f>
        <v>#REF!</v>
      </c>
      <c r="H1455" s="127" t="str">
        <f t="shared" si="79"/>
        <v/>
      </c>
      <c r="I1455" s="125" t="str">
        <f t="shared" si="80"/>
        <v/>
      </c>
    </row>
    <row r="1456" spans="1:9" hidden="1" x14ac:dyDescent="0.25">
      <c r="A1456" s="103" t="s">
        <v>5091</v>
      </c>
      <c r="B1456" s="104" t="s">
        <v>3898</v>
      </c>
      <c r="C1456" s="105" t="s">
        <v>93</v>
      </c>
      <c r="D1456" s="105">
        <v>0</v>
      </c>
      <c r="E1456" s="124" t="s">
        <v>523</v>
      </c>
      <c r="F1456" s="125" t="str">
        <f t="shared" si="78"/>
        <v/>
      </c>
      <c r="G1456" s="126" t="e">
        <f>IF(A1456&lt;&gt;"",IF(AND(#REF!="Padrão",$H$4=#REF!),BDI!$B$17,IF(AND(#REF!="Padrão",$H$4=#REF!),BDI!#REF!,IF(AND(#REF!="Diferenciado",$H$4=#REF!),BDI!$E$17,IF(AND(#REF!="Diferenciado",$H$4=#REF!),BDI!#REF!,IF(#REF!="ZERO",0))))),"")</f>
        <v>#REF!</v>
      </c>
      <c r="H1456" s="127" t="str">
        <f t="shared" si="79"/>
        <v/>
      </c>
      <c r="I1456" s="125" t="str">
        <f t="shared" si="80"/>
        <v/>
      </c>
    </row>
    <row r="1457" spans="1:9" hidden="1" x14ac:dyDescent="0.25">
      <c r="A1457" s="103" t="s">
        <v>5092</v>
      </c>
      <c r="B1457" s="104" t="s">
        <v>3899</v>
      </c>
      <c r="C1457" s="105" t="s">
        <v>93</v>
      </c>
      <c r="D1457" s="105">
        <v>0</v>
      </c>
      <c r="E1457" s="124" t="s">
        <v>523</v>
      </c>
      <c r="F1457" s="125" t="str">
        <f t="shared" si="78"/>
        <v/>
      </c>
      <c r="G1457" s="126" t="e">
        <f>IF(A1457&lt;&gt;"",IF(AND(#REF!="Padrão",$H$4=#REF!),BDI!$B$17,IF(AND(#REF!="Padrão",$H$4=#REF!),BDI!#REF!,IF(AND(#REF!="Diferenciado",$H$4=#REF!),BDI!$E$17,IF(AND(#REF!="Diferenciado",$H$4=#REF!),BDI!#REF!,IF(#REF!="ZERO",0))))),"")</f>
        <v>#REF!</v>
      </c>
      <c r="H1457" s="127" t="str">
        <f t="shared" si="79"/>
        <v/>
      </c>
      <c r="I1457" s="125" t="str">
        <f t="shared" si="80"/>
        <v/>
      </c>
    </row>
    <row r="1458" spans="1:9" hidden="1" x14ac:dyDescent="0.25">
      <c r="A1458" s="103" t="s">
        <v>5093</v>
      </c>
      <c r="B1458" s="104" t="s">
        <v>3900</v>
      </c>
      <c r="C1458" s="105" t="s">
        <v>93</v>
      </c>
      <c r="D1458" s="105">
        <v>0</v>
      </c>
      <c r="E1458" s="124" t="s">
        <v>523</v>
      </c>
      <c r="F1458" s="125" t="str">
        <f t="shared" si="78"/>
        <v/>
      </c>
      <c r="G1458" s="126" t="e">
        <f>IF(A1458&lt;&gt;"",IF(AND(#REF!="Padrão",$H$4=#REF!),BDI!$B$17,IF(AND(#REF!="Padrão",$H$4=#REF!),BDI!#REF!,IF(AND(#REF!="Diferenciado",$H$4=#REF!),BDI!$E$17,IF(AND(#REF!="Diferenciado",$H$4=#REF!),BDI!#REF!,IF(#REF!="ZERO",0))))),"")</f>
        <v>#REF!</v>
      </c>
      <c r="H1458" s="127" t="str">
        <f t="shared" si="79"/>
        <v/>
      </c>
      <c r="I1458" s="125" t="str">
        <f t="shared" si="80"/>
        <v/>
      </c>
    </row>
    <row r="1459" spans="1:9" hidden="1" x14ac:dyDescent="0.25">
      <c r="A1459" s="103" t="s">
        <v>5094</v>
      </c>
      <c r="B1459" s="104" t="s">
        <v>3901</v>
      </c>
      <c r="C1459" s="105" t="s">
        <v>93</v>
      </c>
      <c r="D1459" s="105">
        <v>0</v>
      </c>
      <c r="E1459" s="124" t="s">
        <v>523</v>
      </c>
      <c r="F1459" s="125" t="str">
        <f t="shared" si="78"/>
        <v/>
      </c>
      <c r="G1459" s="126" t="e">
        <f>IF(A1459&lt;&gt;"",IF(AND(#REF!="Padrão",$H$4=#REF!),BDI!$B$17,IF(AND(#REF!="Padrão",$H$4=#REF!),BDI!#REF!,IF(AND(#REF!="Diferenciado",$H$4=#REF!),BDI!$E$17,IF(AND(#REF!="Diferenciado",$H$4=#REF!),BDI!#REF!,IF(#REF!="ZERO",0))))),"")</f>
        <v>#REF!</v>
      </c>
      <c r="H1459" s="127" t="str">
        <f t="shared" si="79"/>
        <v/>
      </c>
      <c r="I1459" s="125" t="str">
        <f t="shared" si="80"/>
        <v/>
      </c>
    </row>
    <row r="1460" spans="1:9" hidden="1" x14ac:dyDescent="0.25">
      <c r="A1460" s="103" t="s">
        <v>5095</v>
      </c>
      <c r="B1460" s="104" t="s">
        <v>3902</v>
      </c>
      <c r="C1460" s="105" t="s">
        <v>93</v>
      </c>
      <c r="D1460" s="105">
        <v>0</v>
      </c>
      <c r="E1460" s="124" t="s">
        <v>523</v>
      </c>
      <c r="F1460" s="125" t="str">
        <f t="shared" si="78"/>
        <v/>
      </c>
      <c r="G1460" s="126" t="e">
        <f>IF(A1460&lt;&gt;"",IF(AND(#REF!="Padrão",$H$4=#REF!),BDI!$B$17,IF(AND(#REF!="Padrão",$H$4=#REF!),BDI!#REF!,IF(AND(#REF!="Diferenciado",$H$4=#REF!),BDI!$E$17,IF(AND(#REF!="Diferenciado",$H$4=#REF!),BDI!#REF!,IF(#REF!="ZERO",0))))),"")</f>
        <v>#REF!</v>
      </c>
      <c r="H1460" s="127" t="str">
        <f t="shared" si="79"/>
        <v/>
      </c>
      <c r="I1460" s="125" t="str">
        <f t="shared" si="80"/>
        <v/>
      </c>
    </row>
    <row r="1461" spans="1:9" hidden="1" x14ac:dyDescent="0.25">
      <c r="A1461" s="103" t="s">
        <v>5096</v>
      </c>
      <c r="B1461" s="104" t="s">
        <v>3903</v>
      </c>
      <c r="C1461" s="105" t="s">
        <v>93</v>
      </c>
      <c r="D1461" s="105">
        <v>0</v>
      </c>
      <c r="E1461" s="124" t="s">
        <v>523</v>
      </c>
      <c r="F1461" s="125" t="str">
        <f t="shared" si="78"/>
        <v/>
      </c>
      <c r="G1461" s="126" t="e">
        <f>IF(A1461&lt;&gt;"",IF(AND(#REF!="Padrão",$H$4=#REF!),BDI!$B$17,IF(AND(#REF!="Padrão",$H$4=#REF!),BDI!#REF!,IF(AND(#REF!="Diferenciado",$H$4=#REF!),BDI!$E$17,IF(AND(#REF!="Diferenciado",$H$4=#REF!),BDI!#REF!,IF(#REF!="ZERO",0))))),"")</f>
        <v>#REF!</v>
      </c>
      <c r="H1461" s="127" t="str">
        <f t="shared" si="79"/>
        <v/>
      </c>
      <c r="I1461" s="125" t="str">
        <f t="shared" si="80"/>
        <v/>
      </c>
    </row>
    <row r="1462" spans="1:9" hidden="1" x14ac:dyDescent="0.25">
      <c r="A1462" s="103" t="s">
        <v>5097</v>
      </c>
      <c r="B1462" s="104" t="s">
        <v>3904</v>
      </c>
      <c r="C1462" s="105" t="s">
        <v>20</v>
      </c>
      <c r="D1462" s="105">
        <v>0</v>
      </c>
      <c r="E1462" s="124" t="s">
        <v>523</v>
      </c>
      <c r="F1462" s="125" t="str">
        <f t="shared" si="78"/>
        <v/>
      </c>
      <c r="G1462" s="126" t="e">
        <f>IF(A1462&lt;&gt;"",IF(AND(#REF!="Padrão",$H$4=#REF!),BDI!$B$17,IF(AND(#REF!="Padrão",$H$4=#REF!),BDI!#REF!,IF(AND(#REF!="Diferenciado",$H$4=#REF!),BDI!$E$17,IF(AND(#REF!="Diferenciado",$H$4=#REF!),BDI!#REF!,IF(#REF!="ZERO",0))))),"")</f>
        <v>#REF!</v>
      </c>
      <c r="H1462" s="127" t="str">
        <f t="shared" si="79"/>
        <v/>
      </c>
      <c r="I1462" s="125" t="str">
        <f t="shared" si="80"/>
        <v/>
      </c>
    </row>
    <row r="1463" spans="1:9" hidden="1" x14ac:dyDescent="0.25">
      <c r="A1463" s="103" t="s">
        <v>5098</v>
      </c>
      <c r="B1463" s="104" t="s">
        <v>3905</v>
      </c>
      <c r="C1463" s="105" t="s">
        <v>20</v>
      </c>
      <c r="D1463" s="105">
        <v>0</v>
      </c>
      <c r="E1463" s="124" t="s">
        <v>523</v>
      </c>
      <c r="F1463" s="125" t="str">
        <f t="shared" si="78"/>
        <v/>
      </c>
      <c r="G1463" s="126" t="e">
        <f>IF(A1463&lt;&gt;"",IF(AND(#REF!="Padrão",$H$4=#REF!),BDI!$B$17,IF(AND(#REF!="Padrão",$H$4=#REF!),BDI!#REF!,IF(AND(#REF!="Diferenciado",$H$4=#REF!),BDI!$E$17,IF(AND(#REF!="Diferenciado",$H$4=#REF!),BDI!#REF!,IF(#REF!="ZERO",0))))),"")</f>
        <v>#REF!</v>
      </c>
      <c r="H1463" s="127" t="str">
        <f t="shared" si="79"/>
        <v/>
      </c>
      <c r="I1463" s="125" t="str">
        <f t="shared" si="80"/>
        <v/>
      </c>
    </row>
    <row r="1464" spans="1:9" hidden="1" x14ac:dyDescent="0.25">
      <c r="A1464" s="103" t="s">
        <v>5099</v>
      </c>
      <c r="B1464" s="104" t="s">
        <v>3906</v>
      </c>
      <c r="C1464" s="105" t="s">
        <v>20</v>
      </c>
      <c r="D1464" s="105">
        <v>0</v>
      </c>
      <c r="E1464" s="124" t="s">
        <v>523</v>
      </c>
      <c r="F1464" s="125" t="str">
        <f t="shared" si="78"/>
        <v/>
      </c>
      <c r="G1464" s="126" t="e">
        <f>IF(A1464&lt;&gt;"",IF(AND(#REF!="Padrão",$H$4=#REF!),BDI!$B$17,IF(AND(#REF!="Padrão",$H$4=#REF!),BDI!#REF!,IF(AND(#REF!="Diferenciado",$H$4=#REF!),BDI!$E$17,IF(AND(#REF!="Diferenciado",$H$4=#REF!),BDI!#REF!,IF(#REF!="ZERO",0))))),"")</f>
        <v>#REF!</v>
      </c>
      <c r="H1464" s="127" t="str">
        <f t="shared" si="79"/>
        <v/>
      </c>
      <c r="I1464" s="125" t="str">
        <f t="shared" si="80"/>
        <v/>
      </c>
    </row>
    <row r="1465" spans="1:9" hidden="1" x14ac:dyDescent="0.25">
      <c r="A1465" s="103" t="s">
        <v>5100</v>
      </c>
      <c r="B1465" s="104" t="s">
        <v>3907</v>
      </c>
      <c r="C1465" s="105" t="s">
        <v>20</v>
      </c>
      <c r="D1465" s="105">
        <v>0</v>
      </c>
      <c r="E1465" s="124" t="s">
        <v>523</v>
      </c>
      <c r="F1465" s="125" t="str">
        <f t="shared" si="78"/>
        <v/>
      </c>
      <c r="G1465" s="126" t="e">
        <f>IF(A1465&lt;&gt;"",IF(AND(#REF!="Padrão",$H$4=#REF!),BDI!$B$17,IF(AND(#REF!="Padrão",$H$4=#REF!),BDI!#REF!,IF(AND(#REF!="Diferenciado",$H$4=#REF!),BDI!$E$17,IF(AND(#REF!="Diferenciado",$H$4=#REF!),BDI!#REF!,IF(#REF!="ZERO",0))))),"")</f>
        <v>#REF!</v>
      </c>
      <c r="H1465" s="127" t="str">
        <f t="shared" si="79"/>
        <v/>
      </c>
      <c r="I1465" s="125" t="str">
        <f t="shared" si="80"/>
        <v/>
      </c>
    </row>
    <row r="1466" spans="1:9" hidden="1" x14ac:dyDescent="0.25">
      <c r="A1466" s="103" t="s">
        <v>5101</v>
      </c>
      <c r="B1466" s="104" t="s">
        <v>3908</v>
      </c>
      <c r="C1466" s="105" t="s">
        <v>20</v>
      </c>
      <c r="D1466" s="105">
        <v>0</v>
      </c>
      <c r="E1466" s="124" t="s">
        <v>523</v>
      </c>
      <c r="F1466" s="125" t="str">
        <f t="shared" si="78"/>
        <v/>
      </c>
      <c r="G1466" s="126" t="e">
        <f>IF(A1466&lt;&gt;"",IF(AND(#REF!="Padrão",$H$4=#REF!),BDI!$B$17,IF(AND(#REF!="Padrão",$H$4=#REF!),BDI!#REF!,IF(AND(#REF!="Diferenciado",$H$4=#REF!),BDI!$E$17,IF(AND(#REF!="Diferenciado",$H$4=#REF!),BDI!#REF!,IF(#REF!="ZERO",0))))),"")</f>
        <v>#REF!</v>
      </c>
      <c r="H1466" s="127" t="str">
        <f t="shared" si="79"/>
        <v/>
      </c>
      <c r="I1466" s="125" t="str">
        <f t="shared" si="80"/>
        <v/>
      </c>
    </row>
    <row r="1467" spans="1:9" hidden="1" x14ac:dyDescent="0.25">
      <c r="A1467" s="103" t="s">
        <v>5102</v>
      </c>
      <c r="B1467" s="104" t="s">
        <v>3909</v>
      </c>
      <c r="C1467" s="105" t="s">
        <v>20</v>
      </c>
      <c r="D1467" s="105">
        <v>0</v>
      </c>
      <c r="E1467" s="124" t="s">
        <v>523</v>
      </c>
      <c r="F1467" s="125" t="str">
        <f t="shared" si="78"/>
        <v/>
      </c>
      <c r="G1467" s="126" t="e">
        <f>IF(A1467&lt;&gt;"",IF(AND(#REF!="Padrão",$H$4=#REF!),BDI!$B$17,IF(AND(#REF!="Padrão",$H$4=#REF!),BDI!#REF!,IF(AND(#REF!="Diferenciado",$H$4=#REF!),BDI!$E$17,IF(AND(#REF!="Diferenciado",$H$4=#REF!),BDI!#REF!,IF(#REF!="ZERO",0))))),"")</f>
        <v>#REF!</v>
      </c>
      <c r="H1467" s="127" t="str">
        <f t="shared" si="79"/>
        <v/>
      </c>
      <c r="I1467" s="125" t="str">
        <f t="shared" si="80"/>
        <v/>
      </c>
    </row>
    <row r="1468" spans="1:9" hidden="1" x14ac:dyDescent="0.25">
      <c r="A1468" s="103" t="s">
        <v>5103</v>
      </c>
      <c r="B1468" s="104" t="s">
        <v>3910</v>
      </c>
      <c r="C1468" s="105" t="s">
        <v>20</v>
      </c>
      <c r="D1468" s="105">
        <v>0</v>
      </c>
      <c r="E1468" s="124" t="s">
        <v>523</v>
      </c>
      <c r="F1468" s="125" t="str">
        <f t="shared" si="78"/>
        <v/>
      </c>
      <c r="G1468" s="126" t="e">
        <f>IF(A1468&lt;&gt;"",IF(AND(#REF!="Padrão",$H$4=#REF!),BDI!$B$17,IF(AND(#REF!="Padrão",$H$4=#REF!),BDI!#REF!,IF(AND(#REF!="Diferenciado",$H$4=#REF!),BDI!$E$17,IF(AND(#REF!="Diferenciado",$H$4=#REF!),BDI!#REF!,IF(#REF!="ZERO",0))))),"")</f>
        <v>#REF!</v>
      </c>
      <c r="H1468" s="127" t="str">
        <f t="shared" si="79"/>
        <v/>
      </c>
      <c r="I1468" s="125" t="str">
        <f t="shared" si="80"/>
        <v/>
      </c>
    </row>
    <row r="1469" spans="1:9" hidden="1" x14ac:dyDescent="0.25">
      <c r="A1469" s="103" t="s">
        <v>5104</v>
      </c>
      <c r="B1469" s="104" t="s">
        <v>3911</v>
      </c>
      <c r="C1469" s="105" t="s">
        <v>20</v>
      </c>
      <c r="D1469" s="105">
        <v>0</v>
      </c>
      <c r="E1469" s="124" t="s">
        <v>523</v>
      </c>
      <c r="F1469" s="125" t="str">
        <f t="shared" si="78"/>
        <v/>
      </c>
      <c r="G1469" s="126" t="e">
        <f>IF(A1469&lt;&gt;"",IF(AND(#REF!="Padrão",$H$4=#REF!),BDI!$B$17,IF(AND(#REF!="Padrão",$H$4=#REF!),BDI!#REF!,IF(AND(#REF!="Diferenciado",$H$4=#REF!),BDI!$E$17,IF(AND(#REF!="Diferenciado",$H$4=#REF!),BDI!#REF!,IF(#REF!="ZERO",0))))),"")</f>
        <v>#REF!</v>
      </c>
      <c r="H1469" s="127" t="str">
        <f t="shared" si="79"/>
        <v/>
      </c>
      <c r="I1469" s="125" t="str">
        <f t="shared" si="80"/>
        <v/>
      </c>
    </row>
    <row r="1470" spans="1:9" hidden="1" x14ac:dyDescent="0.25">
      <c r="A1470" s="103" t="s">
        <v>5105</v>
      </c>
      <c r="B1470" s="104" t="s">
        <v>3912</v>
      </c>
      <c r="C1470" s="105" t="s">
        <v>20</v>
      </c>
      <c r="D1470" s="105">
        <v>0</v>
      </c>
      <c r="E1470" s="124" t="s">
        <v>523</v>
      </c>
      <c r="F1470" s="125" t="str">
        <f t="shared" si="78"/>
        <v/>
      </c>
      <c r="G1470" s="126" t="e">
        <f>IF(A1470&lt;&gt;"",IF(AND(#REF!="Padrão",$H$4=#REF!),BDI!$B$17,IF(AND(#REF!="Padrão",$H$4=#REF!),BDI!#REF!,IF(AND(#REF!="Diferenciado",$H$4=#REF!),BDI!$E$17,IF(AND(#REF!="Diferenciado",$H$4=#REF!),BDI!#REF!,IF(#REF!="ZERO",0))))),"")</f>
        <v>#REF!</v>
      </c>
      <c r="H1470" s="127" t="str">
        <f t="shared" si="79"/>
        <v/>
      </c>
      <c r="I1470" s="125" t="str">
        <f t="shared" si="80"/>
        <v/>
      </c>
    </row>
    <row r="1471" spans="1:9" hidden="1" x14ac:dyDescent="0.25">
      <c r="A1471" s="103" t="s">
        <v>5106</v>
      </c>
      <c r="B1471" s="104" t="s">
        <v>3913</v>
      </c>
      <c r="C1471" s="105" t="s">
        <v>20</v>
      </c>
      <c r="D1471" s="105">
        <v>0</v>
      </c>
      <c r="E1471" s="124" t="s">
        <v>523</v>
      </c>
      <c r="F1471" s="125" t="str">
        <f t="shared" si="78"/>
        <v/>
      </c>
      <c r="G1471" s="126" t="e">
        <f>IF(A1471&lt;&gt;"",IF(AND(#REF!="Padrão",$H$4=#REF!),BDI!$B$17,IF(AND(#REF!="Padrão",$H$4=#REF!),BDI!#REF!,IF(AND(#REF!="Diferenciado",$H$4=#REF!),BDI!$E$17,IF(AND(#REF!="Diferenciado",$H$4=#REF!),BDI!#REF!,IF(#REF!="ZERO",0))))),"")</f>
        <v>#REF!</v>
      </c>
      <c r="H1471" s="127" t="str">
        <f t="shared" si="79"/>
        <v/>
      </c>
      <c r="I1471" s="125" t="str">
        <f t="shared" si="80"/>
        <v/>
      </c>
    </row>
    <row r="1472" spans="1:9" hidden="1" x14ac:dyDescent="0.25">
      <c r="A1472" s="103" t="s">
        <v>5107</v>
      </c>
      <c r="B1472" s="104" t="s">
        <v>3914</v>
      </c>
      <c r="C1472" s="105" t="s">
        <v>20</v>
      </c>
      <c r="D1472" s="105">
        <v>0</v>
      </c>
      <c r="E1472" s="124" t="s">
        <v>523</v>
      </c>
      <c r="F1472" s="125" t="str">
        <f t="shared" si="78"/>
        <v/>
      </c>
      <c r="G1472" s="126" t="e">
        <f>IF(A1472&lt;&gt;"",IF(AND(#REF!="Padrão",$H$4=#REF!),BDI!$B$17,IF(AND(#REF!="Padrão",$H$4=#REF!),BDI!#REF!,IF(AND(#REF!="Diferenciado",$H$4=#REF!),BDI!$E$17,IF(AND(#REF!="Diferenciado",$H$4=#REF!),BDI!#REF!,IF(#REF!="ZERO",0))))),"")</f>
        <v>#REF!</v>
      </c>
      <c r="H1472" s="127" t="str">
        <f t="shared" si="79"/>
        <v/>
      </c>
      <c r="I1472" s="125" t="str">
        <f t="shared" si="80"/>
        <v/>
      </c>
    </row>
    <row r="1473" spans="1:9" hidden="1" x14ac:dyDescent="0.25">
      <c r="A1473" s="103" t="s">
        <v>5108</v>
      </c>
      <c r="B1473" s="104" t="s">
        <v>3915</v>
      </c>
      <c r="C1473" s="105" t="s">
        <v>20</v>
      </c>
      <c r="D1473" s="105">
        <v>0</v>
      </c>
      <c r="E1473" s="124" t="s">
        <v>523</v>
      </c>
      <c r="F1473" s="125" t="str">
        <f t="shared" si="78"/>
        <v/>
      </c>
      <c r="G1473" s="126" t="e">
        <f>IF(A1473&lt;&gt;"",IF(AND(#REF!="Padrão",$H$4=#REF!),BDI!$B$17,IF(AND(#REF!="Padrão",$H$4=#REF!),BDI!#REF!,IF(AND(#REF!="Diferenciado",$H$4=#REF!),BDI!$E$17,IF(AND(#REF!="Diferenciado",$H$4=#REF!),BDI!#REF!,IF(#REF!="ZERO",0))))),"")</f>
        <v>#REF!</v>
      </c>
      <c r="H1473" s="127" t="str">
        <f t="shared" si="79"/>
        <v/>
      </c>
      <c r="I1473" s="125" t="str">
        <f t="shared" si="80"/>
        <v/>
      </c>
    </row>
    <row r="1474" spans="1:9" hidden="1" x14ac:dyDescent="0.25">
      <c r="A1474" s="103" t="s">
        <v>5109</v>
      </c>
      <c r="B1474" s="104" t="s">
        <v>3916</v>
      </c>
      <c r="C1474" s="105" t="s">
        <v>20</v>
      </c>
      <c r="D1474" s="105">
        <v>0</v>
      </c>
      <c r="E1474" s="124" t="s">
        <v>523</v>
      </c>
      <c r="F1474" s="125" t="str">
        <f t="shared" si="78"/>
        <v/>
      </c>
      <c r="G1474" s="126" t="e">
        <f>IF(A1474&lt;&gt;"",IF(AND(#REF!="Padrão",$H$4=#REF!),BDI!$B$17,IF(AND(#REF!="Padrão",$H$4=#REF!),BDI!#REF!,IF(AND(#REF!="Diferenciado",$H$4=#REF!),BDI!$E$17,IF(AND(#REF!="Diferenciado",$H$4=#REF!),BDI!#REF!,IF(#REF!="ZERO",0))))),"")</f>
        <v>#REF!</v>
      </c>
      <c r="H1474" s="127" t="str">
        <f t="shared" si="79"/>
        <v/>
      </c>
      <c r="I1474" s="125" t="str">
        <f t="shared" si="80"/>
        <v/>
      </c>
    </row>
    <row r="1475" spans="1:9" hidden="1" x14ac:dyDescent="0.25">
      <c r="A1475" s="103" t="s">
        <v>5110</v>
      </c>
      <c r="B1475" s="104" t="s">
        <v>3917</v>
      </c>
      <c r="C1475" s="105" t="s">
        <v>20</v>
      </c>
      <c r="D1475" s="105">
        <v>0</v>
      </c>
      <c r="E1475" s="124" t="s">
        <v>523</v>
      </c>
      <c r="F1475" s="125" t="str">
        <f t="shared" si="78"/>
        <v/>
      </c>
      <c r="G1475" s="126" t="e">
        <f>IF(A1475&lt;&gt;"",IF(AND(#REF!="Padrão",$H$4=#REF!),BDI!$B$17,IF(AND(#REF!="Padrão",$H$4=#REF!),BDI!#REF!,IF(AND(#REF!="Diferenciado",$H$4=#REF!),BDI!$E$17,IF(AND(#REF!="Diferenciado",$H$4=#REF!),BDI!#REF!,IF(#REF!="ZERO",0))))),"")</f>
        <v>#REF!</v>
      </c>
      <c r="H1475" s="127" t="str">
        <f t="shared" si="79"/>
        <v/>
      </c>
      <c r="I1475" s="125" t="str">
        <f t="shared" si="80"/>
        <v/>
      </c>
    </row>
    <row r="1476" spans="1:9" hidden="1" x14ac:dyDescent="0.25">
      <c r="A1476" s="103" t="s">
        <v>5111</v>
      </c>
      <c r="B1476" s="104" t="s">
        <v>3918</v>
      </c>
      <c r="C1476" s="105" t="s">
        <v>20</v>
      </c>
      <c r="D1476" s="105">
        <v>0</v>
      </c>
      <c r="E1476" s="124" t="s">
        <v>523</v>
      </c>
      <c r="F1476" s="125" t="str">
        <f t="shared" si="78"/>
        <v/>
      </c>
      <c r="G1476" s="126" t="e">
        <f>IF(A1476&lt;&gt;"",IF(AND(#REF!="Padrão",$H$4=#REF!),BDI!$B$17,IF(AND(#REF!="Padrão",$H$4=#REF!),BDI!#REF!,IF(AND(#REF!="Diferenciado",$H$4=#REF!),BDI!$E$17,IF(AND(#REF!="Diferenciado",$H$4=#REF!),BDI!#REF!,IF(#REF!="ZERO",0))))),"")</f>
        <v>#REF!</v>
      </c>
      <c r="H1476" s="127" t="str">
        <f t="shared" si="79"/>
        <v/>
      </c>
      <c r="I1476" s="125" t="str">
        <f t="shared" si="80"/>
        <v/>
      </c>
    </row>
    <row r="1477" spans="1:9" hidden="1" x14ac:dyDescent="0.25">
      <c r="A1477" s="103" t="s">
        <v>5112</v>
      </c>
      <c r="B1477" s="104" t="s">
        <v>3919</v>
      </c>
      <c r="C1477" s="105" t="s">
        <v>20</v>
      </c>
      <c r="D1477" s="105">
        <v>0</v>
      </c>
      <c r="E1477" s="124" t="s">
        <v>523</v>
      </c>
      <c r="F1477" s="125" t="str">
        <f t="shared" si="78"/>
        <v/>
      </c>
      <c r="G1477" s="126" t="e">
        <f>IF(A1477&lt;&gt;"",IF(AND(#REF!="Padrão",$H$4=#REF!),BDI!$B$17,IF(AND(#REF!="Padrão",$H$4=#REF!),BDI!#REF!,IF(AND(#REF!="Diferenciado",$H$4=#REF!),BDI!$E$17,IF(AND(#REF!="Diferenciado",$H$4=#REF!),BDI!#REF!,IF(#REF!="ZERO",0))))),"")</f>
        <v>#REF!</v>
      </c>
      <c r="H1477" s="127" t="str">
        <f t="shared" si="79"/>
        <v/>
      </c>
      <c r="I1477" s="125" t="str">
        <f t="shared" si="80"/>
        <v/>
      </c>
    </row>
    <row r="1478" spans="1:9" hidden="1" x14ac:dyDescent="0.25">
      <c r="A1478" s="103" t="s">
        <v>5113</v>
      </c>
      <c r="B1478" s="104" t="s">
        <v>3920</v>
      </c>
      <c r="C1478" s="105" t="s">
        <v>20</v>
      </c>
      <c r="D1478" s="105">
        <v>0</v>
      </c>
      <c r="E1478" s="124" t="s">
        <v>523</v>
      </c>
      <c r="F1478" s="125" t="str">
        <f t="shared" si="78"/>
        <v/>
      </c>
      <c r="G1478" s="126" t="e">
        <f>IF(A1478&lt;&gt;"",IF(AND(#REF!="Padrão",$H$4=#REF!),BDI!$B$17,IF(AND(#REF!="Padrão",$H$4=#REF!),BDI!#REF!,IF(AND(#REF!="Diferenciado",$H$4=#REF!),BDI!$E$17,IF(AND(#REF!="Diferenciado",$H$4=#REF!),BDI!#REF!,IF(#REF!="ZERO",0))))),"")</f>
        <v>#REF!</v>
      </c>
      <c r="H1478" s="127" t="str">
        <f t="shared" si="79"/>
        <v/>
      </c>
      <c r="I1478" s="125" t="str">
        <f t="shared" si="80"/>
        <v/>
      </c>
    </row>
    <row r="1479" spans="1:9" hidden="1" x14ac:dyDescent="0.25">
      <c r="A1479" s="103" t="s">
        <v>5114</v>
      </c>
      <c r="B1479" s="104" t="s">
        <v>3921</v>
      </c>
      <c r="C1479" s="105" t="s">
        <v>20</v>
      </c>
      <c r="D1479" s="105">
        <v>0</v>
      </c>
      <c r="E1479" s="124" t="s">
        <v>523</v>
      </c>
      <c r="F1479" s="125" t="str">
        <f t="shared" si="78"/>
        <v/>
      </c>
      <c r="G1479" s="126" t="e">
        <f>IF(A1479&lt;&gt;"",IF(AND(#REF!="Padrão",$H$4=#REF!),BDI!$B$17,IF(AND(#REF!="Padrão",$H$4=#REF!),BDI!#REF!,IF(AND(#REF!="Diferenciado",$H$4=#REF!),BDI!$E$17,IF(AND(#REF!="Diferenciado",$H$4=#REF!),BDI!#REF!,IF(#REF!="ZERO",0))))),"")</f>
        <v>#REF!</v>
      </c>
      <c r="H1479" s="127" t="str">
        <f t="shared" si="79"/>
        <v/>
      </c>
      <c r="I1479" s="125" t="str">
        <f t="shared" si="80"/>
        <v/>
      </c>
    </row>
    <row r="1480" spans="1:9" hidden="1" x14ac:dyDescent="0.25">
      <c r="A1480" s="103" t="s">
        <v>5115</v>
      </c>
      <c r="B1480" s="104" t="s">
        <v>3922</v>
      </c>
      <c r="C1480" s="105" t="s">
        <v>20</v>
      </c>
      <c r="D1480" s="105">
        <v>0</v>
      </c>
      <c r="E1480" s="124" t="s">
        <v>523</v>
      </c>
      <c r="F1480" s="125" t="str">
        <f t="shared" si="78"/>
        <v/>
      </c>
      <c r="G1480" s="126" t="e">
        <f>IF(A1480&lt;&gt;"",IF(AND(#REF!="Padrão",$H$4=#REF!),BDI!$B$17,IF(AND(#REF!="Padrão",$H$4=#REF!),BDI!#REF!,IF(AND(#REF!="Diferenciado",$H$4=#REF!),BDI!$E$17,IF(AND(#REF!="Diferenciado",$H$4=#REF!),BDI!#REF!,IF(#REF!="ZERO",0))))),"")</f>
        <v>#REF!</v>
      </c>
      <c r="H1480" s="127" t="str">
        <f t="shared" si="79"/>
        <v/>
      </c>
      <c r="I1480" s="125" t="str">
        <f t="shared" si="80"/>
        <v/>
      </c>
    </row>
    <row r="1481" spans="1:9" hidden="1" x14ac:dyDescent="0.25">
      <c r="A1481" s="103" t="s">
        <v>5116</v>
      </c>
      <c r="B1481" s="104" t="s">
        <v>3923</v>
      </c>
      <c r="C1481" s="105" t="s">
        <v>20</v>
      </c>
      <c r="D1481" s="105">
        <v>0</v>
      </c>
      <c r="E1481" s="124" t="s">
        <v>523</v>
      </c>
      <c r="F1481" s="125" t="str">
        <f t="shared" si="78"/>
        <v/>
      </c>
      <c r="G1481" s="126" t="e">
        <f>IF(A1481&lt;&gt;"",IF(AND(#REF!="Padrão",$H$4=#REF!),BDI!$B$17,IF(AND(#REF!="Padrão",$H$4=#REF!),BDI!#REF!,IF(AND(#REF!="Diferenciado",$H$4=#REF!),BDI!$E$17,IF(AND(#REF!="Diferenciado",$H$4=#REF!),BDI!#REF!,IF(#REF!="ZERO",0))))),"")</f>
        <v>#REF!</v>
      </c>
      <c r="H1481" s="127" t="str">
        <f t="shared" si="79"/>
        <v/>
      </c>
      <c r="I1481" s="125" t="str">
        <f t="shared" si="80"/>
        <v/>
      </c>
    </row>
    <row r="1482" spans="1:9" hidden="1" x14ac:dyDescent="0.25">
      <c r="A1482" s="103" t="s">
        <v>5117</v>
      </c>
      <c r="B1482" s="104" t="s">
        <v>3924</v>
      </c>
      <c r="C1482" s="105" t="s">
        <v>20</v>
      </c>
      <c r="D1482" s="105">
        <v>0</v>
      </c>
      <c r="E1482" s="124" t="s">
        <v>523</v>
      </c>
      <c r="F1482" s="125" t="str">
        <f t="shared" si="78"/>
        <v/>
      </c>
      <c r="G1482" s="126" t="e">
        <f>IF(A1482&lt;&gt;"",IF(AND(#REF!="Padrão",$H$4=#REF!),BDI!$B$17,IF(AND(#REF!="Padrão",$H$4=#REF!),BDI!#REF!,IF(AND(#REF!="Diferenciado",$H$4=#REF!),BDI!$E$17,IF(AND(#REF!="Diferenciado",$H$4=#REF!),BDI!#REF!,IF(#REF!="ZERO",0))))),"")</f>
        <v>#REF!</v>
      </c>
      <c r="H1482" s="127" t="str">
        <f t="shared" si="79"/>
        <v/>
      </c>
      <c r="I1482" s="125" t="str">
        <f t="shared" si="80"/>
        <v/>
      </c>
    </row>
    <row r="1483" spans="1:9" hidden="1" x14ac:dyDescent="0.25">
      <c r="A1483" s="103" t="s">
        <v>5118</v>
      </c>
      <c r="B1483" s="104" t="s">
        <v>3925</v>
      </c>
      <c r="C1483" s="105" t="s">
        <v>93</v>
      </c>
      <c r="D1483" s="105">
        <v>0</v>
      </c>
      <c r="E1483" s="124" t="s">
        <v>523</v>
      </c>
      <c r="F1483" s="125" t="str">
        <f t="shared" si="78"/>
        <v/>
      </c>
      <c r="G1483" s="126" t="e">
        <f>IF(A1483&lt;&gt;"",IF(AND(#REF!="Padrão",$H$4=#REF!),BDI!$B$17,IF(AND(#REF!="Padrão",$H$4=#REF!),BDI!#REF!,IF(AND(#REF!="Diferenciado",$H$4=#REF!),BDI!$E$17,IF(AND(#REF!="Diferenciado",$H$4=#REF!),BDI!#REF!,IF(#REF!="ZERO",0))))),"")</f>
        <v>#REF!</v>
      </c>
      <c r="H1483" s="127" t="str">
        <f t="shared" si="79"/>
        <v/>
      </c>
      <c r="I1483" s="125" t="str">
        <f t="shared" si="80"/>
        <v/>
      </c>
    </row>
    <row r="1484" spans="1:9" hidden="1" x14ac:dyDescent="0.25">
      <c r="A1484" s="103" t="s">
        <v>5119</v>
      </c>
      <c r="B1484" s="104" t="s">
        <v>3926</v>
      </c>
      <c r="C1484" s="105" t="s">
        <v>93</v>
      </c>
      <c r="D1484" s="105">
        <v>0</v>
      </c>
      <c r="E1484" s="124" t="s">
        <v>523</v>
      </c>
      <c r="F1484" s="125" t="str">
        <f t="shared" si="78"/>
        <v/>
      </c>
      <c r="G1484" s="126" t="e">
        <f>IF(A1484&lt;&gt;"",IF(AND(#REF!="Padrão",$H$4=#REF!),BDI!$B$17,IF(AND(#REF!="Padrão",$H$4=#REF!),BDI!#REF!,IF(AND(#REF!="Diferenciado",$H$4=#REF!),BDI!$E$17,IF(AND(#REF!="Diferenciado",$H$4=#REF!),BDI!#REF!,IF(#REF!="ZERO",0))))),"")</f>
        <v>#REF!</v>
      </c>
      <c r="H1484" s="127" t="str">
        <f t="shared" si="79"/>
        <v/>
      </c>
      <c r="I1484" s="125" t="str">
        <f t="shared" si="80"/>
        <v/>
      </c>
    </row>
    <row r="1485" spans="1:9" hidden="1" x14ac:dyDescent="0.25">
      <c r="A1485" s="103" t="s">
        <v>5120</v>
      </c>
      <c r="B1485" s="104" t="s">
        <v>3927</v>
      </c>
      <c r="C1485" s="105" t="s">
        <v>93</v>
      </c>
      <c r="D1485" s="105">
        <v>0</v>
      </c>
      <c r="E1485" s="124" t="s">
        <v>523</v>
      </c>
      <c r="F1485" s="125" t="str">
        <f t="shared" si="78"/>
        <v/>
      </c>
      <c r="G1485" s="126" t="e">
        <f>IF(A1485&lt;&gt;"",IF(AND(#REF!="Padrão",$H$4=#REF!),BDI!$B$17,IF(AND(#REF!="Padrão",$H$4=#REF!),BDI!#REF!,IF(AND(#REF!="Diferenciado",$H$4=#REF!),BDI!$E$17,IF(AND(#REF!="Diferenciado",$H$4=#REF!),BDI!#REF!,IF(#REF!="ZERO",0))))),"")</f>
        <v>#REF!</v>
      </c>
      <c r="H1485" s="127" t="str">
        <f t="shared" si="79"/>
        <v/>
      </c>
      <c r="I1485" s="125" t="str">
        <f t="shared" si="80"/>
        <v/>
      </c>
    </row>
    <row r="1486" spans="1:9" hidden="1" x14ac:dyDescent="0.25">
      <c r="A1486" s="103" t="s">
        <v>5121</v>
      </c>
      <c r="B1486" s="104" t="s">
        <v>3928</v>
      </c>
      <c r="C1486" s="105" t="s">
        <v>5022</v>
      </c>
      <c r="D1486" s="105">
        <v>0</v>
      </c>
      <c r="E1486" s="124" t="s">
        <v>523</v>
      </c>
      <c r="F1486" s="125" t="str">
        <f t="shared" si="78"/>
        <v/>
      </c>
      <c r="G1486" s="126" t="e">
        <f>IF(A1486&lt;&gt;"",IF(AND(#REF!="Padrão",$H$4=#REF!),BDI!$B$17,IF(AND(#REF!="Padrão",$H$4=#REF!),BDI!#REF!,IF(AND(#REF!="Diferenciado",$H$4=#REF!),BDI!$E$17,IF(AND(#REF!="Diferenciado",$H$4=#REF!),BDI!#REF!,IF(#REF!="ZERO",0))))),"")</f>
        <v>#REF!</v>
      </c>
      <c r="H1486" s="127" t="str">
        <f t="shared" si="79"/>
        <v/>
      </c>
      <c r="I1486" s="125" t="str">
        <f t="shared" si="80"/>
        <v/>
      </c>
    </row>
    <row r="1487" spans="1:9" hidden="1" x14ac:dyDescent="0.25">
      <c r="A1487" s="103" t="s">
        <v>5122</v>
      </c>
      <c r="B1487" s="104" t="s">
        <v>3929</v>
      </c>
      <c r="C1487" s="105" t="s">
        <v>20</v>
      </c>
      <c r="D1487" s="105">
        <v>0</v>
      </c>
      <c r="E1487" s="124" t="s">
        <v>523</v>
      </c>
      <c r="F1487" s="125" t="str">
        <f t="shared" si="78"/>
        <v/>
      </c>
      <c r="G1487" s="126" t="e">
        <f>IF(A1487&lt;&gt;"",IF(AND(#REF!="Padrão",$H$4=#REF!),BDI!$B$17,IF(AND(#REF!="Padrão",$H$4=#REF!),BDI!#REF!,IF(AND(#REF!="Diferenciado",$H$4=#REF!),BDI!$E$17,IF(AND(#REF!="Diferenciado",$H$4=#REF!),BDI!#REF!,IF(#REF!="ZERO",0))))),"")</f>
        <v>#REF!</v>
      </c>
      <c r="H1487" s="127" t="str">
        <f t="shared" si="79"/>
        <v/>
      </c>
      <c r="I1487" s="125" t="str">
        <f t="shared" si="80"/>
        <v/>
      </c>
    </row>
    <row r="1488" spans="1:9" hidden="1" x14ac:dyDescent="0.25">
      <c r="A1488" s="103" t="s">
        <v>5123</v>
      </c>
      <c r="B1488" s="104" t="s">
        <v>3930</v>
      </c>
      <c r="C1488" s="105" t="s">
        <v>20</v>
      </c>
      <c r="D1488" s="105">
        <v>0</v>
      </c>
      <c r="E1488" s="124" t="s">
        <v>523</v>
      </c>
      <c r="F1488" s="125" t="str">
        <f t="shared" si="78"/>
        <v/>
      </c>
      <c r="G1488" s="126" t="e">
        <f>IF(A1488&lt;&gt;"",IF(AND(#REF!="Padrão",$H$4=#REF!),BDI!$B$17,IF(AND(#REF!="Padrão",$H$4=#REF!),BDI!#REF!,IF(AND(#REF!="Diferenciado",$H$4=#REF!),BDI!$E$17,IF(AND(#REF!="Diferenciado",$H$4=#REF!),BDI!#REF!,IF(#REF!="ZERO",0))))),"")</f>
        <v>#REF!</v>
      </c>
      <c r="H1488" s="127" t="str">
        <f t="shared" si="79"/>
        <v/>
      </c>
      <c r="I1488" s="125" t="str">
        <f t="shared" si="80"/>
        <v/>
      </c>
    </row>
    <row r="1489" spans="1:9" hidden="1" x14ac:dyDescent="0.25">
      <c r="A1489" s="103" t="s">
        <v>5124</v>
      </c>
      <c r="B1489" s="104" t="s">
        <v>3931</v>
      </c>
      <c r="C1489" s="105" t="s">
        <v>20</v>
      </c>
      <c r="D1489" s="105">
        <v>0</v>
      </c>
      <c r="E1489" s="124" t="s">
        <v>523</v>
      </c>
      <c r="F1489" s="125" t="str">
        <f t="shared" si="78"/>
        <v/>
      </c>
      <c r="G1489" s="126" t="e">
        <f>IF(A1489&lt;&gt;"",IF(AND(#REF!="Padrão",$H$4=#REF!),BDI!$B$17,IF(AND(#REF!="Padrão",$H$4=#REF!),BDI!#REF!,IF(AND(#REF!="Diferenciado",$H$4=#REF!),BDI!$E$17,IF(AND(#REF!="Diferenciado",$H$4=#REF!),BDI!#REF!,IF(#REF!="ZERO",0))))),"")</f>
        <v>#REF!</v>
      </c>
      <c r="H1489" s="127" t="str">
        <f t="shared" si="79"/>
        <v/>
      </c>
      <c r="I1489" s="125" t="str">
        <f t="shared" si="80"/>
        <v/>
      </c>
    </row>
    <row r="1490" spans="1:9" hidden="1" x14ac:dyDescent="0.25">
      <c r="A1490" s="103" t="s">
        <v>5125</v>
      </c>
      <c r="B1490" s="104" t="s">
        <v>3932</v>
      </c>
      <c r="C1490" s="105" t="s">
        <v>20</v>
      </c>
      <c r="D1490" s="105">
        <v>0</v>
      </c>
      <c r="E1490" s="124" t="s">
        <v>523</v>
      </c>
      <c r="F1490" s="125" t="str">
        <f t="shared" si="78"/>
        <v/>
      </c>
      <c r="G1490" s="126" t="e">
        <f>IF(A1490&lt;&gt;"",IF(AND(#REF!="Padrão",$H$4=#REF!),BDI!$B$17,IF(AND(#REF!="Padrão",$H$4=#REF!),BDI!#REF!,IF(AND(#REF!="Diferenciado",$H$4=#REF!),BDI!$E$17,IF(AND(#REF!="Diferenciado",$H$4=#REF!),BDI!#REF!,IF(#REF!="ZERO",0))))),"")</f>
        <v>#REF!</v>
      </c>
      <c r="H1490" s="127" t="str">
        <f t="shared" si="79"/>
        <v/>
      </c>
      <c r="I1490" s="125" t="str">
        <f t="shared" si="80"/>
        <v/>
      </c>
    </row>
    <row r="1491" spans="1:9" hidden="1" x14ac:dyDescent="0.25">
      <c r="A1491" s="103" t="s">
        <v>5126</v>
      </c>
      <c r="B1491" s="104" t="s">
        <v>3933</v>
      </c>
      <c r="C1491" s="105" t="s">
        <v>95</v>
      </c>
      <c r="D1491" s="105">
        <v>0</v>
      </c>
      <c r="E1491" s="124" t="s">
        <v>523</v>
      </c>
      <c r="F1491" s="125" t="str">
        <f t="shared" si="78"/>
        <v/>
      </c>
      <c r="G1491" s="126" t="e">
        <f>IF(A1491&lt;&gt;"",IF(AND(#REF!="Padrão",$H$4=#REF!),BDI!$B$17,IF(AND(#REF!="Padrão",$H$4=#REF!),BDI!#REF!,IF(AND(#REF!="Diferenciado",$H$4=#REF!),BDI!$E$17,IF(AND(#REF!="Diferenciado",$H$4=#REF!),BDI!#REF!,IF(#REF!="ZERO",0))))),"")</f>
        <v>#REF!</v>
      </c>
      <c r="H1491" s="127" t="str">
        <f t="shared" si="79"/>
        <v/>
      </c>
      <c r="I1491" s="125" t="str">
        <f t="shared" si="80"/>
        <v/>
      </c>
    </row>
    <row r="1492" spans="1:9" hidden="1" x14ac:dyDescent="0.25">
      <c r="A1492" s="103" t="s">
        <v>5127</v>
      </c>
      <c r="B1492" s="104" t="s">
        <v>3934</v>
      </c>
      <c r="C1492" s="105" t="s">
        <v>95</v>
      </c>
      <c r="D1492" s="105">
        <v>0</v>
      </c>
      <c r="E1492" s="124" t="s">
        <v>523</v>
      </c>
      <c r="F1492" s="125" t="str">
        <f t="shared" si="78"/>
        <v/>
      </c>
      <c r="G1492" s="126" t="e">
        <f>IF(A1492&lt;&gt;"",IF(AND(#REF!="Padrão",$H$4=#REF!),BDI!$B$17,IF(AND(#REF!="Padrão",$H$4=#REF!),BDI!#REF!,IF(AND(#REF!="Diferenciado",$H$4=#REF!),BDI!$E$17,IF(AND(#REF!="Diferenciado",$H$4=#REF!),BDI!#REF!,IF(#REF!="ZERO",0))))),"")</f>
        <v>#REF!</v>
      </c>
      <c r="H1492" s="127" t="str">
        <f t="shared" si="79"/>
        <v/>
      </c>
      <c r="I1492" s="125" t="str">
        <f t="shared" si="80"/>
        <v/>
      </c>
    </row>
    <row r="1493" spans="1:9" hidden="1" x14ac:dyDescent="0.25">
      <c r="A1493" s="103" t="s">
        <v>5128</v>
      </c>
      <c r="B1493" s="104" t="s">
        <v>3935</v>
      </c>
      <c r="C1493" s="105" t="s">
        <v>42</v>
      </c>
      <c r="D1493" s="105">
        <v>0</v>
      </c>
      <c r="E1493" s="124">
        <f ca="1">OFFSET(INDEX(Composições!A:J,MATCH(Orçamentária!A1493,Composições!A:A,0),8),2,0)</f>
        <v>15.1715</v>
      </c>
      <c r="F1493" s="125">
        <f t="shared" ca="1" si="78"/>
        <v>0</v>
      </c>
      <c r="G1493" s="126" t="e">
        <f>IF(A1493&lt;&gt;"",IF(AND(#REF!="Padrão",$H$4=#REF!),BDI!$B$17,IF(AND(#REF!="Padrão",$H$4=#REF!),BDI!#REF!,IF(AND(#REF!="Diferenciado",$H$4=#REF!),BDI!$E$17,IF(AND(#REF!="Diferenciado",$H$4=#REF!),BDI!#REF!,IF(#REF!="ZERO",0))))),"")</f>
        <v>#REF!</v>
      </c>
      <c r="H1493" s="127" t="e">
        <f t="shared" ca="1" si="79"/>
        <v>#REF!</v>
      </c>
      <c r="I1493" s="125" t="e">
        <f t="shared" ca="1" si="80"/>
        <v>#REF!</v>
      </c>
    </row>
    <row r="1494" spans="1:9" hidden="1" x14ac:dyDescent="0.25">
      <c r="A1494" s="103" t="s">
        <v>5129</v>
      </c>
      <c r="B1494" s="104" t="s">
        <v>3936</v>
      </c>
      <c r="C1494" s="105" t="s">
        <v>109</v>
      </c>
      <c r="D1494" s="105">
        <v>0</v>
      </c>
      <c r="E1494" s="124" t="s">
        <v>523</v>
      </c>
      <c r="F1494" s="125" t="str">
        <f t="shared" si="78"/>
        <v/>
      </c>
      <c r="G1494" s="126" t="e">
        <f>IF(A1494&lt;&gt;"",IF(AND(#REF!="Padrão",$H$4=#REF!),BDI!$B$17,IF(AND(#REF!="Padrão",$H$4=#REF!),BDI!#REF!,IF(AND(#REF!="Diferenciado",$H$4=#REF!),BDI!$E$17,IF(AND(#REF!="Diferenciado",$H$4=#REF!),BDI!#REF!,IF(#REF!="ZERO",0))))),"")</f>
        <v>#REF!</v>
      </c>
      <c r="H1494" s="127" t="str">
        <f t="shared" si="79"/>
        <v/>
      </c>
      <c r="I1494" s="125" t="str">
        <f t="shared" si="80"/>
        <v/>
      </c>
    </row>
    <row r="1495" spans="1:9" hidden="1" x14ac:dyDescent="0.25">
      <c r="A1495" s="103" t="s">
        <v>5130</v>
      </c>
      <c r="B1495" s="104" t="s">
        <v>3937</v>
      </c>
      <c r="C1495" s="105" t="s">
        <v>6267</v>
      </c>
      <c r="D1495" s="105">
        <v>0</v>
      </c>
      <c r="E1495" s="124" t="s">
        <v>523</v>
      </c>
      <c r="F1495" s="125" t="str">
        <f t="shared" si="78"/>
        <v/>
      </c>
      <c r="G1495" s="126" t="e">
        <f>IF(A1495&lt;&gt;"",IF(AND(#REF!="Padrão",$H$4=#REF!),BDI!$B$17,IF(AND(#REF!="Padrão",$H$4=#REF!),BDI!#REF!,IF(AND(#REF!="Diferenciado",$H$4=#REF!),BDI!$E$17,IF(AND(#REF!="Diferenciado",$H$4=#REF!),BDI!#REF!,IF(#REF!="ZERO",0))))),"")</f>
        <v>#REF!</v>
      </c>
      <c r="H1495" s="127" t="str">
        <f t="shared" si="79"/>
        <v/>
      </c>
      <c r="I1495" s="125" t="str">
        <f t="shared" si="80"/>
        <v/>
      </c>
    </row>
    <row r="1496" spans="1:9" hidden="1" x14ac:dyDescent="0.25">
      <c r="A1496" s="103" t="s">
        <v>5131</v>
      </c>
      <c r="B1496" s="104" t="s">
        <v>3938</v>
      </c>
      <c r="C1496" s="105" t="s">
        <v>20</v>
      </c>
      <c r="D1496" s="105">
        <v>0</v>
      </c>
      <c r="E1496" s="124" t="s">
        <v>523</v>
      </c>
      <c r="F1496" s="125" t="str">
        <f t="shared" si="78"/>
        <v/>
      </c>
      <c r="G1496" s="126" t="e">
        <f>IF(A1496&lt;&gt;"",IF(AND(#REF!="Padrão",$H$4=#REF!),BDI!$B$17,IF(AND(#REF!="Padrão",$H$4=#REF!),BDI!#REF!,IF(AND(#REF!="Diferenciado",$H$4=#REF!),BDI!$E$17,IF(AND(#REF!="Diferenciado",$H$4=#REF!),BDI!#REF!,IF(#REF!="ZERO",0))))),"")</f>
        <v>#REF!</v>
      </c>
      <c r="H1496" s="127" t="str">
        <f t="shared" si="79"/>
        <v/>
      </c>
      <c r="I1496" s="125" t="str">
        <f t="shared" si="80"/>
        <v/>
      </c>
    </row>
    <row r="1497" spans="1:9" hidden="1" x14ac:dyDescent="0.25">
      <c r="A1497" s="103" t="s">
        <v>5132</v>
      </c>
      <c r="B1497" s="104" t="s">
        <v>3939</v>
      </c>
      <c r="C1497" s="105" t="s">
        <v>20</v>
      </c>
      <c r="D1497" s="105">
        <v>0</v>
      </c>
      <c r="E1497" s="124" t="s">
        <v>523</v>
      </c>
      <c r="F1497" s="125" t="str">
        <f t="shared" si="78"/>
        <v/>
      </c>
      <c r="G1497" s="126" t="e">
        <f>IF(A1497&lt;&gt;"",IF(AND(#REF!="Padrão",$H$4=#REF!),BDI!$B$17,IF(AND(#REF!="Padrão",$H$4=#REF!),BDI!#REF!,IF(AND(#REF!="Diferenciado",$H$4=#REF!),BDI!$E$17,IF(AND(#REF!="Diferenciado",$H$4=#REF!),BDI!#REF!,IF(#REF!="ZERO",0))))),"")</f>
        <v>#REF!</v>
      </c>
      <c r="H1497" s="127" t="str">
        <f t="shared" si="79"/>
        <v/>
      </c>
      <c r="I1497" s="125" t="str">
        <f t="shared" si="80"/>
        <v/>
      </c>
    </row>
    <row r="1498" spans="1:9" hidden="1" x14ac:dyDescent="0.25">
      <c r="A1498" s="103" t="s">
        <v>5133</v>
      </c>
      <c r="B1498" s="104" t="s">
        <v>3940</v>
      </c>
      <c r="C1498" s="105" t="s">
        <v>20</v>
      </c>
      <c r="D1498" s="105">
        <v>0</v>
      </c>
      <c r="E1498" s="124" t="s">
        <v>523</v>
      </c>
      <c r="F1498" s="125" t="str">
        <f t="shared" si="78"/>
        <v/>
      </c>
      <c r="G1498" s="126" t="e">
        <f>IF(A1498&lt;&gt;"",IF(AND(#REF!="Padrão",$H$4=#REF!),BDI!$B$17,IF(AND(#REF!="Padrão",$H$4=#REF!),BDI!#REF!,IF(AND(#REF!="Diferenciado",$H$4=#REF!),BDI!$E$17,IF(AND(#REF!="Diferenciado",$H$4=#REF!),BDI!#REF!,IF(#REF!="ZERO",0))))),"")</f>
        <v>#REF!</v>
      </c>
      <c r="H1498" s="127" t="str">
        <f t="shared" si="79"/>
        <v/>
      </c>
      <c r="I1498" s="125" t="str">
        <f t="shared" si="80"/>
        <v/>
      </c>
    </row>
    <row r="1499" spans="1:9" hidden="1" x14ac:dyDescent="0.25">
      <c r="A1499" s="103" t="s">
        <v>5134</v>
      </c>
      <c r="B1499" s="104" t="s">
        <v>3941</v>
      </c>
      <c r="C1499" s="105" t="s">
        <v>42</v>
      </c>
      <c r="D1499" s="105">
        <v>0</v>
      </c>
      <c r="E1499" s="124">
        <f ca="1">OFFSET(INDEX(Composições!A:J,MATCH(Orçamentária!A1499,Composições!A:A,0),8),2,0)</f>
        <v>11.856</v>
      </c>
      <c r="F1499" s="125">
        <f t="shared" ca="1" si="78"/>
        <v>0</v>
      </c>
      <c r="G1499" s="126" t="e">
        <f>IF(A1499&lt;&gt;"",IF(AND(#REF!="Padrão",$H$4=#REF!),BDI!$B$17,IF(AND(#REF!="Padrão",$H$4=#REF!),BDI!#REF!,IF(AND(#REF!="Diferenciado",$H$4=#REF!),BDI!$E$17,IF(AND(#REF!="Diferenciado",$H$4=#REF!),BDI!#REF!,IF(#REF!="ZERO",0))))),"")</f>
        <v>#REF!</v>
      </c>
      <c r="H1499" s="127" t="e">
        <f t="shared" ca="1" si="79"/>
        <v>#REF!</v>
      </c>
      <c r="I1499" s="125" t="e">
        <f t="shared" ca="1" si="80"/>
        <v>#REF!</v>
      </c>
    </row>
    <row r="1500" spans="1:9" hidden="1" x14ac:dyDescent="0.25">
      <c r="A1500" s="103" t="s">
        <v>5135</v>
      </c>
      <c r="B1500" s="104" t="s">
        <v>3942</v>
      </c>
      <c r="C1500" s="105" t="s">
        <v>20</v>
      </c>
      <c r="D1500" s="105">
        <v>0</v>
      </c>
      <c r="E1500" s="124" t="s">
        <v>523</v>
      </c>
      <c r="F1500" s="125" t="str">
        <f t="shared" si="78"/>
        <v/>
      </c>
      <c r="G1500" s="126" t="e">
        <f>IF(A1500&lt;&gt;"",IF(AND(#REF!="Padrão",$H$4=#REF!),BDI!$B$17,IF(AND(#REF!="Padrão",$H$4=#REF!),BDI!#REF!,IF(AND(#REF!="Diferenciado",$H$4=#REF!),BDI!$E$17,IF(AND(#REF!="Diferenciado",$H$4=#REF!),BDI!#REF!,IF(#REF!="ZERO",0))))),"")</f>
        <v>#REF!</v>
      </c>
      <c r="H1500" s="127" t="str">
        <f t="shared" si="79"/>
        <v/>
      </c>
      <c r="I1500" s="125" t="str">
        <f t="shared" si="80"/>
        <v/>
      </c>
    </row>
    <row r="1501" spans="1:9" hidden="1" x14ac:dyDescent="0.25">
      <c r="A1501" s="103" t="s">
        <v>5136</v>
      </c>
      <c r="B1501" s="104" t="s">
        <v>3943</v>
      </c>
      <c r="C1501" s="105" t="s">
        <v>20</v>
      </c>
      <c r="D1501" s="105">
        <v>0</v>
      </c>
      <c r="E1501" s="124" t="s">
        <v>523</v>
      </c>
      <c r="F1501" s="125" t="str">
        <f t="shared" si="78"/>
        <v/>
      </c>
      <c r="G1501" s="126" t="e">
        <f>IF(A1501&lt;&gt;"",IF(AND(#REF!="Padrão",$H$4=#REF!),BDI!$B$17,IF(AND(#REF!="Padrão",$H$4=#REF!),BDI!#REF!,IF(AND(#REF!="Diferenciado",$H$4=#REF!),BDI!$E$17,IF(AND(#REF!="Diferenciado",$H$4=#REF!),BDI!#REF!,IF(#REF!="ZERO",0))))),"")</f>
        <v>#REF!</v>
      </c>
      <c r="H1501" s="127" t="str">
        <f t="shared" si="79"/>
        <v/>
      </c>
      <c r="I1501" s="125" t="str">
        <f t="shared" si="80"/>
        <v/>
      </c>
    </row>
    <row r="1502" spans="1:9" hidden="1" x14ac:dyDescent="0.25">
      <c r="A1502" s="103" t="s">
        <v>5137</v>
      </c>
      <c r="B1502" s="104" t="s">
        <v>3944</v>
      </c>
      <c r="C1502" s="105" t="s">
        <v>20</v>
      </c>
      <c r="D1502" s="105">
        <v>0</v>
      </c>
      <c r="E1502" s="124" t="s">
        <v>523</v>
      </c>
      <c r="F1502" s="125" t="str">
        <f t="shared" si="78"/>
        <v/>
      </c>
      <c r="G1502" s="126" t="e">
        <f>IF(A1502&lt;&gt;"",IF(AND(#REF!="Padrão",$H$4=#REF!),BDI!$B$17,IF(AND(#REF!="Padrão",$H$4=#REF!),BDI!#REF!,IF(AND(#REF!="Diferenciado",$H$4=#REF!),BDI!$E$17,IF(AND(#REF!="Diferenciado",$H$4=#REF!),BDI!#REF!,IF(#REF!="ZERO",0))))),"")</f>
        <v>#REF!</v>
      </c>
      <c r="H1502" s="127" t="str">
        <f t="shared" si="79"/>
        <v/>
      </c>
      <c r="I1502" s="125" t="str">
        <f t="shared" si="80"/>
        <v/>
      </c>
    </row>
    <row r="1503" spans="1:9" hidden="1" x14ac:dyDescent="0.25">
      <c r="A1503" s="103" t="s">
        <v>5138</v>
      </c>
      <c r="B1503" s="104" t="s">
        <v>3945</v>
      </c>
      <c r="C1503" s="105" t="s">
        <v>20</v>
      </c>
      <c r="D1503" s="105">
        <v>0</v>
      </c>
      <c r="E1503" s="124" t="s">
        <v>523</v>
      </c>
      <c r="F1503" s="125" t="str">
        <f t="shared" si="78"/>
        <v/>
      </c>
      <c r="G1503" s="126" t="e">
        <f>IF(A1503&lt;&gt;"",IF(AND(#REF!="Padrão",$H$4=#REF!),BDI!$B$17,IF(AND(#REF!="Padrão",$H$4=#REF!),BDI!#REF!,IF(AND(#REF!="Diferenciado",$H$4=#REF!),BDI!$E$17,IF(AND(#REF!="Diferenciado",$H$4=#REF!),BDI!#REF!,IF(#REF!="ZERO",0))))),"")</f>
        <v>#REF!</v>
      </c>
      <c r="H1503" s="127" t="str">
        <f t="shared" si="79"/>
        <v/>
      </c>
      <c r="I1503" s="125" t="str">
        <f t="shared" si="80"/>
        <v/>
      </c>
    </row>
    <row r="1504" spans="1:9" hidden="1" x14ac:dyDescent="0.25">
      <c r="A1504" s="103" t="s">
        <v>5139</v>
      </c>
      <c r="B1504" s="104" t="s">
        <v>3946</v>
      </c>
      <c r="C1504" s="105" t="s">
        <v>20</v>
      </c>
      <c r="D1504" s="105">
        <v>0</v>
      </c>
      <c r="E1504" s="124" t="s">
        <v>523</v>
      </c>
      <c r="F1504" s="125" t="str">
        <f t="shared" si="78"/>
        <v/>
      </c>
      <c r="G1504" s="126" t="e">
        <f>IF(A1504&lt;&gt;"",IF(AND(#REF!="Padrão",$H$4=#REF!),BDI!$B$17,IF(AND(#REF!="Padrão",$H$4=#REF!),BDI!#REF!,IF(AND(#REF!="Diferenciado",$H$4=#REF!),BDI!$E$17,IF(AND(#REF!="Diferenciado",$H$4=#REF!),BDI!#REF!,IF(#REF!="ZERO",0))))),"")</f>
        <v>#REF!</v>
      </c>
      <c r="H1504" s="127" t="str">
        <f t="shared" si="79"/>
        <v/>
      </c>
      <c r="I1504" s="125" t="str">
        <f t="shared" si="80"/>
        <v/>
      </c>
    </row>
    <row r="1505" spans="1:9" hidden="1" x14ac:dyDescent="0.25">
      <c r="A1505" s="103" t="s">
        <v>5140</v>
      </c>
      <c r="B1505" s="104" t="s">
        <v>3947</v>
      </c>
      <c r="C1505" s="105" t="s">
        <v>20</v>
      </c>
      <c r="D1505" s="105">
        <v>0</v>
      </c>
      <c r="E1505" s="124" t="s">
        <v>523</v>
      </c>
      <c r="F1505" s="125" t="str">
        <f t="shared" si="78"/>
        <v/>
      </c>
      <c r="G1505" s="126" t="e">
        <f>IF(A1505&lt;&gt;"",IF(AND(#REF!="Padrão",$H$4=#REF!),BDI!$B$17,IF(AND(#REF!="Padrão",$H$4=#REF!),BDI!#REF!,IF(AND(#REF!="Diferenciado",$H$4=#REF!),BDI!$E$17,IF(AND(#REF!="Diferenciado",$H$4=#REF!),BDI!#REF!,IF(#REF!="ZERO",0))))),"")</f>
        <v>#REF!</v>
      </c>
      <c r="H1505" s="127" t="str">
        <f t="shared" si="79"/>
        <v/>
      </c>
      <c r="I1505" s="125" t="str">
        <f t="shared" si="80"/>
        <v/>
      </c>
    </row>
    <row r="1506" spans="1:9" hidden="1" x14ac:dyDescent="0.25">
      <c r="A1506" s="103" t="s">
        <v>5141</v>
      </c>
      <c r="B1506" s="104" t="s">
        <v>3948</v>
      </c>
      <c r="C1506" s="105" t="s">
        <v>20</v>
      </c>
      <c r="D1506" s="105">
        <v>0</v>
      </c>
      <c r="E1506" s="124" t="s">
        <v>523</v>
      </c>
      <c r="F1506" s="125" t="str">
        <f t="shared" si="78"/>
        <v/>
      </c>
      <c r="G1506" s="126" t="e">
        <f>IF(A1506&lt;&gt;"",IF(AND(#REF!="Padrão",$H$4=#REF!),BDI!$B$17,IF(AND(#REF!="Padrão",$H$4=#REF!),BDI!#REF!,IF(AND(#REF!="Diferenciado",$H$4=#REF!),BDI!$E$17,IF(AND(#REF!="Diferenciado",$H$4=#REF!),BDI!#REF!,IF(#REF!="ZERO",0))))),"")</f>
        <v>#REF!</v>
      </c>
      <c r="H1506" s="127" t="str">
        <f t="shared" si="79"/>
        <v/>
      </c>
      <c r="I1506" s="125" t="str">
        <f t="shared" si="80"/>
        <v/>
      </c>
    </row>
    <row r="1507" spans="1:9" hidden="1" x14ac:dyDescent="0.25">
      <c r="A1507" s="103" t="s">
        <v>5142</v>
      </c>
      <c r="B1507" s="104" t="s">
        <v>3949</v>
      </c>
      <c r="C1507" s="105" t="s">
        <v>93</v>
      </c>
      <c r="D1507" s="105">
        <v>0</v>
      </c>
      <c r="E1507" s="124" t="s">
        <v>523</v>
      </c>
      <c r="F1507" s="125" t="str">
        <f t="shared" si="78"/>
        <v/>
      </c>
      <c r="G1507" s="126" t="e">
        <f>IF(A1507&lt;&gt;"",IF(AND(#REF!="Padrão",$H$4=#REF!),BDI!$B$17,IF(AND(#REF!="Padrão",$H$4=#REF!),BDI!#REF!,IF(AND(#REF!="Diferenciado",$H$4=#REF!),BDI!$E$17,IF(AND(#REF!="Diferenciado",$H$4=#REF!),BDI!#REF!,IF(#REF!="ZERO",0))))),"")</f>
        <v>#REF!</v>
      </c>
      <c r="H1507" s="127" t="str">
        <f t="shared" si="79"/>
        <v/>
      </c>
      <c r="I1507" s="125" t="str">
        <f t="shared" si="80"/>
        <v/>
      </c>
    </row>
    <row r="1508" spans="1:9" hidden="1" x14ac:dyDescent="0.25">
      <c r="A1508" s="103" t="s">
        <v>5143</v>
      </c>
      <c r="B1508" s="104" t="s">
        <v>3950</v>
      </c>
      <c r="C1508" s="105" t="s">
        <v>20</v>
      </c>
      <c r="D1508" s="105">
        <v>0</v>
      </c>
      <c r="E1508" s="124" t="s">
        <v>523</v>
      </c>
      <c r="F1508" s="125" t="str">
        <f t="shared" si="78"/>
        <v/>
      </c>
      <c r="G1508" s="126" t="e">
        <f>IF(A1508&lt;&gt;"",IF(AND(#REF!="Padrão",$H$4=#REF!),BDI!$B$17,IF(AND(#REF!="Padrão",$H$4=#REF!),BDI!#REF!,IF(AND(#REF!="Diferenciado",$H$4=#REF!),BDI!$E$17,IF(AND(#REF!="Diferenciado",$H$4=#REF!),BDI!#REF!,IF(#REF!="ZERO",0))))),"")</f>
        <v>#REF!</v>
      </c>
      <c r="H1508" s="127" t="str">
        <f t="shared" si="79"/>
        <v/>
      </c>
      <c r="I1508" s="125" t="str">
        <f t="shared" si="80"/>
        <v/>
      </c>
    </row>
    <row r="1509" spans="1:9" hidden="1" x14ac:dyDescent="0.25">
      <c r="A1509" s="103" t="s">
        <v>5144</v>
      </c>
      <c r="B1509" s="104" t="s">
        <v>3951</v>
      </c>
      <c r="C1509" s="105" t="s">
        <v>20</v>
      </c>
      <c r="D1509" s="105">
        <v>0</v>
      </c>
      <c r="E1509" s="124" t="s">
        <v>523</v>
      </c>
      <c r="F1509" s="125" t="str">
        <f t="shared" si="78"/>
        <v/>
      </c>
      <c r="G1509" s="126" t="e">
        <f>IF(A1509&lt;&gt;"",IF(AND(#REF!="Padrão",$H$4=#REF!),BDI!$B$17,IF(AND(#REF!="Padrão",$H$4=#REF!),BDI!#REF!,IF(AND(#REF!="Diferenciado",$H$4=#REF!),BDI!$E$17,IF(AND(#REF!="Diferenciado",$H$4=#REF!),BDI!#REF!,IF(#REF!="ZERO",0))))),"")</f>
        <v>#REF!</v>
      </c>
      <c r="H1509" s="127" t="str">
        <f t="shared" si="79"/>
        <v/>
      </c>
      <c r="I1509" s="125" t="str">
        <f t="shared" si="80"/>
        <v/>
      </c>
    </row>
    <row r="1510" spans="1:9" hidden="1" x14ac:dyDescent="0.25">
      <c r="A1510" s="103" t="s">
        <v>5145</v>
      </c>
      <c r="B1510" s="104" t="s">
        <v>3952</v>
      </c>
      <c r="C1510" s="105" t="s">
        <v>20</v>
      </c>
      <c r="D1510" s="105">
        <v>0</v>
      </c>
      <c r="E1510" s="124" t="s">
        <v>523</v>
      </c>
      <c r="F1510" s="125" t="str">
        <f t="shared" si="78"/>
        <v/>
      </c>
      <c r="G1510" s="126" t="e">
        <f>IF(A1510&lt;&gt;"",IF(AND(#REF!="Padrão",$H$4=#REF!),BDI!$B$17,IF(AND(#REF!="Padrão",$H$4=#REF!),BDI!#REF!,IF(AND(#REF!="Diferenciado",$H$4=#REF!),BDI!$E$17,IF(AND(#REF!="Diferenciado",$H$4=#REF!),BDI!#REF!,IF(#REF!="ZERO",0))))),"")</f>
        <v>#REF!</v>
      </c>
      <c r="H1510" s="127" t="str">
        <f t="shared" si="79"/>
        <v/>
      </c>
      <c r="I1510" s="125" t="str">
        <f t="shared" si="80"/>
        <v/>
      </c>
    </row>
    <row r="1511" spans="1:9" hidden="1" x14ac:dyDescent="0.25">
      <c r="A1511" s="103" t="s">
        <v>5146</v>
      </c>
      <c r="B1511" s="104" t="s">
        <v>3953</v>
      </c>
      <c r="C1511" s="105" t="s">
        <v>20</v>
      </c>
      <c r="D1511" s="105">
        <v>0</v>
      </c>
      <c r="E1511" s="124" t="s">
        <v>523</v>
      </c>
      <c r="F1511" s="125" t="str">
        <f t="shared" si="78"/>
        <v/>
      </c>
      <c r="G1511" s="126" t="e">
        <f>IF(A1511&lt;&gt;"",IF(AND(#REF!="Padrão",$H$4=#REF!),BDI!$B$17,IF(AND(#REF!="Padrão",$H$4=#REF!),BDI!#REF!,IF(AND(#REF!="Diferenciado",$H$4=#REF!),BDI!$E$17,IF(AND(#REF!="Diferenciado",$H$4=#REF!),BDI!#REF!,IF(#REF!="ZERO",0))))),"")</f>
        <v>#REF!</v>
      </c>
      <c r="H1511" s="127" t="str">
        <f t="shared" si="79"/>
        <v/>
      </c>
      <c r="I1511" s="125" t="str">
        <f t="shared" si="80"/>
        <v/>
      </c>
    </row>
    <row r="1512" spans="1:9" hidden="1" x14ac:dyDescent="0.25">
      <c r="A1512" s="103" t="s">
        <v>5147</v>
      </c>
      <c r="B1512" s="104" t="s">
        <v>3954</v>
      </c>
      <c r="C1512" s="105" t="s">
        <v>20</v>
      </c>
      <c r="D1512" s="105">
        <v>0</v>
      </c>
      <c r="E1512" s="124" t="s">
        <v>523</v>
      </c>
      <c r="F1512" s="125" t="str">
        <f t="shared" si="78"/>
        <v/>
      </c>
      <c r="G1512" s="126" t="e">
        <f>IF(A1512&lt;&gt;"",IF(AND(#REF!="Padrão",$H$4=#REF!),BDI!$B$17,IF(AND(#REF!="Padrão",$H$4=#REF!),BDI!#REF!,IF(AND(#REF!="Diferenciado",$H$4=#REF!),BDI!$E$17,IF(AND(#REF!="Diferenciado",$H$4=#REF!),BDI!#REF!,IF(#REF!="ZERO",0))))),"")</f>
        <v>#REF!</v>
      </c>
      <c r="H1512" s="127" t="str">
        <f t="shared" si="79"/>
        <v/>
      </c>
      <c r="I1512" s="125" t="str">
        <f t="shared" si="80"/>
        <v/>
      </c>
    </row>
    <row r="1513" spans="1:9" hidden="1" x14ac:dyDescent="0.25">
      <c r="A1513" s="103" t="s">
        <v>5148</v>
      </c>
      <c r="B1513" s="104" t="s">
        <v>3955</v>
      </c>
      <c r="C1513" s="105" t="s">
        <v>93</v>
      </c>
      <c r="D1513" s="105">
        <v>0</v>
      </c>
      <c r="E1513" s="124" t="s">
        <v>523</v>
      </c>
      <c r="F1513" s="125" t="str">
        <f t="shared" si="78"/>
        <v/>
      </c>
      <c r="G1513" s="126" t="e">
        <f>IF(A1513&lt;&gt;"",IF(AND(#REF!="Padrão",$H$4=#REF!),BDI!$B$17,IF(AND(#REF!="Padrão",$H$4=#REF!),BDI!#REF!,IF(AND(#REF!="Diferenciado",$H$4=#REF!),BDI!$E$17,IF(AND(#REF!="Diferenciado",$H$4=#REF!),BDI!#REF!,IF(#REF!="ZERO",0))))),"")</f>
        <v>#REF!</v>
      </c>
      <c r="H1513" s="127" t="str">
        <f t="shared" si="79"/>
        <v/>
      </c>
      <c r="I1513" s="125" t="str">
        <f t="shared" si="80"/>
        <v/>
      </c>
    </row>
    <row r="1514" spans="1:9" hidden="1" x14ac:dyDescent="0.25">
      <c r="A1514" s="103" t="s">
        <v>5149</v>
      </c>
      <c r="B1514" s="104" t="s">
        <v>3956</v>
      </c>
      <c r="C1514" s="105" t="s">
        <v>20</v>
      </c>
      <c r="D1514" s="105">
        <v>0</v>
      </c>
      <c r="E1514" s="124" t="s">
        <v>523</v>
      </c>
      <c r="F1514" s="125" t="str">
        <f t="shared" si="78"/>
        <v/>
      </c>
      <c r="G1514" s="126" t="e">
        <f>IF(A1514&lt;&gt;"",IF(AND(#REF!="Padrão",$H$4=#REF!),BDI!$B$17,IF(AND(#REF!="Padrão",$H$4=#REF!),BDI!#REF!,IF(AND(#REF!="Diferenciado",$H$4=#REF!),BDI!$E$17,IF(AND(#REF!="Diferenciado",$H$4=#REF!),BDI!#REF!,IF(#REF!="ZERO",0))))),"")</f>
        <v>#REF!</v>
      </c>
      <c r="H1514" s="127" t="str">
        <f t="shared" si="79"/>
        <v/>
      </c>
      <c r="I1514" s="125" t="str">
        <f t="shared" si="80"/>
        <v/>
      </c>
    </row>
    <row r="1515" spans="1:9" hidden="1" x14ac:dyDescent="0.25">
      <c r="A1515" s="103" t="s">
        <v>5150</v>
      </c>
      <c r="B1515" s="104" t="s">
        <v>3957</v>
      </c>
      <c r="C1515" s="105" t="s">
        <v>20</v>
      </c>
      <c r="D1515" s="105">
        <v>0</v>
      </c>
      <c r="E1515" s="124" t="s">
        <v>523</v>
      </c>
      <c r="F1515" s="125" t="str">
        <f t="shared" si="78"/>
        <v/>
      </c>
      <c r="G1515" s="126" t="e">
        <f>IF(A1515&lt;&gt;"",IF(AND(#REF!="Padrão",$H$4=#REF!),BDI!$B$17,IF(AND(#REF!="Padrão",$H$4=#REF!),BDI!#REF!,IF(AND(#REF!="Diferenciado",$H$4=#REF!),BDI!$E$17,IF(AND(#REF!="Diferenciado",$H$4=#REF!),BDI!#REF!,IF(#REF!="ZERO",0))))),"")</f>
        <v>#REF!</v>
      </c>
      <c r="H1515" s="127" t="str">
        <f t="shared" si="79"/>
        <v/>
      </c>
      <c r="I1515" s="125" t="str">
        <f t="shared" si="80"/>
        <v/>
      </c>
    </row>
    <row r="1516" spans="1:9" hidden="1" x14ac:dyDescent="0.25">
      <c r="A1516" s="103" t="s">
        <v>5151</v>
      </c>
      <c r="B1516" s="104" t="s">
        <v>3958</v>
      </c>
      <c r="C1516" s="105" t="s">
        <v>20</v>
      </c>
      <c r="D1516" s="105">
        <v>0</v>
      </c>
      <c r="E1516" s="124" t="s">
        <v>523</v>
      </c>
      <c r="F1516" s="125" t="str">
        <f t="shared" si="78"/>
        <v/>
      </c>
      <c r="G1516" s="126" t="e">
        <f>IF(A1516&lt;&gt;"",IF(AND(#REF!="Padrão",$H$4=#REF!),BDI!$B$17,IF(AND(#REF!="Padrão",$H$4=#REF!),BDI!#REF!,IF(AND(#REF!="Diferenciado",$H$4=#REF!),BDI!$E$17,IF(AND(#REF!="Diferenciado",$H$4=#REF!),BDI!#REF!,IF(#REF!="ZERO",0))))),"")</f>
        <v>#REF!</v>
      </c>
      <c r="H1516" s="127" t="str">
        <f t="shared" si="79"/>
        <v/>
      </c>
      <c r="I1516" s="125" t="str">
        <f t="shared" si="80"/>
        <v/>
      </c>
    </row>
    <row r="1517" spans="1:9" hidden="1" x14ac:dyDescent="0.25">
      <c r="A1517" s="103" t="s">
        <v>5152</v>
      </c>
      <c r="B1517" s="104" t="s">
        <v>3959</v>
      </c>
      <c r="C1517" s="105" t="s">
        <v>93</v>
      </c>
      <c r="D1517" s="105">
        <v>0</v>
      </c>
      <c r="E1517" s="124" t="s">
        <v>523</v>
      </c>
      <c r="F1517" s="125" t="str">
        <f t="shared" ref="F1517:F1580" si="81">IF(ISNUMBER(E1517),D1517*E1517,"")</f>
        <v/>
      </c>
      <c r="G1517" s="126" t="e">
        <f>IF(A1517&lt;&gt;"",IF(AND(#REF!="Padrão",$H$4=#REF!),BDI!$B$17,IF(AND(#REF!="Padrão",$H$4=#REF!),BDI!#REF!,IF(AND(#REF!="Diferenciado",$H$4=#REF!),BDI!$E$17,IF(AND(#REF!="Diferenciado",$H$4=#REF!),BDI!#REF!,IF(#REF!="ZERO",0))))),"")</f>
        <v>#REF!</v>
      </c>
      <c r="H1517" s="127" t="str">
        <f t="shared" ref="H1517:H1580" si="82">IF(ISNUMBER(E1517),ROUND(E1517*(1+G1517),2),"")</f>
        <v/>
      </c>
      <c r="I1517" s="125" t="str">
        <f t="shared" ref="I1517:I1580" si="83">IF(ISNUMBER(E1517),ROUND(H1517*D1517,2),"")</f>
        <v/>
      </c>
    </row>
    <row r="1518" spans="1:9" hidden="1" x14ac:dyDescent="0.25">
      <c r="A1518" s="103" t="s">
        <v>5153</v>
      </c>
      <c r="B1518" s="104" t="s">
        <v>3960</v>
      </c>
      <c r="C1518" s="105" t="s">
        <v>20</v>
      </c>
      <c r="D1518" s="105">
        <v>0</v>
      </c>
      <c r="E1518" s="124" t="s">
        <v>523</v>
      </c>
      <c r="F1518" s="125" t="str">
        <f t="shared" si="81"/>
        <v/>
      </c>
      <c r="G1518" s="126" t="e">
        <f>IF(A1518&lt;&gt;"",IF(AND(#REF!="Padrão",$H$4=#REF!),BDI!$B$17,IF(AND(#REF!="Padrão",$H$4=#REF!),BDI!#REF!,IF(AND(#REF!="Diferenciado",$H$4=#REF!),BDI!$E$17,IF(AND(#REF!="Diferenciado",$H$4=#REF!),BDI!#REF!,IF(#REF!="ZERO",0))))),"")</f>
        <v>#REF!</v>
      </c>
      <c r="H1518" s="127" t="str">
        <f t="shared" si="82"/>
        <v/>
      </c>
      <c r="I1518" s="125" t="str">
        <f t="shared" si="83"/>
        <v/>
      </c>
    </row>
    <row r="1519" spans="1:9" hidden="1" x14ac:dyDescent="0.25">
      <c r="A1519" s="103" t="s">
        <v>5154</v>
      </c>
      <c r="B1519" s="104" t="s">
        <v>3961</v>
      </c>
      <c r="C1519" s="105" t="s">
        <v>20</v>
      </c>
      <c r="D1519" s="105">
        <v>0</v>
      </c>
      <c r="E1519" s="124" t="s">
        <v>523</v>
      </c>
      <c r="F1519" s="125" t="str">
        <f t="shared" si="81"/>
        <v/>
      </c>
      <c r="G1519" s="126" t="e">
        <f>IF(A1519&lt;&gt;"",IF(AND(#REF!="Padrão",$H$4=#REF!),BDI!$B$17,IF(AND(#REF!="Padrão",$H$4=#REF!),BDI!#REF!,IF(AND(#REF!="Diferenciado",$H$4=#REF!),BDI!$E$17,IF(AND(#REF!="Diferenciado",$H$4=#REF!),BDI!#REF!,IF(#REF!="ZERO",0))))),"")</f>
        <v>#REF!</v>
      </c>
      <c r="H1519" s="127" t="str">
        <f t="shared" si="82"/>
        <v/>
      </c>
      <c r="I1519" s="125" t="str">
        <f t="shared" si="83"/>
        <v/>
      </c>
    </row>
    <row r="1520" spans="1:9" hidden="1" x14ac:dyDescent="0.25">
      <c r="A1520" s="103" t="s">
        <v>5155</v>
      </c>
      <c r="B1520" s="104" t="s">
        <v>3962</v>
      </c>
      <c r="C1520" s="105" t="s">
        <v>20</v>
      </c>
      <c r="D1520" s="105">
        <v>0</v>
      </c>
      <c r="E1520" s="124" t="s">
        <v>523</v>
      </c>
      <c r="F1520" s="125" t="str">
        <f t="shared" si="81"/>
        <v/>
      </c>
      <c r="G1520" s="126" t="e">
        <f>IF(A1520&lt;&gt;"",IF(AND(#REF!="Padrão",$H$4=#REF!),BDI!$B$17,IF(AND(#REF!="Padrão",$H$4=#REF!),BDI!#REF!,IF(AND(#REF!="Diferenciado",$H$4=#REF!),BDI!$E$17,IF(AND(#REF!="Diferenciado",$H$4=#REF!),BDI!#REF!,IF(#REF!="ZERO",0))))),"")</f>
        <v>#REF!</v>
      </c>
      <c r="H1520" s="127" t="str">
        <f t="shared" si="82"/>
        <v/>
      </c>
      <c r="I1520" s="125" t="str">
        <f t="shared" si="83"/>
        <v/>
      </c>
    </row>
    <row r="1521" spans="1:9" hidden="1" x14ac:dyDescent="0.25">
      <c r="A1521" s="103" t="s">
        <v>5156</v>
      </c>
      <c r="B1521" s="104" t="s">
        <v>3963</v>
      </c>
      <c r="C1521" s="105" t="s">
        <v>20</v>
      </c>
      <c r="D1521" s="105">
        <v>0</v>
      </c>
      <c r="E1521" s="124" t="s">
        <v>523</v>
      </c>
      <c r="F1521" s="125" t="str">
        <f t="shared" si="81"/>
        <v/>
      </c>
      <c r="G1521" s="126" t="e">
        <f>IF(A1521&lt;&gt;"",IF(AND(#REF!="Padrão",$H$4=#REF!),BDI!$B$17,IF(AND(#REF!="Padrão",$H$4=#REF!),BDI!#REF!,IF(AND(#REF!="Diferenciado",$H$4=#REF!),BDI!$E$17,IF(AND(#REF!="Diferenciado",$H$4=#REF!),BDI!#REF!,IF(#REF!="ZERO",0))))),"")</f>
        <v>#REF!</v>
      </c>
      <c r="H1521" s="127" t="str">
        <f t="shared" si="82"/>
        <v/>
      </c>
      <c r="I1521" s="125" t="str">
        <f t="shared" si="83"/>
        <v/>
      </c>
    </row>
    <row r="1522" spans="1:9" hidden="1" x14ac:dyDescent="0.25">
      <c r="A1522" s="103" t="s">
        <v>5157</v>
      </c>
      <c r="B1522" s="104" t="s">
        <v>3964</v>
      </c>
      <c r="C1522" s="105" t="s">
        <v>20</v>
      </c>
      <c r="D1522" s="105">
        <v>0</v>
      </c>
      <c r="E1522" s="124" t="s">
        <v>523</v>
      </c>
      <c r="F1522" s="125" t="str">
        <f t="shared" si="81"/>
        <v/>
      </c>
      <c r="G1522" s="126" t="e">
        <f>IF(A1522&lt;&gt;"",IF(AND(#REF!="Padrão",$H$4=#REF!),BDI!$B$17,IF(AND(#REF!="Padrão",$H$4=#REF!),BDI!#REF!,IF(AND(#REF!="Diferenciado",$H$4=#REF!),BDI!$E$17,IF(AND(#REF!="Diferenciado",$H$4=#REF!),BDI!#REF!,IF(#REF!="ZERO",0))))),"")</f>
        <v>#REF!</v>
      </c>
      <c r="H1522" s="127" t="str">
        <f t="shared" si="82"/>
        <v/>
      </c>
      <c r="I1522" s="125" t="str">
        <f t="shared" si="83"/>
        <v/>
      </c>
    </row>
    <row r="1523" spans="1:9" hidden="1" x14ac:dyDescent="0.25">
      <c r="A1523" s="103" t="s">
        <v>5158</v>
      </c>
      <c r="B1523" s="104" t="s">
        <v>3965</v>
      </c>
      <c r="C1523" s="105" t="s">
        <v>20</v>
      </c>
      <c r="D1523" s="105">
        <v>0</v>
      </c>
      <c r="E1523" s="124" t="s">
        <v>523</v>
      </c>
      <c r="F1523" s="125" t="str">
        <f t="shared" si="81"/>
        <v/>
      </c>
      <c r="G1523" s="126" t="e">
        <f>IF(A1523&lt;&gt;"",IF(AND(#REF!="Padrão",$H$4=#REF!),BDI!$B$17,IF(AND(#REF!="Padrão",$H$4=#REF!),BDI!#REF!,IF(AND(#REF!="Diferenciado",$H$4=#REF!),BDI!$E$17,IF(AND(#REF!="Diferenciado",$H$4=#REF!),BDI!#REF!,IF(#REF!="ZERO",0))))),"")</f>
        <v>#REF!</v>
      </c>
      <c r="H1523" s="127" t="str">
        <f t="shared" si="82"/>
        <v/>
      </c>
      <c r="I1523" s="125" t="str">
        <f t="shared" si="83"/>
        <v/>
      </c>
    </row>
    <row r="1524" spans="1:9" hidden="1" x14ac:dyDescent="0.25">
      <c r="A1524" s="103" t="s">
        <v>5159</v>
      </c>
      <c r="B1524" s="104" t="s">
        <v>3966</v>
      </c>
      <c r="C1524" s="105" t="s">
        <v>20</v>
      </c>
      <c r="D1524" s="105">
        <v>0</v>
      </c>
      <c r="E1524" s="124" t="s">
        <v>523</v>
      </c>
      <c r="F1524" s="125" t="str">
        <f t="shared" si="81"/>
        <v/>
      </c>
      <c r="G1524" s="126" t="e">
        <f>IF(A1524&lt;&gt;"",IF(AND(#REF!="Padrão",$H$4=#REF!),BDI!$B$17,IF(AND(#REF!="Padrão",$H$4=#REF!),BDI!#REF!,IF(AND(#REF!="Diferenciado",$H$4=#REF!),BDI!$E$17,IF(AND(#REF!="Diferenciado",$H$4=#REF!),BDI!#REF!,IF(#REF!="ZERO",0))))),"")</f>
        <v>#REF!</v>
      </c>
      <c r="H1524" s="127" t="str">
        <f t="shared" si="82"/>
        <v/>
      </c>
      <c r="I1524" s="125" t="str">
        <f t="shared" si="83"/>
        <v/>
      </c>
    </row>
    <row r="1525" spans="1:9" hidden="1" x14ac:dyDescent="0.25">
      <c r="A1525" s="103" t="s">
        <v>5160</v>
      </c>
      <c r="B1525" s="104" t="s">
        <v>3967</v>
      </c>
      <c r="C1525" s="105" t="s">
        <v>20</v>
      </c>
      <c r="D1525" s="105">
        <v>0</v>
      </c>
      <c r="E1525" s="124" t="s">
        <v>523</v>
      </c>
      <c r="F1525" s="125" t="str">
        <f t="shared" si="81"/>
        <v/>
      </c>
      <c r="G1525" s="126" t="e">
        <f>IF(A1525&lt;&gt;"",IF(AND(#REF!="Padrão",$H$4=#REF!),BDI!$B$17,IF(AND(#REF!="Padrão",$H$4=#REF!),BDI!#REF!,IF(AND(#REF!="Diferenciado",$H$4=#REF!),BDI!$E$17,IF(AND(#REF!="Diferenciado",$H$4=#REF!),BDI!#REF!,IF(#REF!="ZERO",0))))),"")</f>
        <v>#REF!</v>
      </c>
      <c r="H1525" s="127" t="str">
        <f t="shared" si="82"/>
        <v/>
      </c>
      <c r="I1525" s="125" t="str">
        <f t="shared" si="83"/>
        <v/>
      </c>
    </row>
    <row r="1526" spans="1:9" hidden="1" x14ac:dyDescent="0.25">
      <c r="A1526" s="103" t="s">
        <v>5161</v>
      </c>
      <c r="B1526" s="104" t="s">
        <v>3968</v>
      </c>
      <c r="C1526" s="105" t="s">
        <v>20</v>
      </c>
      <c r="D1526" s="105">
        <v>0</v>
      </c>
      <c r="E1526" s="124" t="s">
        <v>523</v>
      </c>
      <c r="F1526" s="125" t="str">
        <f t="shared" si="81"/>
        <v/>
      </c>
      <c r="G1526" s="126" t="e">
        <f>IF(A1526&lt;&gt;"",IF(AND(#REF!="Padrão",$H$4=#REF!),BDI!$B$17,IF(AND(#REF!="Padrão",$H$4=#REF!),BDI!#REF!,IF(AND(#REF!="Diferenciado",$H$4=#REF!),BDI!$E$17,IF(AND(#REF!="Diferenciado",$H$4=#REF!),BDI!#REF!,IF(#REF!="ZERO",0))))),"")</f>
        <v>#REF!</v>
      </c>
      <c r="H1526" s="127" t="str">
        <f t="shared" si="82"/>
        <v/>
      </c>
      <c r="I1526" s="125" t="str">
        <f t="shared" si="83"/>
        <v/>
      </c>
    </row>
    <row r="1527" spans="1:9" hidden="1" x14ac:dyDescent="0.25">
      <c r="A1527" s="103" t="s">
        <v>5162</v>
      </c>
      <c r="B1527" s="104" t="s">
        <v>3969</v>
      </c>
      <c r="C1527" s="105" t="s">
        <v>20</v>
      </c>
      <c r="D1527" s="105">
        <v>0</v>
      </c>
      <c r="E1527" s="124" t="s">
        <v>523</v>
      </c>
      <c r="F1527" s="125" t="str">
        <f t="shared" si="81"/>
        <v/>
      </c>
      <c r="G1527" s="126" t="e">
        <f>IF(A1527&lt;&gt;"",IF(AND(#REF!="Padrão",$H$4=#REF!),BDI!$B$17,IF(AND(#REF!="Padrão",$H$4=#REF!),BDI!#REF!,IF(AND(#REF!="Diferenciado",$H$4=#REF!),BDI!$E$17,IF(AND(#REF!="Diferenciado",$H$4=#REF!),BDI!#REF!,IF(#REF!="ZERO",0))))),"")</f>
        <v>#REF!</v>
      </c>
      <c r="H1527" s="127" t="str">
        <f t="shared" si="82"/>
        <v/>
      </c>
      <c r="I1527" s="125" t="str">
        <f t="shared" si="83"/>
        <v/>
      </c>
    </row>
    <row r="1528" spans="1:9" hidden="1" x14ac:dyDescent="0.25">
      <c r="A1528" s="103" t="s">
        <v>5163</v>
      </c>
      <c r="B1528" s="104" t="s">
        <v>3970</v>
      </c>
      <c r="C1528" s="105" t="s">
        <v>20</v>
      </c>
      <c r="D1528" s="105">
        <v>0</v>
      </c>
      <c r="E1528" s="124" t="s">
        <v>523</v>
      </c>
      <c r="F1528" s="125" t="str">
        <f t="shared" si="81"/>
        <v/>
      </c>
      <c r="G1528" s="126" t="e">
        <f>IF(A1528&lt;&gt;"",IF(AND(#REF!="Padrão",$H$4=#REF!),BDI!$B$17,IF(AND(#REF!="Padrão",$H$4=#REF!),BDI!#REF!,IF(AND(#REF!="Diferenciado",$H$4=#REF!),BDI!$E$17,IF(AND(#REF!="Diferenciado",$H$4=#REF!),BDI!#REF!,IF(#REF!="ZERO",0))))),"")</f>
        <v>#REF!</v>
      </c>
      <c r="H1528" s="127" t="str">
        <f t="shared" si="82"/>
        <v/>
      </c>
      <c r="I1528" s="125" t="str">
        <f t="shared" si="83"/>
        <v/>
      </c>
    </row>
    <row r="1529" spans="1:9" hidden="1" x14ac:dyDescent="0.25">
      <c r="A1529" s="103" t="s">
        <v>5164</v>
      </c>
      <c r="B1529" s="104" t="s">
        <v>3971</v>
      </c>
      <c r="C1529" s="105" t="s">
        <v>20</v>
      </c>
      <c r="D1529" s="105">
        <v>0</v>
      </c>
      <c r="E1529" s="124" t="s">
        <v>523</v>
      </c>
      <c r="F1529" s="125" t="str">
        <f t="shared" si="81"/>
        <v/>
      </c>
      <c r="G1529" s="126" t="e">
        <f>IF(A1529&lt;&gt;"",IF(AND(#REF!="Padrão",$H$4=#REF!),BDI!$B$17,IF(AND(#REF!="Padrão",$H$4=#REF!),BDI!#REF!,IF(AND(#REF!="Diferenciado",$H$4=#REF!),BDI!$E$17,IF(AND(#REF!="Diferenciado",$H$4=#REF!),BDI!#REF!,IF(#REF!="ZERO",0))))),"")</f>
        <v>#REF!</v>
      </c>
      <c r="H1529" s="127" t="str">
        <f t="shared" si="82"/>
        <v/>
      </c>
      <c r="I1529" s="125" t="str">
        <f t="shared" si="83"/>
        <v/>
      </c>
    </row>
    <row r="1530" spans="1:9" hidden="1" x14ac:dyDescent="0.25">
      <c r="A1530" s="103" t="s">
        <v>5165</v>
      </c>
      <c r="B1530" s="104" t="s">
        <v>3972</v>
      </c>
      <c r="C1530" s="105" t="s">
        <v>20</v>
      </c>
      <c r="D1530" s="105">
        <v>0</v>
      </c>
      <c r="E1530" s="124" t="s">
        <v>523</v>
      </c>
      <c r="F1530" s="125" t="str">
        <f t="shared" si="81"/>
        <v/>
      </c>
      <c r="G1530" s="126" t="e">
        <f>IF(A1530&lt;&gt;"",IF(AND(#REF!="Padrão",$H$4=#REF!),BDI!$B$17,IF(AND(#REF!="Padrão",$H$4=#REF!),BDI!#REF!,IF(AND(#REF!="Diferenciado",$H$4=#REF!),BDI!$E$17,IF(AND(#REF!="Diferenciado",$H$4=#REF!),BDI!#REF!,IF(#REF!="ZERO",0))))),"")</f>
        <v>#REF!</v>
      </c>
      <c r="H1530" s="127" t="str">
        <f t="shared" si="82"/>
        <v/>
      </c>
      <c r="I1530" s="125" t="str">
        <f t="shared" si="83"/>
        <v/>
      </c>
    </row>
    <row r="1531" spans="1:9" hidden="1" x14ac:dyDescent="0.25">
      <c r="A1531" s="103" t="s">
        <v>5166</v>
      </c>
      <c r="B1531" s="104" t="s">
        <v>3973</v>
      </c>
      <c r="C1531" s="105" t="s">
        <v>20</v>
      </c>
      <c r="D1531" s="105">
        <v>0</v>
      </c>
      <c r="E1531" s="124" t="s">
        <v>523</v>
      </c>
      <c r="F1531" s="125" t="str">
        <f t="shared" si="81"/>
        <v/>
      </c>
      <c r="G1531" s="126" t="e">
        <f>IF(A1531&lt;&gt;"",IF(AND(#REF!="Padrão",$H$4=#REF!),BDI!$B$17,IF(AND(#REF!="Padrão",$H$4=#REF!),BDI!#REF!,IF(AND(#REF!="Diferenciado",$H$4=#REF!),BDI!$E$17,IF(AND(#REF!="Diferenciado",$H$4=#REF!),BDI!#REF!,IF(#REF!="ZERO",0))))),"")</f>
        <v>#REF!</v>
      </c>
      <c r="H1531" s="127" t="str">
        <f t="shared" si="82"/>
        <v/>
      </c>
      <c r="I1531" s="125" t="str">
        <f t="shared" si="83"/>
        <v/>
      </c>
    </row>
    <row r="1532" spans="1:9" hidden="1" x14ac:dyDescent="0.25">
      <c r="A1532" s="103" t="s">
        <v>5167</v>
      </c>
      <c r="B1532" s="104" t="s">
        <v>3974</v>
      </c>
      <c r="C1532" s="105" t="s">
        <v>20</v>
      </c>
      <c r="D1532" s="105">
        <v>0</v>
      </c>
      <c r="E1532" s="124" t="s">
        <v>523</v>
      </c>
      <c r="F1532" s="125" t="str">
        <f t="shared" si="81"/>
        <v/>
      </c>
      <c r="G1532" s="126" t="e">
        <f>IF(A1532&lt;&gt;"",IF(AND(#REF!="Padrão",$H$4=#REF!),BDI!$B$17,IF(AND(#REF!="Padrão",$H$4=#REF!),BDI!#REF!,IF(AND(#REF!="Diferenciado",$H$4=#REF!),BDI!$E$17,IF(AND(#REF!="Diferenciado",$H$4=#REF!),BDI!#REF!,IF(#REF!="ZERO",0))))),"")</f>
        <v>#REF!</v>
      </c>
      <c r="H1532" s="127" t="str">
        <f t="shared" si="82"/>
        <v/>
      </c>
      <c r="I1532" s="125" t="str">
        <f t="shared" si="83"/>
        <v/>
      </c>
    </row>
    <row r="1533" spans="1:9" hidden="1" x14ac:dyDescent="0.25">
      <c r="A1533" s="103" t="s">
        <v>5168</v>
      </c>
      <c r="B1533" s="104" t="s">
        <v>3975</v>
      </c>
      <c r="C1533" s="105" t="s">
        <v>20</v>
      </c>
      <c r="D1533" s="105">
        <v>0</v>
      </c>
      <c r="E1533" s="124" t="s">
        <v>523</v>
      </c>
      <c r="F1533" s="125" t="str">
        <f t="shared" si="81"/>
        <v/>
      </c>
      <c r="G1533" s="126" t="e">
        <f>IF(A1533&lt;&gt;"",IF(AND(#REF!="Padrão",$H$4=#REF!),BDI!$B$17,IF(AND(#REF!="Padrão",$H$4=#REF!),BDI!#REF!,IF(AND(#REF!="Diferenciado",$H$4=#REF!),BDI!$E$17,IF(AND(#REF!="Diferenciado",$H$4=#REF!),BDI!#REF!,IF(#REF!="ZERO",0))))),"")</f>
        <v>#REF!</v>
      </c>
      <c r="H1533" s="127" t="str">
        <f t="shared" si="82"/>
        <v/>
      </c>
      <c r="I1533" s="125" t="str">
        <f t="shared" si="83"/>
        <v/>
      </c>
    </row>
    <row r="1534" spans="1:9" hidden="1" x14ac:dyDescent="0.25">
      <c r="A1534" s="103" t="s">
        <v>5169</v>
      </c>
      <c r="B1534" s="104" t="s">
        <v>3976</v>
      </c>
      <c r="C1534" s="105" t="s">
        <v>20</v>
      </c>
      <c r="D1534" s="105">
        <v>0</v>
      </c>
      <c r="E1534" s="124" t="s">
        <v>523</v>
      </c>
      <c r="F1534" s="125" t="str">
        <f t="shared" si="81"/>
        <v/>
      </c>
      <c r="G1534" s="126" t="e">
        <f>IF(A1534&lt;&gt;"",IF(AND(#REF!="Padrão",$H$4=#REF!),BDI!$B$17,IF(AND(#REF!="Padrão",$H$4=#REF!),BDI!#REF!,IF(AND(#REF!="Diferenciado",$H$4=#REF!),BDI!$E$17,IF(AND(#REF!="Diferenciado",$H$4=#REF!),BDI!#REF!,IF(#REF!="ZERO",0))))),"")</f>
        <v>#REF!</v>
      </c>
      <c r="H1534" s="127" t="str">
        <f t="shared" si="82"/>
        <v/>
      </c>
      <c r="I1534" s="125" t="str">
        <f t="shared" si="83"/>
        <v/>
      </c>
    </row>
    <row r="1535" spans="1:9" hidden="1" x14ac:dyDescent="0.25">
      <c r="A1535" s="103" t="s">
        <v>5170</v>
      </c>
      <c r="B1535" s="104" t="s">
        <v>3977</v>
      </c>
      <c r="C1535" s="105" t="s">
        <v>20</v>
      </c>
      <c r="D1535" s="105">
        <v>0</v>
      </c>
      <c r="E1535" s="124" t="s">
        <v>523</v>
      </c>
      <c r="F1535" s="125" t="str">
        <f t="shared" si="81"/>
        <v/>
      </c>
      <c r="G1535" s="126" t="e">
        <f>IF(A1535&lt;&gt;"",IF(AND(#REF!="Padrão",$H$4=#REF!),BDI!$B$17,IF(AND(#REF!="Padrão",$H$4=#REF!),BDI!#REF!,IF(AND(#REF!="Diferenciado",$H$4=#REF!),BDI!$E$17,IF(AND(#REF!="Diferenciado",$H$4=#REF!),BDI!#REF!,IF(#REF!="ZERO",0))))),"")</f>
        <v>#REF!</v>
      </c>
      <c r="H1535" s="127" t="str">
        <f t="shared" si="82"/>
        <v/>
      </c>
      <c r="I1535" s="125" t="str">
        <f t="shared" si="83"/>
        <v/>
      </c>
    </row>
    <row r="1536" spans="1:9" hidden="1" x14ac:dyDescent="0.25">
      <c r="A1536" s="103" t="s">
        <v>5171</v>
      </c>
      <c r="B1536" s="104" t="s">
        <v>3978</v>
      </c>
      <c r="C1536" s="105" t="s">
        <v>20</v>
      </c>
      <c r="D1536" s="105">
        <v>0</v>
      </c>
      <c r="E1536" s="124" t="s">
        <v>523</v>
      </c>
      <c r="F1536" s="125" t="str">
        <f t="shared" si="81"/>
        <v/>
      </c>
      <c r="G1536" s="126" t="e">
        <f>IF(A1536&lt;&gt;"",IF(AND(#REF!="Padrão",$H$4=#REF!),BDI!$B$17,IF(AND(#REF!="Padrão",$H$4=#REF!),BDI!#REF!,IF(AND(#REF!="Diferenciado",$H$4=#REF!),BDI!$E$17,IF(AND(#REF!="Diferenciado",$H$4=#REF!),BDI!#REF!,IF(#REF!="ZERO",0))))),"")</f>
        <v>#REF!</v>
      </c>
      <c r="H1536" s="127" t="str">
        <f t="shared" si="82"/>
        <v/>
      </c>
      <c r="I1536" s="125" t="str">
        <f t="shared" si="83"/>
        <v/>
      </c>
    </row>
    <row r="1537" spans="1:9" hidden="1" x14ac:dyDescent="0.25">
      <c r="A1537" s="103" t="s">
        <v>5172</v>
      </c>
      <c r="B1537" s="104" t="s">
        <v>3979</v>
      </c>
      <c r="C1537" s="105" t="s">
        <v>20</v>
      </c>
      <c r="D1537" s="105">
        <v>0</v>
      </c>
      <c r="E1537" s="124" t="s">
        <v>523</v>
      </c>
      <c r="F1537" s="125" t="str">
        <f t="shared" si="81"/>
        <v/>
      </c>
      <c r="G1537" s="126" t="e">
        <f>IF(A1537&lt;&gt;"",IF(AND(#REF!="Padrão",$H$4=#REF!),BDI!$B$17,IF(AND(#REF!="Padrão",$H$4=#REF!),BDI!#REF!,IF(AND(#REF!="Diferenciado",$H$4=#REF!),BDI!$E$17,IF(AND(#REF!="Diferenciado",$H$4=#REF!),BDI!#REF!,IF(#REF!="ZERO",0))))),"")</f>
        <v>#REF!</v>
      </c>
      <c r="H1537" s="127" t="str">
        <f t="shared" si="82"/>
        <v/>
      </c>
      <c r="I1537" s="125" t="str">
        <f t="shared" si="83"/>
        <v/>
      </c>
    </row>
    <row r="1538" spans="1:9" hidden="1" x14ac:dyDescent="0.25">
      <c r="A1538" s="103" t="s">
        <v>5173</v>
      </c>
      <c r="B1538" s="104" t="s">
        <v>3980</v>
      </c>
      <c r="C1538" s="105" t="s">
        <v>20</v>
      </c>
      <c r="D1538" s="105">
        <v>0</v>
      </c>
      <c r="E1538" s="124" t="s">
        <v>523</v>
      </c>
      <c r="F1538" s="125" t="str">
        <f t="shared" si="81"/>
        <v/>
      </c>
      <c r="G1538" s="126" t="e">
        <f>IF(A1538&lt;&gt;"",IF(AND(#REF!="Padrão",$H$4=#REF!),BDI!$B$17,IF(AND(#REF!="Padrão",$H$4=#REF!),BDI!#REF!,IF(AND(#REF!="Diferenciado",$H$4=#REF!),BDI!$E$17,IF(AND(#REF!="Diferenciado",$H$4=#REF!),BDI!#REF!,IF(#REF!="ZERO",0))))),"")</f>
        <v>#REF!</v>
      </c>
      <c r="H1538" s="127" t="str">
        <f t="shared" si="82"/>
        <v/>
      </c>
      <c r="I1538" s="125" t="str">
        <f t="shared" si="83"/>
        <v/>
      </c>
    </row>
    <row r="1539" spans="1:9" hidden="1" x14ac:dyDescent="0.25">
      <c r="A1539" s="103" t="s">
        <v>5174</v>
      </c>
      <c r="B1539" s="104" t="s">
        <v>3981</v>
      </c>
      <c r="C1539" s="105" t="s">
        <v>20</v>
      </c>
      <c r="D1539" s="105">
        <v>0</v>
      </c>
      <c r="E1539" s="124" t="s">
        <v>523</v>
      </c>
      <c r="F1539" s="125" t="str">
        <f t="shared" si="81"/>
        <v/>
      </c>
      <c r="G1539" s="126" t="e">
        <f>IF(A1539&lt;&gt;"",IF(AND(#REF!="Padrão",$H$4=#REF!),BDI!$B$17,IF(AND(#REF!="Padrão",$H$4=#REF!),BDI!#REF!,IF(AND(#REF!="Diferenciado",$H$4=#REF!),BDI!$E$17,IF(AND(#REF!="Diferenciado",$H$4=#REF!),BDI!#REF!,IF(#REF!="ZERO",0))))),"")</f>
        <v>#REF!</v>
      </c>
      <c r="H1539" s="127" t="str">
        <f t="shared" si="82"/>
        <v/>
      </c>
      <c r="I1539" s="125" t="str">
        <f t="shared" si="83"/>
        <v/>
      </c>
    </row>
    <row r="1540" spans="1:9" hidden="1" x14ac:dyDescent="0.25">
      <c r="A1540" s="103" t="s">
        <v>5175</v>
      </c>
      <c r="B1540" s="104" t="s">
        <v>3982</v>
      </c>
      <c r="C1540" s="105" t="s">
        <v>20</v>
      </c>
      <c r="D1540" s="105">
        <v>0</v>
      </c>
      <c r="E1540" s="124" t="s">
        <v>523</v>
      </c>
      <c r="F1540" s="125" t="str">
        <f t="shared" si="81"/>
        <v/>
      </c>
      <c r="G1540" s="126" t="e">
        <f>IF(A1540&lt;&gt;"",IF(AND(#REF!="Padrão",$H$4=#REF!),BDI!$B$17,IF(AND(#REF!="Padrão",$H$4=#REF!),BDI!#REF!,IF(AND(#REF!="Diferenciado",$H$4=#REF!),BDI!$E$17,IF(AND(#REF!="Diferenciado",$H$4=#REF!),BDI!#REF!,IF(#REF!="ZERO",0))))),"")</f>
        <v>#REF!</v>
      </c>
      <c r="H1540" s="127" t="str">
        <f t="shared" si="82"/>
        <v/>
      </c>
      <c r="I1540" s="125" t="str">
        <f t="shared" si="83"/>
        <v/>
      </c>
    </row>
    <row r="1541" spans="1:9" hidden="1" x14ac:dyDescent="0.25">
      <c r="A1541" s="103" t="s">
        <v>5176</v>
      </c>
      <c r="B1541" s="104" t="s">
        <v>3983</v>
      </c>
      <c r="C1541" s="105" t="s">
        <v>20</v>
      </c>
      <c r="D1541" s="105">
        <v>0</v>
      </c>
      <c r="E1541" s="124" t="s">
        <v>523</v>
      </c>
      <c r="F1541" s="125" t="str">
        <f t="shared" si="81"/>
        <v/>
      </c>
      <c r="G1541" s="126" t="e">
        <f>IF(A1541&lt;&gt;"",IF(AND(#REF!="Padrão",$H$4=#REF!),BDI!$B$17,IF(AND(#REF!="Padrão",$H$4=#REF!),BDI!#REF!,IF(AND(#REF!="Diferenciado",$H$4=#REF!),BDI!$E$17,IF(AND(#REF!="Diferenciado",$H$4=#REF!),BDI!#REF!,IF(#REF!="ZERO",0))))),"")</f>
        <v>#REF!</v>
      </c>
      <c r="H1541" s="127" t="str">
        <f t="shared" si="82"/>
        <v/>
      </c>
      <c r="I1541" s="125" t="str">
        <f t="shared" si="83"/>
        <v/>
      </c>
    </row>
    <row r="1542" spans="1:9" hidden="1" x14ac:dyDescent="0.25">
      <c r="A1542" s="103" t="s">
        <v>5177</v>
      </c>
      <c r="B1542" s="104" t="s">
        <v>6448</v>
      </c>
      <c r="C1542" s="105" t="s">
        <v>93</v>
      </c>
      <c r="D1542" s="105">
        <v>0</v>
      </c>
      <c r="E1542" s="124" t="s">
        <v>523</v>
      </c>
      <c r="F1542" s="125" t="str">
        <f t="shared" si="81"/>
        <v/>
      </c>
      <c r="G1542" s="126" t="e">
        <f>IF(A1542&lt;&gt;"",IF(AND(#REF!="Padrão",$H$4=#REF!),BDI!$B$17,IF(AND(#REF!="Padrão",$H$4=#REF!),BDI!#REF!,IF(AND(#REF!="Diferenciado",$H$4=#REF!),BDI!$E$17,IF(AND(#REF!="Diferenciado",$H$4=#REF!),BDI!#REF!,IF(#REF!="ZERO",0))))),"")</f>
        <v>#REF!</v>
      </c>
      <c r="H1542" s="127" t="str">
        <f t="shared" si="82"/>
        <v/>
      </c>
      <c r="I1542" s="125" t="str">
        <f t="shared" si="83"/>
        <v/>
      </c>
    </row>
    <row r="1543" spans="1:9" hidden="1" x14ac:dyDescent="0.25">
      <c r="A1543" s="103" t="s">
        <v>5178</v>
      </c>
      <c r="B1543" s="104" t="s">
        <v>3984</v>
      </c>
      <c r="C1543" s="105" t="s">
        <v>20</v>
      </c>
      <c r="D1543" s="105">
        <v>0</v>
      </c>
      <c r="E1543" s="124" t="s">
        <v>523</v>
      </c>
      <c r="F1543" s="125" t="str">
        <f t="shared" si="81"/>
        <v/>
      </c>
      <c r="G1543" s="126" t="e">
        <f>IF(A1543&lt;&gt;"",IF(AND(#REF!="Padrão",$H$4=#REF!),BDI!$B$17,IF(AND(#REF!="Padrão",$H$4=#REF!),BDI!#REF!,IF(AND(#REF!="Diferenciado",$H$4=#REF!),BDI!$E$17,IF(AND(#REF!="Diferenciado",$H$4=#REF!),BDI!#REF!,IF(#REF!="ZERO",0))))),"")</f>
        <v>#REF!</v>
      </c>
      <c r="H1543" s="127" t="str">
        <f t="shared" si="82"/>
        <v/>
      </c>
      <c r="I1543" s="125" t="str">
        <f t="shared" si="83"/>
        <v/>
      </c>
    </row>
    <row r="1544" spans="1:9" hidden="1" x14ac:dyDescent="0.25">
      <c r="A1544" s="103" t="s">
        <v>5179</v>
      </c>
      <c r="B1544" s="104" t="s">
        <v>3985</v>
      </c>
      <c r="C1544" s="105" t="s">
        <v>20</v>
      </c>
      <c r="D1544" s="105">
        <v>0</v>
      </c>
      <c r="E1544" s="124" t="s">
        <v>523</v>
      </c>
      <c r="F1544" s="125" t="str">
        <f t="shared" si="81"/>
        <v/>
      </c>
      <c r="G1544" s="126" t="e">
        <f>IF(A1544&lt;&gt;"",IF(AND(#REF!="Padrão",$H$4=#REF!),BDI!$B$17,IF(AND(#REF!="Padrão",$H$4=#REF!),BDI!#REF!,IF(AND(#REF!="Diferenciado",$H$4=#REF!),BDI!$E$17,IF(AND(#REF!="Diferenciado",$H$4=#REF!),BDI!#REF!,IF(#REF!="ZERO",0))))),"")</f>
        <v>#REF!</v>
      </c>
      <c r="H1544" s="127" t="str">
        <f t="shared" si="82"/>
        <v/>
      </c>
      <c r="I1544" s="125" t="str">
        <f t="shared" si="83"/>
        <v/>
      </c>
    </row>
    <row r="1545" spans="1:9" hidden="1" x14ac:dyDescent="0.25">
      <c r="A1545" s="103" t="s">
        <v>5180</v>
      </c>
      <c r="B1545" s="104" t="s">
        <v>3986</v>
      </c>
      <c r="C1545" s="105" t="s">
        <v>20</v>
      </c>
      <c r="D1545" s="105">
        <v>0</v>
      </c>
      <c r="E1545" s="124">
        <f ca="1">OFFSET(INDEX(Composições!A:J,MATCH(Orçamentária!A1545,Composições!A:A,0),8),2,0)</f>
        <v>10.696999999999999</v>
      </c>
      <c r="F1545" s="125">
        <f t="shared" ca="1" si="81"/>
        <v>0</v>
      </c>
      <c r="G1545" s="126" t="e">
        <f>IF(A1545&lt;&gt;"",IF(AND(#REF!="Padrão",$H$4=#REF!),BDI!$B$17,IF(AND(#REF!="Padrão",$H$4=#REF!),BDI!#REF!,IF(AND(#REF!="Diferenciado",$H$4=#REF!),BDI!$E$17,IF(AND(#REF!="Diferenciado",$H$4=#REF!),BDI!#REF!,IF(#REF!="ZERO",0))))),"")</f>
        <v>#REF!</v>
      </c>
      <c r="H1545" s="127" t="e">
        <f t="shared" ca="1" si="82"/>
        <v>#REF!</v>
      </c>
      <c r="I1545" s="125" t="e">
        <f t="shared" ca="1" si="83"/>
        <v>#REF!</v>
      </c>
    </row>
    <row r="1546" spans="1:9" hidden="1" x14ac:dyDescent="0.25">
      <c r="A1546" s="103" t="s">
        <v>5181</v>
      </c>
      <c r="B1546" s="104" t="s">
        <v>3987</v>
      </c>
      <c r="C1546" s="105" t="s">
        <v>20</v>
      </c>
      <c r="D1546" s="105">
        <v>0</v>
      </c>
      <c r="E1546" s="124">
        <f ca="1">OFFSET(INDEX(Composições!A:J,MATCH(Orçamentária!A1546,Composições!A:A,0),8),2,0)</f>
        <v>17.964500000000001</v>
      </c>
      <c r="F1546" s="125">
        <f t="shared" ca="1" si="81"/>
        <v>0</v>
      </c>
      <c r="G1546" s="126" t="e">
        <f>IF(A1546&lt;&gt;"",IF(AND(#REF!="Padrão",$H$4=#REF!),BDI!$B$17,IF(AND(#REF!="Padrão",$H$4=#REF!),BDI!#REF!,IF(AND(#REF!="Diferenciado",$H$4=#REF!),BDI!$E$17,IF(AND(#REF!="Diferenciado",$H$4=#REF!),BDI!#REF!,IF(#REF!="ZERO",0))))),"")</f>
        <v>#REF!</v>
      </c>
      <c r="H1546" s="127" t="e">
        <f t="shared" ca="1" si="82"/>
        <v>#REF!</v>
      </c>
      <c r="I1546" s="125" t="e">
        <f t="shared" ca="1" si="83"/>
        <v>#REF!</v>
      </c>
    </row>
    <row r="1547" spans="1:9" hidden="1" x14ac:dyDescent="0.25">
      <c r="A1547" s="103" t="s">
        <v>5182</v>
      </c>
      <c r="B1547" s="104" t="s">
        <v>3988</v>
      </c>
      <c r="C1547" s="105" t="s">
        <v>20</v>
      </c>
      <c r="D1547" s="105">
        <v>0</v>
      </c>
      <c r="E1547" s="124">
        <f ca="1">OFFSET(INDEX(Composições!A:J,MATCH(Orçamentária!A1547,Composições!A:A,0),8),2,0)</f>
        <v>22.0305</v>
      </c>
      <c r="F1547" s="125">
        <f t="shared" ca="1" si="81"/>
        <v>0</v>
      </c>
      <c r="G1547" s="126" t="e">
        <f>IF(A1547&lt;&gt;"",IF(AND(#REF!="Padrão",$H$4=#REF!),BDI!$B$17,IF(AND(#REF!="Padrão",$H$4=#REF!),BDI!#REF!,IF(AND(#REF!="Diferenciado",$H$4=#REF!),BDI!$E$17,IF(AND(#REF!="Diferenciado",$H$4=#REF!),BDI!#REF!,IF(#REF!="ZERO",0))))),"")</f>
        <v>#REF!</v>
      </c>
      <c r="H1547" s="127" t="e">
        <f t="shared" ca="1" si="82"/>
        <v>#REF!</v>
      </c>
      <c r="I1547" s="125" t="e">
        <f t="shared" ca="1" si="83"/>
        <v>#REF!</v>
      </c>
    </row>
    <row r="1548" spans="1:9" hidden="1" x14ac:dyDescent="0.25">
      <c r="A1548" s="103" t="s">
        <v>5183</v>
      </c>
      <c r="B1548" s="104" t="s">
        <v>3989</v>
      </c>
      <c r="C1548" s="105" t="s">
        <v>20</v>
      </c>
      <c r="D1548" s="105">
        <v>0</v>
      </c>
      <c r="E1548" s="124">
        <f ca="1">OFFSET(INDEX(Composições!A:J,MATCH(Orçamentária!A1548,Composições!A:A,0),8),2,0)</f>
        <v>29.279</v>
      </c>
      <c r="F1548" s="125">
        <f t="shared" ca="1" si="81"/>
        <v>0</v>
      </c>
      <c r="G1548" s="126" t="e">
        <f>IF(A1548&lt;&gt;"",IF(AND(#REF!="Padrão",$H$4=#REF!),BDI!$B$17,IF(AND(#REF!="Padrão",$H$4=#REF!),BDI!#REF!,IF(AND(#REF!="Diferenciado",$H$4=#REF!),BDI!$E$17,IF(AND(#REF!="Diferenciado",$H$4=#REF!),BDI!#REF!,IF(#REF!="ZERO",0))))),"")</f>
        <v>#REF!</v>
      </c>
      <c r="H1548" s="127" t="e">
        <f t="shared" ca="1" si="82"/>
        <v>#REF!</v>
      </c>
      <c r="I1548" s="125" t="e">
        <f t="shared" ca="1" si="83"/>
        <v>#REF!</v>
      </c>
    </row>
    <row r="1549" spans="1:9" hidden="1" x14ac:dyDescent="0.25">
      <c r="A1549" s="103" t="s">
        <v>5184</v>
      </c>
      <c r="B1549" s="104" t="s">
        <v>6449</v>
      </c>
      <c r="C1549" s="105" t="s">
        <v>20</v>
      </c>
      <c r="D1549" s="105">
        <v>0</v>
      </c>
      <c r="E1549" s="124">
        <f ca="1">OFFSET(INDEX(Composições!A:J,MATCH(Orçamentária!A1549,Composições!A:A,0),8),2,0)</f>
        <v>42.9495</v>
      </c>
      <c r="F1549" s="125">
        <f t="shared" ca="1" si="81"/>
        <v>0</v>
      </c>
      <c r="G1549" s="126" t="e">
        <f>IF(A1549&lt;&gt;"",IF(AND(#REF!="Padrão",$H$4=#REF!),BDI!$B$17,IF(AND(#REF!="Padrão",$H$4=#REF!),BDI!#REF!,IF(AND(#REF!="Diferenciado",$H$4=#REF!),BDI!$E$17,IF(AND(#REF!="Diferenciado",$H$4=#REF!),BDI!#REF!,IF(#REF!="ZERO",0))))),"")</f>
        <v>#REF!</v>
      </c>
      <c r="H1549" s="127" t="e">
        <f t="shared" ca="1" si="82"/>
        <v>#REF!</v>
      </c>
      <c r="I1549" s="125" t="e">
        <f t="shared" ca="1" si="83"/>
        <v>#REF!</v>
      </c>
    </row>
    <row r="1550" spans="1:9" hidden="1" x14ac:dyDescent="0.25">
      <c r="A1550" s="103" t="s">
        <v>5185</v>
      </c>
      <c r="B1550" s="104" t="s">
        <v>3990</v>
      </c>
      <c r="C1550" s="105" t="s">
        <v>20</v>
      </c>
      <c r="D1550" s="105">
        <v>0</v>
      </c>
      <c r="E1550" s="124" t="s">
        <v>523</v>
      </c>
      <c r="F1550" s="125" t="str">
        <f t="shared" si="81"/>
        <v/>
      </c>
      <c r="G1550" s="126" t="e">
        <f>IF(A1550&lt;&gt;"",IF(AND(#REF!="Padrão",$H$4=#REF!),BDI!$B$17,IF(AND(#REF!="Padrão",$H$4=#REF!),BDI!#REF!,IF(AND(#REF!="Diferenciado",$H$4=#REF!),BDI!$E$17,IF(AND(#REF!="Diferenciado",$H$4=#REF!),BDI!#REF!,IF(#REF!="ZERO",0))))),"")</f>
        <v>#REF!</v>
      </c>
      <c r="H1550" s="127" t="str">
        <f t="shared" si="82"/>
        <v/>
      </c>
      <c r="I1550" s="125" t="str">
        <f t="shared" si="83"/>
        <v/>
      </c>
    </row>
    <row r="1551" spans="1:9" hidden="1" x14ac:dyDescent="0.25">
      <c r="A1551" s="103" t="s">
        <v>5186</v>
      </c>
      <c r="B1551" s="104" t="s">
        <v>3991</v>
      </c>
      <c r="C1551" s="105" t="s">
        <v>20</v>
      </c>
      <c r="D1551" s="105">
        <v>0</v>
      </c>
      <c r="E1551" s="124">
        <f ca="1">OFFSET(INDEX(Composições!A:J,MATCH(Orçamentária!A1551,Composições!A:A,0),8),2,0)</f>
        <v>119.26300000000001</v>
      </c>
      <c r="F1551" s="125">
        <f t="shared" ca="1" si="81"/>
        <v>0</v>
      </c>
      <c r="G1551" s="126" t="e">
        <f>IF(A1551&lt;&gt;"",IF(AND(#REF!="Padrão",$H$4=#REF!),BDI!$B$17,IF(AND(#REF!="Padrão",$H$4=#REF!),BDI!#REF!,IF(AND(#REF!="Diferenciado",$H$4=#REF!),BDI!$E$17,IF(AND(#REF!="Diferenciado",$H$4=#REF!),BDI!#REF!,IF(#REF!="ZERO",0))))),"")</f>
        <v>#REF!</v>
      </c>
      <c r="H1551" s="127" t="e">
        <f t="shared" ca="1" si="82"/>
        <v>#REF!</v>
      </c>
      <c r="I1551" s="125" t="e">
        <f t="shared" ca="1" si="83"/>
        <v>#REF!</v>
      </c>
    </row>
    <row r="1552" spans="1:9" hidden="1" x14ac:dyDescent="0.25">
      <c r="A1552" s="103" t="s">
        <v>5187</v>
      </c>
      <c r="B1552" s="104" t="s">
        <v>3992</v>
      </c>
      <c r="C1552" s="105" t="s">
        <v>20</v>
      </c>
      <c r="D1552" s="105">
        <v>0</v>
      </c>
      <c r="E1552" s="124">
        <f ca="1">OFFSET(INDEX(Composições!A:J,MATCH(Orçamentária!A1552,Composições!A:A,0),8),2,0)</f>
        <v>218.9085</v>
      </c>
      <c r="F1552" s="125">
        <f t="shared" ca="1" si="81"/>
        <v>0</v>
      </c>
      <c r="G1552" s="126" t="e">
        <f>IF(A1552&lt;&gt;"",IF(AND(#REF!="Padrão",$H$4=#REF!),BDI!$B$17,IF(AND(#REF!="Padrão",$H$4=#REF!),BDI!#REF!,IF(AND(#REF!="Diferenciado",$H$4=#REF!),BDI!$E$17,IF(AND(#REF!="Diferenciado",$H$4=#REF!),BDI!#REF!,IF(#REF!="ZERO",0))))),"")</f>
        <v>#REF!</v>
      </c>
      <c r="H1552" s="127" t="e">
        <f t="shared" ca="1" si="82"/>
        <v>#REF!</v>
      </c>
      <c r="I1552" s="125" t="e">
        <f t="shared" ca="1" si="83"/>
        <v>#REF!</v>
      </c>
    </row>
    <row r="1553" spans="1:9" hidden="1" x14ac:dyDescent="0.25">
      <c r="A1553" s="103" t="s">
        <v>5188</v>
      </c>
      <c r="B1553" s="104" t="s">
        <v>3993</v>
      </c>
      <c r="C1553" s="105" t="s">
        <v>20</v>
      </c>
      <c r="D1553" s="105">
        <v>0</v>
      </c>
      <c r="E1553" s="124" t="s">
        <v>523</v>
      </c>
      <c r="F1553" s="125" t="str">
        <f t="shared" si="81"/>
        <v/>
      </c>
      <c r="G1553" s="126" t="e">
        <f>IF(A1553&lt;&gt;"",IF(AND(#REF!="Padrão",$H$4=#REF!),BDI!$B$17,IF(AND(#REF!="Padrão",$H$4=#REF!),BDI!#REF!,IF(AND(#REF!="Diferenciado",$H$4=#REF!),BDI!$E$17,IF(AND(#REF!="Diferenciado",$H$4=#REF!),BDI!#REF!,IF(#REF!="ZERO",0))))),"")</f>
        <v>#REF!</v>
      </c>
      <c r="H1553" s="127" t="str">
        <f t="shared" si="82"/>
        <v/>
      </c>
      <c r="I1553" s="125" t="str">
        <f t="shared" si="83"/>
        <v/>
      </c>
    </row>
    <row r="1554" spans="1:9" hidden="1" x14ac:dyDescent="0.25">
      <c r="A1554" s="103" t="s">
        <v>5189</v>
      </c>
      <c r="B1554" s="104" t="s">
        <v>3994</v>
      </c>
      <c r="C1554" s="105" t="s">
        <v>20</v>
      </c>
      <c r="D1554" s="105">
        <v>0</v>
      </c>
      <c r="E1554" s="124" t="s">
        <v>523</v>
      </c>
      <c r="F1554" s="125" t="str">
        <f t="shared" si="81"/>
        <v/>
      </c>
      <c r="G1554" s="126" t="e">
        <f>IF(A1554&lt;&gt;"",IF(AND(#REF!="Padrão",$H$4=#REF!),BDI!$B$17,IF(AND(#REF!="Padrão",$H$4=#REF!),BDI!#REF!,IF(AND(#REF!="Diferenciado",$H$4=#REF!),BDI!$E$17,IF(AND(#REF!="Diferenciado",$H$4=#REF!),BDI!#REF!,IF(#REF!="ZERO",0))))),"")</f>
        <v>#REF!</v>
      </c>
      <c r="H1554" s="127" t="str">
        <f t="shared" si="82"/>
        <v/>
      </c>
      <c r="I1554" s="125" t="str">
        <f t="shared" si="83"/>
        <v/>
      </c>
    </row>
    <row r="1555" spans="1:9" hidden="1" x14ac:dyDescent="0.25">
      <c r="A1555" s="103" t="s">
        <v>5190</v>
      </c>
      <c r="B1555" s="104" t="s">
        <v>6450</v>
      </c>
      <c r="C1555" s="105" t="s">
        <v>20</v>
      </c>
      <c r="D1555" s="105">
        <v>0</v>
      </c>
      <c r="E1555" s="124" t="s">
        <v>523</v>
      </c>
      <c r="F1555" s="125" t="str">
        <f t="shared" si="81"/>
        <v/>
      </c>
      <c r="G1555" s="126" t="e">
        <f>IF(A1555&lt;&gt;"",IF(AND(#REF!="Padrão",$H$4=#REF!),BDI!$B$17,IF(AND(#REF!="Padrão",$H$4=#REF!),BDI!#REF!,IF(AND(#REF!="Diferenciado",$H$4=#REF!),BDI!$E$17,IF(AND(#REF!="Diferenciado",$H$4=#REF!),BDI!#REF!,IF(#REF!="ZERO",0))))),"")</f>
        <v>#REF!</v>
      </c>
      <c r="H1555" s="127" t="str">
        <f t="shared" si="82"/>
        <v/>
      </c>
      <c r="I1555" s="125" t="str">
        <f t="shared" si="83"/>
        <v/>
      </c>
    </row>
    <row r="1556" spans="1:9" hidden="1" x14ac:dyDescent="0.25">
      <c r="A1556" s="103" t="s">
        <v>5191</v>
      </c>
      <c r="B1556" s="104" t="s">
        <v>6451</v>
      </c>
      <c r="C1556" s="105" t="s">
        <v>20</v>
      </c>
      <c r="D1556" s="105">
        <v>0</v>
      </c>
      <c r="E1556" s="124" t="s">
        <v>523</v>
      </c>
      <c r="F1556" s="125" t="str">
        <f t="shared" si="81"/>
        <v/>
      </c>
      <c r="G1556" s="126" t="e">
        <f>IF(A1556&lt;&gt;"",IF(AND(#REF!="Padrão",$H$4=#REF!),BDI!$B$17,IF(AND(#REF!="Padrão",$H$4=#REF!),BDI!#REF!,IF(AND(#REF!="Diferenciado",$H$4=#REF!),BDI!$E$17,IF(AND(#REF!="Diferenciado",$H$4=#REF!),BDI!#REF!,IF(#REF!="ZERO",0))))),"")</f>
        <v>#REF!</v>
      </c>
      <c r="H1556" s="127" t="str">
        <f t="shared" si="82"/>
        <v/>
      </c>
      <c r="I1556" s="125" t="str">
        <f t="shared" si="83"/>
        <v/>
      </c>
    </row>
    <row r="1557" spans="1:9" hidden="1" x14ac:dyDescent="0.25">
      <c r="A1557" s="103" t="s">
        <v>5192</v>
      </c>
      <c r="B1557" s="104" t="s">
        <v>3995</v>
      </c>
      <c r="C1557" s="105" t="s">
        <v>20</v>
      </c>
      <c r="D1557" s="105">
        <v>0</v>
      </c>
      <c r="E1557" s="124" t="s">
        <v>523</v>
      </c>
      <c r="F1557" s="125" t="str">
        <f t="shared" si="81"/>
        <v/>
      </c>
      <c r="G1557" s="126" t="e">
        <f>IF(A1557&lt;&gt;"",IF(AND(#REF!="Padrão",$H$4=#REF!),BDI!$B$17,IF(AND(#REF!="Padrão",$H$4=#REF!),BDI!#REF!,IF(AND(#REF!="Diferenciado",$H$4=#REF!),BDI!$E$17,IF(AND(#REF!="Diferenciado",$H$4=#REF!),BDI!#REF!,IF(#REF!="ZERO",0))))),"")</f>
        <v>#REF!</v>
      </c>
      <c r="H1557" s="127" t="str">
        <f t="shared" si="82"/>
        <v/>
      </c>
      <c r="I1557" s="125" t="str">
        <f t="shared" si="83"/>
        <v/>
      </c>
    </row>
    <row r="1558" spans="1:9" hidden="1" x14ac:dyDescent="0.25">
      <c r="A1558" s="103" t="s">
        <v>5193</v>
      </c>
      <c r="B1558" s="104" t="s">
        <v>3996</v>
      </c>
      <c r="C1558" s="105" t="s">
        <v>20</v>
      </c>
      <c r="D1558" s="105">
        <v>0</v>
      </c>
      <c r="E1558" s="124" t="s">
        <v>523</v>
      </c>
      <c r="F1558" s="125" t="str">
        <f t="shared" si="81"/>
        <v/>
      </c>
      <c r="G1558" s="126" t="e">
        <f>IF(A1558&lt;&gt;"",IF(AND(#REF!="Padrão",$H$4=#REF!),BDI!$B$17,IF(AND(#REF!="Padrão",$H$4=#REF!),BDI!#REF!,IF(AND(#REF!="Diferenciado",$H$4=#REF!),BDI!$E$17,IF(AND(#REF!="Diferenciado",$H$4=#REF!),BDI!#REF!,IF(#REF!="ZERO",0))))),"")</f>
        <v>#REF!</v>
      </c>
      <c r="H1558" s="127" t="str">
        <f t="shared" si="82"/>
        <v/>
      </c>
      <c r="I1558" s="125" t="str">
        <f t="shared" si="83"/>
        <v/>
      </c>
    </row>
    <row r="1559" spans="1:9" hidden="1" x14ac:dyDescent="0.25">
      <c r="A1559" s="103" t="s">
        <v>5194</v>
      </c>
      <c r="B1559" s="104" t="s">
        <v>3997</v>
      </c>
      <c r="C1559" s="105" t="s">
        <v>20</v>
      </c>
      <c r="D1559" s="105">
        <v>0</v>
      </c>
      <c r="E1559" s="124" t="s">
        <v>523</v>
      </c>
      <c r="F1559" s="125" t="str">
        <f t="shared" si="81"/>
        <v/>
      </c>
      <c r="G1559" s="126" t="e">
        <f>IF(A1559&lt;&gt;"",IF(AND(#REF!="Padrão",$H$4=#REF!),BDI!$B$17,IF(AND(#REF!="Padrão",$H$4=#REF!),BDI!#REF!,IF(AND(#REF!="Diferenciado",$H$4=#REF!),BDI!$E$17,IF(AND(#REF!="Diferenciado",$H$4=#REF!),BDI!#REF!,IF(#REF!="ZERO",0))))),"")</f>
        <v>#REF!</v>
      </c>
      <c r="H1559" s="127" t="str">
        <f t="shared" si="82"/>
        <v/>
      </c>
      <c r="I1559" s="125" t="str">
        <f t="shared" si="83"/>
        <v/>
      </c>
    </row>
    <row r="1560" spans="1:9" hidden="1" x14ac:dyDescent="0.25">
      <c r="A1560" s="103" t="s">
        <v>5195</v>
      </c>
      <c r="B1560" s="104" t="s">
        <v>3998</v>
      </c>
      <c r="C1560" s="105" t="s">
        <v>20</v>
      </c>
      <c r="D1560" s="105">
        <v>0</v>
      </c>
      <c r="E1560" s="124" t="s">
        <v>523</v>
      </c>
      <c r="F1560" s="125" t="str">
        <f t="shared" si="81"/>
        <v/>
      </c>
      <c r="G1560" s="126" t="e">
        <f>IF(A1560&lt;&gt;"",IF(AND(#REF!="Padrão",$H$4=#REF!),BDI!$B$17,IF(AND(#REF!="Padrão",$H$4=#REF!),BDI!#REF!,IF(AND(#REF!="Diferenciado",$H$4=#REF!),BDI!$E$17,IF(AND(#REF!="Diferenciado",$H$4=#REF!),BDI!#REF!,IF(#REF!="ZERO",0))))),"")</f>
        <v>#REF!</v>
      </c>
      <c r="H1560" s="127" t="str">
        <f t="shared" si="82"/>
        <v/>
      </c>
      <c r="I1560" s="125" t="str">
        <f t="shared" si="83"/>
        <v/>
      </c>
    </row>
    <row r="1561" spans="1:9" hidden="1" x14ac:dyDescent="0.25">
      <c r="A1561" s="103" t="s">
        <v>5196</v>
      </c>
      <c r="B1561" s="104" t="s">
        <v>3999</v>
      </c>
      <c r="C1561" s="105" t="s">
        <v>20</v>
      </c>
      <c r="D1561" s="105">
        <v>0</v>
      </c>
      <c r="E1561" s="124" t="s">
        <v>523</v>
      </c>
      <c r="F1561" s="125" t="str">
        <f t="shared" si="81"/>
        <v/>
      </c>
      <c r="G1561" s="126" t="e">
        <f>IF(A1561&lt;&gt;"",IF(AND(#REF!="Padrão",$H$4=#REF!),BDI!$B$17,IF(AND(#REF!="Padrão",$H$4=#REF!),BDI!#REF!,IF(AND(#REF!="Diferenciado",$H$4=#REF!),BDI!$E$17,IF(AND(#REF!="Diferenciado",$H$4=#REF!),BDI!#REF!,IF(#REF!="ZERO",0))))),"")</f>
        <v>#REF!</v>
      </c>
      <c r="H1561" s="127" t="str">
        <f t="shared" si="82"/>
        <v/>
      </c>
      <c r="I1561" s="125" t="str">
        <f t="shared" si="83"/>
        <v/>
      </c>
    </row>
    <row r="1562" spans="1:9" hidden="1" x14ac:dyDescent="0.25">
      <c r="A1562" s="103" t="s">
        <v>5197</v>
      </c>
      <c r="B1562" s="104" t="s">
        <v>4000</v>
      </c>
      <c r="C1562" s="105" t="s">
        <v>20</v>
      </c>
      <c r="D1562" s="105">
        <v>0</v>
      </c>
      <c r="E1562" s="124" t="s">
        <v>523</v>
      </c>
      <c r="F1562" s="125" t="str">
        <f t="shared" si="81"/>
        <v/>
      </c>
      <c r="G1562" s="126" t="e">
        <f>IF(A1562&lt;&gt;"",IF(AND(#REF!="Padrão",$H$4=#REF!),BDI!$B$17,IF(AND(#REF!="Padrão",$H$4=#REF!),BDI!#REF!,IF(AND(#REF!="Diferenciado",$H$4=#REF!),BDI!$E$17,IF(AND(#REF!="Diferenciado",$H$4=#REF!),BDI!#REF!,IF(#REF!="ZERO",0))))),"")</f>
        <v>#REF!</v>
      </c>
      <c r="H1562" s="127" t="str">
        <f t="shared" si="82"/>
        <v/>
      </c>
      <c r="I1562" s="125" t="str">
        <f t="shared" si="83"/>
        <v/>
      </c>
    </row>
    <row r="1563" spans="1:9" hidden="1" x14ac:dyDescent="0.25">
      <c r="A1563" s="103" t="s">
        <v>5198</v>
      </c>
      <c r="B1563" s="104" t="s">
        <v>4001</v>
      </c>
      <c r="C1563" s="105" t="s">
        <v>20</v>
      </c>
      <c r="D1563" s="105">
        <v>0</v>
      </c>
      <c r="E1563" s="124" t="s">
        <v>523</v>
      </c>
      <c r="F1563" s="125" t="str">
        <f t="shared" si="81"/>
        <v/>
      </c>
      <c r="G1563" s="126" t="e">
        <f>IF(A1563&lt;&gt;"",IF(AND(#REF!="Padrão",$H$4=#REF!),BDI!$B$17,IF(AND(#REF!="Padrão",$H$4=#REF!),BDI!#REF!,IF(AND(#REF!="Diferenciado",$H$4=#REF!),BDI!$E$17,IF(AND(#REF!="Diferenciado",$H$4=#REF!),BDI!#REF!,IF(#REF!="ZERO",0))))),"")</f>
        <v>#REF!</v>
      </c>
      <c r="H1563" s="127" t="str">
        <f t="shared" si="82"/>
        <v/>
      </c>
      <c r="I1563" s="125" t="str">
        <f t="shared" si="83"/>
        <v/>
      </c>
    </row>
    <row r="1564" spans="1:9" hidden="1" x14ac:dyDescent="0.25">
      <c r="A1564" s="103" t="s">
        <v>5199</v>
      </c>
      <c r="B1564" s="104" t="s">
        <v>4002</v>
      </c>
      <c r="C1564" s="105" t="s">
        <v>20</v>
      </c>
      <c r="D1564" s="105">
        <v>0</v>
      </c>
      <c r="E1564" s="124" t="s">
        <v>523</v>
      </c>
      <c r="F1564" s="125" t="str">
        <f t="shared" si="81"/>
        <v/>
      </c>
      <c r="G1564" s="126" t="e">
        <f>IF(A1564&lt;&gt;"",IF(AND(#REF!="Padrão",$H$4=#REF!),BDI!$B$17,IF(AND(#REF!="Padrão",$H$4=#REF!),BDI!#REF!,IF(AND(#REF!="Diferenciado",$H$4=#REF!),BDI!$E$17,IF(AND(#REF!="Diferenciado",$H$4=#REF!),BDI!#REF!,IF(#REF!="ZERO",0))))),"")</f>
        <v>#REF!</v>
      </c>
      <c r="H1564" s="127" t="str">
        <f t="shared" si="82"/>
        <v/>
      </c>
      <c r="I1564" s="125" t="str">
        <f t="shared" si="83"/>
        <v/>
      </c>
    </row>
    <row r="1565" spans="1:9" hidden="1" x14ac:dyDescent="0.25">
      <c r="A1565" s="103" t="s">
        <v>5200</v>
      </c>
      <c r="B1565" s="104" t="s">
        <v>4003</v>
      </c>
      <c r="C1565" s="105" t="s">
        <v>20</v>
      </c>
      <c r="D1565" s="105">
        <v>0</v>
      </c>
      <c r="E1565" s="124" t="s">
        <v>523</v>
      </c>
      <c r="F1565" s="125" t="str">
        <f t="shared" si="81"/>
        <v/>
      </c>
      <c r="G1565" s="126" t="e">
        <f>IF(A1565&lt;&gt;"",IF(AND(#REF!="Padrão",$H$4=#REF!),BDI!$B$17,IF(AND(#REF!="Padrão",$H$4=#REF!),BDI!#REF!,IF(AND(#REF!="Diferenciado",$H$4=#REF!),BDI!$E$17,IF(AND(#REF!="Diferenciado",$H$4=#REF!),BDI!#REF!,IF(#REF!="ZERO",0))))),"")</f>
        <v>#REF!</v>
      </c>
      <c r="H1565" s="127" t="str">
        <f t="shared" si="82"/>
        <v/>
      </c>
      <c r="I1565" s="125" t="str">
        <f t="shared" si="83"/>
        <v/>
      </c>
    </row>
    <row r="1566" spans="1:9" hidden="1" x14ac:dyDescent="0.25">
      <c r="A1566" s="103" t="s">
        <v>5201</v>
      </c>
      <c r="B1566" s="104" t="s">
        <v>4004</v>
      </c>
      <c r="C1566" s="105" t="s">
        <v>20</v>
      </c>
      <c r="D1566" s="105">
        <v>0</v>
      </c>
      <c r="E1566" s="124">
        <f ca="1">OFFSET(INDEX(Composições!A:J,MATCH(Orçamentária!A1566,Composições!A:A,0),8),2,0)</f>
        <v>5.0824999999999996</v>
      </c>
      <c r="F1566" s="125">
        <f t="shared" ca="1" si="81"/>
        <v>0</v>
      </c>
      <c r="G1566" s="126" t="e">
        <f>IF(A1566&lt;&gt;"",IF(AND(#REF!="Padrão",$H$4=#REF!),BDI!$B$17,IF(AND(#REF!="Padrão",$H$4=#REF!),BDI!#REF!,IF(AND(#REF!="Diferenciado",$H$4=#REF!),BDI!$E$17,IF(AND(#REF!="Diferenciado",$H$4=#REF!),BDI!#REF!,IF(#REF!="ZERO",0))))),"")</f>
        <v>#REF!</v>
      </c>
      <c r="H1566" s="127" t="e">
        <f t="shared" ca="1" si="82"/>
        <v>#REF!</v>
      </c>
      <c r="I1566" s="125" t="e">
        <f t="shared" ca="1" si="83"/>
        <v>#REF!</v>
      </c>
    </row>
    <row r="1567" spans="1:9" hidden="1" x14ac:dyDescent="0.25">
      <c r="A1567" s="103" t="s">
        <v>5202</v>
      </c>
      <c r="B1567" s="104" t="s">
        <v>4005</v>
      </c>
      <c r="C1567" s="105" t="s">
        <v>20</v>
      </c>
      <c r="D1567" s="105">
        <v>0</v>
      </c>
      <c r="E1567" s="124" t="s">
        <v>523</v>
      </c>
      <c r="F1567" s="125" t="str">
        <f t="shared" si="81"/>
        <v/>
      </c>
      <c r="G1567" s="126" t="e">
        <f>IF(A1567&lt;&gt;"",IF(AND(#REF!="Padrão",$H$4=#REF!),BDI!$B$17,IF(AND(#REF!="Padrão",$H$4=#REF!),BDI!#REF!,IF(AND(#REF!="Diferenciado",$H$4=#REF!),BDI!$E$17,IF(AND(#REF!="Diferenciado",$H$4=#REF!),BDI!#REF!,IF(#REF!="ZERO",0))))),"")</f>
        <v>#REF!</v>
      </c>
      <c r="H1567" s="127" t="str">
        <f t="shared" si="82"/>
        <v/>
      </c>
      <c r="I1567" s="125" t="str">
        <f t="shared" si="83"/>
        <v/>
      </c>
    </row>
    <row r="1568" spans="1:9" hidden="1" x14ac:dyDescent="0.25">
      <c r="A1568" s="103" t="s">
        <v>5203</v>
      </c>
      <c r="B1568" s="104" t="s">
        <v>4006</v>
      </c>
      <c r="C1568" s="105" t="s">
        <v>20</v>
      </c>
      <c r="D1568" s="105">
        <v>0</v>
      </c>
      <c r="E1568" s="124">
        <f ca="1">OFFSET(INDEX(Composições!A:J,MATCH(Orçamentária!A1568,Composições!A:A,0),8),2,0)</f>
        <v>2.1849999999999996</v>
      </c>
      <c r="F1568" s="125">
        <f t="shared" ca="1" si="81"/>
        <v>0</v>
      </c>
      <c r="G1568" s="126" t="e">
        <f>IF(A1568&lt;&gt;"",IF(AND(#REF!="Padrão",$H$4=#REF!),BDI!$B$17,IF(AND(#REF!="Padrão",$H$4=#REF!),BDI!#REF!,IF(AND(#REF!="Diferenciado",$H$4=#REF!),BDI!$E$17,IF(AND(#REF!="Diferenciado",$H$4=#REF!),BDI!#REF!,IF(#REF!="ZERO",0))))),"")</f>
        <v>#REF!</v>
      </c>
      <c r="H1568" s="127" t="e">
        <f t="shared" ca="1" si="82"/>
        <v>#REF!</v>
      </c>
      <c r="I1568" s="125" t="e">
        <f t="shared" ca="1" si="83"/>
        <v>#REF!</v>
      </c>
    </row>
    <row r="1569" spans="1:9" hidden="1" x14ac:dyDescent="0.25">
      <c r="A1569" s="103" t="s">
        <v>5204</v>
      </c>
      <c r="B1569" s="104" t="s">
        <v>4007</v>
      </c>
      <c r="C1569" s="105" t="s">
        <v>20</v>
      </c>
      <c r="D1569" s="105">
        <v>0</v>
      </c>
      <c r="E1569" s="124">
        <f ca="1">OFFSET(INDEX(Composições!A:J,MATCH(Orçamentária!A1569,Composições!A:A,0),8),2,0)</f>
        <v>2.4699999999999998</v>
      </c>
      <c r="F1569" s="125">
        <f t="shared" ca="1" si="81"/>
        <v>0</v>
      </c>
      <c r="G1569" s="126" t="e">
        <f>IF(A1569&lt;&gt;"",IF(AND(#REF!="Padrão",$H$4=#REF!),BDI!$B$17,IF(AND(#REF!="Padrão",$H$4=#REF!),BDI!#REF!,IF(AND(#REF!="Diferenciado",$H$4=#REF!),BDI!$E$17,IF(AND(#REF!="Diferenciado",$H$4=#REF!),BDI!#REF!,IF(#REF!="ZERO",0))))),"")</f>
        <v>#REF!</v>
      </c>
      <c r="H1569" s="127" t="e">
        <f t="shared" ca="1" si="82"/>
        <v>#REF!</v>
      </c>
      <c r="I1569" s="125" t="e">
        <f t="shared" ca="1" si="83"/>
        <v>#REF!</v>
      </c>
    </row>
    <row r="1570" spans="1:9" hidden="1" x14ac:dyDescent="0.25">
      <c r="A1570" s="103" t="s">
        <v>5205</v>
      </c>
      <c r="B1570" s="104" t="s">
        <v>4008</v>
      </c>
      <c r="C1570" s="105" t="s">
        <v>20</v>
      </c>
      <c r="D1570" s="105">
        <v>0</v>
      </c>
      <c r="E1570" s="124">
        <f ca="1">OFFSET(INDEX(Composições!A:J,MATCH(Orçamentária!A1570,Composições!A:A,0),8),2,0)</f>
        <v>4.2844999999999995</v>
      </c>
      <c r="F1570" s="125">
        <f t="shared" ca="1" si="81"/>
        <v>0</v>
      </c>
      <c r="G1570" s="126" t="e">
        <f>IF(A1570&lt;&gt;"",IF(AND(#REF!="Padrão",$H$4=#REF!),BDI!$B$17,IF(AND(#REF!="Padrão",$H$4=#REF!),BDI!#REF!,IF(AND(#REF!="Diferenciado",$H$4=#REF!),BDI!$E$17,IF(AND(#REF!="Diferenciado",$H$4=#REF!),BDI!#REF!,IF(#REF!="ZERO",0))))),"")</f>
        <v>#REF!</v>
      </c>
      <c r="H1570" s="127" t="e">
        <f t="shared" ca="1" si="82"/>
        <v>#REF!</v>
      </c>
      <c r="I1570" s="125" t="e">
        <f t="shared" ca="1" si="83"/>
        <v>#REF!</v>
      </c>
    </row>
    <row r="1571" spans="1:9" hidden="1" x14ac:dyDescent="0.25">
      <c r="A1571" s="103" t="s">
        <v>5206</v>
      </c>
      <c r="B1571" s="104" t="s">
        <v>4009</v>
      </c>
      <c r="C1571" s="105" t="s">
        <v>20</v>
      </c>
      <c r="D1571" s="105">
        <v>0</v>
      </c>
      <c r="E1571" s="124">
        <f ca="1">OFFSET(INDEX(Composições!A:J,MATCH(Orçamentária!A1571,Composições!A:A,0),8),2,0)</f>
        <v>5.3389999999999995</v>
      </c>
      <c r="F1571" s="125">
        <f t="shared" ca="1" si="81"/>
        <v>0</v>
      </c>
      <c r="G1571" s="126" t="e">
        <f>IF(A1571&lt;&gt;"",IF(AND(#REF!="Padrão",$H$4=#REF!),BDI!$B$17,IF(AND(#REF!="Padrão",$H$4=#REF!),BDI!#REF!,IF(AND(#REF!="Diferenciado",$H$4=#REF!),BDI!$E$17,IF(AND(#REF!="Diferenciado",$H$4=#REF!),BDI!#REF!,IF(#REF!="ZERO",0))))),"")</f>
        <v>#REF!</v>
      </c>
      <c r="H1571" s="127" t="e">
        <f t="shared" ca="1" si="82"/>
        <v>#REF!</v>
      </c>
      <c r="I1571" s="125" t="e">
        <f t="shared" ca="1" si="83"/>
        <v>#REF!</v>
      </c>
    </row>
    <row r="1572" spans="1:9" hidden="1" x14ac:dyDescent="0.25">
      <c r="A1572" s="103" t="s">
        <v>5207</v>
      </c>
      <c r="B1572" s="104" t="s">
        <v>4010</v>
      </c>
      <c r="C1572" s="105" t="s">
        <v>20</v>
      </c>
      <c r="D1572" s="105">
        <v>0</v>
      </c>
      <c r="E1572" s="124">
        <f ca="1">OFFSET(INDEX(Composições!A:J,MATCH(Orçamentária!A1572,Composições!A:A,0),8),2,0)</f>
        <v>6.5739999999999998</v>
      </c>
      <c r="F1572" s="125">
        <f t="shared" ca="1" si="81"/>
        <v>0</v>
      </c>
      <c r="G1572" s="126" t="e">
        <f>IF(A1572&lt;&gt;"",IF(AND(#REF!="Padrão",$H$4=#REF!),BDI!$B$17,IF(AND(#REF!="Padrão",$H$4=#REF!),BDI!#REF!,IF(AND(#REF!="Diferenciado",$H$4=#REF!),BDI!$E$17,IF(AND(#REF!="Diferenciado",$H$4=#REF!),BDI!#REF!,IF(#REF!="ZERO",0))))),"")</f>
        <v>#REF!</v>
      </c>
      <c r="H1572" s="127" t="e">
        <f t="shared" ca="1" si="82"/>
        <v>#REF!</v>
      </c>
      <c r="I1572" s="125" t="e">
        <f t="shared" ca="1" si="83"/>
        <v>#REF!</v>
      </c>
    </row>
    <row r="1573" spans="1:9" hidden="1" x14ac:dyDescent="0.25">
      <c r="A1573" s="103" t="s">
        <v>5208</v>
      </c>
      <c r="B1573" s="104" t="s">
        <v>4011</v>
      </c>
      <c r="C1573" s="105" t="s">
        <v>20</v>
      </c>
      <c r="D1573" s="105">
        <v>0</v>
      </c>
      <c r="E1573" s="124">
        <f ca="1">OFFSET(INDEX(Composições!A:J,MATCH(Orçamentária!A1573,Composições!A:A,0),8),2,0)</f>
        <v>9.2530000000000001</v>
      </c>
      <c r="F1573" s="125">
        <f t="shared" ca="1" si="81"/>
        <v>0</v>
      </c>
      <c r="G1573" s="126" t="e">
        <f>IF(A1573&lt;&gt;"",IF(AND(#REF!="Padrão",$H$4=#REF!),BDI!$B$17,IF(AND(#REF!="Padrão",$H$4=#REF!),BDI!#REF!,IF(AND(#REF!="Diferenciado",$H$4=#REF!),BDI!$E$17,IF(AND(#REF!="Diferenciado",$H$4=#REF!),BDI!#REF!,IF(#REF!="ZERO",0))))),"")</f>
        <v>#REF!</v>
      </c>
      <c r="H1573" s="127" t="e">
        <f t="shared" ca="1" si="82"/>
        <v>#REF!</v>
      </c>
      <c r="I1573" s="125" t="e">
        <f t="shared" ca="1" si="83"/>
        <v>#REF!</v>
      </c>
    </row>
    <row r="1574" spans="1:9" hidden="1" x14ac:dyDescent="0.25">
      <c r="A1574" s="103" t="s">
        <v>5209</v>
      </c>
      <c r="B1574" s="104" t="s">
        <v>4012</v>
      </c>
      <c r="C1574" s="105" t="s">
        <v>20</v>
      </c>
      <c r="D1574" s="105">
        <v>0</v>
      </c>
      <c r="E1574" s="124">
        <f ca="1">OFFSET(INDEX(Composições!A:J,MATCH(Orçamentária!A1574,Composições!A:A,0),8),2,0)</f>
        <v>20.814499999999999</v>
      </c>
      <c r="F1574" s="125">
        <f t="shared" ca="1" si="81"/>
        <v>0</v>
      </c>
      <c r="G1574" s="126" t="e">
        <f>IF(A1574&lt;&gt;"",IF(AND(#REF!="Padrão",$H$4=#REF!),BDI!$B$17,IF(AND(#REF!="Padrão",$H$4=#REF!),BDI!#REF!,IF(AND(#REF!="Diferenciado",$H$4=#REF!),BDI!$E$17,IF(AND(#REF!="Diferenciado",$H$4=#REF!),BDI!#REF!,IF(#REF!="ZERO",0))))),"")</f>
        <v>#REF!</v>
      </c>
      <c r="H1574" s="127" t="e">
        <f t="shared" ca="1" si="82"/>
        <v>#REF!</v>
      </c>
      <c r="I1574" s="125" t="e">
        <f t="shared" ca="1" si="83"/>
        <v>#REF!</v>
      </c>
    </row>
    <row r="1575" spans="1:9" hidden="1" x14ac:dyDescent="0.25">
      <c r="A1575" s="103" t="s">
        <v>5210</v>
      </c>
      <c r="B1575" s="104" t="s">
        <v>4013</v>
      </c>
      <c r="C1575" s="105" t="s">
        <v>20</v>
      </c>
      <c r="D1575" s="105">
        <v>0</v>
      </c>
      <c r="E1575" s="124">
        <f ca="1">OFFSET(INDEX(Composições!A:J,MATCH(Orçamentária!A1575,Composições!A:A,0),8),2,0)</f>
        <v>22.752499999999998</v>
      </c>
      <c r="F1575" s="125">
        <f t="shared" ca="1" si="81"/>
        <v>0</v>
      </c>
      <c r="G1575" s="126" t="e">
        <f>IF(A1575&lt;&gt;"",IF(AND(#REF!="Padrão",$H$4=#REF!),BDI!$B$17,IF(AND(#REF!="Padrão",$H$4=#REF!),BDI!#REF!,IF(AND(#REF!="Diferenciado",$H$4=#REF!),BDI!$E$17,IF(AND(#REF!="Diferenciado",$H$4=#REF!),BDI!#REF!,IF(#REF!="ZERO",0))))),"")</f>
        <v>#REF!</v>
      </c>
      <c r="H1575" s="127" t="e">
        <f t="shared" ca="1" si="82"/>
        <v>#REF!</v>
      </c>
      <c r="I1575" s="125" t="e">
        <f t="shared" ca="1" si="83"/>
        <v>#REF!</v>
      </c>
    </row>
    <row r="1576" spans="1:9" hidden="1" x14ac:dyDescent="0.25">
      <c r="A1576" s="103" t="s">
        <v>5211</v>
      </c>
      <c r="B1576" s="104" t="s">
        <v>4014</v>
      </c>
      <c r="C1576" s="105" t="s">
        <v>20</v>
      </c>
      <c r="D1576" s="105">
        <v>0</v>
      </c>
      <c r="E1576" s="124">
        <f ca="1">OFFSET(INDEX(Composições!A:J,MATCH(Orçamentária!A1576,Composições!A:A,0),8),2,0)</f>
        <v>30.02</v>
      </c>
      <c r="F1576" s="125">
        <f t="shared" ca="1" si="81"/>
        <v>0</v>
      </c>
      <c r="G1576" s="126" t="e">
        <f>IF(A1576&lt;&gt;"",IF(AND(#REF!="Padrão",$H$4=#REF!),BDI!$B$17,IF(AND(#REF!="Padrão",$H$4=#REF!),BDI!#REF!,IF(AND(#REF!="Diferenciado",$H$4=#REF!),BDI!$E$17,IF(AND(#REF!="Diferenciado",$H$4=#REF!),BDI!#REF!,IF(#REF!="ZERO",0))))),"")</f>
        <v>#REF!</v>
      </c>
      <c r="H1576" s="127" t="e">
        <f t="shared" ca="1" si="82"/>
        <v>#REF!</v>
      </c>
      <c r="I1576" s="125" t="e">
        <f t="shared" ca="1" si="83"/>
        <v>#REF!</v>
      </c>
    </row>
    <row r="1577" spans="1:9" hidden="1" x14ac:dyDescent="0.25">
      <c r="A1577" s="103" t="s">
        <v>5212</v>
      </c>
      <c r="B1577" s="104" t="s">
        <v>4015</v>
      </c>
      <c r="C1577" s="105" t="s">
        <v>20</v>
      </c>
      <c r="D1577" s="105">
        <v>0</v>
      </c>
      <c r="E1577" s="124">
        <f ca="1">OFFSET(INDEX(Composições!A:J,MATCH(Orçamentária!A1577,Composições!A:A,0),8),2,0)</f>
        <v>43.680999999999997</v>
      </c>
      <c r="F1577" s="125">
        <f t="shared" ca="1" si="81"/>
        <v>0</v>
      </c>
      <c r="G1577" s="126" t="e">
        <f>IF(A1577&lt;&gt;"",IF(AND(#REF!="Padrão",$H$4=#REF!),BDI!$B$17,IF(AND(#REF!="Padrão",$H$4=#REF!),BDI!#REF!,IF(AND(#REF!="Diferenciado",$H$4=#REF!),BDI!$E$17,IF(AND(#REF!="Diferenciado",$H$4=#REF!),BDI!#REF!,IF(#REF!="ZERO",0))))),"")</f>
        <v>#REF!</v>
      </c>
      <c r="H1577" s="127" t="e">
        <f t="shared" ca="1" si="82"/>
        <v>#REF!</v>
      </c>
      <c r="I1577" s="125" t="e">
        <f t="shared" ca="1" si="83"/>
        <v>#REF!</v>
      </c>
    </row>
    <row r="1578" spans="1:9" hidden="1" x14ac:dyDescent="0.25">
      <c r="A1578" s="103" t="s">
        <v>5213</v>
      </c>
      <c r="B1578" s="104" t="s">
        <v>4016</v>
      </c>
      <c r="C1578" s="105" t="s">
        <v>20</v>
      </c>
      <c r="D1578" s="105">
        <v>0</v>
      </c>
      <c r="E1578" s="124" t="s">
        <v>523</v>
      </c>
      <c r="F1578" s="125" t="str">
        <f t="shared" si="81"/>
        <v/>
      </c>
      <c r="G1578" s="126" t="e">
        <f>IF(A1578&lt;&gt;"",IF(AND(#REF!="Padrão",$H$4=#REF!),BDI!$B$17,IF(AND(#REF!="Padrão",$H$4=#REF!),BDI!#REF!,IF(AND(#REF!="Diferenciado",$H$4=#REF!),BDI!$E$17,IF(AND(#REF!="Diferenciado",$H$4=#REF!),BDI!#REF!,IF(#REF!="ZERO",0))))),"")</f>
        <v>#REF!</v>
      </c>
      <c r="H1578" s="127" t="str">
        <f t="shared" si="82"/>
        <v/>
      </c>
      <c r="I1578" s="125" t="str">
        <f t="shared" si="83"/>
        <v/>
      </c>
    </row>
    <row r="1579" spans="1:9" hidden="1" x14ac:dyDescent="0.25">
      <c r="A1579" s="103" t="s">
        <v>5214</v>
      </c>
      <c r="B1579" s="104" t="s">
        <v>4017</v>
      </c>
      <c r="C1579" s="105" t="s">
        <v>20</v>
      </c>
      <c r="D1579" s="105">
        <v>0</v>
      </c>
      <c r="E1579" s="124" t="s">
        <v>523</v>
      </c>
      <c r="F1579" s="125" t="str">
        <f t="shared" si="81"/>
        <v/>
      </c>
      <c r="G1579" s="126" t="e">
        <f>IF(A1579&lt;&gt;"",IF(AND(#REF!="Padrão",$H$4=#REF!),BDI!$B$17,IF(AND(#REF!="Padrão",$H$4=#REF!),BDI!#REF!,IF(AND(#REF!="Diferenciado",$H$4=#REF!),BDI!$E$17,IF(AND(#REF!="Diferenciado",$H$4=#REF!),BDI!#REF!,IF(#REF!="ZERO",0))))),"")</f>
        <v>#REF!</v>
      </c>
      <c r="H1579" s="127" t="str">
        <f t="shared" si="82"/>
        <v/>
      </c>
      <c r="I1579" s="125" t="str">
        <f t="shared" si="83"/>
        <v/>
      </c>
    </row>
    <row r="1580" spans="1:9" hidden="1" x14ac:dyDescent="0.25">
      <c r="A1580" s="103" t="s">
        <v>5215</v>
      </c>
      <c r="B1580" s="104" t="s">
        <v>4018</v>
      </c>
      <c r="C1580" s="105" t="s">
        <v>20</v>
      </c>
      <c r="D1580" s="105">
        <v>0</v>
      </c>
      <c r="E1580" s="124" t="s">
        <v>523</v>
      </c>
      <c r="F1580" s="125" t="str">
        <f t="shared" si="81"/>
        <v/>
      </c>
      <c r="G1580" s="126" t="e">
        <f>IF(A1580&lt;&gt;"",IF(AND(#REF!="Padrão",$H$4=#REF!),BDI!$B$17,IF(AND(#REF!="Padrão",$H$4=#REF!),BDI!#REF!,IF(AND(#REF!="Diferenciado",$H$4=#REF!),BDI!$E$17,IF(AND(#REF!="Diferenciado",$H$4=#REF!),BDI!#REF!,IF(#REF!="ZERO",0))))),"")</f>
        <v>#REF!</v>
      </c>
      <c r="H1580" s="127" t="str">
        <f t="shared" si="82"/>
        <v/>
      </c>
      <c r="I1580" s="125" t="str">
        <f t="shared" si="83"/>
        <v/>
      </c>
    </row>
    <row r="1581" spans="1:9" hidden="1" x14ac:dyDescent="0.25">
      <c r="A1581" s="103" t="s">
        <v>5216</v>
      </c>
      <c r="B1581" s="104" t="s">
        <v>4019</v>
      </c>
      <c r="C1581" s="105" t="s">
        <v>20</v>
      </c>
      <c r="D1581" s="105">
        <v>0</v>
      </c>
      <c r="E1581" s="124" t="s">
        <v>523</v>
      </c>
      <c r="F1581" s="125" t="str">
        <f t="shared" ref="F1581:F1644" si="84">IF(ISNUMBER(E1581),D1581*E1581,"")</f>
        <v/>
      </c>
      <c r="G1581" s="126" t="e">
        <f>IF(A1581&lt;&gt;"",IF(AND(#REF!="Padrão",$H$4=#REF!),BDI!$B$17,IF(AND(#REF!="Padrão",$H$4=#REF!),BDI!#REF!,IF(AND(#REF!="Diferenciado",$H$4=#REF!),BDI!$E$17,IF(AND(#REF!="Diferenciado",$H$4=#REF!),BDI!#REF!,IF(#REF!="ZERO",0))))),"")</f>
        <v>#REF!</v>
      </c>
      <c r="H1581" s="127" t="str">
        <f t="shared" ref="H1581:H1644" si="85">IF(ISNUMBER(E1581),ROUND(E1581*(1+G1581),2),"")</f>
        <v/>
      </c>
      <c r="I1581" s="125" t="str">
        <f t="shared" ref="I1581:I1644" si="86">IF(ISNUMBER(E1581),ROUND(H1581*D1581,2),"")</f>
        <v/>
      </c>
    </row>
    <row r="1582" spans="1:9" hidden="1" x14ac:dyDescent="0.25">
      <c r="A1582" s="103" t="s">
        <v>5217</v>
      </c>
      <c r="B1582" s="104" t="s">
        <v>4020</v>
      </c>
      <c r="C1582" s="105" t="s">
        <v>20</v>
      </c>
      <c r="D1582" s="105">
        <v>0</v>
      </c>
      <c r="E1582" s="124" t="s">
        <v>523</v>
      </c>
      <c r="F1582" s="125" t="str">
        <f t="shared" si="84"/>
        <v/>
      </c>
      <c r="G1582" s="126" t="e">
        <f>IF(A1582&lt;&gt;"",IF(AND(#REF!="Padrão",$H$4=#REF!),BDI!$B$17,IF(AND(#REF!="Padrão",$H$4=#REF!),BDI!#REF!,IF(AND(#REF!="Diferenciado",$H$4=#REF!),BDI!$E$17,IF(AND(#REF!="Diferenciado",$H$4=#REF!),BDI!#REF!,IF(#REF!="ZERO",0))))),"")</f>
        <v>#REF!</v>
      </c>
      <c r="H1582" s="127" t="str">
        <f t="shared" si="85"/>
        <v/>
      </c>
      <c r="I1582" s="125" t="str">
        <f t="shared" si="86"/>
        <v/>
      </c>
    </row>
    <row r="1583" spans="1:9" hidden="1" x14ac:dyDescent="0.25">
      <c r="A1583" s="103" t="s">
        <v>5218</v>
      </c>
      <c r="B1583" s="104" t="s">
        <v>4021</v>
      </c>
      <c r="C1583" s="105" t="s">
        <v>20</v>
      </c>
      <c r="D1583" s="105">
        <v>0</v>
      </c>
      <c r="E1583" s="124" t="s">
        <v>523</v>
      </c>
      <c r="F1583" s="125" t="str">
        <f t="shared" si="84"/>
        <v/>
      </c>
      <c r="G1583" s="126" t="e">
        <f>IF(A1583&lt;&gt;"",IF(AND(#REF!="Padrão",$H$4=#REF!),BDI!$B$17,IF(AND(#REF!="Padrão",$H$4=#REF!),BDI!#REF!,IF(AND(#REF!="Diferenciado",$H$4=#REF!),BDI!$E$17,IF(AND(#REF!="Diferenciado",$H$4=#REF!),BDI!#REF!,IF(#REF!="ZERO",0))))),"")</f>
        <v>#REF!</v>
      </c>
      <c r="H1583" s="127" t="str">
        <f t="shared" si="85"/>
        <v/>
      </c>
      <c r="I1583" s="125" t="str">
        <f t="shared" si="86"/>
        <v/>
      </c>
    </row>
    <row r="1584" spans="1:9" hidden="1" x14ac:dyDescent="0.25">
      <c r="A1584" s="103" t="s">
        <v>5219</v>
      </c>
      <c r="B1584" s="104" t="s">
        <v>4022</v>
      </c>
      <c r="C1584" s="105" t="s">
        <v>20</v>
      </c>
      <c r="D1584" s="105">
        <v>0</v>
      </c>
      <c r="E1584" s="124" t="s">
        <v>523</v>
      </c>
      <c r="F1584" s="125" t="str">
        <f t="shared" si="84"/>
        <v/>
      </c>
      <c r="G1584" s="126" t="e">
        <f>IF(A1584&lt;&gt;"",IF(AND(#REF!="Padrão",$H$4=#REF!),BDI!$B$17,IF(AND(#REF!="Padrão",$H$4=#REF!),BDI!#REF!,IF(AND(#REF!="Diferenciado",$H$4=#REF!),BDI!$E$17,IF(AND(#REF!="Diferenciado",$H$4=#REF!),BDI!#REF!,IF(#REF!="ZERO",0))))),"")</f>
        <v>#REF!</v>
      </c>
      <c r="H1584" s="127" t="str">
        <f t="shared" si="85"/>
        <v/>
      </c>
      <c r="I1584" s="125" t="str">
        <f t="shared" si="86"/>
        <v/>
      </c>
    </row>
    <row r="1585" spans="1:9" hidden="1" x14ac:dyDescent="0.25">
      <c r="A1585" s="103" t="s">
        <v>5220</v>
      </c>
      <c r="B1585" s="104" t="s">
        <v>4023</v>
      </c>
      <c r="C1585" s="105" t="s">
        <v>20</v>
      </c>
      <c r="D1585" s="105">
        <v>0</v>
      </c>
      <c r="E1585" s="124" t="s">
        <v>523</v>
      </c>
      <c r="F1585" s="125" t="str">
        <f t="shared" si="84"/>
        <v/>
      </c>
      <c r="G1585" s="126" t="e">
        <f>IF(A1585&lt;&gt;"",IF(AND(#REF!="Padrão",$H$4=#REF!),BDI!$B$17,IF(AND(#REF!="Padrão",$H$4=#REF!),BDI!#REF!,IF(AND(#REF!="Diferenciado",$H$4=#REF!),BDI!$E$17,IF(AND(#REF!="Diferenciado",$H$4=#REF!),BDI!#REF!,IF(#REF!="ZERO",0))))),"")</f>
        <v>#REF!</v>
      </c>
      <c r="H1585" s="127" t="str">
        <f t="shared" si="85"/>
        <v/>
      </c>
      <c r="I1585" s="125" t="str">
        <f t="shared" si="86"/>
        <v/>
      </c>
    </row>
    <row r="1586" spans="1:9" hidden="1" x14ac:dyDescent="0.25">
      <c r="A1586" s="103" t="s">
        <v>5221</v>
      </c>
      <c r="B1586" s="104" t="s">
        <v>4024</v>
      </c>
      <c r="C1586" s="105" t="s">
        <v>20</v>
      </c>
      <c r="D1586" s="105">
        <v>0</v>
      </c>
      <c r="E1586" s="124" t="s">
        <v>523</v>
      </c>
      <c r="F1586" s="125" t="str">
        <f t="shared" si="84"/>
        <v/>
      </c>
      <c r="G1586" s="126" t="e">
        <f>IF(A1586&lt;&gt;"",IF(AND(#REF!="Padrão",$H$4=#REF!),BDI!$B$17,IF(AND(#REF!="Padrão",$H$4=#REF!),BDI!#REF!,IF(AND(#REF!="Diferenciado",$H$4=#REF!),BDI!$E$17,IF(AND(#REF!="Diferenciado",$H$4=#REF!),BDI!#REF!,IF(#REF!="ZERO",0))))),"")</f>
        <v>#REF!</v>
      </c>
      <c r="H1586" s="127" t="str">
        <f t="shared" si="85"/>
        <v/>
      </c>
      <c r="I1586" s="125" t="str">
        <f t="shared" si="86"/>
        <v/>
      </c>
    </row>
    <row r="1587" spans="1:9" hidden="1" x14ac:dyDescent="0.25">
      <c r="A1587" s="103" t="s">
        <v>5222</v>
      </c>
      <c r="B1587" s="104" t="s">
        <v>4025</v>
      </c>
      <c r="C1587" s="105" t="s">
        <v>20</v>
      </c>
      <c r="D1587" s="105">
        <v>0</v>
      </c>
      <c r="E1587" s="124" t="s">
        <v>523</v>
      </c>
      <c r="F1587" s="125" t="str">
        <f t="shared" si="84"/>
        <v/>
      </c>
      <c r="G1587" s="126" t="e">
        <f>IF(A1587&lt;&gt;"",IF(AND(#REF!="Padrão",$H$4=#REF!),BDI!$B$17,IF(AND(#REF!="Padrão",$H$4=#REF!),BDI!#REF!,IF(AND(#REF!="Diferenciado",$H$4=#REF!),BDI!$E$17,IF(AND(#REF!="Diferenciado",$H$4=#REF!),BDI!#REF!,IF(#REF!="ZERO",0))))),"")</f>
        <v>#REF!</v>
      </c>
      <c r="H1587" s="127" t="str">
        <f t="shared" si="85"/>
        <v/>
      </c>
      <c r="I1587" s="125" t="str">
        <f t="shared" si="86"/>
        <v/>
      </c>
    </row>
    <row r="1588" spans="1:9" hidden="1" x14ac:dyDescent="0.25">
      <c r="A1588" s="103" t="s">
        <v>5223</v>
      </c>
      <c r="B1588" s="104" t="s">
        <v>4026</v>
      </c>
      <c r="C1588" s="105" t="s">
        <v>93</v>
      </c>
      <c r="D1588" s="105">
        <v>0</v>
      </c>
      <c r="E1588" s="124" t="s">
        <v>523</v>
      </c>
      <c r="F1588" s="125" t="str">
        <f t="shared" si="84"/>
        <v/>
      </c>
      <c r="G1588" s="126" t="e">
        <f>IF(A1588&lt;&gt;"",IF(AND(#REF!="Padrão",$H$4=#REF!),BDI!$B$17,IF(AND(#REF!="Padrão",$H$4=#REF!),BDI!#REF!,IF(AND(#REF!="Diferenciado",$H$4=#REF!),BDI!$E$17,IF(AND(#REF!="Diferenciado",$H$4=#REF!),BDI!#REF!,IF(#REF!="ZERO",0))))),"")</f>
        <v>#REF!</v>
      </c>
      <c r="H1588" s="127" t="str">
        <f t="shared" si="85"/>
        <v/>
      </c>
      <c r="I1588" s="125" t="str">
        <f t="shared" si="86"/>
        <v/>
      </c>
    </row>
    <row r="1589" spans="1:9" hidden="1" x14ac:dyDescent="0.25">
      <c r="A1589" s="103" t="s">
        <v>5224</v>
      </c>
      <c r="B1589" s="104" t="s">
        <v>4027</v>
      </c>
      <c r="C1589" s="105" t="s">
        <v>93</v>
      </c>
      <c r="D1589" s="105">
        <v>0</v>
      </c>
      <c r="E1589" s="124" t="s">
        <v>523</v>
      </c>
      <c r="F1589" s="125" t="str">
        <f t="shared" si="84"/>
        <v/>
      </c>
      <c r="G1589" s="126" t="e">
        <f>IF(A1589&lt;&gt;"",IF(AND(#REF!="Padrão",$H$4=#REF!),BDI!$B$17,IF(AND(#REF!="Padrão",$H$4=#REF!),BDI!#REF!,IF(AND(#REF!="Diferenciado",$H$4=#REF!),BDI!$E$17,IF(AND(#REF!="Diferenciado",$H$4=#REF!),BDI!#REF!,IF(#REF!="ZERO",0))))),"")</f>
        <v>#REF!</v>
      </c>
      <c r="H1589" s="127" t="str">
        <f t="shared" si="85"/>
        <v/>
      </c>
      <c r="I1589" s="125" t="str">
        <f t="shared" si="86"/>
        <v/>
      </c>
    </row>
    <row r="1590" spans="1:9" hidden="1" x14ac:dyDescent="0.25">
      <c r="A1590" s="103" t="s">
        <v>5225</v>
      </c>
      <c r="B1590" s="104" t="s">
        <v>6452</v>
      </c>
      <c r="C1590" s="105" t="s">
        <v>93</v>
      </c>
      <c r="D1590" s="105">
        <v>0</v>
      </c>
      <c r="E1590" s="124" t="s">
        <v>523</v>
      </c>
      <c r="F1590" s="125" t="str">
        <f t="shared" si="84"/>
        <v/>
      </c>
      <c r="G1590" s="126" t="e">
        <f>IF(A1590&lt;&gt;"",IF(AND(#REF!="Padrão",$H$4=#REF!),BDI!$B$17,IF(AND(#REF!="Padrão",$H$4=#REF!),BDI!#REF!,IF(AND(#REF!="Diferenciado",$H$4=#REF!),BDI!$E$17,IF(AND(#REF!="Diferenciado",$H$4=#REF!),BDI!#REF!,IF(#REF!="ZERO",0))))),"")</f>
        <v>#REF!</v>
      </c>
      <c r="H1590" s="127" t="str">
        <f t="shared" si="85"/>
        <v/>
      </c>
      <c r="I1590" s="125" t="str">
        <f t="shared" si="86"/>
        <v/>
      </c>
    </row>
    <row r="1591" spans="1:9" hidden="1" x14ac:dyDescent="0.25">
      <c r="A1591" s="103" t="s">
        <v>5226</v>
      </c>
      <c r="B1591" s="104" t="s">
        <v>6453</v>
      </c>
      <c r="C1591" s="105" t="s">
        <v>93</v>
      </c>
      <c r="D1591" s="105">
        <v>0</v>
      </c>
      <c r="E1591" s="124" t="s">
        <v>523</v>
      </c>
      <c r="F1591" s="125" t="str">
        <f t="shared" si="84"/>
        <v/>
      </c>
      <c r="G1591" s="126" t="e">
        <f>IF(A1591&lt;&gt;"",IF(AND(#REF!="Padrão",$H$4=#REF!),BDI!$B$17,IF(AND(#REF!="Padrão",$H$4=#REF!),BDI!#REF!,IF(AND(#REF!="Diferenciado",$H$4=#REF!),BDI!$E$17,IF(AND(#REF!="Diferenciado",$H$4=#REF!),BDI!#REF!,IF(#REF!="ZERO",0))))),"")</f>
        <v>#REF!</v>
      </c>
      <c r="H1591" s="127" t="str">
        <f t="shared" si="85"/>
        <v/>
      </c>
      <c r="I1591" s="125" t="str">
        <f t="shared" si="86"/>
        <v/>
      </c>
    </row>
    <row r="1592" spans="1:9" hidden="1" x14ac:dyDescent="0.25">
      <c r="A1592" s="103" t="s">
        <v>5227</v>
      </c>
      <c r="B1592" s="104" t="s">
        <v>6454</v>
      </c>
      <c r="C1592" s="105" t="s">
        <v>93</v>
      </c>
      <c r="D1592" s="105">
        <v>0</v>
      </c>
      <c r="E1592" s="124" t="s">
        <v>523</v>
      </c>
      <c r="F1592" s="125" t="str">
        <f t="shared" si="84"/>
        <v/>
      </c>
      <c r="G1592" s="126" t="e">
        <f>IF(A1592&lt;&gt;"",IF(AND(#REF!="Padrão",$H$4=#REF!),BDI!$B$17,IF(AND(#REF!="Padrão",$H$4=#REF!),BDI!#REF!,IF(AND(#REF!="Diferenciado",$H$4=#REF!),BDI!$E$17,IF(AND(#REF!="Diferenciado",$H$4=#REF!),BDI!#REF!,IF(#REF!="ZERO",0))))),"")</f>
        <v>#REF!</v>
      </c>
      <c r="H1592" s="127" t="str">
        <f t="shared" si="85"/>
        <v/>
      </c>
      <c r="I1592" s="125" t="str">
        <f t="shared" si="86"/>
        <v/>
      </c>
    </row>
    <row r="1593" spans="1:9" hidden="1" x14ac:dyDescent="0.25">
      <c r="A1593" s="103" t="s">
        <v>5228</v>
      </c>
      <c r="B1593" s="104" t="s">
        <v>6455</v>
      </c>
      <c r="C1593" s="105" t="s">
        <v>93</v>
      </c>
      <c r="D1593" s="105">
        <v>0</v>
      </c>
      <c r="E1593" s="124" t="s">
        <v>523</v>
      </c>
      <c r="F1593" s="125" t="str">
        <f t="shared" si="84"/>
        <v/>
      </c>
      <c r="G1593" s="126" t="e">
        <f>IF(A1593&lt;&gt;"",IF(AND(#REF!="Padrão",$H$4=#REF!),BDI!$B$17,IF(AND(#REF!="Padrão",$H$4=#REF!),BDI!#REF!,IF(AND(#REF!="Diferenciado",$H$4=#REF!),BDI!$E$17,IF(AND(#REF!="Diferenciado",$H$4=#REF!),BDI!#REF!,IF(#REF!="ZERO",0))))),"")</f>
        <v>#REF!</v>
      </c>
      <c r="H1593" s="127" t="str">
        <f t="shared" si="85"/>
        <v/>
      </c>
      <c r="I1593" s="125" t="str">
        <f t="shared" si="86"/>
        <v/>
      </c>
    </row>
    <row r="1594" spans="1:9" hidden="1" x14ac:dyDescent="0.25">
      <c r="A1594" s="103" t="s">
        <v>5229</v>
      </c>
      <c r="B1594" s="104" t="s">
        <v>6456</v>
      </c>
      <c r="C1594" s="105" t="s">
        <v>93</v>
      </c>
      <c r="D1594" s="105">
        <v>0</v>
      </c>
      <c r="E1594" s="124" t="s">
        <v>523</v>
      </c>
      <c r="F1594" s="125" t="str">
        <f t="shared" si="84"/>
        <v/>
      </c>
      <c r="G1594" s="126" t="e">
        <f>IF(A1594&lt;&gt;"",IF(AND(#REF!="Padrão",$H$4=#REF!),BDI!$B$17,IF(AND(#REF!="Padrão",$H$4=#REF!),BDI!#REF!,IF(AND(#REF!="Diferenciado",$H$4=#REF!),BDI!$E$17,IF(AND(#REF!="Diferenciado",$H$4=#REF!),BDI!#REF!,IF(#REF!="ZERO",0))))),"")</f>
        <v>#REF!</v>
      </c>
      <c r="H1594" s="127" t="str">
        <f t="shared" si="85"/>
        <v/>
      </c>
      <c r="I1594" s="125" t="str">
        <f t="shared" si="86"/>
        <v/>
      </c>
    </row>
    <row r="1595" spans="1:9" hidden="1" x14ac:dyDescent="0.25">
      <c r="A1595" s="103" t="s">
        <v>5230</v>
      </c>
      <c r="B1595" s="104" t="s">
        <v>6457</v>
      </c>
      <c r="C1595" s="105" t="s">
        <v>93</v>
      </c>
      <c r="D1595" s="105">
        <v>0</v>
      </c>
      <c r="E1595" s="124" t="s">
        <v>523</v>
      </c>
      <c r="F1595" s="125" t="str">
        <f t="shared" si="84"/>
        <v/>
      </c>
      <c r="G1595" s="126" t="e">
        <f>IF(A1595&lt;&gt;"",IF(AND(#REF!="Padrão",$H$4=#REF!),BDI!$B$17,IF(AND(#REF!="Padrão",$H$4=#REF!),BDI!#REF!,IF(AND(#REF!="Diferenciado",$H$4=#REF!),BDI!$E$17,IF(AND(#REF!="Diferenciado",$H$4=#REF!),BDI!#REF!,IF(#REF!="ZERO",0))))),"")</f>
        <v>#REF!</v>
      </c>
      <c r="H1595" s="127" t="str">
        <f t="shared" si="85"/>
        <v/>
      </c>
      <c r="I1595" s="125" t="str">
        <f t="shared" si="86"/>
        <v/>
      </c>
    </row>
    <row r="1596" spans="1:9" hidden="1" x14ac:dyDescent="0.25">
      <c r="A1596" s="103" t="s">
        <v>5231</v>
      </c>
      <c r="B1596" s="104" t="s">
        <v>6458</v>
      </c>
      <c r="C1596" s="105" t="s">
        <v>93</v>
      </c>
      <c r="D1596" s="105">
        <v>0</v>
      </c>
      <c r="E1596" s="124" t="s">
        <v>523</v>
      </c>
      <c r="F1596" s="125" t="str">
        <f t="shared" si="84"/>
        <v/>
      </c>
      <c r="G1596" s="126" t="e">
        <f>IF(A1596&lt;&gt;"",IF(AND(#REF!="Padrão",$H$4=#REF!),BDI!$B$17,IF(AND(#REF!="Padrão",$H$4=#REF!),BDI!#REF!,IF(AND(#REF!="Diferenciado",$H$4=#REF!),BDI!$E$17,IF(AND(#REF!="Diferenciado",$H$4=#REF!),BDI!#REF!,IF(#REF!="ZERO",0))))),"")</f>
        <v>#REF!</v>
      </c>
      <c r="H1596" s="127" t="str">
        <f t="shared" si="85"/>
        <v/>
      </c>
      <c r="I1596" s="125" t="str">
        <f t="shared" si="86"/>
        <v/>
      </c>
    </row>
    <row r="1597" spans="1:9" hidden="1" x14ac:dyDescent="0.25">
      <c r="A1597" s="103" t="s">
        <v>5232</v>
      </c>
      <c r="B1597" s="104" t="s">
        <v>6459</v>
      </c>
      <c r="C1597" s="105" t="s">
        <v>93</v>
      </c>
      <c r="D1597" s="105">
        <v>0</v>
      </c>
      <c r="E1597" s="124" t="s">
        <v>523</v>
      </c>
      <c r="F1597" s="125" t="str">
        <f t="shared" si="84"/>
        <v/>
      </c>
      <c r="G1597" s="126" t="e">
        <f>IF(A1597&lt;&gt;"",IF(AND(#REF!="Padrão",$H$4=#REF!),BDI!$B$17,IF(AND(#REF!="Padrão",$H$4=#REF!),BDI!#REF!,IF(AND(#REF!="Diferenciado",$H$4=#REF!),BDI!$E$17,IF(AND(#REF!="Diferenciado",$H$4=#REF!),BDI!#REF!,IF(#REF!="ZERO",0))))),"")</f>
        <v>#REF!</v>
      </c>
      <c r="H1597" s="127" t="str">
        <f t="shared" si="85"/>
        <v/>
      </c>
      <c r="I1597" s="125" t="str">
        <f t="shared" si="86"/>
        <v/>
      </c>
    </row>
    <row r="1598" spans="1:9" hidden="1" x14ac:dyDescent="0.25">
      <c r="A1598" s="103" t="s">
        <v>5233</v>
      </c>
      <c r="B1598" s="104" t="s">
        <v>6460</v>
      </c>
      <c r="C1598" s="105" t="s">
        <v>93</v>
      </c>
      <c r="D1598" s="105">
        <v>0</v>
      </c>
      <c r="E1598" s="124" t="s">
        <v>523</v>
      </c>
      <c r="F1598" s="125" t="str">
        <f t="shared" si="84"/>
        <v/>
      </c>
      <c r="G1598" s="126" t="e">
        <f>IF(A1598&lt;&gt;"",IF(AND(#REF!="Padrão",$H$4=#REF!),BDI!$B$17,IF(AND(#REF!="Padrão",$H$4=#REF!),BDI!#REF!,IF(AND(#REF!="Diferenciado",$H$4=#REF!),BDI!$E$17,IF(AND(#REF!="Diferenciado",$H$4=#REF!),BDI!#REF!,IF(#REF!="ZERO",0))))),"")</f>
        <v>#REF!</v>
      </c>
      <c r="H1598" s="127" t="str">
        <f t="shared" si="85"/>
        <v/>
      </c>
      <c r="I1598" s="125" t="str">
        <f t="shared" si="86"/>
        <v/>
      </c>
    </row>
    <row r="1599" spans="1:9" hidden="1" x14ac:dyDescent="0.25">
      <c r="A1599" s="103" t="s">
        <v>5234</v>
      </c>
      <c r="B1599" s="104" t="s">
        <v>6461</v>
      </c>
      <c r="C1599" s="105" t="s">
        <v>93</v>
      </c>
      <c r="D1599" s="105">
        <v>0</v>
      </c>
      <c r="E1599" s="124" t="s">
        <v>523</v>
      </c>
      <c r="F1599" s="125" t="str">
        <f t="shared" si="84"/>
        <v/>
      </c>
      <c r="G1599" s="126" t="e">
        <f>IF(A1599&lt;&gt;"",IF(AND(#REF!="Padrão",$H$4=#REF!),BDI!$B$17,IF(AND(#REF!="Padrão",$H$4=#REF!),BDI!#REF!,IF(AND(#REF!="Diferenciado",$H$4=#REF!),BDI!$E$17,IF(AND(#REF!="Diferenciado",$H$4=#REF!),BDI!#REF!,IF(#REF!="ZERO",0))))),"")</f>
        <v>#REF!</v>
      </c>
      <c r="H1599" s="127" t="str">
        <f t="shared" si="85"/>
        <v/>
      </c>
      <c r="I1599" s="125" t="str">
        <f t="shared" si="86"/>
        <v/>
      </c>
    </row>
    <row r="1600" spans="1:9" hidden="1" x14ac:dyDescent="0.25">
      <c r="A1600" s="103" t="s">
        <v>5235</v>
      </c>
      <c r="B1600" s="104" t="s">
        <v>6462</v>
      </c>
      <c r="C1600" s="105" t="s">
        <v>93</v>
      </c>
      <c r="D1600" s="105">
        <v>0</v>
      </c>
      <c r="E1600" s="124" t="s">
        <v>523</v>
      </c>
      <c r="F1600" s="125" t="str">
        <f t="shared" si="84"/>
        <v/>
      </c>
      <c r="G1600" s="126" t="e">
        <f>IF(A1600&lt;&gt;"",IF(AND(#REF!="Padrão",$H$4=#REF!),BDI!$B$17,IF(AND(#REF!="Padrão",$H$4=#REF!),BDI!#REF!,IF(AND(#REF!="Diferenciado",$H$4=#REF!),BDI!$E$17,IF(AND(#REF!="Diferenciado",$H$4=#REF!),BDI!#REF!,IF(#REF!="ZERO",0))))),"")</f>
        <v>#REF!</v>
      </c>
      <c r="H1600" s="127" t="str">
        <f t="shared" si="85"/>
        <v/>
      </c>
      <c r="I1600" s="125" t="str">
        <f t="shared" si="86"/>
        <v/>
      </c>
    </row>
    <row r="1601" spans="1:9" hidden="1" x14ac:dyDescent="0.25">
      <c r="A1601" s="103" t="s">
        <v>5236</v>
      </c>
      <c r="B1601" s="104" t="s">
        <v>6463</v>
      </c>
      <c r="C1601" s="105" t="s">
        <v>93</v>
      </c>
      <c r="D1601" s="105">
        <v>0</v>
      </c>
      <c r="E1601" s="124" t="s">
        <v>523</v>
      </c>
      <c r="F1601" s="125" t="str">
        <f t="shared" si="84"/>
        <v/>
      </c>
      <c r="G1601" s="126" t="e">
        <f>IF(A1601&lt;&gt;"",IF(AND(#REF!="Padrão",$H$4=#REF!),BDI!$B$17,IF(AND(#REF!="Padrão",$H$4=#REF!),BDI!#REF!,IF(AND(#REF!="Diferenciado",$H$4=#REF!),BDI!$E$17,IF(AND(#REF!="Diferenciado",$H$4=#REF!),BDI!#REF!,IF(#REF!="ZERO",0))))),"")</f>
        <v>#REF!</v>
      </c>
      <c r="H1601" s="127" t="str">
        <f t="shared" si="85"/>
        <v/>
      </c>
      <c r="I1601" s="125" t="str">
        <f t="shared" si="86"/>
        <v/>
      </c>
    </row>
    <row r="1602" spans="1:9" hidden="1" x14ac:dyDescent="0.25">
      <c r="A1602" s="103" t="s">
        <v>5237</v>
      </c>
      <c r="B1602" s="104" t="s">
        <v>6464</v>
      </c>
      <c r="C1602" s="105" t="s">
        <v>93</v>
      </c>
      <c r="D1602" s="105">
        <v>0</v>
      </c>
      <c r="E1602" s="124" t="s">
        <v>523</v>
      </c>
      <c r="F1602" s="125" t="str">
        <f t="shared" si="84"/>
        <v/>
      </c>
      <c r="G1602" s="126" t="e">
        <f>IF(A1602&lt;&gt;"",IF(AND(#REF!="Padrão",$H$4=#REF!),BDI!$B$17,IF(AND(#REF!="Padrão",$H$4=#REF!),BDI!#REF!,IF(AND(#REF!="Diferenciado",$H$4=#REF!),BDI!$E$17,IF(AND(#REF!="Diferenciado",$H$4=#REF!),BDI!#REF!,IF(#REF!="ZERO",0))))),"")</f>
        <v>#REF!</v>
      </c>
      <c r="H1602" s="127" t="str">
        <f t="shared" si="85"/>
        <v/>
      </c>
      <c r="I1602" s="125" t="str">
        <f t="shared" si="86"/>
        <v/>
      </c>
    </row>
    <row r="1603" spans="1:9" hidden="1" x14ac:dyDescent="0.25">
      <c r="A1603" s="103" t="s">
        <v>5238</v>
      </c>
      <c r="B1603" s="104" t="s">
        <v>6465</v>
      </c>
      <c r="C1603" s="105" t="s">
        <v>93</v>
      </c>
      <c r="D1603" s="105">
        <v>0</v>
      </c>
      <c r="E1603" s="124" t="s">
        <v>523</v>
      </c>
      <c r="F1603" s="125" t="str">
        <f t="shared" si="84"/>
        <v/>
      </c>
      <c r="G1603" s="126" t="e">
        <f>IF(A1603&lt;&gt;"",IF(AND(#REF!="Padrão",$H$4=#REF!),BDI!$B$17,IF(AND(#REF!="Padrão",$H$4=#REF!),BDI!#REF!,IF(AND(#REF!="Diferenciado",$H$4=#REF!),BDI!$E$17,IF(AND(#REF!="Diferenciado",$H$4=#REF!),BDI!#REF!,IF(#REF!="ZERO",0))))),"")</f>
        <v>#REF!</v>
      </c>
      <c r="H1603" s="127" t="str">
        <f t="shared" si="85"/>
        <v/>
      </c>
      <c r="I1603" s="125" t="str">
        <f t="shared" si="86"/>
        <v/>
      </c>
    </row>
    <row r="1604" spans="1:9" hidden="1" x14ac:dyDescent="0.25">
      <c r="A1604" s="103" t="s">
        <v>5239</v>
      </c>
      <c r="B1604" s="104" t="s">
        <v>4039</v>
      </c>
      <c r="C1604" s="105" t="s">
        <v>93</v>
      </c>
      <c r="D1604" s="105">
        <v>0</v>
      </c>
      <c r="E1604" s="124">
        <f ca="1">OFFSET(INDEX(Composições!A:J,MATCH(Orçamentária!A1604,Composições!A:A,0),8),2,0)</f>
        <v>14.344999999999999</v>
      </c>
      <c r="F1604" s="125">
        <f t="shared" ca="1" si="84"/>
        <v>0</v>
      </c>
      <c r="G1604" s="126" t="e">
        <f>IF(A1604&lt;&gt;"",IF(AND(#REF!="Padrão",$H$4=#REF!),BDI!$B$17,IF(AND(#REF!="Padrão",$H$4=#REF!),BDI!#REF!,IF(AND(#REF!="Diferenciado",$H$4=#REF!),BDI!$E$17,IF(AND(#REF!="Diferenciado",$H$4=#REF!),BDI!#REF!,IF(#REF!="ZERO",0))))),"")</f>
        <v>#REF!</v>
      </c>
      <c r="H1604" s="127" t="e">
        <f t="shared" ca="1" si="85"/>
        <v>#REF!</v>
      </c>
      <c r="I1604" s="125" t="e">
        <f t="shared" ca="1" si="86"/>
        <v>#REF!</v>
      </c>
    </row>
    <row r="1605" spans="1:9" hidden="1" x14ac:dyDescent="0.25">
      <c r="A1605" s="103" t="s">
        <v>5240</v>
      </c>
      <c r="B1605" s="104" t="s">
        <v>4040</v>
      </c>
      <c r="C1605" s="105" t="s">
        <v>93</v>
      </c>
      <c r="D1605" s="105">
        <v>0</v>
      </c>
      <c r="E1605" s="124">
        <f ca="1">OFFSET(INDEX(Composições!A:J,MATCH(Orçamentária!A1605,Composições!A:A,0),8),2,0)</f>
        <v>22.154</v>
      </c>
      <c r="F1605" s="125">
        <f t="shared" ca="1" si="84"/>
        <v>0</v>
      </c>
      <c r="G1605" s="126" t="e">
        <f>IF(A1605&lt;&gt;"",IF(AND(#REF!="Padrão",$H$4=#REF!),BDI!$B$17,IF(AND(#REF!="Padrão",$H$4=#REF!),BDI!#REF!,IF(AND(#REF!="Diferenciado",$H$4=#REF!),BDI!$E$17,IF(AND(#REF!="Diferenciado",$H$4=#REF!),BDI!#REF!,IF(#REF!="ZERO",0))))),"")</f>
        <v>#REF!</v>
      </c>
      <c r="H1605" s="127" t="e">
        <f t="shared" ca="1" si="85"/>
        <v>#REF!</v>
      </c>
      <c r="I1605" s="125" t="e">
        <f t="shared" ca="1" si="86"/>
        <v>#REF!</v>
      </c>
    </row>
    <row r="1606" spans="1:9" hidden="1" x14ac:dyDescent="0.25">
      <c r="A1606" s="103" t="s">
        <v>5241</v>
      </c>
      <c r="B1606" s="104" t="s">
        <v>4041</v>
      </c>
      <c r="C1606" s="105" t="s">
        <v>93</v>
      </c>
      <c r="D1606" s="105">
        <v>0</v>
      </c>
      <c r="E1606" s="124">
        <f ca="1">OFFSET(INDEX(Composições!A:J,MATCH(Orçamentária!A1606,Composições!A:A,0),8),2,0)</f>
        <v>30.608999999999998</v>
      </c>
      <c r="F1606" s="125">
        <f t="shared" ca="1" si="84"/>
        <v>0</v>
      </c>
      <c r="G1606" s="126" t="e">
        <f>IF(A1606&lt;&gt;"",IF(AND(#REF!="Padrão",$H$4=#REF!),BDI!$B$17,IF(AND(#REF!="Padrão",$H$4=#REF!),BDI!#REF!,IF(AND(#REF!="Diferenciado",$H$4=#REF!),BDI!$E$17,IF(AND(#REF!="Diferenciado",$H$4=#REF!),BDI!#REF!,IF(#REF!="ZERO",0))))),"")</f>
        <v>#REF!</v>
      </c>
      <c r="H1606" s="127" t="e">
        <f t="shared" ca="1" si="85"/>
        <v>#REF!</v>
      </c>
      <c r="I1606" s="125" t="e">
        <f t="shared" ca="1" si="86"/>
        <v>#REF!</v>
      </c>
    </row>
    <row r="1607" spans="1:9" hidden="1" x14ac:dyDescent="0.25">
      <c r="A1607" s="103" t="s">
        <v>5242</v>
      </c>
      <c r="B1607" s="104" t="s">
        <v>4042</v>
      </c>
      <c r="C1607" s="105" t="s">
        <v>93</v>
      </c>
      <c r="D1607" s="105">
        <v>0</v>
      </c>
      <c r="E1607" s="124">
        <f ca="1">OFFSET(INDEX(Composições!A:J,MATCH(Orçamentária!A1607,Composições!A:A,0),8),2,0)</f>
        <v>42.626499999999993</v>
      </c>
      <c r="F1607" s="125">
        <f t="shared" ca="1" si="84"/>
        <v>0</v>
      </c>
      <c r="G1607" s="126" t="e">
        <f>IF(A1607&lt;&gt;"",IF(AND(#REF!="Padrão",$H$4=#REF!),BDI!$B$17,IF(AND(#REF!="Padrão",$H$4=#REF!),BDI!#REF!,IF(AND(#REF!="Diferenciado",$H$4=#REF!),BDI!$E$17,IF(AND(#REF!="Diferenciado",$H$4=#REF!),BDI!#REF!,IF(#REF!="ZERO",0))))),"")</f>
        <v>#REF!</v>
      </c>
      <c r="H1607" s="127" t="e">
        <f t="shared" ca="1" si="85"/>
        <v>#REF!</v>
      </c>
      <c r="I1607" s="125" t="e">
        <f t="shared" ca="1" si="86"/>
        <v>#REF!</v>
      </c>
    </row>
    <row r="1608" spans="1:9" hidden="1" x14ac:dyDescent="0.25">
      <c r="A1608" s="103" t="s">
        <v>5243</v>
      </c>
      <c r="B1608" s="104" t="s">
        <v>4043</v>
      </c>
      <c r="C1608" s="105" t="s">
        <v>93</v>
      </c>
      <c r="D1608" s="105">
        <v>0</v>
      </c>
      <c r="E1608" s="124">
        <f ca="1">OFFSET(INDEX(Composições!A:J,MATCH(Orçamentária!A1608,Composições!A:A,0),8),2,0)</f>
        <v>60.058999999999997</v>
      </c>
      <c r="F1608" s="125">
        <f t="shared" ca="1" si="84"/>
        <v>0</v>
      </c>
      <c r="G1608" s="126" t="e">
        <f>IF(A1608&lt;&gt;"",IF(AND(#REF!="Padrão",$H$4=#REF!),BDI!$B$17,IF(AND(#REF!="Padrão",$H$4=#REF!),BDI!#REF!,IF(AND(#REF!="Diferenciado",$H$4=#REF!),BDI!$E$17,IF(AND(#REF!="Diferenciado",$H$4=#REF!),BDI!#REF!,IF(#REF!="ZERO",0))))),"")</f>
        <v>#REF!</v>
      </c>
      <c r="H1608" s="127" t="e">
        <f t="shared" ca="1" si="85"/>
        <v>#REF!</v>
      </c>
      <c r="I1608" s="125" t="e">
        <f t="shared" ca="1" si="86"/>
        <v>#REF!</v>
      </c>
    </row>
    <row r="1609" spans="1:9" hidden="1" x14ac:dyDescent="0.25">
      <c r="A1609" s="103" t="s">
        <v>5244</v>
      </c>
      <c r="B1609" s="104" t="s">
        <v>4044</v>
      </c>
      <c r="C1609" s="105" t="s">
        <v>93</v>
      </c>
      <c r="D1609" s="105">
        <v>0</v>
      </c>
      <c r="E1609" s="124" t="s">
        <v>523</v>
      </c>
      <c r="F1609" s="125" t="str">
        <f t="shared" si="84"/>
        <v/>
      </c>
      <c r="G1609" s="126" t="e">
        <f>IF(A1609&lt;&gt;"",IF(AND(#REF!="Padrão",$H$4=#REF!),BDI!$B$17,IF(AND(#REF!="Padrão",$H$4=#REF!),BDI!#REF!,IF(AND(#REF!="Diferenciado",$H$4=#REF!),BDI!$E$17,IF(AND(#REF!="Diferenciado",$H$4=#REF!),BDI!#REF!,IF(#REF!="ZERO",0))))),"")</f>
        <v>#REF!</v>
      </c>
      <c r="H1609" s="127" t="str">
        <f t="shared" si="85"/>
        <v/>
      </c>
      <c r="I1609" s="125" t="str">
        <f t="shared" si="86"/>
        <v/>
      </c>
    </row>
    <row r="1610" spans="1:9" hidden="1" x14ac:dyDescent="0.25">
      <c r="A1610" s="103" t="s">
        <v>5245</v>
      </c>
      <c r="B1610" s="104" t="s">
        <v>4045</v>
      </c>
      <c r="C1610" s="105" t="s">
        <v>93</v>
      </c>
      <c r="D1610" s="105">
        <v>0</v>
      </c>
      <c r="E1610" s="124" t="s">
        <v>523</v>
      </c>
      <c r="F1610" s="125" t="str">
        <f t="shared" si="84"/>
        <v/>
      </c>
      <c r="G1610" s="126" t="e">
        <f>IF(A1610&lt;&gt;"",IF(AND(#REF!="Padrão",$H$4=#REF!),BDI!$B$17,IF(AND(#REF!="Padrão",$H$4=#REF!),BDI!#REF!,IF(AND(#REF!="Diferenciado",$H$4=#REF!),BDI!$E$17,IF(AND(#REF!="Diferenciado",$H$4=#REF!),BDI!#REF!,IF(#REF!="ZERO",0))))),"")</f>
        <v>#REF!</v>
      </c>
      <c r="H1610" s="127" t="str">
        <f t="shared" si="85"/>
        <v/>
      </c>
      <c r="I1610" s="125" t="str">
        <f t="shared" si="86"/>
        <v/>
      </c>
    </row>
    <row r="1611" spans="1:9" hidden="1" x14ac:dyDescent="0.25">
      <c r="A1611" s="103" t="s">
        <v>5246</v>
      </c>
      <c r="B1611" s="104" t="s">
        <v>4046</v>
      </c>
      <c r="C1611" s="105" t="s">
        <v>93</v>
      </c>
      <c r="D1611" s="105">
        <v>0</v>
      </c>
      <c r="E1611" s="124" t="s">
        <v>523</v>
      </c>
      <c r="F1611" s="125" t="str">
        <f t="shared" si="84"/>
        <v/>
      </c>
      <c r="G1611" s="126" t="e">
        <f>IF(A1611&lt;&gt;"",IF(AND(#REF!="Padrão",$H$4=#REF!),BDI!$B$17,IF(AND(#REF!="Padrão",$H$4=#REF!),BDI!#REF!,IF(AND(#REF!="Diferenciado",$H$4=#REF!),BDI!$E$17,IF(AND(#REF!="Diferenciado",$H$4=#REF!),BDI!#REF!,IF(#REF!="ZERO",0))))),"")</f>
        <v>#REF!</v>
      </c>
      <c r="H1611" s="127" t="str">
        <f t="shared" si="85"/>
        <v/>
      </c>
      <c r="I1611" s="125" t="str">
        <f t="shared" si="86"/>
        <v/>
      </c>
    </row>
    <row r="1612" spans="1:9" hidden="1" x14ac:dyDescent="0.25">
      <c r="A1612" s="103" t="s">
        <v>5247</v>
      </c>
      <c r="B1612" s="104" t="s">
        <v>4047</v>
      </c>
      <c r="C1612" s="105" t="s">
        <v>93</v>
      </c>
      <c r="D1612" s="105">
        <v>0</v>
      </c>
      <c r="E1612" s="124" t="s">
        <v>523</v>
      </c>
      <c r="F1612" s="125" t="str">
        <f t="shared" si="84"/>
        <v/>
      </c>
      <c r="G1612" s="126" t="e">
        <f>IF(A1612&lt;&gt;"",IF(AND(#REF!="Padrão",$H$4=#REF!),BDI!$B$17,IF(AND(#REF!="Padrão",$H$4=#REF!),BDI!#REF!,IF(AND(#REF!="Diferenciado",$H$4=#REF!),BDI!$E$17,IF(AND(#REF!="Diferenciado",$H$4=#REF!),BDI!#REF!,IF(#REF!="ZERO",0))))),"")</f>
        <v>#REF!</v>
      </c>
      <c r="H1612" s="127" t="str">
        <f t="shared" si="85"/>
        <v/>
      </c>
      <c r="I1612" s="125" t="str">
        <f t="shared" si="86"/>
        <v/>
      </c>
    </row>
    <row r="1613" spans="1:9" hidden="1" x14ac:dyDescent="0.25">
      <c r="A1613" s="103" t="s">
        <v>5248</v>
      </c>
      <c r="B1613" s="104" t="s">
        <v>4048</v>
      </c>
      <c r="C1613" s="105" t="s">
        <v>93</v>
      </c>
      <c r="D1613" s="105">
        <v>0</v>
      </c>
      <c r="E1613" s="124" t="s">
        <v>523</v>
      </c>
      <c r="F1613" s="125" t="str">
        <f t="shared" si="84"/>
        <v/>
      </c>
      <c r="G1613" s="126" t="e">
        <f>IF(A1613&lt;&gt;"",IF(AND(#REF!="Padrão",$H$4=#REF!),BDI!$B$17,IF(AND(#REF!="Padrão",$H$4=#REF!),BDI!#REF!,IF(AND(#REF!="Diferenciado",$H$4=#REF!),BDI!$E$17,IF(AND(#REF!="Diferenciado",$H$4=#REF!),BDI!#REF!,IF(#REF!="ZERO",0))))),"")</f>
        <v>#REF!</v>
      </c>
      <c r="H1613" s="127" t="str">
        <f t="shared" si="85"/>
        <v/>
      </c>
      <c r="I1613" s="125" t="str">
        <f t="shared" si="86"/>
        <v/>
      </c>
    </row>
    <row r="1614" spans="1:9" hidden="1" x14ac:dyDescent="0.25">
      <c r="A1614" s="103" t="s">
        <v>5249</v>
      </c>
      <c r="B1614" s="104" t="s">
        <v>4049</v>
      </c>
      <c r="C1614" s="105" t="s">
        <v>93</v>
      </c>
      <c r="D1614" s="105">
        <v>0</v>
      </c>
      <c r="E1614" s="124" t="s">
        <v>523</v>
      </c>
      <c r="F1614" s="125" t="str">
        <f t="shared" si="84"/>
        <v/>
      </c>
      <c r="G1614" s="126" t="e">
        <f>IF(A1614&lt;&gt;"",IF(AND(#REF!="Padrão",$H$4=#REF!),BDI!$B$17,IF(AND(#REF!="Padrão",$H$4=#REF!),BDI!#REF!,IF(AND(#REF!="Diferenciado",$H$4=#REF!),BDI!$E$17,IF(AND(#REF!="Diferenciado",$H$4=#REF!),BDI!#REF!,IF(#REF!="ZERO",0))))),"")</f>
        <v>#REF!</v>
      </c>
      <c r="H1614" s="127" t="str">
        <f t="shared" si="85"/>
        <v/>
      </c>
      <c r="I1614" s="125" t="str">
        <f t="shared" si="86"/>
        <v/>
      </c>
    </row>
    <row r="1615" spans="1:9" hidden="1" x14ac:dyDescent="0.25">
      <c r="A1615" s="103" t="s">
        <v>5250</v>
      </c>
      <c r="B1615" s="104" t="s">
        <v>4050</v>
      </c>
      <c r="C1615" s="105" t="s">
        <v>93</v>
      </c>
      <c r="D1615" s="105">
        <v>0</v>
      </c>
      <c r="E1615" s="124" t="s">
        <v>523</v>
      </c>
      <c r="F1615" s="125" t="str">
        <f t="shared" si="84"/>
        <v/>
      </c>
      <c r="G1615" s="126" t="e">
        <f>IF(A1615&lt;&gt;"",IF(AND(#REF!="Padrão",$H$4=#REF!),BDI!$B$17,IF(AND(#REF!="Padrão",$H$4=#REF!),BDI!#REF!,IF(AND(#REF!="Diferenciado",$H$4=#REF!),BDI!$E$17,IF(AND(#REF!="Diferenciado",$H$4=#REF!),BDI!#REF!,IF(#REF!="ZERO",0))))),"")</f>
        <v>#REF!</v>
      </c>
      <c r="H1615" s="127" t="str">
        <f t="shared" si="85"/>
        <v/>
      </c>
      <c r="I1615" s="125" t="str">
        <f t="shared" si="86"/>
        <v/>
      </c>
    </row>
    <row r="1616" spans="1:9" hidden="1" x14ac:dyDescent="0.25">
      <c r="A1616" s="103" t="s">
        <v>5251</v>
      </c>
      <c r="B1616" s="104" t="s">
        <v>4051</v>
      </c>
      <c r="C1616" s="105" t="s">
        <v>93</v>
      </c>
      <c r="D1616" s="105">
        <v>0</v>
      </c>
      <c r="E1616" s="124" t="s">
        <v>523</v>
      </c>
      <c r="F1616" s="125" t="str">
        <f t="shared" si="84"/>
        <v/>
      </c>
      <c r="G1616" s="126" t="e">
        <f>IF(A1616&lt;&gt;"",IF(AND(#REF!="Padrão",$H$4=#REF!),BDI!$B$17,IF(AND(#REF!="Padrão",$H$4=#REF!),BDI!#REF!,IF(AND(#REF!="Diferenciado",$H$4=#REF!),BDI!$E$17,IF(AND(#REF!="Diferenciado",$H$4=#REF!),BDI!#REF!,IF(#REF!="ZERO",0))))),"")</f>
        <v>#REF!</v>
      </c>
      <c r="H1616" s="127" t="str">
        <f t="shared" si="85"/>
        <v/>
      </c>
      <c r="I1616" s="125" t="str">
        <f t="shared" si="86"/>
        <v/>
      </c>
    </row>
    <row r="1617" spans="1:9" hidden="1" x14ac:dyDescent="0.25">
      <c r="A1617" s="103" t="s">
        <v>5252</v>
      </c>
      <c r="B1617" s="104" t="s">
        <v>4052</v>
      </c>
      <c r="C1617" s="105" t="s">
        <v>93</v>
      </c>
      <c r="D1617" s="105">
        <v>0</v>
      </c>
      <c r="E1617" s="124" t="s">
        <v>523</v>
      </c>
      <c r="F1617" s="125" t="str">
        <f t="shared" si="84"/>
        <v/>
      </c>
      <c r="G1617" s="126" t="e">
        <f>IF(A1617&lt;&gt;"",IF(AND(#REF!="Padrão",$H$4=#REF!),BDI!$B$17,IF(AND(#REF!="Padrão",$H$4=#REF!),BDI!#REF!,IF(AND(#REF!="Diferenciado",$H$4=#REF!),BDI!$E$17,IF(AND(#REF!="Diferenciado",$H$4=#REF!),BDI!#REF!,IF(#REF!="ZERO",0))))),"")</f>
        <v>#REF!</v>
      </c>
      <c r="H1617" s="127" t="str">
        <f t="shared" si="85"/>
        <v/>
      </c>
      <c r="I1617" s="125" t="str">
        <f t="shared" si="86"/>
        <v/>
      </c>
    </row>
    <row r="1618" spans="1:9" hidden="1" x14ac:dyDescent="0.25">
      <c r="A1618" s="103" t="s">
        <v>5253</v>
      </c>
      <c r="B1618" s="104" t="s">
        <v>4053</v>
      </c>
      <c r="C1618" s="105" t="s">
        <v>93</v>
      </c>
      <c r="D1618" s="105">
        <v>0</v>
      </c>
      <c r="E1618" s="124" t="s">
        <v>523</v>
      </c>
      <c r="F1618" s="125" t="str">
        <f t="shared" si="84"/>
        <v/>
      </c>
      <c r="G1618" s="126" t="e">
        <f>IF(A1618&lt;&gt;"",IF(AND(#REF!="Padrão",$H$4=#REF!),BDI!$B$17,IF(AND(#REF!="Padrão",$H$4=#REF!),BDI!#REF!,IF(AND(#REF!="Diferenciado",$H$4=#REF!),BDI!$E$17,IF(AND(#REF!="Diferenciado",$H$4=#REF!),BDI!#REF!,IF(#REF!="ZERO",0))))),"")</f>
        <v>#REF!</v>
      </c>
      <c r="H1618" s="127" t="str">
        <f t="shared" si="85"/>
        <v/>
      </c>
      <c r="I1618" s="125" t="str">
        <f t="shared" si="86"/>
        <v/>
      </c>
    </row>
    <row r="1619" spans="1:9" hidden="1" x14ac:dyDescent="0.25">
      <c r="A1619" s="103" t="s">
        <v>5254</v>
      </c>
      <c r="B1619" s="104" t="s">
        <v>4054</v>
      </c>
      <c r="C1619" s="105" t="s">
        <v>93</v>
      </c>
      <c r="D1619" s="105">
        <v>0</v>
      </c>
      <c r="E1619" s="124" t="s">
        <v>523</v>
      </c>
      <c r="F1619" s="125" t="str">
        <f t="shared" si="84"/>
        <v/>
      </c>
      <c r="G1619" s="126" t="e">
        <f>IF(A1619&lt;&gt;"",IF(AND(#REF!="Padrão",$H$4=#REF!),BDI!$B$17,IF(AND(#REF!="Padrão",$H$4=#REF!),BDI!#REF!,IF(AND(#REF!="Diferenciado",$H$4=#REF!),BDI!$E$17,IF(AND(#REF!="Diferenciado",$H$4=#REF!),BDI!#REF!,IF(#REF!="ZERO",0))))),"")</f>
        <v>#REF!</v>
      </c>
      <c r="H1619" s="127" t="str">
        <f t="shared" si="85"/>
        <v/>
      </c>
      <c r="I1619" s="125" t="str">
        <f t="shared" si="86"/>
        <v/>
      </c>
    </row>
    <row r="1620" spans="1:9" hidden="1" x14ac:dyDescent="0.25">
      <c r="A1620" s="103" t="s">
        <v>5255</v>
      </c>
      <c r="B1620" s="104" t="s">
        <v>4055</v>
      </c>
      <c r="C1620" s="105" t="s">
        <v>93</v>
      </c>
      <c r="D1620" s="105">
        <v>0</v>
      </c>
      <c r="E1620" s="124" t="s">
        <v>523</v>
      </c>
      <c r="F1620" s="125" t="str">
        <f t="shared" si="84"/>
        <v/>
      </c>
      <c r="G1620" s="126" t="e">
        <f>IF(A1620&lt;&gt;"",IF(AND(#REF!="Padrão",$H$4=#REF!),BDI!$B$17,IF(AND(#REF!="Padrão",$H$4=#REF!),BDI!#REF!,IF(AND(#REF!="Diferenciado",$H$4=#REF!),BDI!$E$17,IF(AND(#REF!="Diferenciado",$H$4=#REF!),BDI!#REF!,IF(#REF!="ZERO",0))))),"")</f>
        <v>#REF!</v>
      </c>
      <c r="H1620" s="127" t="str">
        <f t="shared" si="85"/>
        <v/>
      </c>
      <c r="I1620" s="125" t="str">
        <f t="shared" si="86"/>
        <v/>
      </c>
    </row>
    <row r="1621" spans="1:9" hidden="1" x14ac:dyDescent="0.25">
      <c r="A1621" s="103" t="s">
        <v>5256</v>
      </c>
      <c r="B1621" s="104" t="s">
        <v>4056</v>
      </c>
      <c r="C1621" s="105" t="s">
        <v>93</v>
      </c>
      <c r="D1621" s="105">
        <v>0</v>
      </c>
      <c r="E1621" s="124" t="s">
        <v>523</v>
      </c>
      <c r="F1621" s="125" t="str">
        <f t="shared" si="84"/>
        <v/>
      </c>
      <c r="G1621" s="126" t="e">
        <f>IF(A1621&lt;&gt;"",IF(AND(#REF!="Padrão",$H$4=#REF!),BDI!$B$17,IF(AND(#REF!="Padrão",$H$4=#REF!),BDI!#REF!,IF(AND(#REF!="Diferenciado",$H$4=#REF!),BDI!$E$17,IF(AND(#REF!="Diferenciado",$H$4=#REF!),BDI!#REF!,IF(#REF!="ZERO",0))))),"")</f>
        <v>#REF!</v>
      </c>
      <c r="H1621" s="127" t="str">
        <f t="shared" si="85"/>
        <v/>
      </c>
      <c r="I1621" s="125" t="str">
        <f t="shared" si="86"/>
        <v/>
      </c>
    </row>
    <row r="1622" spans="1:9" hidden="1" x14ac:dyDescent="0.25">
      <c r="A1622" s="103" t="s">
        <v>5257</v>
      </c>
      <c r="B1622" s="104" t="s">
        <v>4057</v>
      </c>
      <c r="C1622" s="105" t="s">
        <v>93</v>
      </c>
      <c r="D1622" s="105">
        <v>0</v>
      </c>
      <c r="E1622" s="124" t="s">
        <v>523</v>
      </c>
      <c r="F1622" s="125" t="str">
        <f t="shared" si="84"/>
        <v/>
      </c>
      <c r="G1622" s="126" t="e">
        <f>IF(A1622&lt;&gt;"",IF(AND(#REF!="Padrão",$H$4=#REF!),BDI!$B$17,IF(AND(#REF!="Padrão",$H$4=#REF!),BDI!#REF!,IF(AND(#REF!="Diferenciado",$H$4=#REF!),BDI!$E$17,IF(AND(#REF!="Diferenciado",$H$4=#REF!),BDI!#REF!,IF(#REF!="ZERO",0))))),"")</f>
        <v>#REF!</v>
      </c>
      <c r="H1622" s="127" t="str">
        <f t="shared" si="85"/>
        <v/>
      </c>
      <c r="I1622" s="125" t="str">
        <f t="shared" si="86"/>
        <v/>
      </c>
    </row>
    <row r="1623" spans="1:9" hidden="1" x14ac:dyDescent="0.25">
      <c r="A1623" s="103" t="s">
        <v>5258</v>
      </c>
      <c r="B1623" s="104" t="s">
        <v>4058</v>
      </c>
      <c r="C1623" s="105" t="s">
        <v>93</v>
      </c>
      <c r="D1623" s="105">
        <v>0</v>
      </c>
      <c r="E1623" s="124" t="s">
        <v>523</v>
      </c>
      <c r="F1623" s="125" t="str">
        <f t="shared" si="84"/>
        <v/>
      </c>
      <c r="G1623" s="126" t="e">
        <f>IF(A1623&lt;&gt;"",IF(AND(#REF!="Padrão",$H$4=#REF!),BDI!$B$17,IF(AND(#REF!="Padrão",$H$4=#REF!),BDI!#REF!,IF(AND(#REF!="Diferenciado",$H$4=#REF!),BDI!$E$17,IF(AND(#REF!="Diferenciado",$H$4=#REF!),BDI!#REF!,IF(#REF!="ZERO",0))))),"")</f>
        <v>#REF!</v>
      </c>
      <c r="H1623" s="127" t="str">
        <f t="shared" si="85"/>
        <v/>
      </c>
      <c r="I1623" s="125" t="str">
        <f t="shared" si="86"/>
        <v/>
      </c>
    </row>
    <row r="1624" spans="1:9" hidden="1" x14ac:dyDescent="0.25">
      <c r="A1624" s="103" t="s">
        <v>5259</v>
      </c>
      <c r="B1624" s="104" t="s">
        <v>4059</v>
      </c>
      <c r="C1624" s="105" t="s">
        <v>93</v>
      </c>
      <c r="D1624" s="105">
        <v>0</v>
      </c>
      <c r="E1624" s="124" t="s">
        <v>523</v>
      </c>
      <c r="F1624" s="125" t="str">
        <f t="shared" si="84"/>
        <v/>
      </c>
      <c r="G1624" s="126" t="e">
        <f>IF(A1624&lt;&gt;"",IF(AND(#REF!="Padrão",$H$4=#REF!),BDI!$B$17,IF(AND(#REF!="Padrão",$H$4=#REF!),BDI!#REF!,IF(AND(#REF!="Diferenciado",$H$4=#REF!),BDI!$E$17,IF(AND(#REF!="Diferenciado",$H$4=#REF!),BDI!#REF!,IF(#REF!="ZERO",0))))),"")</f>
        <v>#REF!</v>
      </c>
      <c r="H1624" s="127" t="str">
        <f t="shared" si="85"/>
        <v/>
      </c>
      <c r="I1624" s="125" t="str">
        <f t="shared" si="86"/>
        <v/>
      </c>
    </row>
    <row r="1625" spans="1:9" hidden="1" x14ac:dyDescent="0.25">
      <c r="A1625" s="103" t="s">
        <v>5260</v>
      </c>
      <c r="B1625" s="104" t="s">
        <v>4060</v>
      </c>
      <c r="C1625" s="105" t="s">
        <v>93</v>
      </c>
      <c r="D1625" s="105">
        <v>0</v>
      </c>
      <c r="E1625" s="124" t="s">
        <v>523</v>
      </c>
      <c r="F1625" s="125" t="str">
        <f t="shared" si="84"/>
        <v/>
      </c>
      <c r="G1625" s="126" t="e">
        <f>IF(A1625&lt;&gt;"",IF(AND(#REF!="Padrão",$H$4=#REF!),BDI!$B$17,IF(AND(#REF!="Padrão",$H$4=#REF!),BDI!#REF!,IF(AND(#REF!="Diferenciado",$H$4=#REF!),BDI!$E$17,IF(AND(#REF!="Diferenciado",$H$4=#REF!),BDI!#REF!,IF(#REF!="ZERO",0))))),"")</f>
        <v>#REF!</v>
      </c>
      <c r="H1625" s="127" t="str">
        <f t="shared" si="85"/>
        <v/>
      </c>
      <c r="I1625" s="125" t="str">
        <f t="shared" si="86"/>
        <v/>
      </c>
    </row>
    <row r="1626" spans="1:9" hidden="1" x14ac:dyDescent="0.25">
      <c r="A1626" s="103" t="s">
        <v>5261</v>
      </c>
      <c r="B1626" s="104" t="s">
        <v>4061</v>
      </c>
      <c r="C1626" s="105" t="s">
        <v>93</v>
      </c>
      <c r="D1626" s="105">
        <v>0</v>
      </c>
      <c r="E1626" s="124" t="s">
        <v>523</v>
      </c>
      <c r="F1626" s="125" t="str">
        <f t="shared" si="84"/>
        <v/>
      </c>
      <c r="G1626" s="126" t="e">
        <f>IF(A1626&lt;&gt;"",IF(AND(#REF!="Padrão",$H$4=#REF!),BDI!$B$17,IF(AND(#REF!="Padrão",$H$4=#REF!),BDI!#REF!,IF(AND(#REF!="Diferenciado",$H$4=#REF!),BDI!$E$17,IF(AND(#REF!="Diferenciado",$H$4=#REF!),BDI!#REF!,IF(#REF!="ZERO",0))))),"")</f>
        <v>#REF!</v>
      </c>
      <c r="H1626" s="127" t="str">
        <f t="shared" si="85"/>
        <v/>
      </c>
      <c r="I1626" s="125" t="str">
        <f t="shared" si="86"/>
        <v/>
      </c>
    </row>
    <row r="1627" spans="1:9" hidden="1" x14ac:dyDescent="0.25">
      <c r="A1627" s="103" t="s">
        <v>5262</v>
      </c>
      <c r="B1627" s="104" t="s">
        <v>4062</v>
      </c>
      <c r="C1627" s="105" t="s">
        <v>93</v>
      </c>
      <c r="D1627" s="105">
        <v>0</v>
      </c>
      <c r="E1627" s="124" t="s">
        <v>523</v>
      </c>
      <c r="F1627" s="125" t="str">
        <f t="shared" si="84"/>
        <v/>
      </c>
      <c r="G1627" s="126" t="e">
        <f>IF(A1627&lt;&gt;"",IF(AND(#REF!="Padrão",$H$4=#REF!),BDI!$B$17,IF(AND(#REF!="Padrão",$H$4=#REF!),BDI!#REF!,IF(AND(#REF!="Diferenciado",$H$4=#REF!),BDI!$E$17,IF(AND(#REF!="Diferenciado",$H$4=#REF!),BDI!#REF!,IF(#REF!="ZERO",0))))),"")</f>
        <v>#REF!</v>
      </c>
      <c r="H1627" s="127" t="str">
        <f t="shared" si="85"/>
        <v/>
      </c>
      <c r="I1627" s="125" t="str">
        <f t="shared" si="86"/>
        <v/>
      </c>
    </row>
    <row r="1628" spans="1:9" hidden="1" x14ac:dyDescent="0.25">
      <c r="A1628" s="103" t="s">
        <v>5263</v>
      </c>
      <c r="B1628" s="104" t="s">
        <v>4063</v>
      </c>
      <c r="C1628" s="105" t="s">
        <v>93</v>
      </c>
      <c r="D1628" s="105">
        <v>0</v>
      </c>
      <c r="E1628" s="124" t="s">
        <v>523</v>
      </c>
      <c r="F1628" s="125" t="str">
        <f t="shared" si="84"/>
        <v/>
      </c>
      <c r="G1628" s="126" t="e">
        <f>IF(A1628&lt;&gt;"",IF(AND(#REF!="Padrão",$H$4=#REF!),BDI!$B$17,IF(AND(#REF!="Padrão",$H$4=#REF!),BDI!#REF!,IF(AND(#REF!="Diferenciado",$H$4=#REF!),BDI!$E$17,IF(AND(#REF!="Diferenciado",$H$4=#REF!),BDI!#REF!,IF(#REF!="ZERO",0))))),"")</f>
        <v>#REF!</v>
      </c>
      <c r="H1628" s="127" t="str">
        <f t="shared" si="85"/>
        <v/>
      </c>
      <c r="I1628" s="125" t="str">
        <f t="shared" si="86"/>
        <v/>
      </c>
    </row>
    <row r="1629" spans="1:9" hidden="1" x14ac:dyDescent="0.25">
      <c r="A1629" s="103" t="s">
        <v>5264</v>
      </c>
      <c r="B1629" s="104" t="s">
        <v>4064</v>
      </c>
      <c r="C1629" s="105" t="s">
        <v>93</v>
      </c>
      <c r="D1629" s="105">
        <v>0</v>
      </c>
      <c r="E1629" s="124" t="s">
        <v>523</v>
      </c>
      <c r="F1629" s="125" t="str">
        <f t="shared" si="84"/>
        <v/>
      </c>
      <c r="G1629" s="126" t="e">
        <f>IF(A1629&lt;&gt;"",IF(AND(#REF!="Padrão",$H$4=#REF!),BDI!$B$17,IF(AND(#REF!="Padrão",$H$4=#REF!),BDI!#REF!,IF(AND(#REF!="Diferenciado",$H$4=#REF!),BDI!$E$17,IF(AND(#REF!="Diferenciado",$H$4=#REF!),BDI!#REF!,IF(#REF!="ZERO",0))))),"")</f>
        <v>#REF!</v>
      </c>
      <c r="H1629" s="127" t="str">
        <f t="shared" si="85"/>
        <v/>
      </c>
      <c r="I1629" s="125" t="str">
        <f t="shared" si="86"/>
        <v/>
      </c>
    </row>
    <row r="1630" spans="1:9" hidden="1" x14ac:dyDescent="0.25">
      <c r="A1630" s="103" t="s">
        <v>5265</v>
      </c>
      <c r="B1630" s="104" t="s">
        <v>4065</v>
      </c>
      <c r="C1630" s="105" t="s">
        <v>20</v>
      </c>
      <c r="D1630" s="105">
        <v>0</v>
      </c>
      <c r="E1630" s="124" t="s">
        <v>523</v>
      </c>
      <c r="F1630" s="125" t="str">
        <f t="shared" si="84"/>
        <v/>
      </c>
      <c r="G1630" s="126" t="e">
        <f>IF(A1630&lt;&gt;"",IF(AND(#REF!="Padrão",$H$4=#REF!),BDI!$B$17,IF(AND(#REF!="Padrão",$H$4=#REF!),BDI!#REF!,IF(AND(#REF!="Diferenciado",$H$4=#REF!),BDI!$E$17,IF(AND(#REF!="Diferenciado",$H$4=#REF!),BDI!#REF!,IF(#REF!="ZERO",0))))),"")</f>
        <v>#REF!</v>
      </c>
      <c r="H1630" s="127" t="str">
        <f t="shared" si="85"/>
        <v/>
      </c>
      <c r="I1630" s="125" t="str">
        <f t="shared" si="86"/>
        <v/>
      </c>
    </row>
    <row r="1631" spans="1:9" hidden="1" x14ac:dyDescent="0.25">
      <c r="A1631" s="103" t="s">
        <v>5266</v>
      </c>
      <c r="B1631" s="104" t="s">
        <v>4066</v>
      </c>
      <c r="C1631" s="105" t="s">
        <v>20</v>
      </c>
      <c r="D1631" s="105">
        <v>0</v>
      </c>
      <c r="E1631" s="124" t="s">
        <v>523</v>
      </c>
      <c r="F1631" s="125" t="str">
        <f t="shared" si="84"/>
        <v/>
      </c>
      <c r="G1631" s="126" t="e">
        <f>IF(A1631&lt;&gt;"",IF(AND(#REF!="Padrão",$H$4=#REF!),BDI!$B$17,IF(AND(#REF!="Padrão",$H$4=#REF!),BDI!#REF!,IF(AND(#REF!="Diferenciado",$H$4=#REF!),BDI!$E$17,IF(AND(#REF!="Diferenciado",$H$4=#REF!),BDI!#REF!,IF(#REF!="ZERO",0))))),"")</f>
        <v>#REF!</v>
      </c>
      <c r="H1631" s="127" t="str">
        <f t="shared" si="85"/>
        <v/>
      </c>
      <c r="I1631" s="125" t="str">
        <f t="shared" si="86"/>
        <v/>
      </c>
    </row>
    <row r="1632" spans="1:9" hidden="1" x14ac:dyDescent="0.25">
      <c r="A1632" s="103" t="s">
        <v>5267</v>
      </c>
      <c r="B1632" s="104" t="s">
        <v>4067</v>
      </c>
      <c r="C1632" s="105" t="s">
        <v>20</v>
      </c>
      <c r="D1632" s="105">
        <v>0</v>
      </c>
      <c r="E1632" s="124" t="s">
        <v>523</v>
      </c>
      <c r="F1632" s="125" t="str">
        <f t="shared" si="84"/>
        <v/>
      </c>
      <c r="G1632" s="126" t="e">
        <f>IF(A1632&lt;&gt;"",IF(AND(#REF!="Padrão",$H$4=#REF!),BDI!$B$17,IF(AND(#REF!="Padrão",$H$4=#REF!),BDI!#REF!,IF(AND(#REF!="Diferenciado",$H$4=#REF!),BDI!$E$17,IF(AND(#REF!="Diferenciado",$H$4=#REF!),BDI!#REF!,IF(#REF!="ZERO",0))))),"")</f>
        <v>#REF!</v>
      </c>
      <c r="H1632" s="127" t="str">
        <f t="shared" si="85"/>
        <v/>
      </c>
      <c r="I1632" s="125" t="str">
        <f t="shared" si="86"/>
        <v/>
      </c>
    </row>
    <row r="1633" spans="1:9" hidden="1" x14ac:dyDescent="0.25">
      <c r="A1633" s="103" t="s">
        <v>5268</v>
      </c>
      <c r="B1633" s="104" t="s">
        <v>4068</v>
      </c>
      <c r="C1633" s="105" t="s">
        <v>20</v>
      </c>
      <c r="D1633" s="105">
        <v>0</v>
      </c>
      <c r="E1633" s="124" t="s">
        <v>523</v>
      </c>
      <c r="F1633" s="125" t="str">
        <f t="shared" si="84"/>
        <v/>
      </c>
      <c r="G1633" s="126" t="e">
        <f>IF(A1633&lt;&gt;"",IF(AND(#REF!="Padrão",$H$4=#REF!),BDI!$B$17,IF(AND(#REF!="Padrão",$H$4=#REF!),BDI!#REF!,IF(AND(#REF!="Diferenciado",$H$4=#REF!),BDI!$E$17,IF(AND(#REF!="Diferenciado",$H$4=#REF!),BDI!#REF!,IF(#REF!="ZERO",0))))),"")</f>
        <v>#REF!</v>
      </c>
      <c r="H1633" s="127" t="str">
        <f t="shared" si="85"/>
        <v/>
      </c>
      <c r="I1633" s="125" t="str">
        <f t="shared" si="86"/>
        <v/>
      </c>
    </row>
    <row r="1634" spans="1:9" hidden="1" x14ac:dyDescent="0.25">
      <c r="A1634" s="103" t="s">
        <v>5269</v>
      </c>
      <c r="B1634" s="104" t="s">
        <v>4069</v>
      </c>
      <c r="C1634" s="105" t="s">
        <v>20</v>
      </c>
      <c r="D1634" s="105">
        <v>0</v>
      </c>
      <c r="E1634" s="124" t="s">
        <v>523</v>
      </c>
      <c r="F1634" s="125" t="str">
        <f t="shared" si="84"/>
        <v/>
      </c>
      <c r="G1634" s="126" t="e">
        <f>IF(A1634&lt;&gt;"",IF(AND(#REF!="Padrão",$H$4=#REF!),BDI!$B$17,IF(AND(#REF!="Padrão",$H$4=#REF!),BDI!#REF!,IF(AND(#REF!="Diferenciado",$H$4=#REF!),BDI!$E$17,IF(AND(#REF!="Diferenciado",$H$4=#REF!),BDI!#REF!,IF(#REF!="ZERO",0))))),"")</f>
        <v>#REF!</v>
      </c>
      <c r="H1634" s="127" t="str">
        <f t="shared" si="85"/>
        <v/>
      </c>
      <c r="I1634" s="125" t="str">
        <f t="shared" si="86"/>
        <v/>
      </c>
    </row>
    <row r="1635" spans="1:9" hidden="1" x14ac:dyDescent="0.25">
      <c r="A1635" s="103" t="s">
        <v>5270</v>
      </c>
      <c r="B1635" s="104" t="s">
        <v>4070</v>
      </c>
      <c r="C1635" s="105" t="s">
        <v>20</v>
      </c>
      <c r="D1635" s="105">
        <v>0</v>
      </c>
      <c r="E1635" s="124" t="s">
        <v>523</v>
      </c>
      <c r="F1635" s="125" t="str">
        <f t="shared" si="84"/>
        <v/>
      </c>
      <c r="G1635" s="126" t="e">
        <f>IF(A1635&lt;&gt;"",IF(AND(#REF!="Padrão",$H$4=#REF!),BDI!$B$17,IF(AND(#REF!="Padrão",$H$4=#REF!),BDI!#REF!,IF(AND(#REF!="Diferenciado",$H$4=#REF!),BDI!$E$17,IF(AND(#REF!="Diferenciado",$H$4=#REF!),BDI!#REF!,IF(#REF!="ZERO",0))))),"")</f>
        <v>#REF!</v>
      </c>
      <c r="H1635" s="127" t="str">
        <f t="shared" si="85"/>
        <v/>
      </c>
      <c r="I1635" s="125" t="str">
        <f t="shared" si="86"/>
        <v/>
      </c>
    </row>
    <row r="1636" spans="1:9" hidden="1" x14ac:dyDescent="0.25">
      <c r="A1636" s="103" t="s">
        <v>5271</v>
      </c>
      <c r="B1636" s="104" t="s">
        <v>4071</v>
      </c>
      <c r="C1636" s="105" t="s">
        <v>20</v>
      </c>
      <c r="D1636" s="105">
        <v>0</v>
      </c>
      <c r="E1636" s="124" t="s">
        <v>523</v>
      </c>
      <c r="F1636" s="125" t="str">
        <f t="shared" si="84"/>
        <v/>
      </c>
      <c r="G1636" s="126" t="e">
        <f>IF(A1636&lt;&gt;"",IF(AND(#REF!="Padrão",$H$4=#REF!),BDI!$B$17,IF(AND(#REF!="Padrão",$H$4=#REF!),BDI!#REF!,IF(AND(#REF!="Diferenciado",$H$4=#REF!),BDI!$E$17,IF(AND(#REF!="Diferenciado",$H$4=#REF!),BDI!#REF!,IF(#REF!="ZERO",0))))),"")</f>
        <v>#REF!</v>
      </c>
      <c r="H1636" s="127" t="str">
        <f t="shared" si="85"/>
        <v/>
      </c>
      <c r="I1636" s="125" t="str">
        <f t="shared" si="86"/>
        <v/>
      </c>
    </row>
    <row r="1637" spans="1:9" hidden="1" x14ac:dyDescent="0.25">
      <c r="A1637" s="103" t="s">
        <v>5272</v>
      </c>
      <c r="B1637" s="104" t="s">
        <v>4072</v>
      </c>
      <c r="C1637" s="105" t="s">
        <v>20</v>
      </c>
      <c r="D1637" s="105">
        <v>0</v>
      </c>
      <c r="E1637" s="124" t="s">
        <v>523</v>
      </c>
      <c r="F1637" s="125" t="str">
        <f t="shared" si="84"/>
        <v/>
      </c>
      <c r="G1637" s="126" t="e">
        <f>IF(A1637&lt;&gt;"",IF(AND(#REF!="Padrão",$H$4=#REF!),BDI!$B$17,IF(AND(#REF!="Padrão",$H$4=#REF!),BDI!#REF!,IF(AND(#REF!="Diferenciado",$H$4=#REF!),BDI!$E$17,IF(AND(#REF!="Diferenciado",$H$4=#REF!),BDI!#REF!,IF(#REF!="ZERO",0))))),"")</f>
        <v>#REF!</v>
      </c>
      <c r="H1637" s="127" t="str">
        <f t="shared" si="85"/>
        <v/>
      </c>
      <c r="I1637" s="125" t="str">
        <f t="shared" si="86"/>
        <v/>
      </c>
    </row>
    <row r="1638" spans="1:9" hidden="1" x14ac:dyDescent="0.25">
      <c r="A1638" s="103" t="s">
        <v>5273</v>
      </c>
      <c r="B1638" s="104" t="s">
        <v>4073</v>
      </c>
      <c r="C1638" s="105" t="s">
        <v>20</v>
      </c>
      <c r="D1638" s="105">
        <v>0</v>
      </c>
      <c r="E1638" s="124" t="s">
        <v>523</v>
      </c>
      <c r="F1638" s="125" t="str">
        <f t="shared" si="84"/>
        <v/>
      </c>
      <c r="G1638" s="126" t="e">
        <f>IF(A1638&lt;&gt;"",IF(AND(#REF!="Padrão",$H$4=#REF!),BDI!$B$17,IF(AND(#REF!="Padrão",$H$4=#REF!),BDI!#REF!,IF(AND(#REF!="Diferenciado",$H$4=#REF!),BDI!$E$17,IF(AND(#REF!="Diferenciado",$H$4=#REF!),BDI!#REF!,IF(#REF!="ZERO",0))))),"")</f>
        <v>#REF!</v>
      </c>
      <c r="H1638" s="127" t="str">
        <f t="shared" si="85"/>
        <v/>
      </c>
      <c r="I1638" s="125" t="str">
        <f t="shared" si="86"/>
        <v/>
      </c>
    </row>
    <row r="1639" spans="1:9" hidden="1" x14ac:dyDescent="0.25">
      <c r="A1639" s="103" t="s">
        <v>5274</v>
      </c>
      <c r="B1639" s="104" t="s">
        <v>4074</v>
      </c>
      <c r="C1639" s="105" t="s">
        <v>20</v>
      </c>
      <c r="D1639" s="105">
        <v>0</v>
      </c>
      <c r="E1639" s="124" t="s">
        <v>523</v>
      </c>
      <c r="F1639" s="125" t="str">
        <f t="shared" si="84"/>
        <v/>
      </c>
      <c r="G1639" s="126" t="e">
        <f>IF(A1639&lt;&gt;"",IF(AND(#REF!="Padrão",$H$4=#REF!),BDI!$B$17,IF(AND(#REF!="Padrão",$H$4=#REF!),BDI!#REF!,IF(AND(#REF!="Diferenciado",$H$4=#REF!),BDI!$E$17,IF(AND(#REF!="Diferenciado",$H$4=#REF!),BDI!#REF!,IF(#REF!="ZERO",0))))),"")</f>
        <v>#REF!</v>
      </c>
      <c r="H1639" s="127" t="str">
        <f t="shared" si="85"/>
        <v/>
      </c>
      <c r="I1639" s="125" t="str">
        <f t="shared" si="86"/>
        <v/>
      </c>
    </row>
    <row r="1640" spans="1:9" hidden="1" x14ac:dyDescent="0.25">
      <c r="A1640" s="103" t="s">
        <v>5275</v>
      </c>
      <c r="B1640" s="104" t="s">
        <v>4075</v>
      </c>
      <c r="C1640" s="105" t="s">
        <v>20</v>
      </c>
      <c r="D1640" s="105">
        <v>0</v>
      </c>
      <c r="E1640" s="124" t="s">
        <v>523</v>
      </c>
      <c r="F1640" s="125" t="str">
        <f t="shared" si="84"/>
        <v/>
      </c>
      <c r="G1640" s="126" t="e">
        <f>IF(A1640&lt;&gt;"",IF(AND(#REF!="Padrão",$H$4=#REF!),BDI!$B$17,IF(AND(#REF!="Padrão",$H$4=#REF!),BDI!#REF!,IF(AND(#REF!="Diferenciado",$H$4=#REF!),BDI!$E$17,IF(AND(#REF!="Diferenciado",$H$4=#REF!),BDI!#REF!,IF(#REF!="ZERO",0))))),"")</f>
        <v>#REF!</v>
      </c>
      <c r="H1640" s="127" t="str">
        <f t="shared" si="85"/>
        <v/>
      </c>
      <c r="I1640" s="125" t="str">
        <f t="shared" si="86"/>
        <v/>
      </c>
    </row>
    <row r="1641" spans="1:9" hidden="1" x14ac:dyDescent="0.25">
      <c r="A1641" s="103" t="s">
        <v>5276</v>
      </c>
      <c r="B1641" s="104" t="s">
        <v>4076</v>
      </c>
      <c r="C1641" s="105" t="s">
        <v>20</v>
      </c>
      <c r="D1641" s="105">
        <v>0</v>
      </c>
      <c r="E1641" s="124" t="s">
        <v>523</v>
      </c>
      <c r="F1641" s="125" t="str">
        <f t="shared" si="84"/>
        <v/>
      </c>
      <c r="G1641" s="126" t="e">
        <f>IF(A1641&lt;&gt;"",IF(AND(#REF!="Padrão",$H$4=#REF!),BDI!$B$17,IF(AND(#REF!="Padrão",$H$4=#REF!),BDI!#REF!,IF(AND(#REF!="Diferenciado",$H$4=#REF!),BDI!$E$17,IF(AND(#REF!="Diferenciado",$H$4=#REF!),BDI!#REF!,IF(#REF!="ZERO",0))))),"")</f>
        <v>#REF!</v>
      </c>
      <c r="H1641" s="127" t="str">
        <f t="shared" si="85"/>
        <v/>
      </c>
      <c r="I1641" s="125" t="str">
        <f t="shared" si="86"/>
        <v/>
      </c>
    </row>
    <row r="1642" spans="1:9" hidden="1" x14ac:dyDescent="0.25">
      <c r="A1642" s="103" t="s">
        <v>5277</v>
      </c>
      <c r="B1642" s="104" t="s">
        <v>4077</v>
      </c>
      <c r="C1642" s="105" t="s">
        <v>20</v>
      </c>
      <c r="D1642" s="105">
        <v>0</v>
      </c>
      <c r="E1642" s="124" t="s">
        <v>523</v>
      </c>
      <c r="F1642" s="125" t="str">
        <f t="shared" si="84"/>
        <v/>
      </c>
      <c r="G1642" s="126" t="e">
        <f>IF(A1642&lt;&gt;"",IF(AND(#REF!="Padrão",$H$4=#REF!),BDI!$B$17,IF(AND(#REF!="Padrão",$H$4=#REF!),BDI!#REF!,IF(AND(#REF!="Diferenciado",$H$4=#REF!),BDI!$E$17,IF(AND(#REF!="Diferenciado",$H$4=#REF!),BDI!#REF!,IF(#REF!="ZERO",0))))),"")</f>
        <v>#REF!</v>
      </c>
      <c r="H1642" s="127" t="str">
        <f t="shared" si="85"/>
        <v/>
      </c>
      <c r="I1642" s="125" t="str">
        <f t="shared" si="86"/>
        <v/>
      </c>
    </row>
    <row r="1643" spans="1:9" hidden="1" x14ac:dyDescent="0.25">
      <c r="A1643" s="103" t="s">
        <v>5278</v>
      </c>
      <c r="B1643" s="104" t="s">
        <v>4078</v>
      </c>
      <c r="C1643" s="105" t="s">
        <v>20</v>
      </c>
      <c r="D1643" s="105">
        <v>0</v>
      </c>
      <c r="E1643" s="124" t="s">
        <v>523</v>
      </c>
      <c r="F1643" s="125" t="str">
        <f t="shared" si="84"/>
        <v/>
      </c>
      <c r="G1643" s="126" t="e">
        <f>IF(A1643&lt;&gt;"",IF(AND(#REF!="Padrão",$H$4=#REF!),BDI!$B$17,IF(AND(#REF!="Padrão",$H$4=#REF!),BDI!#REF!,IF(AND(#REF!="Diferenciado",$H$4=#REF!),BDI!$E$17,IF(AND(#REF!="Diferenciado",$H$4=#REF!),BDI!#REF!,IF(#REF!="ZERO",0))))),"")</f>
        <v>#REF!</v>
      </c>
      <c r="H1643" s="127" t="str">
        <f t="shared" si="85"/>
        <v/>
      </c>
      <c r="I1643" s="125" t="str">
        <f t="shared" si="86"/>
        <v/>
      </c>
    </row>
    <row r="1644" spans="1:9" hidden="1" x14ac:dyDescent="0.25">
      <c r="A1644" s="103" t="s">
        <v>5279</v>
      </c>
      <c r="B1644" s="104" t="s">
        <v>4079</v>
      </c>
      <c r="C1644" s="105" t="s">
        <v>20</v>
      </c>
      <c r="D1644" s="105">
        <v>0</v>
      </c>
      <c r="E1644" s="124" t="s">
        <v>523</v>
      </c>
      <c r="F1644" s="125" t="str">
        <f t="shared" si="84"/>
        <v/>
      </c>
      <c r="G1644" s="126" t="e">
        <f>IF(A1644&lt;&gt;"",IF(AND(#REF!="Padrão",$H$4=#REF!),BDI!$B$17,IF(AND(#REF!="Padrão",$H$4=#REF!),BDI!#REF!,IF(AND(#REF!="Diferenciado",$H$4=#REF!),BDI!$E$17,IF(AND(#REF!="Diferenciado",$H$4=#REF!),BDI!#REF!,IF(#REF!="ZERO",0))))),"")</f>
        <v>#REF!</v>
      </c>
      <c r="H1644" s="127" t="str">
        <f t="shared" si="85"/>
        <v/>
      </c>
      <c r="I1644" s="125" t="str">
        <f t="shared" si="86"/>
        <v/>
      </c>
    </row>
    <row r="1645" spans="1:9" hidden="1" x14ac:dyDescent="0.25">
      <c r="A1645" s="103" t="s">
        <v>5280</v>
      </c>
      <c r="B1645" s="104" t="s">
        <v>4080</v>
      </c>
      <c r="C1645" s="105" t="s">
        <v>20</v>
      </c>
      <c r="D1645" s="105">
        <v>0</v>
      </c>
      <c r="E1645" s="124" t="s">
        <v>523</v>
      </c>
      <c r="F1645" s="125" t="str">
        <f t="shared" ref="F1645:F1708" si="87">IF(ISNUMBER(E1645),D1645*E1645,"")</f>
        <v/>
      </c>
      <c r="G1645" s="126" t="e">
        <f>IF(A1645&lt;&gt;"",IF(AND(#REF!="Padrão",$H$4=#REF!),BDI!$B$17,IF(AND(#REF!="Padrão",$H$4=#REF!),BDI!#REF!,IF(AND(#REF!="Diferenciado",$H$4=#REF!),BDI!$E$17,IF(AND(#REF!="Diferenciado",$H$4=#REF!),BDI!#REF!,IF(#REF!="ZERO",0))))),"")</f>
        <v>#REF!</v>
      </c>
      <c r="H1645" s="127" t="str">
        <f t="shared" ref="H1645:H1708" si="88">IF(ISNUMBER(E1645),ROUND(E1645*(1+G1645),2),"")</f>
        <v/>
      </c>
      <c r="I1645" s="125" t="str">
        <f t="shared" ref="I1645:I1708" si="89">IF(ISNUMBER(E1645),ROUND(H1645*D1645,2),"")</f>
        <v/>
      </c>
    </row>
    <row r="1646" spans="1:9" hidden="1" x14ac:dyDescent="0.25">
      <c r="A1646" s="103" t="s">
        <v>5281</v>
      </c>
      <c r="B1646" s="104" t="s">
        <v>4081</v>
      </c>
      <c r="C1646" s="105" t="s">
        <v>20</v>
      </c>
      <c r="D1646" s="105">
        <v>0</v>
      </c>
      <c r="E1646" s="124" t="s">
        <v>523</v>
      </c>
      <c r="F1646" s="125" t="str">
        <f t="shared" si="87"/>
        <v/>
      </c>
      <c r="G1646" s="126" t="e">
        <f>IF(A1646&lt;&gt;"",IF(AND(#REF!="Padrão",$H$4=#REF!),BDI!$B$17,IF(AND(#REF!="Padrão",$H$4=#REF!),BDI!#REF!,IF(AND(#REF!="Diferenciado",$H$4=#REF!),BDI!$E$17,IF(AND(#REF!="Diferenciado",$H$4=#REF!),BDI!#REF!,IF(#REF!="ZERO",0))))),"")</f>
        <v>#REF!</v>
      </c>
      <c r="H1646" s="127" t="str">
        <f t="shared" si="88"/>
        <v/>
      </c>
      <c r="I1646" s="125" t="str">
        <f t="shared" si="89"/>
        <v/>
      </c>
    </row>
    <row r="1647" spans="1:9" hidden="1" x14ac:dyDescent="0.25">
      <c r="A1647" s="103" t="s">
        <v>5282</v>
      </c>
      <c r="B1647" s="104" t="s">
        <v>4082</v>
      </c>
      <c r="C1647" s="105" t="s">
        <v>20</v>
      </c>
      <c r="D1647" s="105">
        <v>0</v>
      </c>
      <c r="E1647" s="124" t="s">
        <v>523</v>
      </c>
      <c r="F1647" s="125" t="str">
        <f t="shared" si="87"/>
        <v/>
      </c>
      <c r="G1647" s="126" t="e">
        <f>IF(A1647&lt;&gt;"",IF(AND(#REF!="Padrão",$H$4=#REF!),BDI!$B$17,IF(AND(#REF!="Padrão",$H$4=#REF!),BDI!#REF!,IF(AND(#REF!="Diferenciado",$H$4=#REF!),BDI!$E$17,IF(AND(#REF!="Diferenciado",$H$4=#REF!),BDI!#REF!,IF(#REF!="ZERO",0))))),"")</f>
        <v>#REF!</v>
      </c>
      <c r="H1647" s="127" t="str">
        <f t="shared" si="88"/>
        <v/>
      </c>
      <c r="I1647" s="125" t="str">
        <f t="shared" si="89"/>
        <v/>
      </c>
    </row>
    <row r="1648" spans="1:9" hidden="1" x14ac:dyDescent="0.25">
      <c r="A1648" s="103" t="s">
        <v>5283</v>
      </c>
      <c r="B1648" s="104" t="s">
        <v>4083</v>
      </c>
      <c r="C1648" s="105" t="s">
        <v>20</v>
      </c>
      <c r="D1648" s="105">
        <v>0</v>
      </c>
      <c r="E1648" s="124" t="s">
        <v>523</v>
      </c>
      <c r="F1648" s="125" t="str">
        <f t="shared" si="87"/>
        <v/>
      </c>
      <c r="G1648" s="126" t="e">
        <f>IF(A1648&lt;&gt;"",IF(AND(#REF!="Padrão",$H$4=#REF!),BDI!$B$17,IF(AND(#REF!="Padrão",$H$4=#REF!),BDI!#REF!,IF(AND(#REF!="Diferenciado",$H$4=#REF!),BDI!$E$17,IF(AND(#REF!="Diferenciado",$H$4=#REF!),BDI!#REF!,IF(#REF!="ZERO",0))))),"")</f>
        <v>#REF!</v>
      </c>
      <c r="H1648" s="127" t="str">
        <f t="shared" si="88"/>
        <v/>
      </c>
      <c r="I1648" s="125" t="str">
        <f t="shared" si="89"/>
        <v/>
      </c>
    </row>
    <row r="1649" spans="1:9" hidden="1" x14ac:dyDescent="0.25">
      <c r="A1649" s="103" t="s">
        <v>5284</v>
      </c>
      <c r="B1649" s="104" t="s">
        <v>4084</v>
      </c>
      <c r="C1649" s="105" t="s">
        <v>20</v>
      </c>
      <c r="D1649" s="105">
        <v>0</v>
      </c>
      <c r="E1649" s="124" t="s">
        <v>523</v>
      </c>
      <c r="F1649" s="125" t="str">
        <f t="shared" si="87"/>
        <v/>
      </c>
      <c r="G1649" s="126" t="e">
        <f>IF(A1649&lt;&gt;"",IF(AND(#REF!="Padrão",$H$4=#REF!),BDI!$B$17,IF(AND(#REF!="Padrão",$H$4=#REF!),BDI!#REF!,IF(AND(#REF!="Diferenciado",$H$4=#REF!),BDI!$E$17,IF(AND(#REF!="Diferenciado",$H$4=#REF!),BDI!#REF!,IF(#REF!="ZERO",0))))),"")</f>
        <v>#REF!</v>
      </c>
      <c r="H1649" s="127" t="str">
        <f t="shared" si="88"/>
        <v/>
      </c>
      <c r="I1649" s="125" t="str">
        <f t="shared" si="89"/>
        <v/>
      </c>
    </row>
    <row r="1650" spans="1:9" hidden="1" x14ac:dyDescent="0.25">
      <c r="A1650" s="103" t="s">
        <v>5285</v>
      </c>
      <c r="B1650" s="104" t="s">
        <v>4085</v>
      </c>
      <c r="C1650" s="105" t="s">
        <v>20</v>
      </c>
      <c r="D1650" s="105">
        <v>0</v>
      </c>
      <c r="E1650" s="124" t="s">
        <v>523</v>
      </c>
      <c r="F1650" s="125" t="str">
        <f t="shared" si="87"/>
        <v/>
      </c>
      <c r="G1650" s="126" t="e">
        <f>IF(A1650&lt;&gt;"",IF(AND(#REF!="Padrão",$H$4=#REF!),BDI!$B$17,IF(AND(#REF!="Padrão",$H$4=#REF!),BDI!#REF!,IF(AND(#REF!="Diferenciado",$H$4=#REF!),BDI!$E$17,IF(AND(#REF!="Diferenciado",$H$4=#REF!),BDI!#REF!,IF(#REF!="ZERO",0))))),"")</f>
        <v>#REF!</v>
      </c>
      <c r="H1650" s="127" t="str">
        <f t="shared" si="88"/>
        <v/>
      </c>
      <c r="I1650" s="125" t="str">
        <f t="shared" si="89"/>
        <v/>
      </c>
    </row>
    <row r="1651" spans="1:9" hidden="1" x14ac:dyDescent="0.25">
      <c r="A1651" s="103" t="s">
        <v>5286</v>
      </c>
      <c r="B1651" s="104" t="s">
        <v>4086</v>
      </c>
      <c r="C1651" s="105" t="s">
        <v>20</v>
      </c>
      <c r="D1651" s="105">
        <v>0</v>
      </c>
      <c r="E1651" s="124" t="s">
        <v>523</v>
      </c>
      <c r="F1651" s="125" t="str">
        <f t="shared" si="87"/>
        <v/>
      </c>
      <c r="G1651" s="126" t="e">
        <f>IF(A1651&lt;&gt;"",IF(AND(#REF!="Padrão",$H$4=#REF!),BDI!$B$17,IF(AND(#REF!="Padrão",$H$4=#REF!),BDI!#REF!,IF(AND(#REF!="Diferenciado",$H$4=#REF!),BDI!$E$17,IF(AND(#REF!="Diferenciado",$H$4=#REF!),BDI!#REF!,IF(#REF!="ZERO",0))))),"")</f>
        <v>#REF!</v>
      </c>
      <c r="H1651" s="127" t="str">
        <f t="shared" si="88"/>
        <v/>
      </c>
      <c r="I1651" s="125" t="str">
        <f t="shared" si="89"/>
        <v/>
      </c>
    </row>
    <row r="1652" spans="1:9" hidden="1" x14ac:dyDescent="0.25">
      <c r="A1652" s="103" t="s">
        <v>5287</v>
      </c>
      <c r="B1652" s="104" t="s">
        <v>4087</v>
      </c>
      <c r="C1652" s="105" t="s">
        <v>20</v>
      </c>
      <c r="D1652" s="105">
        <v>0</v>
      </c>
      <c r="E1652" s="124" t="s">
        <v>523</v>
      </c>
      <c r="F1652" s="125" t="str">
        <f t="shared" si="87"/>
        <v/>
      </c>
      <c r="G1652" s="126" t="e">
        <f>IF(A1652&lt;&gt;"",IF(AND(#REF!="Padrão",$H$4=#REF!),BDI!$B$17,IF(AND(#REF!="Padrão",$H$4=#REF!),BDI!#REF!,IF(AND(#REF!="Diferenciado",$H$4=#REF!),BDI!$E$17,IF(AND(#REF!="Diferenciado",$H$4=#REF!),BDI!#REF!,IF(#REF!="ZERO",0))))),"")</f>
        <v>#REF!</v>
      </c>
      <c r="H1652" s="127" t="str">
        <f t="shared" si="88"/>
        <v/>
      </c>
      <c r="I1652" s="125" t="str">
        <f t="shared" si="89"/>
        <v/>
      </c>
    </row>
    <row r="1653" spans="1:9" hidden="1" x14ac:dyDescent="0.25">
      <c r="A1653" s="103" t="s">
        <v>5288</v>
      </c>
      <c r="B1653" s="104" t="s">
        <v>4088</v>
      </c>
      <c r="C1653" s="105" t="s">
        <v>20</v>
      </c>
      <c r="D1653" s="105">
        <v>0</v>
      </c>
      <c r="E1653" s="124" t="s">
        <v>523</v>
      </c>
      <c r="F1653" s="125" t="str">
        <f t="shared" si="87"/>
        <v/>
      </c>
      <c r="G1653" s="126" t="e">
        <f>IF(A1653&lt;&gt;"",IF(AND(#REF!="Padrão",$H$4=#REF!),BDI!$B$17,IF(AND(#REF!="Padrão",$H$4=#REF!),BDI!#REF!,IF(AND(#REF!="Diferenciado",$H$4=#REF!),BDI!$E$17,IF(AND(#REF!="Diferenciado",$H$4=#REF!),BDI!#REF!,IF(#REF!="ZERO",0))))),"")</f>
        <v>#REF!</v>
      </c>
      <c r="H1653" s="127" t="str">
        <f t="shared" si="88"/>
        <v/>
      </c>
      <c r="I1653" s="125" t="str">
        <f t="shared" si="89"/>
        <v/>
      </c>
    </row>
    <row r="1654" spans="1:9" hidden="1" x14ac:dyDescent="0.25">
      <c r="A1654" s="103" t="s">
        <v>5289</v>
      </c>
      <c r="B1654" s="104" t="s">
        <v>4089</v>
      </c>
      <c r="C1654" s="105" t="s">
        <v>20</v>
      </c>
      <c r="D1654" s="105">
        <v>0</v>
      </c>
      <c r="E1654" s="124" t="s">
        <v>523</v>
      </c>
      <c r="F1654" s="125" t="str">
        <f t="shared" si="87"/>
        <v/>
      </c>
      <c r="G1654" s="126" t="e">
        <f>IF(A1654&lt;&gt;"",IF(AND(#REF!="Padrão",$H$4=#REF!),BDI!$B$17,IF(AND(#REF!="Padrão",$H$4=#REF!),BDI!#REF!,IF(AND(#REF!="Diferenciado",$H$4=#REF!),BDI!$E$17,IF(AND(#REF!="Diferenciado",$H$4=#REF!),BDI!#REF!,IF(#REF!="ZERO",0))))),"")</f>
        <v>#REF!</v>
      </c>
      <c r="H1654" s="127" t="str">
        <f t="shared" si="88"/>
        <v/>
      </c>
      <c r="I1654" s="125" t="str">
        <f t="shared" si="89"/>
        <v/>
      </c>
    </row>
    <row r="1655" spans="1:9" hidden="1" x14ac:dyDescent="0.25">
      <c r="A1655" s="103" t="s">
        <v>5290</v>
      </c>
      <c r="B1655" s="104" t="s">
        <v>4090</v>
      </c>
      <c r="C1655" s="105" t="s">
        <v>20</v>
      </c>
      <c r="D1655" s="105">
        <v>0</v>
      </c>
      <c r="E1655" s="124" t="s">
        <v>523</v>
      </c>
      <c r="F1655" s="125" t="str">
        <f t="shared" si="87"/>
        <v/>
      </c>
      <c r="G1655" s="126" t="e">
        <f>IF(A1655&lt;&gt;"",IF(AND(#REF!="Padrão",$H$4=#REF!),BDI!$B$17,IF(AND(#REF!="Padrão",$H$4=#REF!),BDI!#REF!,IF(AND(#REF!="Diferenciado",$H$4=#REF!),BDI!$E$17,IF(AND(#REF!="Diferenciado",$H$4=#REF!),BDI!#REF!,IF(#REF!="ZERO",0))))),"")</f>
        <v>#REF!</v>
      </c>
      <c r="H1655" s="127" t="str">
        <f t="shared" si="88"/>
        <v/>
      </c>
      <c r="I1655" s="125" t="str">
        <f t="shared" si="89"/>
        <v/>
      </c>
    </row>
    <row r="1656" spans="1:9" hidden="1" x14ac:dyDescent="0.25">
      <c r="A1656" s="103" t="s">
        <v>5291</v>
      </c>
      <c r="B1656" s="104" t="s">
        <v>4091</v>
      </c>
      <c r="C1656" s="105" t="s">
        <v>20</v>
      </c>
      <c r="D1656" s="105">
        <v>0</v>
      </c>
      <c r="E1656" s="124" t="s">
        <v>523</v>
      </c>
      <c r="F1656" s="125" t="str">
        <f t="shared" si="87"/>
        <v/>
      </c>
      <c r="G1656" s="126" t="e">
        <f>IF(A1656&lt;&gt;"",IF(AND(#REF!="Padrão",$H$4=#REF!),BDI!$B$17,IF(AND(#REF!="Padrão",$H$4=#REF!),BDI!#REF!,IF(AND(#REF!="Diferenciado",$H$4=#REF!),BDI!$E$17,IF(AND(#REF!="Diferenciado",$H$4=#REF!),BDI!#REF!,IF(#REF!="ZERO",0))))),"")</f>
        <v>#REF!</v>
      </c>
      <c r="H1656" s="127" t="str">
        <f t="shared" si="88"/>
        <v/>
      </c>
      <c r="I1656" s="125" t="str">
        <f t="shared" si="89"/>
        <v/>
      </c>
    </row>
    <row r="1657" spans="1:9" hidden="1" x14ac:dyDescent="0.25">
      <c r="A1657" s="103" t="s">
        <v>5292</v>
      </c>
      <c r="B1657" s="104" t="s">
        <v>4092</v>
      </c>
      <c r="C1657" s="105" t="s">
        <v>20</v>
      </c>
      <c r="D1657" s="105">
        <v>0</v>
      </c>
      <c r="E1657" s="124" t="s">
        <v>523</v>
      </c>
      <c r="F1657" s="125" t="str">
        <f t="shared" si="87"/>
        <v/>
      </c>
      <c r="G1657" s="126" t="e">
        <f>IF(A1657&lt;&gt;"",IF(AND(#REF!="Padrão",$H$4=#REF!),BDI!$B$17,IF(AND(#REF!="Padrão",$H$4=#REF!),BDI!#REF!,IF(AND(#REF!="Diferenciado",$H$4=#REF!),BDI!$E$17,IF(AND(#REF!="Diferenciado",$H$4=#REF!),BDI!#REF!,IF(#REF!="ZERO",0))))),"")</f>
        <v>#REF!</v>
      </c>
      <c r="H1657" s="127" t="str">
        <f t="shared" si="88"/>
        <v/>
      </c>
      <c r="I1657" s="125" t="str">
        <f t="shared" si="89"/>
        <v/>
      </c>
    </row>
    <row r="1658" spans="1:9" hidden="1" x14ac:dyDescent="0.25">
      <c r="A1658" s="103" t="s">
        <v>5293</v>
      </c>
      <c r="B1658" s="104" t="s">
        <v>4093</v>
      </c>
      <c r="C1658" s="105" t="s">
        <v>20</v>
      </c>
      <c r="D1658" s="105">
        <v>0</v>
      </c>
      <c r="E1658" s="124" t="s">
        <v>523</v>
      </c>
      <c r="F1658" s="125" t="str">
        <f t="shared" si="87"/>
        <v/>
      </c>
      <c r="G1658" s="126" t="e">
        <f>IF(A1658&lt;&gt;"",IF(AND(#REF!="Padrão",$H$4=#REF!),BDI!$B$17,IF(AND(#REF!="Padrão",$H$4=#REF!),BDI!#REF!,IF(AND(#REF!="Diferenciado",$H$4=#REF!),BDI!$E$17,IF(AND(#REF!="Diferenciado",$H$4=#REF!),BDI!#REF!,IF(#REF!="ZERO",0))))),"")</f>
        <v>#REF!</v>
      </c>
      <c r="H1658" s="127" t="str">
        <f t="shared" si="88"/>
        <v/>
      </c>
      <c r="I1658" s="125" t="str">
        <f t="shared" si="89"/>
        <v/>
      </c>
    </row>
    <row r="1659" spans="1:9" hidden="1" x14ac:dyDescent="0.25">
      <c r="A1659" s="103" t="s">
        <v>5294</v>
      </c>
      <c r="B1659" s="104" t="s">
        <v>4094</v>
      </c>
      <c r="C1659" s="105" t="s">
        <v>20</v>
      </c>
      <c r="D1659" s="105">
        <v>0</v>
      </c>
      <c r="E1659" s="124" t="s">
        <v>523</v>
      </c>
      <c r="F1659" s="125" t="str">
        <f t="shared" si="87"/>
        <v/>
      </c>
      <c r="G1659" s="126" t="e">
        <f>IF(A1659&lt;&gt;"",IF(AND(#REF!="Padrão",$H$4=#REF!),BDI!$B$17,IF(AND(#REF!="Padrão",$H$4=#REF!),BDI!#REF!,IF(AND(#REF!="Diferenciado",$H$4=#REF!),BDI!$E$17,IF(AND(#REF!="Diferenciado",$H$4=#REF!),BDI!#REF!,IF(#REF!="ZERO",0))))),"")</f>
        <v>#REF!</v>
      </c>
      <c r="H1659" s="127" t="str">
        <f t="shared" si="88"/>
        <v/>
      </c>
      <c r="I1659" s="125" t="str">
        <f t="shared" si="89"/>
        <v/>
      </c>
    </row>
    <row r="1660" spans="1:9" hidden="1" x14ac:dyDescent="0.25">
      <c r="A1660" s="103" t="s">
        <v>5295</v>
      </c>
      <c r="B1660" s="104" t="s">
        <v>4095</v>
      </c>
      <c r="C1660" s="105" t="s">
        <v>20</v>
      </c>
      <c r="D1660" s="105">
        <v>0</v>
      </c>
      <c r="E1660" s="124" t="s">
        <v>523</v>
      </c>
      <c r="F1660" s="125" t="str">
        <f t="shared" si="87"/>
        <v/>
      </c>
      <c r="G1660" s="126" t="e">
        <f>IF(A1660&lt;&gt;"",IF(AND(#REF!="Padrão",$H$4=#REF!),BDI!$B$17,IF(AND(#REF!="Padrão",$H$4=#REF!),BDI!#REF!,IF(AND(#REF!="Diferenciado",$H$4=#REF!),BDI!$E$17,IF(AND(#REF!="Diferenciado",$H$4=#REF!),BDI!#REF!,IF(#REF!="ZERO",0))))),"")</f>
        <v>#REF!</v>
      </c>
      <c r="H1660" s="127" t="str">
        <f t="shared" si="88"/>
        <v/>
      </c>
      <c r="I1660" s="125" t="str">
        <f t="shared" si="89"/>
        <v/>
      </c>
    </row>
    <row r="1661" spans="1:9" hidden="1" x14ac:dyDescent="0.25">
      <c r="A1661" s="103" t="s">
        <v>5296</v>
      </c>
      <c r="B1661" s="104" t="s">
        <v>4096</v>
      </c>
      <c r="C1661" s="105" t="s">
        <v>20</v>
      </c>
      <c r="D1661" s="105">
        <v>0</v>
      </c>
      <c r="E1661" s="124" t="s">
        <v>523</v>
      </c>
      <c r="F1661" s="125" t="str">
        <f t="shared" si="87"/>
        <v/>
      </c>
      <c r="G1661" s="126" t="e">
        <f>IF(A1661&lt;&gt;"",IF(AND(#REF!="Padrão",$H$4=#REF!),BDI!$B$17,IF(AND(#REF!="Padrão",$H$4=#REF!),BDI!#REF!,IF(AND(#REF!="Diferenciado",$H$4=#REF!),BDI!$E$17,IF(AND(#REF!="Diferenciado",$H$4=#REF!),BDI!#REF!,IF(#REF!="ZERO",0))))),"")</f>
        <v>#REF!</v>
      </c>
      <c r="H1661" s="127" t="str">
        <f t="shared" si="88"/>
        <v/>
      </c>
      <c r="I1661" s="125" t="str">
        <f t="shared" si="89"/>
        <v/>
      </c>
    </row>
    <row r="1662" spans="1:9" hidden="1" x14ac:dyDescent="0.25">
      <c r="A1662" s="103" t="s">
        <v>5297</v>
      </c>
      <c r="B1662" s="104" t="s">
        <v>4097</v>
      </c>
      <c r="C1662" s="105" t="s">
        <v>20</v>
      </c>
      <c r="D1662" s="105">
        <v>0</v>
      </c>
      <c r="E1662" s="124" t="s">
        <v>523</v>
      </c>
      <c r="F1662" s="125" t="str">
        <f t="shared" si="87"/>
        <v/>
      </c>
      <c r="G1662" s="126" t="e">
        <f>IF(A1662&lt;&gt;"",IF(AND(#REF!="Padrão",$H$4=#REF!),BDI!$B$17,IF(AND(#REF!="Padrão",$H$4=#REF!),BDI!#REF!,IF(AND(#REF!="Diferenciado",$H$4=#REF!),BDI!$E$17,IF(AND(#REF!="Diferenciado",$H$4=#REF!),BDI!#REF!,IF(#REF!="ZERO",0))))),"")</f>
        <v>#REF!</v>
      </c>
      <c r="H1662" s="127" t="str">
        <f t="shared" si="88"/>
        <v/>
      </c>
      <c r="I1662" s="125" t="str">
        <f t="shared" si="89"/>
        <v/>
      </c>
    </row>
    <row r="1663" spans="1:9" hidden="1" x14ac:dyDescent="0.25">
      <c r="A1663" s="103" t="s">
        <v>5298</v>
      </c>
      <c r="B1663" s="104" t="s">
        <v>4098</v>
      </c>
      <c r="C1663" s="105" t="s">
        <v>20</v>
      </c>
      <c r="D1663" s="105">
        <v>0</v>
      </c>
      <c r="E1663" s="124" t="s">
        <v>523</v>
      </c>
      <c r="F1663" s="125" t="str">
        <f t="shared" si="87"/>
        <v/>
      </c>
      <c r="G1663" s="126" t="e">
        <f>IF(A1663&lt;&gt;"",IF(AND(#REF!="Padrão",$H$4=#REF!),BDI!$B$17,IF(AND(#REF!="Padrão",$H$4=#REF!),BDI!#REF!,IF(AND(#REF!="Diferenciado",$H$4=#REF!),BDI!$E$17,IF(AND(#REF!="Diferenciado",$H$4=#REF!),BDI!#REF!,IF(#REF!="ZERO",0))))),"")</f>
        <v>#REF!</v>
      </c>
      <c r="H1663" s="127" t="str">
        <f t="shared" si="88"/>
        <v/>
      </c>
      <c r="I1663" s="125" t="str">
        <f t="shared" si="89"/>
        <v/>
      </c>
    </row>
    <row r="1664" spans="1:9" hidden="1" x14ac:dyDescent="0.25">
      <c r="A1664" s="103" t="s">
        <v>5299</v>
      </c>
      <c r="B1664" s="104" t="s">
        <v>4099</v>
      </c>
      <c r="C1664" s="105" t="s">
        <v>20</v>
      </c>
      <c r="D1664" s="105">
        <v>0</v>
      </c>
      <c r="E1664" s="124" t="s">
        <v>523</v>
      </c>
      <c r="F1664" s="125" t="str">
        <f t="shared" si="87"/>
        <v/>
      </c>
      <c r="G1664" s="126" t="e">
        <f>IF(A1664&lt;&gt;"",IF(AND(#REF!="Padrão",$H$4=#REF!),BDI!$B$17,IF(AND(#REF!="Padrão",$H$4=#REF!),BDI!#REF!,IF(AND(#REF!="Diferenciado",$H$4=#REF!),BDI!$E$17,IF(AND(#REF!="Diferenciado",$H$4=#REF!),BDI!#REF!,IF(#REF!="ZERO",0))))),"")</f>
        <v>#REF!</v>
      </c>
      <c r="H1664" s="127" t="str">
        <f t="shared" si="88"/>
        <v/>
      </c>
      <c r="I1664" s="125" t="str">
        <f t="shared" si="89"/>
        <v/>
      </c>
    </row>
    <row r="1665" spans="1:9" hidden="1" x14ac:dyDescent="0.25">
      <c r="A1665" s="103" t="s">
        <v>5300</v>
      </c>
      <c r="B1665" s="104" t="s">
        <v>4100</v>
      </c>
      <c r="C1665" s="105" t="s">
        <v>20</v>
      </c>
      <c r="D1665" s="105">
        <v>0</v>
      </c>
      <c r="E1665" s="124" t="s">
        <v>523</v>
      </c>
      <c r="F1665" s="125" t="str">
        <f t="shared" si="87"/>
        <v/>
      </c>
      <c r="G1665" s="126" t="e">
        <f>IF(A1665&lt;&gt;"",IF(AND(#REF!="Padrão",$H$4=#REF!),BDI!$B$17,IF(AND(#REF!="Padrão",$H$4=#REF!),BDI!#REF!,IF(AND(#REF!="Diferenciado",$H$4=#REF!),BDI!$E$17,IF(AND(#REF!="Diferenciado",$H$4=#REF!),BDI!#REF!,IF(#REF!="ZERO",0))))),"")</f>
        <v>#REF!</v>
      </c>
      <c r="H1665" s="127" t="str">
        <f t="shared" si="88"/>
        <v/>
      </c>
      <c r="I1665" s="125" t="str">
        <f t="shared" si="89"/>
        <v/>
      </c>
    </row>
    <row r="1666" spans="1:9" hidden="1" x14ac:dyDescent="0.25">
      <c r="A1666" s="103" t="s">
        <v>5301</v>
      </c>
      <c r="B1666" s="104" t="s">
        <v>4101</v>
      </c>
      <c r="C1666" s="105" t="s">
        <v>20</v>
      </c>
      <c r="D1666" s="105">
        <v>0</v>
      </c>
      <c r="E1666" s="124" t="s">
        <v>523</v>
      </c>
      <c r="F1666" s="125" t="str">
        <f t="shared" si="87"/>
        <v/>
      </c>
      <c r="G1666" s="126" t="e">
        <f>IF(A1666&lt;&gt;"",IF(AND(#REF!="Padrão",$H$4=#REF!),BDI!$B$17,IF(AND(#REF!="Padrão",$H$4=#REF!),BDI!#REF!,IF(AND(#REF!="Diferenciado",$H$4=#REF!),BDI!$E$17,IF(AND(#REF!="Diferenciado",$H$4=#REF!),BDI!#REF!,IF(#REF!="ZERO",0))))),"")</f>
        <v>#REF!</v>
      </c>
      <c r="H1666" s="127" t="str">
        <f t="shared" si="88"/>
        <v/>
      </c>
      <c r="I1666" s="125" t="str">
        <f t="shared" si="89"/>
        <v/>
      </c>
    </row>
    <row r="1667" spans="1:9" hidden="1" x14ac:dyDescent="0.25">
      <c r="A1667" s="103" t="s">
        <v>5302</v>
      </c>
      <c r="B1667" s="104" t="s">
        <v>4102</v>
      </c>
      <c r="C1667" s="105" t="s">
        <v>20</v>
      </c>
      <c r="D1667" s="105">
        <v>0</v>
      </c>
      <c r="E1667" s="124" t="s">
        <v>523</v>
      </c>
      <c r="F1667" s="125" t="str">
        <f t="shared" si="87"/>
        <v/>
      </c>
      <c r="G1667" s="126" t="e">
        <f>IF(A1667&lt;&gt;"",IF(AND(#REF!="Padrão",$H$4=#REF!),BDI!$B$17,IF(AND(#REF!="Padrão",$H$4=#REF!),BDI!#REF!,IF(AND(#REF!="Diferenciado",$H$4=#REF!),BDI!$E$17,IF(AND(#REF!="Diferenciado",$H$4=#REF!),BDI!#REF!,IF(#REF!="ZERO",0))))),"")</f>
        <v>#REF!</v>
      </c>
      <c r="H1667" s="127" t="str">
        <f t="shared" si="88"/>
        <v/>
      </c>
      <c r="I1667" s="125" t="str">
        <f t="shared" si="89"/>
        <v/>
      </c>
    </row>
    <row r="1668" spans="1:9" hidden="1" x14ac:dyDescent="0.25">
      <c r="A1668" s="103" t="s">
        <v>5303</v>
      </c>
      <c r="B1668" s="104" t="s">
        <v>4103</v>
      </c>
      <c r="C1668" s="105" t="s">
        <v>20</v>
      </c>
      <c r="D1668" s="105">
        <v>0</v>
      </c>
      <c r="E1668" s="124" t="s">
        <v>523</v>
      </c>
      <c r="F1668" s="125" t="str">
        <f t="shared" si="87"/>
        <v/>
      </c>
      <c r="G1668" s="126" t="e">
        <f>IF(A1668&lt;&gt;"",IF(AND(#REF!="Padrão",$H$4=#REF!),BDI!$B$17,IF(AND(#REF!="Padrão",$H$4=#REF!),BDI!#REF!,IF(AND(#REF!="Diferenciado",$H$4=#REF!),BDI!$E$17,IF(AND(#REF!="Diferenciado",$H$4=#REF!),BDI!#REF!,IF(#REF!="ZERO",0))))),"")</f>
        <v>#REF!</v>
      </c>
      <c r="H1668" s="127" t="str">
        <f t="shared" si="88"/>
        <v/>
      </c>
      <c r="I1668" s="125" t="str">
        <f t="shared" si="89"/>
        <v/>
      </c>
    </row>
    <row r="1669" spans="1:9" hidden="1" x14ac:dyDescent="0.25">
      <c r="A1669" s="103" t="s">
        <v>5304</v>
      </c>
      <c r="B1669" s="104" t="s">
        <v>4104</v>
      </c>
      <c r="C1669" s="105" t="s">
        <v>20</v>
      </c>
      <c r="D1669" s="105">
        <v>0</v>
      </c>
      <c r="E1669" s="124" t="s">
        <v>523</v>
      </c>
      <c r="F1669" s="125" t="str">
        <f t="shared" si="87"/>
        <v/>
      </c>
      <c r="G1669" s="126" t="e">
        <f>IF(A1669&lt;&gt;"",IF(AND(#REF!="Padrão",$H$4=#REF!),BDI!$B$17,IF(AND(#REF!="Padrão",$H$4=#REF!),BDI!#REF!,IF(AND(#REF!="Diferenciado",$H$4=#REF!),BDI!$E$17,IF(AND(#REF!="Diferenciado",$H$4=#REF!),BDI!#REF!,IF(#REF!="ZERO",0))))),"")</f>
        <v>#REF!</v>
      </c>
      <c r="H1669" s="127" t="str">
        <f t="shared" si="88"/>
        <v/>
      </c>
      <c r="I1669" s="125" t="str">
        <f t="shared" si="89"/>
        <v/>
      </c>
    </row>
    <row r="1670" spans="1:9" hidden="1" x14ac:dyDescent="0.25">
      <c r="A1670" s="103" t="s">
        <v>5305</v>
      </c>
      <c r="B1670" s="104" t="s">
        <v>4105</v>
      </c>
      <c r="C1670" s="105" t="s">
        <v>20</v>
      </c>
      <c r="D1670" s="105">
        <v>0</v>
      </c>
      <c r="E1670" s="124" t="s">
        <v>523</v>
      </c>
      <c r="F1670" s="125" t="str">
        <f t="shared" si="87"/>
        <v/>
      </c>
      <c r="G1670" s="126" t="e">
        <f>IF(A1670&lt;&gt;"",IF(AND(#REF!="Padrão",$H$4=#REF!),BDI!$B$17,IF(AND(#REF!="Padrão",$H$4=#REF!),BDI!#REF!,IF(AND(#REF!="Diferenciado",$H$4=#REF!),BDI!$E$17,IF(AND(#REF!="Diferenciado",$H$4=#REF!),BDI!#REF!,IF(#REF!="ZERO",0))))),"")</f>
        <v>#REF!</v>
      </c>
      <c r="H1670" s="127" t="str">
        <f t="shared" si="88"/>
        <v/>
      </c>
      <c r="I1670" s="125" t="str">
        <f t="shared" si="89"/>
        <v/>
      </c>
    </row>
    <row r="1671" spans="1:9" hidden="1" x14ac:dyDescent="0.25">
      <c r="A1671" s="103" t="s">
        <v>5306</v>
      </c>
      <c r="B1671" s="104" t="s">
        <v>4106</v>
      </c>
      <c r="C1671" s="105" t="s">
        <v>20</v>
      </c>
      <c r="D1671" s="105">
        <v>0</v>
      </c>
      <c r="E1671" s="124" t="s">
        <v>523</v>
      </c>
      <c r="F1671" s="125" t="str">
        <f t="shared" si="87"/>
        <v/>
      </c>
      <c r="G1671" s="126" t="e">
        <f>IF(A1671&lt;&gt;"",IF(AND(#REF!="Padrão",$H$4=#REF!),BDI!$B$17,IF(AND(#REF!="Padrão",$H$4=#REF!),BDI!#REF!,IF(AND(#REF!="Diferenciado",$H$4=#REF!),BDI!$E$17,IF(AND(#REF!="Diferenciado",$H$4=#REF!),BDI!#REF!,IF(#REF!="ZERO",0))))),"")</f>
        <v>#REF!</v>
      </c>
      <c r="H1671" s="127" t="str">
        <f t="shared" si="88"/>
        <v/>
      </c>
      <c r="I1671" s="125" t="str">
        <f t="shared" si="89"/>
        <v/>
      </c>
    </row>
    <row r="1672" spans="1:9" hidden="1" x14ac:dyDescent="0.25">
      <c r="A1672" s="103" t="s">
        <v>5307</v>
      </c>
      <c r="B1672" s="104" t="s">
        <v>4107</v>
      </c>
      <c r="C1672" s="105" t="s">
        <v>20</v>
      </c>
      <c r="D1672" s="105">
        <v>0</v>
      </c>
      <c r="E1672" s="124" t="s">
        <v>523</v>
      </c>
      <c r="F1672" s="125" t="str">
        <f t="shared" si="87"/>
        <v/>
      </c>
      <c r="G1672" s="126" t="e">
        <f>IF(A1672&lt;&gt;"",IF(AND(#REF!="Padrão",$H$4=#REF!),BDI!$B$17,IF(AND(#REF!="Padrão",$H$4=#REF!),BDI!#REF!,IF(AND(#REF!="Diferenciado",$H$4=#REF!),BDI!$E$17,IF(AND(#REF!="Diferenciado",$H$4=#REF!),BDI!#REF!,IF(#REF!="ZERO",0))))),"")</f>
        <v>#REF!</v>
      </c>
      <c r="H1672" s="127" t="str">
        <f t="shared" si="88"/>
        <v/>
      </c>
      <c r="I1672" s="125" t="str">
        <f t="shared" si="89"/>
        <v/>
      </c>
    </row>
    <row r="1673" spans="1:9" hidden="1" x14ac:dyDescent="0.25">
      <c r="A1673" s="103" t="s">
        <v>5308</v>
      </c>
      <c r="B1673" s="104" t="s">
        <v>4108</v>
      </c>
      <c r="C1673" s="105" t="s">
        <v>20</v>
      </c>
      <c r="D1673" s="105">
        <v>0</v>
      </c>
      <c r="E1673" s="124" t="s">
        <v>523</v>
      </c>
      <c r="F1673" s="125" t="str">
        <f t="shared" si="87"/>
        <v/>
      </c>
      <c r="G1673" s="126" t="e">
        <f>IF(A1673&lt;&gt;"",IF(AND(#REF!="Padrão",$H$4=#REF!),BDI!$B$17,IF(AND(#REF!="Padrão",$H$4=#REF!),BDI!#REF!,IF(AND(#REF!="Diferenciado",$H$4=#REF!),BDI!$E$17,IF(AND(#REF!="Diferenciado",$H$4=#REF!),BDI!#REF!,IF(#REF!="ZERO",0))))),"")</f>
        <v>#REF!</v>
      </c>
      <c r="H1673" s="127" t="str">
        <f t="shared" si="88"/>
        <v/>
      </c>
      <c r="I1673" s="125" t="str">
        <f t="shared" si="89"/>
        <v/>
      </c>
    </row>
    <row r="1674" spans="1:9" hidden="1" x14ac:dyDescent="0.25">
      <c r="A1674" s="103" t="s">
        <v>5309</v>
      </c>
      <c r="B1674" s="104" t="s">
        <v>4109</v>
      </c>
      <c r="C1674" s="105" t="s">
        <v>20</v>
      </c>
      <c r="D1674" s="105">
        <v>0</v>
      </c>
      <c r="E1674" s="124" t="s">
        <v>523</v>
      </c>
      <c r="F1674" s="125" t="str">
        <f t="shared" si="87"/>
        <v/>
      </c>
      <c r="G1674" s="126" t="e">
        <f>IF(A1674&lt;&gt;"",IF(AND(#REF!="Padrão",$H$4=#REF!),BDI!$B$17,IF(AND(#REF!="Padrão",$H$4=#REF!),BDI!#REF!,IF(AND(#REF!="Diferenciado",$H$4=#REF!),BDI!$E$17,IF(AND(#REF!="Diferenciado",$H$4=#REF!),BDI!#REF!,IF(#REF!="ZERO",0))))),"")</f>
        <v>#REF!</v>
      </c>
      <c r="H1674" s="127" t="str">
        <f t="shared" si="88"/>
        <v/>
      </c>
      <c r="I1674" s="125" t="str">
        <f t="shared" si="89"/>
        <v/>
      </c>
    </row>
    <row r="1675" spans="1:9" hidden="1" x14ac:dyDescent="0.25">
      <c r="A1675" s="103" t="s">
        <v>5310</v>
      </c>
      <c r="B1675" s="104" t="s">
        <v>4110</v>
      </c>
      <c r="C1675" s="105" t="s">
        <v>20</v>
      </c>
      <c r="D1675" s="105">
        <v>0</v>
      </c>
      <c r="E1675" s="124" t="s">
        <v>523</v>
      </c>
      <c r="F1675" s="125" t="str">
        <f t="shared" si="87"/>
        <v/>
      </c>
      <c r="G1675" s="126" t="e">
        <f>IF(A1675&lt;&gt;"",IF(AND(#REF!="Padrão",$H$4=#REF!),BDI!$B$17,IF(AND(#REF!="Padrão",$H$4=#REF!),BDI!#REF!,IF(AND(#REF!="Diferenciado",$H$4=#REF!),BDI!$E$17,IF(AND(#REF!="Diferenciado",$H$4=#REF!),BDI!#REF!,IF(#REF!="ZERO",0))))),"")</f>
        <v>#REF!</v>
      </c>
      <c r="H1675" s="127" t="str">
        <f t="shared" si="88"/>
        <v/>
      </c>
      <c r="I1675" s="125" t="str">
        <f t="shared" si="89"/>
        <v/>
      </c>
    </row>
    <row r="1676" spans="1:9" hidden="1" x14ac:dyDescent="0.25">
      <c r="A1676" s="103" t="s">
        <v>5311</v>
      </c>
      <c r="B1676" s="104" t="s">
        <v>4111</v>
      </c>
      <c r="C1676" s="105" t="s">
        <v>20</v>
      </c>
      <c r="D1676" s="105">
        <v>0</v>
      </c>
      <c r="E1676" s="124" t="s">
        <v>523</v>
      </c>
      <c r="F1676" s="125" t="str">
        <f t="shared" si="87"/>
        <v/>
      </c>
      <c r="G1676" s="126" t="e">
        <f>IF(A1676&lt;&gt;"",IF(AND(#REF!="Padrão",$H$4=#REF!),BDI!$B$17,IF(AND(#REF!="Padrão",$H$4=#REF!),BDI!#REF!,IF(AND(#REF!="Diferenciado",$H$4=#REF!),BDI!$E$17,IF(AND(#REF!="Diferenciado",$H$4=#REF!),BDI!#REF!,IF(#REF!="ZERO",0))))),"")</f>
        <v>#REF!</v>
      </c>
      <c r="H1676" s="127" t="str">
        <f t="shared" si="88"/>
        <v/>
      </c>
      <c r="I1676" s="125" t="str">
        <f t="shared" si="89"/>
        <v/>
      </c>
    </row>
    <row r="1677" spans="1:9" hidden="1" x14ac:dyDescent="0.25">
      <c r="A1677" s="103" t="s">
        <v>5312</v>
      </c>
      <c r="B1677" s="104" t="s">
        <v>4112</v>
      </c>
      <c r="C1677" s="105" t="s">
        <v>20</v>
      </c>
      <c r="D1677" s="105">
        <v>0</v>
      </c>
      <c r="E1677" s="124" t="s">
        <v>523</v>
      </c>
      <c r="F1677" s="125" t="str">
        <f t="shared" si="87"/>
        <v/>
      </c>
      <c r="G1677" s="126" t="e">
        <f>IF(A1677&lt;&gt;"",IF(AND(#REF!="Padrão",$H$4=#REF!),BDI!$B$17,IF(AND(#REF!="Padrão",$H$4=#REF!),BDI!#REF!,IF(AND(#REF!="Diferenciado",$H$4=#REF!),BDI!$E$17,IF(AND(#REF!="Diferenciado",$H$4=#REF!),BDI!#REF!,IF(#REF!="ZERO",0))))),"")</f>
        <v>#REF!</v>
      </c>
      <c r="H1677" s="127" t="str">
        <f t="shared" si="88"/>
        <v/>
      </c>
      <c r="I1677" s="125" t="str">
        <f t="shared" si="89"/>
        <v/>
      </c>
    </row>
    <row r="1678" spans="1:9" hidden="1" x14ac:dyDescent="0.25">
      <c r="A1678" s="103" t="s">
        <v>5313</v>
      </c>
      <c r="B1678" s="104" t="s">
        <v>4113</v>
      </c>
      <c r="C1678" s="105" t="s">
        <v>20</v>
      </c>
      <c r="D1678" s="105">
        <v>0</v>
      </c>
      <c r="E1678" s="124" t="s">
        <v>523</v>
      </c>
      <c r="F1678" s="125" t="str">
        <f t="shared" si="87"/>
        <v/>
      </c>
      <c r="G1678" s="126" t="e">
        <f>IF(A1678&lt;&gt;"",IF(AND(#REF!="Padrão",$H$4=#REF!),BDI!$B$17,IF(AND(#REF!="Padrão",$H$4=#REF!),BDI!#REF!,IF(AND(#REF!="Diferenciado",$H$4=#REF!),BDI!$E$17,IF(AND(#REF!="Diferenciado",$H$4=#REF!),BDI!#REF!,IF(#REF!="ZERO",0))))),"")</f>
        <v>#REF!</v>
      </c>
      <c r="H1678" s="127" t="str">
        <f t="shared" si="88"/>
        <v/>
      </c>
      <c r="I1678" s="125" t="str">
        <f t="shared" si="89"/>
        <v/>
      </c>
    </row>
    <row r="1679" spans="1:9" hidden="1" x14ac:dyDescent="0.25">
      <c r="A1679" s="103" t="s">
        <v>5314</v>
      </c>
      <c r="B1679" s="104" t="s">
        <v>4114</v>
      </c>
      <c r="C1679" s="105" t="s">
        <v>20</v>
      </c>
      <c r="D1679" s="105">
        <v>0</v>
      </c>
      <c r="E1679" s="124" t="s">
        <v>523</v>
      </c>
      <c r="F1679" s="125" t="str">
        <f t="shared" si="87"/>
        <v/>
      </c>
      <c r="G1679" s="126" t="e">
        <f>IF(A1679&lt;&gt;"",IF(AND(#REF!="Padrão",$H$4=#REF!),BDI!$B$17,IF(AND(#REF!="Padrão",$H$4=#REF!),BDI!#REF!,IF(AND(#REF!="Diferenciado",$H$4=#REF!),BDI!$E$17,IF(AND(#REF!="Diferenciado",$H$4=#REF!),BDI!#REF!,IF(#REF!="ZERO",0))))),"")</f>
        <v>#REF!</v>
      </c>
      <c r="H1679" s="127" t="str">
        <f t="shared" si="88"/>
        <v/>
      </c>
      <c r="I1679" s="125" t="str">
        <f t="shared" si="89"/>
        <v/>
      </c>
    </row>
    <row r="1680" spans="1:9" hidden="1" x14ac:dyDescent="0.25">
      <c r="A1680" s="103" t="s">
        <v>5315</v>
      </c>
      <c r="B1680" s="104" t="s">
        <v>4115</v>
      </c>
      <c r="C1680" s="105" t="s">
        <v>20</v>
      </c>
      <c r="D1680" s="105">
        <v>0</v>
      </c>
      <c r="E1680" s="124" t="s">
        <v>523</v>
      </c>
      <c r="F1680" s="125" t="str">
        <f t="shared" si="87"/>
        <v/>
      </c>
      <c r="G1680" s="126" t="e">
        <f>IF(A1680&lt;&gt;"",IF(AND(#REF!="Padrão",$H$4=#REF!),BDI!$B$17,IF(AND(#REF!="Padrão",$H$4=#REF!),BDI!#REF!,IF(AND(#REF!="Diferenciado",$H$4=#REF!),BDI!$E$17,IF(AND(#REF!="Diferenciado",$H$4=#REF!),BDI!#REF!,IF(#REF!="ZERO",0))))),"")</f>
        <v>#REF!</v>
      </c>
      <c r="H1680" s="127" t="str">
        <f t="shared" si="88"/>
        <v/>
      </c>
      <c r="I1680" s="125" t="str">
        <f t="shared" si="89"/>
        <v/>
      </c>
    </row>
    <row r="1681" spans="1:9" hidden="1" x14ac:dyDescent="0.25">
      <c r="A1681" s="103" t="s">
        <v>5316</v>
      </c>
      <c r="B1681" s="104" t="s">
        <v>4116</v>
      </c>
      <c r="C1681" s="105" t="s">
        <v>20</v>
      </c>
      <c r="D1681" s="105">
        <v>0</v>
      </c>
      <c r="E1681" s="124" t="s">
        <v>523</v>
      </c>
      <c r="F1681" s="125" t="str">
        <f t="shared" si="87"/>
        <v/>
      </c>
      <c r="G1681" s="126" t="e">
        <f>IF(A1681&lt;&gt;"",IF(AND(#REF!="Padrão",$H$4=#REF!),BDI!$B$17,IF(AND(#REF!="Padrão",$H$4=#REF!),BDI!#REF!,IF(AND(#REF!="Diferenciado",$H$4=#REF!),BDI!$E$17,IF(AND(#REF!="Diferenciado",$H$4=#REF!),BDI!#REF!,IF(#REF!="ZERO",0))))),"")</f>
        <v>#REF!</v>
      </c>
      <c r="H1681" s="127" t="str">
        <f t="shared" si="88"/>
        <v/>
      </c>
      <c r="I1681" s="125" t="str">
        <f t="shared" si="89"/>
        <v/>
      </c>
    </row>
    <row r="1682" spans="1:9" hidden="1" x14ac:dyDescent="0.25">
      <c r="A1682" s="103" t="s">
        <v>5317</v>
      </c>
      <c r="B1682" s="104" t="s">
        <v>4117</v>
      </c>
      <c r="C1682" s="105" t="s">
        <v>20</v>
      </c>
      <c r="D1682" s="105">
        <v>0</v>
      </c>
      <c r="E1682" s="124" t="s">
        <v>523</v>
      </c>
      <c r="F1682" s="125" t="str">
        <f t="shared" si="87"/>
        <v/>
      </c>
      <c r="G1682" s="126" t="e">
        <f>IF(A1682&lt;&gt;"",IF(AND(#REF!="Padrão",$H$4=#REF!),BDI!$B$17,IF(AND(#REF!="Padrão",$H$4=#REF!),BDI!#REF!,IF(AND(#REF!="Diferenciado",$H$4=#REF!),BDI!$E$17,IF(AND(#REF!="Diferenciado",$H$4=#REF!),BDI!#REF!,IF(#REF!="ZERO",0))))),"")</f>
        <v>#REF!</v>
      </c>
      <c r="H1682" s="127" t="str">
        <f t="shared" si="88"/>
        <v/>
      </c>
      <c r="I1682" s="125" t="str">
        <f t="shared" si="89"/>
        <v/>
      </c>
    </row>
    <row r="1683" spans="1:9" hidden="1" x14ac:dyDescent="0.25">
      <c r="A1683" s="103" t="s">
        <v>5318</v>
      </c>
      <c r="B1683" s="104" t="s">
        <v>4118</v>
      </c>
      <c r="C1683" s="105" t="s">
        <v>20</v>
      </c>
      <c r="D1683" s="105">
        <v>0</v>
      </c>
      <c r="E1683" s="124" t="s">
        <v>523</v>
      </c>
      <c r="F1683" s="125" t="str">
        <f t="shared" si="87"/>
        <v/>
      </c>
      <c r="G1683" s="126" t="e">
        <f>IF(A1683&lt;&gt;"",IF(AND(#REF!="Padrão",$H$4=#REF!),BDI!$B$17,IF(AND(#REF!="Padrão",$H$4=#REF!),BDI!#REF!,IF(AND(#REF!="Diferenciado",$H$4=#REF!),BDI!$E$17,IF(AND(#REF!="Diferenciado",$H$4=#REF!),BDI!#REF!,IF(#REF!="ZERO",0))))),"")</f>
        <v>#REF!</v>
      </c>
      <c r="H1683" s="127" t="str">
        <f t="shared" si="88"/>
        <v/>
      </c>
      <c r="I1683" s="125" t="str">
        <f t="shared" si="89"/>
        <v/>
      </c>
    </row>
    <row r="1684" spans="1:9" hidden="1" x14ac:dyDescent="0.25">
      <c r="A1684" s="103" t="s">
        <v>5319</v>
      </c>
      <c r="B1684" s="104" t="s">
        <v>4119</v>
      </c>
      <c r="C1684" s="105" t="s">
        <v>20</v>
      </c>
      <c r="D1684" s="105">
        <v>0</v>
      </c>
      <c r="E1684" s="124" t="s">
        <v>523</v>
      </c>
      <c r="F1684" s="125" t="str">
        <f t="shared" si="87"/>
        <v/>
      </c>
      <c r="G1684" s="126" t="e">
        <f>IF(A1684&lt;&gt;"",IF(AND(#REF!="Padrão",$H$4=#REF!),BDI!$B$17,IF(AND(#REF!="Padrão",$H$4=#REF!),BDI!#REF!,IF(AND(#REF!="Diferenciado",$H$4=#REF!),BDI!$E$17,IF(AND(#REF!="Diferenciado",$H$4=#REF!),BDI!#REF!,IF(#REF!="ZERO",0))))),"")</f>
        <v>#REF!</v>
      </c>
      <c r="H1684" s="127" t="str">
        <f t="shared" si="88"/>
        <v/>
      </c>
      <c r="I1684" s="125" t="str">
        <f t="shared" si="89"/>
        <v/>
      </c>
    </row>
    <row r="1685" spans="1:9" hidden="1" x14ac:dyDescent="0.25">
      <c r="A1685" s="103" t="s">
        <v>5320</v>
      </c>
      <c r="B1685" s="104" t="s">
        <v>4120</v>
      </c>
      <c r="C1685" s="105" t="s">
        <v>20</v>
      </c>
      <c r="D1685" s="105">
        <v>0</v>
      </c>
      <c r="E1685" s="124" t="s">
        <v>523</v>
      </c>
      <c r="F1685" s="125" t="str">
        <f t="shared" si="87"/>
        <v/>
      </c>
      <c r="G1685" s="126" t="e">
        <f>IF(A1685&lt;&gt;"",IF(AND(#REF!="Padrão",$H$4=#REF!),BDI!$B$17,IF(AND(#REF!="Padrão",$H$4=#REF!),BDI!#REF!,IF(AND(#REF!="Diferenciado",$H$4=#REF!),BDI!$E$17,IF(AND(#REF!="Diferenciado",$H$4=#REF!),BDI!#REF!,IF(#REF!="ZERO",0))))),"")</f>
        <v>#REF!</v>
      </c>
      <c r="H1685" s="127" t="str">
        <f t="shared" si="88"/>
        <v/>
      </c>
      <c r="I1685" s="125" t="str">
        <f t="shared" si="89"/>
        <v/>
      </c>
    </row>
    <row r="1686" spans="1:9" hidden="1" x14ac:dyDescent="0.25">
      <c r="A1686" s="103" t="s">
        <v>5321</v>
      </c>
      <c r="B1686" s="104" t="s">
        <v>4121</v>
      </c>
      <c r="C1686" s="105" t="s">
        <v>20</v>
      </c>
      <c r="D1686" s="105">
        <v>0</v>
      </c>
      <c r="E1686" s="124" t="s">
        <v>523</v>
      </c>
      <c r="F1686" s="125" t="str">
        <f t="shared" si="87"/>
        <v/>
      </c>
      <c r="G1686" s="126" t="e">
        <f>IF(A1686&lt;&gt;"",IF(AND(#REF!="Padrão",$H$4=#REF!),BDI!$B$17,IF(AND(#REF!="Padrão",$H$4=#REF!),BDI!#REF!,IF(AND(#REF!="Diferenciado",$H$4=#REF!),BDI!$E$17,IF(AND(#REF!="Diferenciado",$H$4=#REF!),BDI!#REF!,IF(#REF!="ZERO",0))))),"")</f>
        <v>#REF!</v>
      </c>
      <c r="H1686" s="127" t="str">
        <f t="shared" si="88"/>
        <v/>
      </c>
      <c r="I1686" s="125" t="str">
        <f t="shared" si="89"/>
        <v/>
      </c>
    </row>
    <row r="1687" spans="1:9" hidden="1" x14ac:dyDescent="0.25">
      <c r="A1687" s="103" t="s">
        <v>5322</v>
      </c>
      <c r="B1687" s="104" t="s">
        <v>4122</v>
      </c>
      <c r="C1687" s="105" t="s">
        <v>20</v>
      </c>
      <c r="D1687" s="105">
        <v>0</v>
      </c>
      <c r="E1687" s="124" t="s">
        <v>523</v>
      </c>
      <c r="F1687" s="125" t="str">
        <f t="shared" si="87"/>
        <v/>
      </c>
      <c r="G1687" s="126" t="e">
        <f>IF(A1687&lt;&gt;"",IF(AND(#REF!="Padrão",$H$4=#REF!),BDI!$B$17,IF(AND(#REF!="Padrão",$H$4=#REF!),BDI!#REF!,IF(AND(#REF!="Diferenciado",$H$4=#REF!),BDI!$E$17,IF(AND(#REF!="Diferenciado",$H$4=#REF!),BDI!#REF!,IF(#REF!="ZERO",0))))),"")</f>
        <v>#REF!</v>
      </c>
      <c r="H1687" s="127" t="str">
        <f t="shared" si="88"/>
        <v/>
      </c>
      <c r="I1687" s="125" t="str">
        <f t="shared" si="89"/>
        <v/>
      </c>
    </row>
    <row r="1688" spans="1:9" hidden="1" x14ac:dyDescent="0.25">
      <c r="A1688" s="103" t="s">
        <v>5323</v>
      </c>
      <c r="B1688" s="104" t="s">
        <v>4123</v>
      </c>
      <c r="C1688" s="105" t="s">
        <v>20</v>
      </c>
      <c r="D1688" s="105">
        <v>0</v>
      </c>
      <c r="E1688" s="124" t="s">
        <v>523</v>
      </c>
      <c r="F1688" s="125" t="str">
        <f t="shared" si="87"/>
        <v/>
      </c>
      <c r="G1688" s="126" t="e">
        <f>IF(A1688&lt;&gt;"",IF(AND(#REF!="Padrão",$H$4=#REF!),BDI!$B$17,IF(AND(#REF!="Padrão",$H$4=#REF!),BDI!#REF!,IF(AND(#REF!="Diferenciado",$H$4=#REF!),BDI!$E$17,IF(AND(#REF!="Diferenciado",$H$4=#REF!),BDI!#REF!,IF(#REF!="ZERO",0))))),"")</f>
        <v>#REF!</v>
      </c>
      <c r="H1688" s="127" t="str">
        <f t="shared" si="88"/>
        <v/>
      </c>
      <c r="I1688" s="125" t="str">
        <f t="shared" si="89"/>
        <v/>
      </c>
    </row>
    <row r="1689" spans="1:9" hidden="1" x14ac:dyDescent="0.25">
      <c r="A1689" s="103" t="s">
        <v>5324</v>
      </c>
      <c r="B1689" s="104" t="s">
        <v>4124</v>
      </c>
      <c r="C1689" s="105" t="s">
        <v>20</v>
      </c>
      <c r="D1689" s="105">
        <v>0</v>
      </c>
      <c r="E1689" s="124" t="s">
        <v>523</v>
      </c>
      <c r="F1689" s="125" t="str">
        <f t="shared" si="87"/>
        <v/>
      </c>
      <c r="G1689" s="126" t="e">
        <f>IF(A1689&lt;&gt;"",IF(AND(#REF!="Padrão",$H$4=#REF!),BDI!$B$17,IF(AND(#REF!="Padrão",$H$4=#REF!),BDI!#REF!,IF(AND(#REF!="Diferenciado",$H$4=#REF!),BDI!$E$17,IF(AND(#REF!="Diferenciado",$H$4=#REF!),BDI!#REF!,IF(#REF!="ZERO",0))))),"")</f>
        <v>#REF!</v>
      </c>
      <c r="H1689" s="127" t="str">
        <f t="shared" si="88"/>
        <v/>
      </c>
      <c r="I1689" s="125" t="str">
        <f t="shared" si="89"/>
        <v/>
      </c>
    </row>
    <row r="1690" spans="1:9" hidden="1" x14ac:dyDescent="0.25">
      <c r="A1690" s="103" t="s">
        <v>5325</v>
      </c>
      <c r="B1690" s="104" t="s">
        <v>4125</v>
      </c>
      <c r="C1690" s="105" t="s">
        <v>20</v>
      </c>
      <c r="D1690" s="105">
        <v>0</v>
      </c>
      <c r="E1690" s="124" t="s">
        <v>523</v>
      </c>
      <c r="F1690" s="125" t="str">
        <f t="shared" si="87"/>
        <v/>
      </c>
      <c r="G1690" s="126" t="e">
        <f>IF(A1690&lt;&gt;"",IF(AND(#REF!="Padrão",$H$4=#REF!),BDI!$B$17,IF(AND(#REF!="Padrão",$H$4=#REF!),BDI!#REF!,IF(AND(#REF!="Diferenciado",$H$4=#REF!),BDI!$E$17,IF(AND(#REF!="Diferenciado",$H$4=#REF!),BDI!#REF!,IF(#REF!="ZERO",0))))),"")</f>
        <v>#REF!</v>
      </c>
      <c r="H1690" s="127" t="str">
        <f t="shared" si="88"/>
        <v/>
      </c>
      <c r="I1690" s="125" t="str">
        <f t="shared" si="89"/>
        <v/>
      </c>
    </row>
    <row r="1691" spans="1:9" hidden="1" x14ac:dyDescent="0.25">
      <c r="A1691" s="103" t="s">
        <v>5326</v>
      </c>
      <c r="B1691" s="104" t="s">
        <v>4126</v>
      </c>
      <c r="C1691" s="105" t="s">
        <v>20</v>
      </c>
      <c r="D1691" s="105">
        <v>0</v>
      </c>
      <c r="E1691" s="124" t="s">
        <v>523</v>
      </c>
      <c r="F1691" s="125" t="str">
        <f t="shared" si="87"/>
        <v/>
      </c>
      <c r="G1691" s="126" t="e">
        <f>IF(A1691&lt;&gt;"",IF(AND(#REF!="Padrão",$H$4=#REF!),BDI!$B$17,IF(AND(#REF!="Padrão",$H$4=#REF!),BDI!#REF!,IF(AND(#REF!="Diferenciado",$H$4=#REF!),BDI!$E$17,IF(AND(#REF!="Diferenciado",$H$4=#REF!),BDI!#REF!,IF(#REF!="ZERO",0))))),"")</f>
        <v>#REF!</v>
      </c>
      <c r="H1691" s="127" t="str">
        <f t="shared" si="88"/>
        <v/>
      </c>
      <c r="I1691" s="125" t="str">
        <f t="shared" si="89"/>
        <v/>
      </c>
    </row>
    <row r="1692" spans="1:9" hidden="1" x14ac:dyDescent="0.25">
      <c r="A1692" s="103" t="s">
        <v>5327</v>
      </c>
      <c r="B1692" s="104" t="s">
        <v>4127</v>
      </c>
      <c r="C1692" s="105" t="s">
        <v>20</v>
      </c>
      <c r="D1692" s="105">
        <v>0</v>
      </c>
      <c r="E1692" s="124" t="s">
        <v>523</v>
      </c>
      <c r="F1692" s="125" t="str">
        <f t="shared" si="87"/>
        <v/>
      </c>
      <c r="G1692" s="126" t="e">
        <f>IF(A1692&lt;&gt;"",IF(AND(#REF!="Padrão",$H$4=#REF!),BDI!$B$17,IF(AND(#REF!="Padrão",$H$4=#REF!),BDI!#REF!,IF(AND(#REF!="Diferenciado",$H$4=#REF!),BDI!$E$17,IF(AND(#REF!="Diferenciado",$H$4=#REF!),BDI!#REF!,IF(#REF!="ZERO",0))))),"")</f>
        <v>#REF!</v>
      </c>
      <c r="H1692" s="127" t="str">
        <f t="shared" si="88"/>
        <v/>
      </c>
      <c r="I1692" s="125" t="str">
        <f t="shared" si="89"/>
        <v/>
      </c>
    </row>
    <row r="1693" spans="1:9" hidden="1" x14ac:dyDescent="0.25">
      <c r="A1693" s="103" t="s">
        <v>5328</v>
      </c>
      <c r="B1693" s="104" t="s">
        <v>4128</v>
      </c>
      <c r="C1693" s="105" t="s">
        <v>20</v>
      </c>
      <c r="D1693" s="105">
        <v>0</v>
      </c>
      <c r="E1693" s="124" t="s">
        <v>523</v>
      </c>
      <c r="F1693" s="125" t="str">
        <f t="shared" si="87"/>
        <v/>
      </c>
      <c r="G1693" s="126" t="e">
        <f>IF(A1693&lt;&gt;"",IF(AND(#REF!="Padrão",$H$4=#REF!),BDI!$B$17,IF(AND(#REF!="Padrão",$H$4=#REF!),BDI!#REF!,IF(AND(#REF!="Diferenciado",$H$4=#REF!),BDI!$E$17,IF(AND(#REF!="Diferenciado",$H$4=#REF!),BDI!#REF!,IF(#REF!="ZERO",0))))),"")</f>
        <v>#REF!</v>
      </c>
      <c r="H1693" s="127" t="str">
        <f t="shared" si="88"/>
        <v/>
      </c>
      <c r="I1693" s="125" t="str">
        <f t="shared" si="89"/>
        <v/>
      </c>
    </row>
    <row r="1694" spans="1:9" hidden="1" x14ac:dyDescent="0.25">
      <c r="A1694" s="103" t="s">
        <v>5329</v>
      </c>
      <c r="B1694" s="104" t="s">
        <v>4129</v>
      </c>
      <c r="C1694" s="105" t="s">
        <v>20</v>
      </c>
      <c r="D1694" s="105">
        <v>0</v>
      </c>
      <c r="E1694" s="124" t="s">
        <v>523</v>
      </c>
      <c r="F1694" s="125" t="str">
        <f t="shared" si="87"/>
        <v/>
      </c>
      <c r="G1694" s="126" t="e">
        <f>IF(A1694&lt;&gt;"",IF(AND(#REF!="Padrão",$H$4=#REF!),BDI!$B$17,IF(AND(#REF!="Padrão",$H$4=#REF!),BDI!#REF!,IF(AND(#REF!="Diferenciado",$H$4=#REF!),BDI!$E$17,IF(AND(#REF!="Diferenciado",$H$4=#REF!),BDI!#REF!,IF(#REF!="ZERO",0))))),"")</f>
        <v>#REF!</v>
      </c>
      <c r="H1694" s="127" t="str">
        <f t="shared" si="88"/>
        <v/>
      </c>
      <c r="I1694" s="125" t="str">
        <f t="shared" si="89"/>
        <v/>
      </c>
    </row>
    <row r="1695" spans="1:9" hidden="1" x14ac:dyDescent="0.25">
      <c r="A1695" s="103" t="s">
        <v>5330</v>
      </c>
      <c r="B1695" s="104" t="s">
        <v>4130</v>
      </c>
      <c r="C1695" s="105" t="s">
        <v>20</v>
      </c>
      <c r="D1695" s="105">
        <v>0</v>
      </c>
      <c r="E1695" s="124" t="s">
        <v>523</v>
      </c>
      <c r="F1695" s="125" t="str">
        <f t="shared" si="87"/>
        <v/>
      </c>
      <c r="G1695" s="126" t="e">
        <f>IF(A1695&lt;&gt;"",IF(AND(#REF!="Padrão",$H$4=#REF!),BDI!$B$17,IF(AND(#REF!="Padrão",$H$4=#REF!),BDI!#REF!,IF(AND(#REF!="Diferenciado",$H$4=#REF!),BDI!$E$17,IF(AND(#REF!="Diferenciado",$H$4=#REF!),BDI!#REF!,IF(#REF!="ZERO",0))))),"")</f>
        <v>#REF!</v>
      </c>
      <c r="H1695" s="127" t="str">
        <f t="shared" si="88"/>
        <v/>
      </c>
      <c r="I1695" s="125" t="str">
        <f t="shared" si="89"/>
        <v/>
      </c>
    </row>
    <row r="1696" spans="1:9" hidden="1" x14ac:dyDescent="0.25">
      <c r="A1696" s="103" t="s">
        <v>5331</v>
      </c>
      <c r="B1696" s="104" t="s">
        <v>4131</v>
      </c>
      <c r="C1696" s="105" t="s">
        <v>20</v>
      </c>
      <c r="D1696" s="105">
        <v>0</v>
      </c>
      <c r="E1696" s="124" t="s">
        <v>523</v>
      </c>
      <c r="F1696" s="125" t="str">
        <f t="shared" si="87"/>
        <v/>
      </c>
      <c r="G1696" s="126" t="e">
        <f>IF(A1696&lt;&gt;"",IF(AND(#REF!="Padrão",$H$4=#REF!),BDI!$B$17,IF(AND(#REF!="Padrão",$H$4=#REF!),BDI!#REF!,IF(AND(#REF!="Diferenciado",$H$4=#REF!),BDI!$E$17,IF(AND(#REF!="Diferenciado",$H$4=#REF!),BDI!#REF!,IF(#REF!="ZERO",0))))),"")</f>
        <v>#REF!</v>
      </c>
      <c r="H1696" s="127" t="str">
        <f t="shared" si="88"/>
        <v/>
      </c>
      <c r="I1696" s="125" t="str">
        <f t="shared" si="89"/>
        <v/>
      </c>
    </row>
    <row r="1697" spans="1:9" hidden="1" x14ac:dyDescent="0.25">
      <c r="A1697" s="103" t="s">
        <v>5332</v>
      </c>
      <c r="B1697" s="104" t="s">
        <v>4132</v>
      </c>
      <c r="C1697" s="105" t="s">
        <v>20</v>
      </c>
      <c r="D1697" s="105">
        <v>0</v>
      </c>
      <c r="E1697" s="124" t="s">
        <v>523</v>
      </c>
      <c r="F1697" s="125" t="str">
        <f t="shared" si="87"/>
        <v/>
      </c>
      <c r="G1697" s="126" t="e">
        <f>IF(A1697&lt;&gt;"",IF(AND(#REF!="Padrão",$H$4=#REF!),BDI!$B$17,IF(AND(#REF!="Padrão",$H$4=#REF!),BDI!#REF!,IF(AND(#REF!="Diferenciado",$H$4=#REF!),BDI!$E$17,IF(AND(#REF!="Diferenciado",$H$4=#REF!),BDI!#REF!,IF(#REF!="ZERO",0))))),"")</f>
        <v>#REF!</v>
      </c>
      <c r="H1697" s="127" t="str">
        <f t="shared" si="88"/>
        <v/>
      </c>
      <c r="I1697" s="125" t="str">
        <f t="shared" si="89"/>
        <v/>
      </c>
    </row>
    <row r="1698" spans="1:9" hidden="1" x14ac:dyDescent="0.25">
      <c r="A1698" s="103" t="s">
        <v>5333</v>
      </c>
      <c r="B1698" s="104" t="s">
        <v>4133</v>
      </c>
      <c r="C1698" s="105" t="s">
        <v>20</v>
      </c>
      <c r="D1698" s="105">
        <v>0</v>
      </c>
      <c r="E1698" s="124" t="s">
        <v>523</v>
      </c>
      <c r="F1698" s="125" t="str">
        <f t="shared" si="87"/>
        <v/>
      </c>
      <c r="G1698" s="126" t="e">
        <f>IF(A1698&lt;&gt;"",IF(AND(#REF!="Padrão",$H$4=#REF!),BDI!$B$17,IF(AND(#REF!="Padrão",$H$4=#REF!),BDI!#REF!,IF(AND(#REF!="Diferenciado",$H$4=#REF!),BDI!$E$17,IF(AND(#REF!="Diferenciado",$H$4=#REF!),BDI!#REF!,IF(#REF!="ZERO",0))))),"")</f>
        <v>#REF!</v>
      </c>
      <c r="H1698" s="127" t="str">
        <f t="shared" si="88"/>
        <v/>
      </c>
      <c r="I1698" s="125" t="str">
        <f t="shared" si="89"/>
        <v/>
      </c>
    </row>
    <row r="1699" spans="1:9" hidden="1" x14ac:dyDescent="0.25">
      <c r="A1699" s="103" t="s">
        <v>5334</v>
      </c>
      <c r="B1699" s="104" t="s">
        <v>4134</v>
      </c>
      <c r="C1699" s="105" t="s">
        <v>20</v>
      </c>
      <c r="D1699" s="105">
        <v>0</v>
      </c>
      <c r="E1699" s="124" t="s">
        <v>523</v>
      </c>
      <c r="F1699" s="125" t="str">
        <f t="shared" si="87"/>
        <v/>
      </c>
      <c r="G1699" s="126" t="e">
        <f>IF(A1699&lt;&gt;"",IF(AND(#REF!="Padrão",$H$4=#REF!),BDI!$B$17,IF(AND(#REF!="Padrão",$H$4=#REF!),BDI!#REF!,IF(AND(#REF!="Diferenciado",$H$4=#REF!),BDI!$E$17,IF(AND(#REF!="Diferenciado",$H$4=#REF!),BDI!#REF!,IF(#REF!="ZERO",0))))),"")</f>
        <v>#REF!</v>
      </c>
      <c r="H1699" s="127" t="str">
        <f t="shared" si="88"/>
        <v/>
      </c>
      <c r="I1699" s="125" t="str">
        <f t="shared" si="89"/>
        <v/>
      </c>
    </row>
    <row r="1700" spans="1:9" hidden="1" x14ac:dyDescent="0.25">
      <c r="A1700" s="103" t="s">
        <v>5335</v>
      </c>
      <c r="B1700" s="104" t="s">
        <v>4135</v>
      </c>
      <c r="C1700" s="105" t="s">
        <v>20</v>
      </c>
      <c r="D1700" s="105">
        <v>0</v>
      </c>
      <c r="E1700" s="124" t="s">
        <v>523</v>
      </c>
      <c r="F1700" s="125" t="str">
        <f t="shared" si="87"/>
        <v/>
      </c>
      <c r="G1700" s="126" t="e">
        <f>IF(A1700&lt;&gt;"",IF(AND(#REF!="Padrão",$H$4=#REF!),BDI!$B$17,IF(AND(#REF!="Padrão",$H$4=#REF!),BDI!#REF!,IF(AND(#REF!="Diferenciado",$H$4=#REF!),BDI!$E$17,IF(AND(#REF!="Diferenciado",$H$4=#REF!),BDI!#REF!,IF(#REF!="ZERO",0))))),"")</f>
        <v>#REF!</v>
      </c>
      <c r="H1700" s="127" t="str">
        <f t="shared" si="88"/>
        <v/>
      </c>
      <c r="I1700" s="125" t="str">
        <f t="shared" si="89"/>
        <v/>
      </c>
    </row>
    <row r="1701" spans="1:9" hidden="1" x14ac:dyDescent="0.25">
      <c r="A1701" s="103" t="s">
        <v>5336</v>
      </c>
      <c r="B1701" s="104" t="s">
        <v>4136</v>
      </c>
      <c r="C1701" s="105" t="s">
        <v>20</v>
      </c>
      <c r="D1701" s="105">
        <v>0</v>
      </c>
      <c r="E1701" s="124" t="s">
        <v>523</v>
      </c>
      <c r="F1701" s="125" t="str">
        <f t="shared" si="87"/>
        <v/>
      </c>
      <c r="G1701" s="126" t="e">
        <f>IF(A1701&lt;&gt;"",IF(AND(#REF!="Padrão",$H$4=#REF!),BDI!$B$17,IF(AND(#REF!="Padrão",$H$4=#REF!),BDI!#REF!,IF(AND(#REF!="Diferenciado",$H$4=#REF!),BDI!$E$17,IF(AND(#REF!="Diferenciado",$H$4=#REF!),BDI!#REF!,IF(#REF!="ZERO",0))))),"")</f>
        <v>#REF!</v>
      </c>
      <c r="H1701" s="127" t="str">
        <f t="shared" si="88"/>
        <v/>
      </c>
      <c r="I1701" s="125" t="str">
        <f t="shared" si="89"/>
        <v/>
      </c>
    </row>
    <row r="1702" spans="1:9" hidden="1" x14ac:dyDescent="0.25">
      <c r="A1702" s="103" t="s">
        <v>5337</v>
      </c>
      <c r="B1702" s="104" t="s">
        <v>4137</v>
      </c>
      <c r="C1702" s="105" t="s">
        <v>20</v>
      </c>
      <c r="D1702" s="105">
        <v>0</v>
      </c>
      <c r="E1702" s="124" t="s">
        <v>523</v>
      </c>
      <c r="F1702" s="125" t="str">
        <f t="shared" si="87"/>
        <v/>
      </c>
      <c r="G1702" s="126" t="e">
        <f>IF(A1702&lt;&gt;"",IF(AND(#REF!="Padrão",$H$4=#REF!),BDI!$B$17,IF(AND(#REF!="Padrão",$H$4=#REF!),BDI!#REF!,IF(AND(#REF!="Diferenciado",$H$4=#REF!),BDI!$E$17,IF(AND(#REF!="Diferenciado",$H$4=#REF!),BDI!#REF!,IF(#REF!="ZERO",0))))),"")</f>
        <v>#REF!</v>
      </c>
      <c r="H1702" s="127" t="str">
        <f t="shared" si="88"/>
        <v/>
      </c>
      <c r="I1702" s="125" t="str">
        <f t="shared" si="89"/>
        <v/>
      </c>
    </row>
    <row r="1703" spans="1:9" hidden="1" x14ac:dyDescent="0.25">
      <c r="A1703" s="103" t="s">
        <v>5338</v>
      </c>
      <c r="B1703" s="104" t="s">
        <v>4138</v>
      </c>
      <c r="C1703" s="105" t="s">
        <v>20</v>
      </c>
      <c r="D1703" s="105">
        <v>0</v>
      </c>
      <c r="E1703" s="124" t="s">
        <v>523</v>
      </c>
      <c r="F1703" s="125" t="str">
        <f t="shared" si="87"/>
        <v/>
      </c>
      <c r="G1703" s="126" t="e">
        <f>IF(A1703&lt;&gt;"",IF(AND(#REF!="Padrão",$H$4=#REF!),BDI!$B$17,IF(AND(#REF!="Padrão",$H$4=#REF!),BDI!#REF!,IF(AND(#REF!="Diferenciado",$H$4=#REF!),BDI!$E$17,IF(AND(#REF!="Diferenciado",$H$4=#REF!),BDI!#REF!,IF(#REF!="ZERO",0))))),"")</f>
        <v>#REF!</v>
      </c>
      <c r="H1703" s="127" t="str">
        <f t="shared" si="88"/>
        <v/>
      </c>
      <c r="I1703" s="125" t="str">
        <f t="shared" si="89"/>
        <v/>
      </c>
    </row>
    <row r="1704" spans="1:9" hidden="1" x14ac:dyDescent="0.25">
      <c r="A1704" s="103" t="s">
        <v>5339</v>
      </c>
      <c r="B1704" s="104" t="s">
        <v>4139</v>
      </c>
      <c r="C1704" s="105" t="s">
        <v>20</v>
      </c>
      <c r="D1704" s="105">
        <v>0</v>
      </c>
      <c r="E1704" s="124" t="s">
        <v>523</v>
      </c>
      <c r="F1704" s="125" t="str">
        <f t="shared" si="87"/>
        <v/>
      </c>
      <c r="G1704" s="126" t="e">
        <f>IF(A1704&lt;&gt;"",IF(AND(#REF!="Padrão",$H$4=#REF!),BDI!$B$17,IF(AND(#REF!="Padrão",$H$4=#REF!),BDI!#REF!,IF(AND(#REF!="Diferenciado",$H$4=#REF!),BDI!$E$17,IF(AND(#REF!="Diferenciado",$H$4=#REF!),BDI!#REF!,IF(#REF!="ZERO",0))))),"")</f>
        <v>#REF!</v>
      </c>
      <c r="H1704" s="127" t="str">
        <f t="shared" si="88"/>
        <v/>
      </c>
      <c r="I1704" s="125" t="str">
        <f t="shared" si="89"/>
        <v/>
      </c>
    </row>
    <row r="1705" spans="1:9" hidden="1" x14ac:dyDescent="0.25">
      <c r="A1705" s="103" t="s">
        <v>5340</v>
      </c>
      <c r="B1705" s="104" t="s">
        <v>4140</v>
      </c>
      <c r="C1705" s="105" t="s">
        <v>20</v>
      </c>
      <c r="D1705" s="105">
        <v>0</v>
      </c>
      <c r="E1705" s="124" t="s">
        <v>523</v>
      </c>
      <c r="F1705" s="125" t="str">
        <f t="shared" si="87"/>
        <v/>
      </c>
      <c r="G1705" s="126" t="e">
        <f>IF(A1705&lt;&gt;"",IF(AND(#REF!="Padrão",$H$4=#REF!),BDI!$B$17,IF(AND(#REF!="Padrão",$H$4=#REF!),BDI!#REF!,IF(AND(#REF!="Diferenciado",$H$4=#REF!),BDI!$E$17,IF(AND(#REF!="Diferenciado",$H$4=#REF!),BDI!#REF!,IF(#REF!="ZERO",0))))),"")</f>
        <v>#REF!</v>
      </c>
      <c r="H1705" s="127" t="str">
        <f t="shared" si="88"/>
        <v/>
      </c>
      <c r="I1705" s="125" t="str">
        <f t="shared" si="89"/>
        <v/>
      </c>
    </row>
    <row r="1706" spans="1:9" hidden="1" x14ac:dyDescent="0.25">
      <c r="A1706" s="103" t="s">
        <v>5341</v>
      </c>
      <c r="B1706" s="104" t="s">
        <v>4141</v>
      </c>
      <c r="C1706" s="105" t="s">
        <v>20</v>
      </c>
      <c r="D1706" s="105">
        <v>0</v>
      </c>
      <c r="E1706" s="124" t="s">
        <v>523</v>
      </c>
      <c r="F1706" s="125" t="str">
        <f t="shared" si="87"/>
        <v/>
      </c>
      <c r="G1706" s="126" t="e">
        <f>IF(A1706&lt;&gt;"",IF(AND(#REF!="Padrão",$H$4=#REF!),BDI!$B$17,IF(AND(#REF!="Padrão",$H$4=#REF!),BDI!#REF!,IF(AND(#REF!="Diferenciado",$H$4=#REF!),BDI!$E$17,IF(AND(#REF!="Diferenciado",$H$4=#REF!),BDI!#REF!,IF(#REF!="ZERO",0))))),"")</f>
        <v>#REF!</v>
      </c>
      <c r="H1706" s="127" t="str">
        <f t="shared" si="88"/>
        <v/>
      </c>
      <c r="I1706" s="125" t="str">
        <f t="shared" si="89"/>
        <v/>
      </c>
    </row>
    <row r="1707" spans="1:9" hidden="1" x14ac:dyDescent="0.25">
      <c r="A1707" s="103" t="s">
        <v>5342</v>
      </c>
      <c r="B1707" s="104" t="s">
        <v>4142</v>
      </c>
      <c r="C1707" s="105" t="s">
        <v>20</v>
      </c>
      <c r="D1707" s="105">
        <v>0</v>
      </c>
      <c r="E1707" s="124" t="s">
        <v>523</v>
      </c>
      <c r="F1707" s="125" t="str">
        <f t="shared" si="87"/>
        <v/>
      </c>
      <c r="G1707" s="126" t="e">
        <f>IF(A1707&lt;&gt;"",IF(AND(#REF!="Padrão",$H$4=#REF!),BDI!$B$17,IF(AND(#REF!="Padrão",$H$4=#REF!),BDI!#REF!,IF(AND(#REF!="Diferenciado",$H$4=#REF!),BDI!$E$17,IF(AND(#REF!="Diferenciado",$H$4=#REF!),BDI!#REF!,IF(#REF!="ZERO",0))))),"")</f>
        <v>#REF!</v>
      </c>
      <c r="H1707" s="127" t="str">
        <f t="shared" si="88"/>
        <v/>
      </c>
      <c r="I1707" s="125" t="str">
        <f t="shared" si="89"/>
        <v/>
      </c>
    </row>
    <row r="1708" spans="1:9" hidden="1" x14ac:dyDescent="0.25">
      <c r="A1708" s="103" t="s">
        <v>5343</v>
      </c>
      <c r="B1708" s="104" t="s">
        <v>4143</v>
      </c>
      <c r="C1708" s="105" t="s">
        <v>20</v>
      </c>
      <c r="D1708" s="105">
        <v>0</v>
      </c>
      <c r="E1708" s="124" t="s">
        <v>523</v>
      </c>
      <c r="F1708" s="125" t="str">
        <f t="shared" si="87"/>
        <v/>
      </c>
      <c r="G1708" s="126" t="e">
        <f>IF(A1708&lt;&gt;"",IF(AND(#REF!="Padrão",$H$4=#REF!),BDI!$B$17,IF(AND(#REF!="Padrão",$H$4=#REF!),BDI!#REF!,IF(AND(#REF!="Diferenciado",$H$4=#REF!),BDI!$E$17,IF(AND(#REF!="Diferenciado",$H$4=#REF!),BDI!#REF!,IF(#REF!="ZERO",0))))),"")</f>
        <v>#REF!</v>
      </c>
      <c r="H1708" s="127" t="str">
        <f t="shared" si="88"/>
        <v/>
      </c>
      <c r="I1708" s="125" t="str">
        <f t="shared" si="89"/>
        <v/>
      </c>
    </row>
    <row r="1709" spans="1:9" hidden="1" x14ac:dyDescent="0.25">
      <c r="A1709" s="103" t="s">
        <v>5344</v>
      </c>
      <c r="B1709" s="104" t="s">
        <v>4144</v>
      </c>
      <c r="C1709" s="105" t="s">
        <v>20</v>
      </c>
      <c r="D1709" s="105">
        <v>0</v>
      </c>
      <c r="E1709" s="124" t="s">
        <v>523</v>
      </c>
      <c r="F1709" s="125" t="str">
        <f t="shared" ref="F1709:F1772" si="90">IF(ISNUMBER(E1709),D1709*E1709,"")</f>
        <v/>
      </c>
      <c r="G1709" s="126" t="e">
        <f>IF(A1709&lt;&gt;"",IF(AND(#REF!="Padrão",$H$4=#REF!),BDI!$B$17,IF(AND(#REF!="Padrão",$H$4=#REF!),BDI!#REF!,IF(AND(#REF!="Diferenciado",$H$4=#REF!),BDI!$E$17,IF(AND(#REF!="Diferenciado",$H$4=#REF!),BDI!#REF!,IF(#REF!="ZERO",0))))),"")</f>
        <v>#REF!</v>
      </c>
      <c r="H1709" s="127" t="str">
        <f t="shared" ref="H1709:H1772" si="91">IF(ISNUMBER(E1709),ROUND(E1709*(1+G1709),2),"")</f>
        <v/>
      </c>
      <c r="I1709" s="125" t="str">
        <f t="shared" ref="I1709:I1772" si="92">IF(ISNUMBER(E1709),ROUND(H1709*D1709,2),"")</f>
        <v/>
      </c>
    </row>
    <row r="1710" spans="1:9" hidden="1" x14ac:dyDescent="0.25">
      <c r="A1710" s="103" t="s">
        <v>5345</v>
      </c>
      <c r="B1710" s="104" t="s">
        <v>4145</v>
      </c>
      <c r="C1710" s="105" t="s">
        <v>20</v>
      </c>
      <c r="D1710" s="105">
        <v>0</v>
      </c>
      <c r="E1710" s="124" t="s">
        <v>523</v>
      </c>
      <c r="F1710" s="125" t="str">
        <f t="shared" si="90"/>
        <v/>
      </c>
      <c r="G1710" s="126" t="e">
        <f>IF(A1710&lt;&gt;"",IF(AND(#REF!="Padrão",$H$4=#REF!),BDI!$B$17,IF(AND(#REF!="Padrão",$H$4=#REF!),BDI!#REF!,IF(AND(#REF!="Diferenciado",$H$4=#REF!),BDI!$E$17,IF(AND(#REF!="Diferenciado",$H$4=#REF!),BDI!#REF!,IF(#REF!="ZERO",0))))),"")</f>
        <v>#REF!</v>
      </c>
      <c r="H1710" s="127" t="str">
        <f t="shared" si="91"/>
        <v/>
      </c>
      <c r="I1710" s="125" t="str">
        <f t="shared" si="92"/>
        <v/>
      </c>
    </row>
    <row r="1711" spans="1:9" hidden="1" x14ac:dyDescent="0.25">
      <c r="A1711" s="103" t="s">
        <v>5346</v>
      </c>
      <c r="B1711" s="104" t="s">
        <v>4146</v>
      </c>
      <c r="C1711" s="105" t="s">
        <v>20</v>
      </c>
      <c r="D1711" s="105">
        <v>0</v>
      </c>
      <c r="E1711" s="124" t="s">
        <v>523</v>
      </c>
      <c r="F1711" s="125" t="str">
        <f t="shared" si="90"/>
        <v/>
      </c>
      <c r="G1711" s="126" t="e">
        <f>IF(A1711&lt;&gt;"",IF(AND(#REF!="Padrão",$H$4=#REF!),BDI!$B$17,IF(AND(#REF!="Padrão",$H$4=#REF!),BDI!#REF!,IF(AND(#REF!="Diferenciado",$H$4=#REF!),BDI!$E$17,IF(AND(#REF!="Diferenciado",$H$4=#REF!),BDI!#REF!,IF(#REF!="ZERO",0))))),"")</f>
        <v>#REF!</v>
      </c>
      <c r="H1711" s="127" t="str">
        <f t="shared" si="91"/>
        <v/>
      </c>
      <c r="I1711" s="125" t="str">
        <f t="shared" si="92"/>
        <v/>
      </c>
    </row>
    <row r="1712" spans="1:9" hidden="1" x14ac:dyDescent="0.25">
      <c r="A1712" s="103" t="s">
        <v>5347</v>
      </c>
      <c r="B1712" s="104" t="s">
        <v>4147</v>
      </c>
      <c r="C1712" s="105" t="s">
        <v>20</v>
      </c>
      <c r="D1712" s="105">
        <v>0</v>
      </c>
      <c r="E1712" s="124" t="s">
        <v>523</v>
      </c>
      <c r="F1712" s="125" t="str">
        <f t="shared" si="90"/>
        <v/>
      </c>
      <c r="G1712" s="126" t="e">
        <f>IF(A1712&lt;&gt;"",IF(AND(#REF!="Padrão",$H$4=#REF!),BDI!$B$17,IF(AND(#REF!="Padrão",$H$4=#REF!),BDI!#REF!,IF(AND(#REF!="Diferenciado",$H$4=#REF!),BDI!$E$17,IF(AND(#REF!="Diferenciado",$H$4=#REF!),BDI!#REF!,IF(#REF!="ZERO",0))))),"")</f>
        <v>#REF!</v>
      </c>
      <c r="H1712" s="127" t="str">
        <f t="shared" si="91"/>
        <v/>
      </c>
      <c r="I1712" s="125" t="str">
        <f t="shared" si="92"/>
        <v/>
      </c>
    </row>
    <row r="1713" spans="1:9" hidden="1" x14ac:dyDescent="0.25">
      <c r="A1713" s="103" t="s">
        <v>5348</v>
      </c>
      <c r="B1713" s="104" t="s">
        <v>4148</v>
      </c>
      <c r="C1713" s="105" t="s">
        <v>20</v>
      </c>
      <c r="D1713" s="105">
        <v>0</v>
      </c>
      <c r="E1713" s="124" t="s">
        <v>523</v>
      </c>
      <c r="F1713" s="125" t="str">
        <f t="shared" si="90"/>
        <v/>
      </c>
      <c r="G1713" s="126" t="e">
        <f>IF(A1713&lt;&gt;"",IF(AND(#REF!="Padrão",$H$4=#REF!),BDI!$B$17,IF(AND(#REF!="Padrão",$H$4=#REF!),BDI!#REF!,IF(AND(#REF!="Diferenciado",$H$4=#REF!),BDI!$E$17,IF(AND(#REF!="Diferenciado",$H$4=#REF!),BDI!#REF!,IF(#REF!="ZERO",0))))),"")</f>
        <v>#REF!</v>
      </c>
      <c r="H1713" s="127" t="str">
        <f t="shared" si="91"/>
        <v/>
      </c>
      <c r="I1713" s="125" t="str">
        <f t="shared" si="92"/>
        <v/>
      </c>
    </row>
    <row r="1714" spans="1:9" hidden="1" x14ac:dyDescent="0.25">
      <c r="A1714" s="103" t="s">
        <v>5349</v>
      </c>
      <c r="B1714" s="104" t="s">
        <v>4149</v>
      </c>
      <c r="C1714" s="105" t="s">
        <v>20</v>
      </c>
      <c r="D1714" s="105">
        <v>0</v>
      </c>
      <c r="E1714" s="124" t="s">
        <v>523</v>
      </c>
      <c r="F1714" s="125" t="str">
        <f t="shared" si="90"/>
        <v/>
      </c>
      <c r="G1714" s="126" t="e">
        <f>IF(A1714&lt;&gt;"",IF(AND(#REF!="Padrão",$H$4=#REF!),BDI!$B$17,IF(AND(#REF!="Padrão",$H$4=#REF!),BDI!#REF!,IF(AND(#REF!="Diferenciado",$H$4=#REF!),BDI!$E$17,IF(AND(#REF!="Diferenciado",$H$4=#REF!),BDI!#REF!,IF(#REF!="ZERO",0))))),"")</f>
        <v>#REF!</v>
      </c>
      <c r="H1714" s="127" t="str">
        <f t="shared" si="91"/>
        <v/>
      </c>
      <c r="I1714" s="125" t="str">
        <f t="shared" si="92"/>
        <v/>
      </c>
    </row>
    <row r="1715" spans="1:9" hidden="1" x14ac:dyDescent="0.25">
      <c r="A1715" s="103" t="s">
        <v>5350</v>
      </c>
      <c r="B1715" s="104" t="s">
        <v>4150</v>
      </c>
      <c r="C1715" s="105" t="s">
        <v>20</v>
      </c>
      <c r="D1715" s="105">
        <v>0</v>
      </c>
      <c r="E1715" s="124" t="s">
        <v>523</v>
      </c>
      <c r="F1715" s="125" t="str">
        <f t="shared" si="90"/>
        <v/>
      </c>
      <c r="G1715" s="126" t="e">
        <f>IF(A1715&lt;&gt;"",IF(AND(#REF!="Padrão",$H$4=#REF!),BDI!$B$17,IF(AND(#REF!="Padrão",$H$4=#REF!),BDI!#REF!,IF(AND(#REF!="Diferenciado",$H$4=#REF!),BDI!$E$17,IF(AND(#REF!="Diferenciado",$H$4=#REF!),BDI!#REF!,IF(#REF!="ZERO",0))))),"")</f>
        <v>#REF!</v>
      </c>
      <c r="H1715" s="127" t="str">
        <f t="shared" si="91"/>
        <v/>
      </c>
      <c r="I1715" s="125" t="str">
        <f t="shared" si="92"/>
        <v/>
      </c>
    </row>
    <row r="1716" spans="1:9" hidden="1" x14ac:dyDescent="0.25">
      <c r="A1716" s="103" t="s">
        <v>5351</v>
      </c>
      <c r="B1716" s="104" t="s">
        <v>4151</v>
      </c>
      <c r="C1716" s="105" t="s">
        <v>20</v>
      </c>
      <c r="D1716" s="105">
        <v>0</v>
      </c>
      <c r="E1716" s="124" t="s">
        <v>523</v>
      </c>
      <c r="F1716" s="125" t="str">
        <f t="shared" si="90"/>
        <v/>
      </c>
      <c r="G1716" s="126" t="e">
        <f>IF(A1716&lt;&gt;"",IF(AND(#REF!="Padrão",$H$4=#REF!),BDI!$B$17,IF(AND(#REF!="Padrão",$H$4=#REF!),BDI!#REF!,IF(AND(#REF!="Diferenciado",$H$4=#REF!),BDI!$E$17,IF(AND(#REF!="Diferenciado",$H$4=#REF!),BDI!#REF!,IF(#REF!="ZERO",0))))),"")</f>
        <v>#REF!</v>
      </c>
      <c r="H1716" s="127" t="str">
        <f t="shared" si="91"/>
        <v/>
      </c>
      <c r="I1716" s="125" t="str">
        <f t="shared" si="92"/>
        <v/>
      </c>
    </row>
    <row r="1717" spans="1:9" hidden="1" x14ac:dyDescent="0.25">
      <c r="A1717" s="103" t="s">
        <v>5352</v>
      </c>
      <c r="B1717" s="104" t="s">
        <v>4152</v>
      </c>
      <c r="C1717" s="105" t="s">
        <v>20</v>
      </c>
      <c r="D1717" s="105">
        <v>0</v>
      </c>
      <c r="E1717" s="124" t="s">
        <v>523</v>
      </c>
      <c r="F1717" s="125" t="str">
        <f t="shared" si="90"/>
        <v/>
      </c>
      <c r="G1717" s="126" t="e">
        <f>IF(A1717&lt;&gt;"",IF(AND(#REF!="Padrão",$H$4=#REF!),BDI!$B$17,IF(AND(#REF!="Padrão",$H$4=#REF!),BDI!#REF!,IF(AND(#REF!="Diferenciado",$H$4=#REF!),BDI!$E$17,IF(AND(#REF!="Diferenciado",$H$4=#REF!),BDI!#REF!,IF(#REF!="ZERO",0))))),"")</f>
        <v>#REF!</v>
      </c>
      <c r="H1717" s="127" t="str">
        <f t="shared" si="91"/>
        <v/>
      </c>
      <c r="I1717" s="125" t="str">
        <f t="shared" si="92"/>
        <v/>
      </c>
    </row>
    <row r="1718" spans="1:9" hidden="1" x14ac:dyDescent="0.25">
      <c r="A1718" s="103" t="s">
        <v>5353</v>
      </c>
      <c r="B1718" s="104" t="s">
        <v>4153</v>
      </c>
      <c r="C1718" s="105" t="s">
        <v>20</v>
      </c>
      <c r="D1718" s="105">
        <v>0</v>
      </c>
      <c r="E1718" s="124" t="s">
        <v>523</v>
      </c>
      <c r="F1718" s="125" t="str">
        <f t="shared" si="90"/>
        <v/>
      </c>
      <c r="G1718" s="126" t="e">
        <f>IF(A1718&lt;&gt;"",IF(AND(#REF!="Padrão",$H$4=#REF!),BDI!$B$17,IF(AND(#REF!="Padrão",$H$4=#REF!),BDI!#REF!,IF(AND(#REF!="Diferenciado",$H$4=#REF!),BDI!$E$17,IF(AND(#REF!="Diferenciado",$H$4=#REF!),BDI!#REF!,IF(#REF!="ZERO",0))))),"")</f>
        <v>#REF!</v>
      </c>
      <c r="H1718" s="127" t="str">
        <f t="shared" si="91"/>
        <v/>
      </c>
      <c r="I1718" s="125" t="str">
        <f t="shared" si="92"/>
        <v/>
      </c>
    </row>
    <row r="1719" spans="1:9" hidden="1" x14ac:dyDescent="0.25">
      <c r="A1719" s="103" t="s">
        <v>5354</v>
      </c>
      <c r="B1719" s="104" t="s">
        <v>4154</v>
      </c>
      <c r="C1719" s="105" t="s">
        <v>20</v>
      </c>
      <c r="D1719" s="105">
        <v>0</v>
      </c>
      <c r="E1719" s="124" t="s">
        <v>523</v>
      </c>
      <c r="F1719" s="125" t="str">
        <f t="shared" si="90"/>
        <v/>
      </c>
      <c r="G1719" s="126" t="e">
        <f>IF(A1719&lt;&gt;"",IF(AND(#REF!="Padrão",$H$4=#REF!),BDI!$B$17,IF(AND(#REF!="Padrão",$H$4=#REF!),BDI!#REF!,IF(AND(#REF!="Diferenciado",$H$4=#REF!),BDI!$E$17,IF(AND(#REF!="Diferenciado",$H$4=#REF!),BDI!#REF!,IF(#REF!="ZERO",0))))),"")</f>
        <v>#REF!</v>
      </c>
      <c r="H1719" s="127" t="str">
        <f t="shared" si="91"/>
        <v/>
      </c>
      <c r="I1719" s="125" t="str">
        <f t="shared" si="92"/>
        <v/>
      </c>
    </row>
    <row r="1720" spans="1:9" hidden="1" x14ac:dyDescent="0.25">
      <c r="A1720" s="103" t="s">
        <v>5355</v>
      </c>
      <c r="B1720" s="104" t="s">
        <v>4155</v>
      </c>
      <c r="C1720" s="105" t="s">
        <v>20</v>
      </c>
      <c r="D1720" s="105">
        <v>0</v>
      </c>
      <c r="E1720" s="124" t="s">
        <v>523</v>
      </c>
      <c r="F1720" s="125" t="str">
        <f t="shared" si="90"/>
        <v/>
      </c>
      <c r="G1720" s="126" t="e">
        <f>IF(A1720&lt;&gt;"",IF(AND(#REF!="Padrão",$H$4=#REF!),BDI!$B$17,IF(AND(#REF!="Padrão",$H$4=#REF!),BDI!#REF!,IF(AND(#REF!="Diferenciado",$H$4=#REF!),BDI!$E$17,IF(AND(#REF!="Diferenciado",$H$4=#REF!),BDI!#REF!,IF(#REF!="ZERO",0))))),"")</f>
        <v>#REF!</v>
      </c>
      <c r="H1720" s="127" t="str">
        <f t="shared" si="91"/>
        <v/>
      </c>
      <c r="I1720" s="125" t="str">
        <f t="shared" si="92"/>
        <v/>
      </c>
    </row>
    <row r="1721" spans="1:9" hidden="1" x14ac:dyDescent="0.25">
      <c r="A1721" s="103" t="s">
        <v>5356</v>
      </c>
      <c r="B1721" s="104" t="s">
        <v>4156</v>
      </c>
      <c r="C1721" s="105" t="s">
        <v>20</v>
      </c>
      <c r="D1721" s="105">
        <v>0</v>
      </c>
      <c r="E1721" s="124" t="s">
        <v>523</v>
      </c>
      <c r="F1721" s="125" t="str">
        <f t="shared" si="90"/>
        <v/>
      </c>
      <c r="G1721" s="126" t="e">
        <f>IF(A1721&lt;&gt;"",IF(AND(#REF!="Padrão",$H$4=#REF!),BDI!$B$17,IF(AND(#REF!="Padrão",$H$4=#REF!),BDI!#REF!,IF(AND(#REF!="Diferenciado",$H$4=#REF!),BDI!$E$17,IF(AND(#REF!="Diferenciado",$H$4=#REF!),BDI!#REF!,IF(#REF!="ZERO",0))))),"")</f>
        <v>#REF!</v>
      </c>
      <c r="H1721" s="127" t="str">
        <f t="shared" si="91"/>
        <v/>
      </c>
      <c r="I1721" s="125" t="str">
        <f t="shared" si="92"/>
        <v/>
      </c>
    </row>
    <row r="1722" spans="1:9" hidden="1" x14ac:dyDescent="0.25">
      <c r="A1722" s="103" t="s">
        <v>5357</v>
      </c>
      <c r="B1722" s="104" t="s">
        <v>4157</v>
      </c>
      <c r="C1722" s="105" t="s">
        <v>20</v>
      </c>
      <c r="D1722" s="105">
        <v>0</v>
      </c>
      <c r="E1722" s="124" t="s">
        <v>523</v>
      </c>
      <c r="F1722" s="125" t="str">
        <f t="shared" si="90"/>
        <v/>
      </c>
      <c r="G1722" s="126" t="e">
        <f>IF(A1722&lt;&gt;"",IF(AND(#REF!="Padrão",$H$4=#REF!),BDI!$B$17,IF(AND(#REF!="Padrão",$H$4=#REF!),BDI!#REF!,IF(AND(#REF!="Diferenciado",$H$4=#REF!),BDI!$E$17,IF(AND(#REF!="Diferenciado",$H$4=#REF!),BDI!#REF!,IF(#REF!="ZERO",0))))),"")</f>
        <v>#REF!</v>
      </c>
      <c r="H1722" s="127" t="str">
        <f t="shared" si="91"/>
        <v/>
      </c>
      <c r="I1722" s="125" t="str">
        <f t="shared" si="92"/>
        <v/>
      </c>
    </row>
    <row r="1723" spans="1:9" hidden="1" x14ac:dyDescent="0.25">
      <c r="A1723" s="103" t="s">
        <v>5358</v>
      </c>
      <c r="B1723" s="104" t="s">
        <v>4158</v>
      </c>
      <c r="C1723" s="105" t="s">
        <v>20</v>
      </c>
      <c r="D1723" s="105">
        <v>0</v>
      </c>
      <c r="E1723" s="124" t="s">
        <v>523</v>
      </c>
      <c r="F1723" s="125" t="str">
        <f t="shared" si="90"/>
        <v/>
      </c>
      <c r="G1723" s="126" t="e">
        <f>IF(A1723&lt;&gt;"",IF(AND(#REF!="Padrão",$H$4=#REF!),BDI!$B$17,IF(AND(#REF!="Padrão",$H$4=#REF!),BDI!#REF!,IF(AND(#REF!="Diferenciado",$H$4=#REF!),BDI!$E$17,IF(AND(#REF!="Diferenciado",$H$4=#REF!),BDI!#REF!,IF(#REF!="ZERO",0))))),"")</f>
        <v>#REF!</v>
      </c>
      <c r="H1723" s="127" t="str">
        <f t="shared" si="91"/>
        <v/>
      </c>
      <c r="I1723" s="125" t="str">
        <f t="shared" si="92"/>
        <v/>
      </c>
    </row>
    <row r="1724" spans="1:9" hidden="1" x14ac:dyDescent="0.25">
      <c r="A1724" s="103" t="s">
        <v>5359</v>
      </c>
      <c r="B1724" s="104" t="s">
        <v>4159</v>
      </c>
      <c r="C1724" s="105" t="s">
        <v>20</v>
      </c>
      <c r="D1724" s="105">
        <v>0</v>
      </c>
      <c r="E1724" s="124" t="s">
        <v>523</v>
      </c>
      <c r="F1724" s="125" t="str">
        <f t="shared" si="90"/>
        <v/>
      </c>
      <c r="G1724" s="126" t="e">
        <f>IF(A1724&lt;&gt;"",IF(AND(#REF!="Padrão",$H$4=#REF!),BDI!$B$17,IF(AND(#REF!="Padrão",$H$4=#REF!),BDI!#REF!,IF(AND(#REF!="Diferenciado",$H$4=#REF!),BDI!$E$17,IF(AND(#REF!="Diferenciado",$H$4=#REF!),BDI!#REF!,IF(#REF!="ZERO",0))))),"")</f>
        <v>#REF!</v>
      </c>
      <c r="H1724" s="127" t="str">
        <f t="shared" si="91"/>
        <v/>
      </c>
      <c r="I1724" s="125" t="str">
        <f t="shared" si="92"/>
        <v/>
      </c>
    </row>
    <row r="1725" spans="1:9" hidden="1" x14ac:dyDescent="0.25">
      <c r="A1725" s="103" t="s">
        <v>5360</v>
      </c>
      <c r="B1725" s="104" t="s">
        <v>4160</v>
      </c>
      <c r="C1725" s="105" t="s">
        <v>20</v>
      </c>
      <c r="D1725" s="105">
        <v>0</v>
      </c>
      <c r="E1725" s="124" t="s">
        <v>523</v>
      </c>
      <c r="F1725" s="125" t="str">
        <f t="shared" si="90"/>
        <v/>
      </c>
      <c r="G1725" s="126" t="e">
        <f>IF(A1725&lt;&gt;"",IF(AND(#REF!="Padrão",$H$4=#REF!),BDI!$B$17,IF(AND(#REF!="Padrão",$H$4=#REF!),BDI!#REF!,IF(AND(#REF!="Diferenciado",$H$4=#REF!),BDI!$E$17,IF(AND(#REF!="Diferenciado",$H$4=#REF!),BDI!#REF!,IF(#REF!="ZERO",0))))),"")</f>
        <v>#REF!</v>
      </c>
      <c r="H1725" s="127" t="str">
        <f t="shared" si="91"/>
        <v/>
      </c>
      <c r="I1725" s="125" t="str">
        <f t="shared" si="92"/>
        <v/>
      </c>
    </row>
    <row r="1726" spans="1:9" hidden="1" x14ac:dyDescent="0.25">
      <c r="A1726" s="103" t="s">
        <v>5361</v>
      </c>
      <c r="B1726" s="104" t="s">
        <v>4161</v>
      </c>
      <c r="C1726" s="105" t="s">
        <v>20</v>
      </c>
      <c r="D1726" s="105">
        <v>0</v>
      </c>
      <c r="E1726" s="124" t="s">
        <v>523</v>
      </c>
      <c r="F1726" s="125" t="str">
        <f t="shared" si="90"/>
        <v/>
      </c>
      <c r="G1726" s="126" t="e">
        <f>IF(A1726&lt;&gt;"",IF(AND(#REF!="Padrão",$H$4=#REF!),BDI!$B$17,IF(AND(#REF!="Padrão",$H$4=#REF!),BDI!#REF!,IF(AND(#REF!="Diferenciado",$H$4=#REF!),BDI!$E$17,IF(AND(#REF!="Diferenciado",$H$4=#REF!),BDI!#REF!,IF(#REF!="ZERO",0))))),"")</f>
        <v>#REF!</v>
      </c>
      <c r="H1726" s="127" t="str">
        <f t="shared" si="91"/>
        <v/>
      </c>
      <c r="I1726" s="125" t="str">
        <f t="shared" si="92"/>
        <v/>
      </c>
    </row>
    <row r="1727" spans="1:9" hidden="1" x14ac:dyDescent="0.25">
      <c r="A1727" s="103" t="s">
        <v>5362</v>
      </c>
      <c r="B1727" s="104" t="s">
        <v>4162</v>
      </c>
      <c r="C1727" s="105" t="s">
        <v>20</v>
      </c>
      <c r="D1727" s="105">
        <v>0</v>
      </c>
      <c r="E1727" s="124" t="s">
        <v>523</v>
      </c>
      <c r="F1727" s="125" t="str">
        <f t="shared" si="90"/>
        <v/>
      </c>
      <c r="G1727" s="126" t="e">
        <f>IF(A1727&lt;&gt;"",IF(AND(#REF!="Padrão",$H$4=#REF!),BDI!$B$17,IF(AND(#REF!="Padrão",$H$4=#REF!),BDI!#REF!,IF(AND(#REF!="Diferenciado",$H$4=#REF!),BDI!$E$17,IF(AND(#REF!="Diferenciado",$H$4=#REF!),BDI!#REF!,IF(#REF!="ZERO",0))))),"")</f>
        <v>#REF!</v>
      </c>
      <c r="H1727" s="127" t="str">
        <f t="shared" si="91"/>
        <v/>
      </c>
      <c r="I1727" s="125" t="str">
        <f t="shared" si="92"/>
        <v/>
      </c>
    </row>
    <row r="1728" spans="1:9" hidden="1" x14ac:dyDescent="0.25">
      <c r="A1728" s="103" t="s">
        <v>5363</v>
      </c>
      <c r="B1728" s="104" t="s">
        <v>4163</v>
      </c>
      <c r="C1728" s="105" t="s">
        <v>20</v>
      </c>
      <c r="D1728" s="105">
        <v>0</v>
      </c>
      <c r="E1728" s="124" t="s">
        <v>523</v>
      </c>
      <c r="F1728" s="125" t="str">
        <f t="shared" si="90"/>
        <v/>
      </c>
      <c r="G1728" s="126" t="e">
        <f>IF(A1728&lt;&gt;"",IF(AND(#REF!="Padrão",$H$4=#REF!),BDI!$B$17,IF(AND(#REF!="Padrão",$H$4=#REF!),BDI!#REF!,IF(AND(#REF!="Diferenciado",$H$4=#REF!),BDI!$E$17,IF(AND(#REF!="Diferenciado",$H$4=#REF!),BDI!#REF!,IF(#REF!="ZERO",0))))),"")</f>
        <v>#REF!</v>
      </c>
      <c r="H1728" s="127" t="str">
        <f t="shared" si="91"/>
        <v/>
      </c>
      <c r="I1728" s="125" t="str">
        <f t="shared" si="92"/>
        <v/>
      </c>
    </row>
    <row r="1729" spans="1:9" hidden="1" x14ac:dyDescent="0.25">
      <c r="A1729" s="103" t="s">
        <v>5364</v>
      </c>
      <c r="B1729" s="104" t="s">
        <v>4164</v>
      </c>
      <c r="C1729" s="105" t="s">
        <v>20</v>
      </c>
      <c r="D1729" s="105">
        <v>0</v>
      </c>
      <c r="E1729" s="124" t="s">
        <v>523</v>
      </c>
      <c r="F1729" s="125" t="str">
        <f t="shared" si="90"/>
        <v/>
      </c>
      <c r="G1729" s="126" t="e">
        <f>IF(A1729&lt;&gt;"",IF(AND(#REF!="Padrão",$H$4=#REF!),BDI!$B$17,IF(AND(#REF!="Padrão",$H$4=#REF!),BDI!#REF!,IF(AND(#REF!="Diferenciado",$H$4=#REF!),BDI!$E$17,IF(AND(#REF!="Diferenciado",$H$4=#REF!),BDI!#REF!,IF(#REF!="ZERO",0))))),"")</f>
        <v>#REF!</v>
      </c>
      <c r="H1729" s="127" t="str">
        <f t="shared" si="91"/>
        <v/>
      </c>
      <c r="I1729" s="125" t="str">
        <f t="shared" si="92"/>
        <v/>
      </c>
    </row>
    <row r="1730" spans="1:9" hidden="1" x14ac:dyDescent="0.25">
      <c r="A1730" s="103" t="s">
        <v>5365</v>
      </c>
      <c r="B1730" s="104" t="s">
        <v>4165</v>
      </c>
      <c r="C1730" s="105" t="s">
        <v>20</v>
      </c>
      <c r="D1730" s="105">
        <v>0</v>
      </c>
      <c r="E1730" s="124" t="s">
        <v>523</v>
      </c>
      <c r="F1730" s="125" t="str">
        <f t="shared" si="90"/>
        <v/>
      </c>
      <c r="G1730" s="126" t="e">
        <f>IF(A1730&lt;&gt;"",IF(AND(#REF!="Padrão",$H$4=#REF!),BDI!$B$17,IF(AND(#REF!="Padrão",$H$4=#REF!),BDI!#REF!,IF(AND(#REF!="Diferenciado",$H$4=#REF!),BDI!$E$17,IF(AND(#REF!="Diferenciado",$H$4=#REF!),BDI!#REF!,IF(#REF!="ZERO",0))))),"")</f>
        <v>#REF!</v>
      </c>
      <c r="H1730" s="127" t="str">
        <f t="shared" si="91"/>
        <v/>
      </c>
      <c r="I1730" s="125" t="str">
        <f t="shared" si="92"/>
        <v/>
      </c>
    </row>
    <row r="1731" spans="1:9" hidden="1" x14ac:dyDescent="0.25">
      <c r="A1731" s="103" t="s">
        <v>5366</v>
      </c>
      <c r="B1731" s="104" t="s">
        <v>4166</v>
      </c>
      <c r="C1731" s="105" t="s">
        <v>20</v>
      </c>
      <c r="D1731" s="105">
        <v>0</v>
      </c>
      <c r="E1731" s="124" t="s">
        <v>523</v>
      </c>
      <c r="F1731" s="125" t="str">
        <f t="shared" si="90"/>
        <v/>
      </c>
      <c r="G1731" s="126" t="e">
        <f>IF(A1731&lt;&gt;"",IF(AND(#REF!="Padrão",$H$4=#REF!),BDI!$B$17,IF(AND(#REF!="Padrão",$H$4=#REF!),BDI!#REF!,IF(AND(#REF!="Diferenciado",$H$4=#REF!),BDI!$E$17,IF(AND(#REF!="Diferenciado",$H$4=#REF!),BDI!#REF!,IF(#REF!="ZERO",0))))),"")</f>
        <v>#REF!</v>
      </c>
      <c r="H1731" s="127" t="str">
        <f t="shared" si="91"/>
        <v/>
      </c>
      <c r="I1731" s="125" t="str">
        <f t="shared" si="92"/>
        <v/>
      </c>
    </row>
    <row r="1732" spans="1:9" hidden="1" x14ac:dyDescent="0.25">
      <c r="A1732" s="103" t="s">
        <v>5367</v>
      </c>
      <c r="B1732" s="104" t="s">
        <v>4167</v>
      </c>
      <c r="C1732" s="105" t="s">
        <v>20</v>
      </c>
      <c r="D1732" s="105">
        <v>0</v>
      </c>
      <c r="E1732" s="124" t="s">
        <v>523</v>
      </c>
      <c r="F1732" s="125" t="str">
        <f t="shared" si="90"/>
        <v/>
      </c>
      <c r="G1732" s="126" t="e">
        <f>IF(A1732&lt;&gt;"",IF(AND(#REF!="Padrão",$H$4=#REF!),BDI!$B$17,IF(AND(#REF!="Padrão",$H$4=#REF!),BDI!#REF!,IF(AND(#REF!="Diferenciado",$H$4=#REF!),BDI!$E$17,IF(AND(#REF!="Diferenciado",$H$4=#REF!),BDI!#REF!,IF(#REF!="ZERO",0))))),"")</f>
        <v>#REF!</v>
      </c>
      <c r="H1732" s="127" t="str">
        <f t="shared" si="91"/>
        <v/>
      </c>
      <c r="I1732" s="125" t="str">
        <f t="shared" si="92"/>
        <v/>
      </c>
    </row>
    <row r="1733" spans="1:9" hidden="1" x14ac:dyDescent="0.25">
      <c r="A1733" s="103" t="s">
        <v>5368</v>
      </c>
      <c r="B1733" s="104" t="s">
        <v>4168</v>
      </c>
      <c r="C1733" s="105" t="s">
        <v>20</v>
      </c>
      <c r="D1733" s="105">
        <v>0</v>
      </c>
      <c r="E1733" s="124" t="s">
        <v>523</v>
      </c>
      <c r="F1733" s="125" t="str">
        <f t="shared" si="90"/>
        <v/>
      </c>
      <c r="G1733" s="126" t="e">
        <f>IF(A1733&lt;&gt;"",IF(AND(#REF!="Padrão",$H$4=#REF!),BDI!$B$17,IF(AND(#REF!="Padrão",$H$4=#REF!),BDI!#REF!,IF(AND(#REF!="Diferenciado",$H$4=#REF!),BDI!$E$17,IF(AND(#REF!="Diferenciado",$H$4=#REF!),BDI!#REF!,IF(#REF!="ZERO",0))))),"")</f>
        <v>#REF!</v>
      </c>
      <c r="H1733" s="127" t="str">
        <f t="shared" si="91"/>
        <v/>
      </c>
      <c r="I1733" s="125" t="str">
        <f t="shared" si="92"/>
        <v/>
      </c>
    </row>
    <row r="1734" spans="1:9" hidden="1" x14ac:dyDescent="0.25">
      <c r="A1734" s="103" t="s">
        <v>5369</v>
      </c>
      <c r="B1734" s="104" t="s">
        <v>4169</v>
      </c>
      <c r="C1734" s="105" t="s">
        <v>20</v>
      </c>
      <c r="D1734" s="105">
        <v>0</v>
      </c>
      <c r="E1734" s="124" t="s">
        <v>523</v>
      </c>
      <c r="F1734" s="125" t="str">
        <f t="shared" si="90"/>
        <v/>
      </c>
      <c r="G1734" s="126" t="e">
        <f>IF(A1734&lt;&gt;"",IF(AND(#REF!="Padrão",$H$4=#REF!),BDI!$B$17,IF(AND(#REF!="Padrão",$H$4=#REF!),BDI!#REF!,IF(AND(#REF!="Diferenciado",$H$4=#REF!),BDI!$E$17,IF(AND(#REF!="Diferenciado",$H$4=#REF!),BDI!#REF!,IF(#REF!="ZERO",0))))),"")</f>
        <v>#REF!</v>
      </c>
      <c r="H1734" s="127" t="str">
        <f t="shared" si="91"/>
        <v/>
      </c>
      <c r="I1734" s="125" t="str">
        <f t="shared" si="92"/>
        <v/>
      </c>
    </row>
    <row r="1735" spans="1:9" hidden="1" x14ac:dyDescent="0.25">
      <c r="A1735" s="103" t="s">
        <v>5370</v>
      </c>
      <c r="B1735" s="104" t="s">
        <v>4170</v>
      </c>
      <c r="C1735" s="105" t="s">
        <v>20</v>
      </c>
      <c r="D1735" s="105">
        <v>0</v>
      </c>
      <c r="E1735" s="124" t="s">
        <v>523</v>
      </c>
      <c r="F1735" s="125" t="str">
        <f t="shared" si="90"/>
        <v/>
      </c>
      <c r="G1735" s="126" t="e">
        <f>IF(A1735&lt;&gt;"",IF(AND(#REF!="Padrão",$H$4=#REF!),BDI!$B$17,IF(AND(#REF!="Padrão",$H$4=#REF!),BDI!#REF!,IF(AND(#REF!="Diferenciado",$H$4=#REF!),BDI!$E$17,IF(AND(#REF!="Diferenciado",$H$4=#REF!),BDI!#REF!,IF(#REF!="ZERO",0))))),"")</f>
        <v>#REF!</v>
      </c>
      <c r="H1735" s="127" t="str">
        <f t="shared" si="91"/>
        <v/>
      </c>
      <c r="I1735" s="125" t="str">
        <f t="shared" si="92"/>
        <v/>
      </c>
    </row>
    <row r="1736" spans="1:9" hidden="1" x14ac:dyDescent="0.25">
      <c r="A1736" s="103" t="s">
        <v>5371</v>
      </c>
      <c r="B1736" s="104" t="s">
        <v>4171</v>
      </c>
      <c r="C1736" s="105" t="s">
        <v>20</v>
      </c>
      <c r="D1736" s="105">
        <v>0</v>
      </c>
      <c r="E1736" s="124" t="s">
        <v>523</v>
      </c>
      <c r="F1736" s="125" t="str">
        <f t="shared" si="90"/>
        <v/>
      </c>
      <c r="G1736" s="126" t="e">
        <f>IF(A1736&lt;&gt;"",IF(AND(#REF!="Padrão",$H$4=#REF!),BDI!$B$17,IF(AND(#REF!="Padrão",$H$4=#REF!),BDI!#REF!,IF(AND(#REF!="Diferenciado",$H$4=#REF!),BDI!$E$17,IF(AND(#REF!="Diferenciado",$H$4=#REF!),BDI!#REF!,IF(#REF!="ZERO",0))))),"")</f>
        <v>#REF!</v>
      </c>
      <c r="H1736" s="127" t="str">
        <f t="shared" si="91"/>
        <v/>
      </c>
      <c r="I1736" s="125" t="str">
        <f t="shared" si="92"/>
        <v/>
      </c>
    </row>
    <row r="1737" spans="1:9" hidden="1" x14ac:dyDescent="0.25">
      <c r="A1737" s="103" t="s">
        <v>5372</v>
      </c>
      <c r="B1737" s="104" t="s">
        <v>4172</v>
      </c>
      <c r="C1737" s="105" t="s">
        <v>20</v>
      </c>
      <c r="D1737" s="105">
        <v>0</v>
      </c>
      <c r="E1737" s="124" t="s">
        <v>523</v>
      </c>
      <c r="F1737" s="125" t="str">
        <f t="shared" si="90"/>
        <v/>
      </c>
      <c r="G1737" s="126" t="e">
        <f>IF(A1737&lt;&gt;"",IF(AND(#REF!="Padrão",$H$4=#REF!),BDI!$B$17,IF(AND(#REF!="Padrão",$H$4=#REF!),BDI!#REF!,IF(AND(#REF!="Diferenciado",$H$4=#REF!),BDI!$E$17,IF(AND(#REF!="Diferenciado",$H$4=#REF!),BDI!#REF!,IF(#REF!="ZERO",0))))),"")</f>
        <v>#REF!</v>
      </c>
      <c r="H1737" s="127" t="str">
        <f t="shared" si="91"/>
        <v/>
      </c>
      <c r="I1737" s="125" t="str">
        <f t="shared" si="92"/>
        <v/>
      </c>
    </row>
    <row r="1738" spans="1:9" hidden="1" x14ac:dyDescent="0.25">
      <c r="A1738" s="103" t="s">
        <v>5373</v>
      </c>
      <c r="B1738" s="104" t="s">
        <v>6466</v>
      </c>
      <c r="C1738" s="105" t="s">
        <v>93</v>
      </c>
      <c r="D1738" s="105">
        <v>0</v>
      </c>
      <c r="E1738" s="124" t="s">
        <v>523</v>
      </c>
      <c r="F1738" s="125" t="str">
        <f t="shared" si="90"/>
        <v/>
      </c>
      <c r="G1738" s="126" t="e">
        <f>IF(A1738&lt;&gt;"",IF(AND(#REF!="Padrão",$H$4=#REF!),BDI!$B$17,IF(AND(#REF!="Padrão",$H$4=#REF!),BDI!#REF!,IF(AND(#REF!="Diferenciado",$H$4=#REF!),BDI!$E$17,IF(AND(#REF!="Diferenciado",$H$4=#REF!),BDI!#REF!,IF(#REF!="ZERO",0))))),"")</f>
        <v>#REF!</v>
      </c>
      <c r="H1738" s="127" t="str">
        <f t="shared" si="91"/>
        <v/>
      </c>
      <c r="I1738" s="125" t="str">
        <f t="shared" si="92"/>
        <v/>
      </c>
    </row>
    <row r="1739" spans="1:9" hidden="1" x14ac:dyDescent="0.25">
      <c r="A1739" s="103" t="s">
        <v>5374</v>
      </c>
      <c r="B1739" s="104" t="s">
        <v>6467</v>
      </c>
      <c r="C1739" s="105" t="s">
        <v>93</v>
      </c>
      <c r="D1739" s="105">
        <v>0</v>
      </c>
      <c r="E1739" s="124" t="s">
        <v>523</v>
      </c>
      <c r="F1739" s="125" t="str">
        <f t="shared" si="90"/>
        <v/>
      </c>
      <c r="G1739" s="126" t="e">
        <f>IF(A1739&lt;&gt;"",IF(AND(#REF!="Padrão",$H$4=#REF!),BDI!$B$17,IF(AND(#REF!="Padrão",$H$4=#REF!),BDI!#REF!,IF(AND(#REF!="Diferenciado",$H$4=#REF!),BDI!$E$17,IF(AND(#REF!="Diferenciado",$H$4=#REF!),BDI!#REF!,IF(#REF!="ZERO",0))))),"")</f>
        <v>#REF!</v>
      </c>
      <c r="H1739" s="127" t="str">
        <f t="shared" si="91"/>
        <v/>
      </c>
      <c r="I1739" s="125" t="str">
        <f t="shared" si="92"/>
        <v/>
      </c>
    </row>
    <row r="1740" spans="1:9" hidden="1" x14ac:dyDescent="0.25">
      <c r="A1740" s="103" t="s">
        <v>5375</v>
      </c>
      <c r="B1740" s="104" t="s">
        <v>4173</v>
      </c>
      <c r="C1740" s="105" t="s">
        <v>93</v>
      </c>
      <c r="D1740" s="105">
        <v>0</v>
      </c>
      <c r="E1740" s="124" t="s">
        <v>523</v>
      </c>
      <c r="F1740" s="125" t="str">
        <f t="shared" si="90"/>
        <v/>
      </c>
      <c r="G1740" s="126" t="e">
        <f>IF(A1740&lt;&gt;"",IF(AND(#REF!="Padrão",$H$4=#REF!),BDI!$B$17,IF(AND(#REF!="Padrão",$H$4=#REF!),BDI!#REF!,IF(AND(#REF!="Diferenciado",$H$4=#REF!),BDI!$E$17,IF(AND(#REF!="Diferenciado",$H$4=#REF!),BDI!#REF!,IF(#REF!="ZERO",0))))),"")</f>
        <v>#REF!</v>
      </c>
      <c r="H1740" s="127" t="str">
        <f t="shared" si="91"/>
        <v/>
      </c>
      <c r="I1740" s="125" t="str">
        <f t="shared" si="92"/>
        <v/>
      </c>
    </row>
    <row r="1741" spans="1:9" hidden="1" x14ac:dyDescent="0.25">
      <c r="A1741" s="103" t="s">
        <v>5376</v>
      </c>
      <c r="B1741" s="104" t="s">
        <v>6468</v>
      </c>
      <c r="C1741" s="105" t="s">
        <v>93</v>
      </c>
      <c r="D1741" s="105">
        <v>0</v>
      </c>
      <c r="E1741" s="124" t="s">
        <v>523</v>
      </c>
      <c r="F1741" s="125" t="str">
        <f t="shared" si="90"/>
        <v/>
      </c>
      <c r="G1741" s="126" t="e">
        <f>IF(A1741&lt;&gt;"",IF(AND(#REF!="Padrão",$H$4=#REF!),BDI!$B$17,IF(AND(#REF!="Padrão",$H$4=#REF!),BDI!#REF!,IF(AND(#REF!="Diferenciado",$H$4=#REF!),BDI!$E$17,IF(AND(#REF!="Diferenciado",$H$4=#REF!),BDI!#REF!,IF(#REF!="ZERO",0))))),"")</f>
        <v>#REF!</v>
      </c>
      <c r="H1741" s="127" t="str">
        <f t="shared" si="91"/>
        <v/>
      </c>
      <c r="I1741" s="125" t="str">
        <f t="shared" si="92"/>
        <v/>
      </c>
    </row>
    <row r="1742" spans="1:9" hidden="1" x14ac:dyDescent="0.25">
      <c r="A1742" s="103" t="s">
        <v>5377</v>
      </c>
      <c r="B1742" s="104" t="s">
        <v>6469</v>
      </c>
      <c r="C1742" s="105" t="s">
        <v>93</v>
      </c>
      <c r="D1742" s="105">
        <v>0</v>
      </c>
      <c r="E1742" s="124" t="s">
        <v>523</v>
      </c>
      <c r="F1742" s="125" t="str">
        <f t="shared" si="90"/>
        <v/>
      </c>
      <c r="G1742" s="126" t="e">
        <f>IF(A1742&lt;&gt;"",IF(AND(#REF!="Padrão",$H$4=#REF!),BDI!$B$17,IF(AND(#REF!="Padrão",$H$4=#REF!),BDI!#REF!,IF(AND(#REF!="Diferenciado",$H$4=#REF!),BDI!$E$17,IF(AND(#REF!="Diferenciado",$H$4=#REF!),BDI!#REF!,IF(#REF!="ZERO",0))))),"")</f>
        <v>#REF!</v>
      </c>
      <c r="H1742" s="127" t="str">
        <f t="shared" si="91"/>
        <v/>
      </c>
      <c r="I1742" s="125" t="str">
        <f t="shared" si="92"/>
        <v/>
      </c>
    </row>
    <row r="1743" spans="1:9" hidden="1" x14ac:dyDescent="0.25">
      <c r="A1743" s="103" t="s">
        <v>5378</v>
      </c>
      <c r="B1743" s="104" t="s">
        <v>6470</v>
      </c>
      <c r="C1743" s="105" t="s">
        <v>93</v>
      </c>
      <c r="D1743" s="105">
        <v>0</v>
      </c>
      <c r="E1743" s="124" t="s">
        <v>523</v>
      </c>
      <c r="F1743" s="125" t="str">
        <f t="shared" si="90"/>
        <v/>
      </c>
      <c r="G1743" s="126" t="e">
        <f>IF(A1743&lt;&gt;"",IF(AND(#REF!="Padrão",$H$4=#REF!),BDI!$B$17,IF(AND(#REF!="Padrão",$H$4=#REF!),BDI!#REF!,IF(AND(#REF!="Diferenciado",$H$4=#REF!),BDI!$E$17,IF(AND(#REF!="Diferenciado",$H$4=#REF!),BDI!#REF!,IF(#REF!="ZERO",0))))),"")</f>
        <v>#REF!</v>
      </c>
      <c r="H1743" s="127" t="str">
        <f t="shared" si="91"/>
        <v/>
      </c>
      <c r="I1743" s="125" t="str">
        <f t="shared" si="92"/>
        <v/>
      </c>
    </row>
    <row r="1744" spans="1:9" hidden="1" x14ac:dyDescent="0.25">
      <c r="A1744" s="103" t="s">
        <v>5379</v>
      </c>
      <c r="B1744" s="104" t="s">
        <v>6471</v>
      </c>
      <c r="C1744" s="105" t="s">
        <v>93</v>
      </c>
      <c r="D1744" s="105">
        <v>0</v>
      </c>
      <c r="E1744" s="124" t="s">
        <v>523</v>
      </c>
      <c r="F1744" s="125" t="str">
        <f t="shared" si="90"/>
        <v/>
      </c>
      <c r="G1744" s="126" t="e">
        <f>IF(A1744&lt;&gt;"",IF(AND(#REF!="Padrão",$H$4=#REF!),BDI!$B$17,IF(AND(#REF!="Padrão",$H$4=#REF!),BDI!#REF!,IF(AND(#REF!="Diferenciado",$H$4=#REF!),BDI!$E$17,IF(AND(#REF!="Diferenciado",$H$4=#REF!),BDI!#REF!,IF(#REF!="ZERO",0))))),"")</f>
        <v>#REF!</v>
      </c>
      <c r="H1744" s="127" t="str">
        <f t="shared" si="91"/>
        <v/>
      </c>
      <c r="I1744" s="125" t="str">
        <f t="shared" si="92"/>
        <v/>
      </c>
    </row>
    <row r="1745" spans="1:9" hidden="1" x14ac:dyDescent="0.25">
      <c r="A1745" s="103" t="s">
        <v>5380</v>
      </c>
      <c r="B1745" s="104" t="s">
        <v>6472</v>
      </c>
      <c r="C1745" s="105" t="s">
        <v>93</v>
      </c>
      <c r="D1745" s="105">
        <v>0</v>
      </c>
      <c r="E1745" s="124" t="s">
        <v>523</v>
      </c>
      <c r="F1745" s="125" t="str">
        <f t="shared" si="90"/>
        <v/>
      </c>
      <c r="G1745" s="126" t="e">
        <f>IF(A1745&lt;&gt;"",IF(AND(#REF!="Padrão",$H$4=#REF!),BDI!$B$17,IF(AND(#REF!="Padrão",$H$4=#REF!),BDI!#REF!,IF(AND(#REF!="Diferenciado",$H$4=#REF!),BDI!$E$17,IF(AND(#REF!="Diferenciado",$H$4=#REF!),BDI!#REF!,IF(#REF!="ZERO",0))))),"")</f>
        <v>#REF!</v>
      </c>
      <c r="H1745" s="127" t="str">
        <f t="shared" si="91"/>
        <v/>
      </c>
      <c r="I1745" s="125" t="str">
        <f t="shared" si="92"/>
        <v/>
      </c>
    </row>
    <row r="1746" spans="1:9" hidden="1" x14ac:dyDescent="0.25">
      <c r="A1746" s="103" t="s">
        <v>5381</v>
      </c>
      <c r="B1746" s="104" t="s">
        <v>4174</v>
      </c>
      <c r="C1746" s="105" t="s">
        <v>93</v>
      </c>
      <c r="D1746" s="105">
        <v>0</v>
      </c>
      <c r="E1746" s="124" t="s">
        <v>523</v>
      </c>
      <c r="F1746" s="125" t="str">
        <f t="shared" si="90"/>
        <v/>
      </c>
      <c r="G1746" s="126" t="e">
        <f>IF(A1746&lt;&gt;"",IF(AND(#REF!="Padrão",$H$4=#REF!),BDI!$B$17,IF(AND(#REF!="Padrão",$H$4=#REF!),BDI!#REF!,IF(AND(#REF!="Diferenciado",$H$4=#REF!),BDI!$E$17,IF(AND(#REF!="Diferenciado",$H$4=#REF!),BDI!#REF!,IF(#REF!="ZERO",0))))),"")</f>
        <v>#REF!</v>
      </c>
      <c r="H1746" s="127" t="str">
        <f t="shared" si="91"/>
        <v/>
      </c>
      <c r="I1746" s="125" t="str">
        <f t="shared" si="92"/>
        <v/>
      </c>
    </row>
    <row r="1747" spans="1:9" hidden="1" x14ac:dyDescent="0.25">
      <c r="A1747" s="103" t="s">
        <v>5382</v>
      </c>
      <c r="B1747" s="104" t="s">
        <v>4175</v>
      </c>
      <c r="C1747" s="105" t="s">
        <v>93</v>
      </c>
      <c r="D1747" s="105">
        <v>0</v>
      </c>
      <c r="E1747" s="124" t="s">
        <v>523</v>
      </c>
      <c r="F1747" s="125" t="str">
        <f t="shared" si="90"/>
        <v/>
      </c>
      <c r="G1747" s="126" t="e">
        <f>IF(A1747&lt;&gt;"",IF(AND(#REF!="Padrão",$H$4=#REF!),BDI!$B$17,IF(AND(#REF!="Padrão",$H$4=#REF!),BDI!#REF!,IF(AND(#REF!="Diferenciado",$H$4=#REF!),BDI!$E$17,IF(AND(#REF!="Diferenciado",$H$4=#REF!),BDI!#REF!,IF(#REF!="ZERO",0))))),"")</f>
        <v>#REF!</v>
      </c>
      <c r="H1747" s="127" t="str">
        <f t="shared" si="91"/>
        <v/>
      </c>
      <c r="I1747" s="125" t="str">
        <f t="shared" si="92"/>
        <v/>
      </c>
    </row>
    <row r="1748" spans="1:9" hidden="1" x14ac:dyDescent="0.25">
      <c r="A1748" s="103" t="s">
        <v>5383</v>
      </c>
      <c r="B1748" s="104" t="s">
        <v>4176</v>
      </c>
      <c r="C1748" s="105" t="s">
        <v>93</v>
      </c>
      <c r="D1748" s="105">
        <v>0</v>
      </c>
      <c r="E1748" s="124" t="s">
        <v>523</v>
      </c>
      <c r="F1748" s="125" t="str">
        <f t="shared" si="90"/>
        <v/>
      </c>
      <c r="G1748" s="126" t="e">
        <f>IF(A1748&lt;&gt;"",IF(AND(#REF!="Padrão",$H$4=#REF!),BDI!$B$17,IF(AND(#REF!="Padrão",$H$4=#REF!),BDI!#REF!,IF(AND(#REF!="Diferenciado",$H$4=#REF!),BDI!$E$17,IF(AND(#REF!="Diferenciado",$H$4=#REF!),BDI!#REF!,IF(#REF!="ZERO",0))))),"")</f>
        <v>#REF!</v>
      </c>
      <c r="H1748" s="127" t="str">
        <f t="shared" si="91"/>
        <v/>
      </c>
      <c r="I1748" s="125" t="str">
        <f t="shared" si="92"/>
        <v/>
      </c>
    </row>
    <row r="1749" spans="1:9" hidden="1" x14ac:dyDescent="0.25">
      <c r="A1749" s="103" t="s">
        <v>5384</v>
      </c>
      <c r="B1749" s="104" t="s">
        <v>4177</v>
      </c>
      <c r="C1749" s="105" t="s">
        <v>93</v>
      </c>
      <c r="D1749" s="105">
        <v>0</v>
      </c>
      <c r="E1749" s="124" t="s">
        <v>523</v>
      </c>
      <c r="F1749" s="125" t="str">
        <f t="shared" si="90"/>
        <v/>
      </c>
      <c r="G1749" s="126" t="e">
        <f>IF(A1749&lt;&gt;"",IF(AND(#REF!="Padrão",$H$4=#REF!),BDI!$B$17,IF(AND(#REF!="Padrão",$H$4=#REF!),BDI!#REF!,IF(AND(#REF!="Diferenciado",$H$4=#REF!),BDI!$E$17,IF(AND(#REF!="Diferenciado",$H$4=#REF!),BDI!#REF!,IF(#REF!="ZERO",0))))),"")</f>
        <v>#REF!</v>
      </c>
      <c r="H1749" s="127" t="str">
        <f t="shared" si="91"/>
        <v/>
      </c>
      <c r="I1749" s="125" t="str">
        <f t="shared" si="92"/>
        <v/>
      </c>
    </row>
    <row r="1750" spans="1:9" hidden="1" x14ac:dyDescent="0.25">
      <c r="A1750" s="103" t="s">
        <v>5385</v>
      </c>
      <c r="B1750" s="104" t="s">
        <v>4178</v>
      </c>
      <c r="C1750" s="105" t="s">
        <v>93</v>
      </c>
      <c r="D1750" s="105">
        <v>0</v>
      </c>
      <c r="E1750" s="124" t="s">
        <v>523</v>
      </c>
      <c r="F1750" s="125" t="str">
        <f t="shared" si="90"/>
        <v/>
      </c>
      <c r="G1750" s="126" t="e">
        <f>IF(A1750&lt;&gt;"",IF(AND(#REF!="Padrão",$H$4=#REF!),BDI!$B$17,IF(AND(#REF!="Padrão",$H$4=#REF!),BDI!#REF!,IF(AND(#REF!="Diferenciado",$H$4=#REF!),BDI!$E$17,IF(AND(#REF!="Diferenciado",$H$4=#REF!),BDI!#REF!,IF(#REF!="ZERO",0))))),"")</f>
        <v>#REF!</v>
      </c>
      <c r="H1750" s="127" t="str">
        <f t="shared" si="91"/>
        <v/>
      </c>
      <c r="I1750" s="125" t="str">
        <f t="shared" si="92"/>
        <v/>
      </c>
    </row>
    <row r="1751" spans="1:9" hidden="1" x14ac:dyDescent="0.25">
      <c r="A1751" s="103" t="s">
        <v>5386</v>
      </c>
      <c r="B1751" s="104" t="s">
        <v>4179</v>
      </c>
      <c r="C1751" s="105" t="s">
        <v>93</v>
      </c>
      <c r="D1751" s="105">
        <v>0</v>
      </c>
      <c r="E1751" s="124" t="s">
        <v>523</v>
      </c>
      <c r="F1751" s="125" t="str">
        <f t="shared" si="90"/>
        <v/>
      </c>
      <c r="G1751" s="126" t="e">
        <f>IF(A1751&lt;&gt;"",IF(AND(#REF!="Padrão",$H$4=#REF!),BDI!$B$17,IF(AND(#REF!="Padrão",$H$4=#REF!),BDI!#REF!,IF(AND(#REF!="Diferenciado",$H$4=#REF!),BDI!$E$17,IF(AND(#REF!="Diferenciado",$H$4=#REF!),BDI!#REF!,IF(#REF!="ZERO",0))))),"")</f>
        <v>#REF!</v>
      </c>
      <c r="H1751" s="127" t="str">
        <f t="shared" si="91"/>
        <v/>
      </c>
      <c r="I1751" s="125" t="str">
        <f t="shared" si="92"/>
        <v/>
      </c>
    </row>
    <row r="1752" spans="1:9" hidden="1" x14ac:dyDescent="0.25">
      <c r="A1752" s="103" t="s">
        <v>5387</v>
      </c>
      <c r="B1752" s="104" t="s">
        <v>4180</v>
      </c>
      <c r="C1752" s="105" t="s">
        <v>93</v>
      </c>
      <c r="D1752" s="105">
        <v>0</v>
      </c>
      <c r="E1752" s="124" t="s">
        <v>523</v>
      </c>
      <c r="F1752" s="125" t="str">
        <f t="shared" si="90"/>
        <v/>
      </c>
      <c r="G1752" s="126" t="e">
        <f>IF(A1752&lt;&gt;"",IF(AND(#REF!="Padrão",$H$4=#REF!),BDI!$B$17,IF(AND(#REF!="Padrão",$H$4=#REF!),BDI!#REF!,IF(AND(#REF!="Diferenciado",$H$4=#REF!),BDI!$E$17,IF(AND(#REF!="Diferenciado",$H$4=#REF!),BDI!#REF!,IF(#REF!="ZERO",0))))),"")</f>
        <v>#REF!</v>
      </c>
      <c r="H1752" s="127" t="str">
        <f t="shared" si="91"/>
        <v/>
      </c>
      <c r="I1752" s="125" t="str">
        <f t="shared" si="92"/>
        <v/>
      </c>
    </row>
    <row r="1753" spans="1:9" hidden="1" x14ac:dyDescent="0.25">
      <c r="A1753" s="103" t="s">
        <v>5388</v>
      </c>
      <c r="B1753" s="104" t="s">
        <v>4181</v>
      </c>
      <c r="C1753" s="105" t="s">
        <v>93</v>
      </c>
      <c r="D1753" s="105">
        <v>0</v>
      </c>
      <c r="E1753" s="124" t="s">
        <v>523</v>
      </c>
      <c r="F1753" s="125" t="str">
        <f t="shared" si="90"/>
        <v/>
      </c>
      <c r="G1753" s="126" t="e">
        <f>IF(A1753&lt;&gt;"",IF(AND(#REF!="Padrão",$H$4=#REF!),BDI!$B$17,IF(AND(#REF!="Padrão",$H$4=#REF!),BDI!#REF!,IF(AND(#REF!="Diferenciado",$H$4=#REF!),BDI!$E$17,IF(AND(#REF!="Diferenciado",$H$4=#REF!),BDI!#REF!,IF(#REF!="ZERO",0))))),"")</f>
        <v>#REF!</v>
      </c>
      <c r="H1753" s="127" t="str">
        <f t="shared" si="91"/>
        <v/>
      </c>
      <c r="I1753" s="125" t="str">
        <f t="shared" si="92"/>
        <v/>
      </c>
    </row>
    <row r="1754" spans="1:9" hidden="1" x14ac:dyDescent="0.25">
      <c r="A1754" s="103" t="s">
        <v>5389</v>
      </c>
      <c r="B1754" s="104" t="s">
        <v>4182</v>
      </c>
      <c r="C1754" s="105" t="s">
        <v>93</v>
      </c>
      <c r="D1754" s="105">
        <v>0</v>
      </c>
      <c r="E1754" s="124" t="s">
        <v>523</v>
      </c>
      <c r="F1754" s="125" t="str">
        <f t="shared" si="90"/>
        <v/>
      </c>
      <c r="G1754" s="126" t="e">
        <f>IF(A1754&lt;&gt;"",IF(AND(#REF!="Padrão",$H$4=#REF!),BDI!$B$17,IF(AND(#REF!="Padrão",$H$4=#REF!),BDI!#REF!,IF(AND(#REF!="Diferenciado",$H$4=#REF!),BDI!$E$17,IF(AND(#REF!="Diferenciado",$H$4=#REF!),BDI!#REF!,IF(#REF!="ZERO",0))))),"")</f>
        <v>#REF!</v>
      </c>
      <c r="H1754" s="127" t="str">
        <f t="shared" si="91"/>
        <v/>
      </c>
      <c r="I1754" s="125" t="str">
        <f t="shared" si="92"/>
        <v/>
      </c>
    </row>
    <row r="1755" spans="1:9" hidden="1" x14ac:dyDescent="0.25">
      <c r="A1755" s="103" t="s">
        <v>5390</v>
      </c>
      <c r="B1755" s="104" t="s">
        <v>4183</v>
      </c>
      <c r="C1755" s="105" t="s">
        <v>20</v>
      </c>
      <c r="D1755" s="105">
        <v>0</v>
      </c>
      <c r="E1755" s="124" t="s">
        <v>523</v>
      </c>
      <c r="F1755" s="125" t="str">
        <f t="shared" si="90"/>
        <v/>
      </c>
      <c r="G1755" s="126" t="e">
        <f>IF(A1755&lt;&gt;"",IF(AND(#REF!="Padrão",$H$4=#REF!),BDI!$B$17,IF(AND(#REF!="Padrão",$H$4=#REF!),BDI!#REF!,IF(AND(#REF!="Diferenciado",$H$4=#REF!),BDI!$E$17,IF(AND(#REF!="Diferenciado",$H$4=#REF!),BDI!#REF!,IF(#REF!="ZERO",0))))),"")</f>
        <v>#REF!</v>
      </c>
      <c r="H1755" s="127" t="str">
        <f t="shared" si="91"/>
        <v/>
      </c>
      <c r="I1755" s="125" t="str">
        <f t="shared" si="92"/>
        <v/>
      </c>
    </row>
    <row r="1756" spans="1:9" hidden="1" x14ac:dyDescent="0.25">
      <c r="A1756" s="103" t="s">
        <v>5391</v>
      </c>
      <c r="B1756" s="104" t="s">
        <v>4184</v>
      </c>
      <c r="C1756" s="105" t="s">
        <v>20</v>
      </c>
      <c r="D1756" s="105">
        <v>0</v>
      </c>
      <c r="E1756" s="124" t="s">
        <v>523</v>
      </c>
      <c r="F1756" s="125" t="str">
        <f t="shared" si="90"/>
        <v/>
      </c>
      <c r="G1756" s="126" t="e">
        <f>IF(A1756&lt;&gt;"",IF(AND(#REF!="Padrão",$H$4=#REF!),BDI!$B$17,IF(AND(#REF!="Padrão",$H$4=#REF!),BDI!#REF!,IF(AND(#REF!="Diferenciado",$H$4=#REF!),BDI!$E$17,IF(AND(#REF!="Diferenciado",$H$4=#REF!),BDI!#REF!,IF(#REF!="ZERO",0))))),"")</f>
        <v>#REF!</v>
      </c>
      <c r="H1756" s="127" t="str">
        <f t="shared" si="91"/>
        <v/>
      </c>
      <c r="I1756" s="125" t="str">
        <f t="shared" si="92"/>
        <v/>
      </c>
    </row>
    <row r="1757" spans="1:9" hidden="1" x14ac:dyDescent="0.25">
      <c r="A1757" s="103" t="s">
        <v>5392</v>
      </c>
      <c r="B1757" s="104" t="s">
        <v>4185</v>
      </c>
      <c r="C1757" s="105" t="s">
        <v>20</v>
      </c>
      <c r="D1757" s="105">
        <v>0</v>
      </c>
      <c r="E1757" s="124" t="s">
        <v>523</v>
      </c>
      <c r="F1757" s="125" t="str">
        <f t="shared" si="90"/>
        <v/>
      </c>
      <c r="G1757" s="126" t="e">
        <f>IF(A1757&lt;&gt;"",IF(AND(#REF!="Padrão",$H$4=#REF!),BDI!$B$17,IF(AND(#REF!="Padrão",$H$4=#REF!),BDI!#REF!,IF(AND(#REF!="Diferenciado",$H$4=#REF!),BDI!$E$17,IF(AND(#REF!="Diferenciado",$H$4=#REF!),BDI!#REF!,IF(#REF!="ZERO",0))))),"")</f>
        <v>#REF!</v>
      </c>
      <c r="H1757" s="127" t="str">
        <f t="shared" si="91"/>
        <v/>
      </c>
      <c r="I1757" s="125" t="str">
        <f t="shared" si="92"/>
        <v/>
      </c>
    </row>
    <row r="1758" spans="1:9" hidden="1" x14ac:dyDescent="0.25">
      <c r="A1758" s="103" t="s">
        <v>5393</v>
      </c>
      <c r="B1758" s="104" t="s">
        <v>4186</v>
      </c>
      <c r="C1758" s="105" t="s">
        <v>20</v>
      </c>
      <c r="D1758" s="105">
        <v>0</v>
      </c>
      <c r="E1758" s="124" t="s">
        <v>523</v>
      </c>
      <c r="F1758" s="125" t="str">
        <f t="shared" si="90"/>
        <v/>
      </c>
      <c r="G1758" s="126" t="e">
        <f>IF(A1758&lt;&gt;"",IF(AND(#REF!="Padrão",$H$4=#REF!),BDI!$B$17,IF(AND(#REF!="Padrão",$H$4=#REF!),BDI!#REF!,IF(AND(#REF!="Diferenciado",$H$4=#REF!),BDI!$E$17,IF(AND(#REF!="Diferenciado",$H$4=#REF!),BDI!#REF!,IF(#REF!="ZERO",0))))),"")</f>
        <v>#REF!</v>
      </c>
      <c r="H1758" s="127" t="str">
        <f t="shared" si="91"/>
        <v/>
      </c>
      <c r="I1758" s="125" t="str">
        <f t="shared" si="92"/>
        <v/>
      </c>
    </row>
    <row r="1759" spans="1:9" hidden="1" x14ac:dyDescent="0.25">
      <c r="A1759" s="103" t="s">
        <v>5394</v>
      </c>
      <c r="B1759" s="104" t="s">
        <v>4187</v>
      </c>
      <c r="C1759" s="105" t="s">
        <v>20</v>
      </c>
      <c r="D1759" s="105">
        <v>0</v>
      </c>
      <c r="E1759" s="124" t="s">
        <v>523</v>
      </c>
      <c r="F1759" s="125" t="str">
        <f t="shared" si="90"/>
        <v/>
      </c>
      <c r="G1759" s="126" t="e">
        <f>IF(A1759&lt;&gt;"",IF(AND(#REF!="Padrão",$H$4=#REF!),BDI!$B$17,IF(AND(#REF!="Padrão",$H$4=#REF!),BDI!#REF!,IF(AND(#REF!="Diferenciado",$H$4=#REF!),BDI!$E$17,IF(AND(#REF!="Diferenciado",$H$4=#REF!),BDI!#REF!,IF(#REF!="ZERO",0))))),"")</f>
        <v>#REF!</v>
      </c>
      <c r="H1759" s="127" t="str">
        <f t="shared" si="91"/>
        <v/>
      </c>
      <c r="I1759" s="125" t="str">
        <f t="shared" si="92"/>
        <v/>
      </c>
    </row>
    <row r="1760" spans="1:9" hidden="1" x14ac:dyDescent="0.25">
      <c r="A1760" s="103" t="s">
        <v>5395</v>
      </c>
      <c r="B1760" s="104" t="s">
        <v>4188</v>
      </c>
      <c r="C1760" s="105" t="s">
        <v>20</v>
      </c>
      <c r="D1760" s="105">
        <v>0</v>
      </c>
      <c r="E1760" s="124" t="s">
        <v>523</v>
      </c>
      <c r="F1760" s="125" t="str">
        <f t="shared" si="90"/>
        <v/>
      </c>
      <c r="G1760" s="126" t="e">
        <f>IF(A1760&lt;&gt;"",IF(AND(#REF!="Padrão",$H$4=#REF!),BDI!$B$17,IF(AND(#REF!="Padrão",$H$4=#REF!),BDI!#REF!,IF(AND(#REF!="Diferenciado",$H$4=#REF!),BDI!$E$17,IF(AND(#REF!="Diferenciado",$H$4=#REF!),BDI!#REF!,IF(#REF!="ZERO",0))))),"")</f>
        <v>#REF!</v>
      </c>
      <c r="H1760" s="127" t="str">
        <f t="shared" si="91"/>
        <v/>
      </c>
      <c r="I1760" s="125" t="str">
        <f t="shared" si="92"/>
        <v/>
      </c>
    </row>
    <row r="1761" spans="1:9" hidden="1" x14ac:dyDescent="0.25">
      <c r="A1761" s="103" t="s">
        <v>5396</v>
      </c>
      <c r="B1761" s="104" t="s">
        <v>4189</v>
      </c>
      <c r="C1761" s="105" t="s">
        <v>20</v>
      </c>
      <c r="D1761" s="105">
        <v>0</v>
      </c>
      <c r="E1761" s="124" t="s">
        <v>523</v>
      </c>
      <c r="F1761" s="125" t="str">
        <f t="shared" si="90"/>
        <v/>
      </c>
      <c r="G1761" s="126" t="e">
        <f>IF(A1761&lt;&gt;"",IF(AND(#REF!="Padrão",$H$4=#REF!),BDI!$B$17,IF(AND(#REF!="Padrão",$H$4=#REF!),BDI!#REF!,IF(AND(#REF!="Diferenciado",$H$4=#REF!),BDI!$E$17,IF(AND(#REF!="Diferenciado",$H$4=#REF!),BDI!#REF!,IF(#REF!="ZERO",0))))),"")</f>
        <v>#REF!</v>
      </c>
      <c r="H1761" s="127" t="str">
        <f t="shared" si="91"/>
        <v/>
      </c>
      <c r="I1761" s="125" t="str">
        <f t="shared" si="92"/>
        <v/>
      </c>
    </row>
    <row r="1762" spans="1:9" hidden="1" x14ac:dyDescent="0.25">
      <c r="A1762" s="103" t="s">
        <v>5397</v>
      </c>
      <c r="B1762" s="104" t="s">
        <v>4190</v>
      </c>
      <c r="C1762" s="105" t="s">
        <v>20</v>
      </c>
      <c r="D1762" s="105">
        <v>0</v>
      </c>
      <c r="E1762" s="124" t="s">
        <v>523</v>
      </c>
      <c r="F1762" s="125" t="str">
        <f t="shared" si="90"/>
        <v/>
      </c>
      <c r="G1762" s="126" t="e">
        <f>IF(A1762&lt;&gt;"",IF(AND(#REF!="Padrão",$H$4=#REF!),BDI!$B$17,IF(AND(#REF!="Padrão",$H$4=#REF!),BDI!#REF!,IF(AND(#REF!="Diferenciado",$H$4=#REF!),BDI!$E$17,IF(AND(#REF!="Diferenciado",$H$4=#REF!),BDI!#REF!,IF(#REF!="ZERO",0))))),"")</f>
        <v>#REF!</v>
      </c>
      <c r="H1762" s="127" t="str">
        <f t="shared" si="91"/>
        <v/>
      </c>
      <c r="I1762" s="125" t="str">
        <f t="shared" si="92"/>
        <v/>
      </c>
    </row>
    <row r="1763" spans="1:9" hidden="1" x14ac:dyDescent="0.25">
      <c r="A1763" s="103" t="s">
        <v>5398</v>
      </c>
      <c r="B1763" s="104" t="s">
        <v>4191</v>
      </c>
      <c r="C1763" s="105" t="s">
        <v>20</v>
      </c>
      <c r="D1763" s="105">
        <v>0</v>
      </c>
      <c r="E1763" s="124" t="s">
        <v>523</v>
      </c>
      <c r="F1763" s="125" t="str">
        <f t="shared" si="90"/>
        <v/>
      </c>
      <c r="G1763" s="126" t="e">
        <f>IF(A1763&lt;&gt;"",IF(AND(#REF!="Padrão",$H$4=#REF!),BDI!$B$17,IF(AND(#REF!="Padrão",$H$4=#REF!),BDI!#REF!,IF(AND(#REF!="Diferenciado",$H$4=#REF!),BDI!$E$17,IF(AND(#REF!="Diferenciado",$H$4=#REF!),BDI!#REF!,IF(#REF!="ZERO",0))))),"")</f>
        <v>#REF!</v>
      </c>
      <c r="H1763" s="127" t="str">
        <f t="shared" si="91"/>
        <v/>
      </c>
      <c r="I1763" s="125" t="str">
        <f t="shared" si="92"/>
        <v/>
      </c>
    </row>
    <row r="1764" spans="1:9" ht="25.5" hidden="1" x14ac:dyDescent="0.25">
      <c r="A1764" s="103" t="s">
        <v>5399</v>
      </c>
      <c r="B1764" s="104" t="s">
        <v>4192</v>
      </c>
      <c r="C1764" s="105" t="s">
        <v>20</v>
      </c>
      <c r="D1764" s="105">
        <v>0</v>
      </c>
      <c r="E1764" s="124" t="s">
        <v>523</v>
      </c>
      <c r="F1764" s="125" t="str">
        <f t="shared" si="90"/>
        <v/>
      </c>
      <c r="G1764" s="126" t="e">
        <f>IF(A1764&lt;&gt;"",IF(AND(#REF!="Padrão",$H$4=#REF!),BDI!$B$17,IF(AND(#REF!="Padrão",$H$4=#REF!),BDI!#REF!,IF(AND(#REF!="Diferenciado",$H$4=#REF!),BDI!$E$17,IF(AND(#REF!="Diferenciado",$H$4=#REF!),BDI!#REF!,IF(#REF!="ZERO",0))))),"")</f>
        <v>#REF!</v>
      </c>
      <c r="H1764" s="127" t="str">
        <f t="shared" si="91"/>
        <v/>
      </c>
      <c r="I1764" s="125" t="str">
        <f t="shared" si="92"/>
        <v/>
      </c>
    </row>
    <row r="1765" spans="1:9" hidden="1" x14ac:dyDescent="0.25">
      <c r="A1765" s="103" t="s">
        <v>5400</v>
      </c>
      <c r="B1765" s="104" t="s">
        <v>4193</v>
      </c>
      <c r="C1765" s="105" t="s">
        <v>20</v>
      </c>
      <c r="D1765" s="105">
        <v>0</v>
      </c>
      <c r="E1765" s="124" t="s">
        <v>523</v>
      </c>
      <c r="F1765" s="125" t="str">
        <f t="shared" si="90"/>
        <v/>
      </c>
      <c r="G1765" s="126" t="e">
        <f>IF(A1765&lt;&gt;"",IF(AND(#REF!="Padrão",$H$4=#REF!),BDI!$B$17,IF(AND(#REF!="Padrão",$H$4=#REF!),BDI!#REF!,IF(AND(#REF!="Diferenciado",$H$4=#REF!),BDI!$E$17,IF(AND(#REF!="Diferenciado",$H$4=#REF!),BDI!#REF!,IF(#REF!="ZERO",0))))),"")</f>
        <v>#REF!</v>
      </c>
      <c r="H1765" s="127" t="str">
        <f t="shared" si="91"/>
        <v/>
      </c>
      <c r="I1765" s="125" t="str">
        <f t="shared" si="92"/>
        <v/>
      </c>
    </row>
    <row r="1766" spans="1:9" hidden="1" x14ac:dyDescent="0.25">
      <c r="A1766" s="103" t="s">
        <v>5401</v>
      </c>
      <c r="B1766" s="104" t="s">
        <v>4194</v>
      </c>
      <c r="C1766" s="105" t="s">
        <v>20</v>
      </c>
      <c r="D1766" s="105">
        <v>0</v>
      </c>
      <c r="E1766" s="124" t="s">
        <v>523</v>
      </c>
      <c r="F1766" s="125" t="str">
        <f t="shared" si="90"/>
        <v/>
      </c>
      <c r="G1766" s="126" t="e">
        <f>IF(A1766&lt;&gt;"",IF(AND(#REF!="Padrão",$H$4=#REF!),BDI!$B$17,IF(AND(#REF!="Padrão",$H$4=#REF!),BDI!#REF!,IF(AND(#REF!="Diferenciado",$H$4=#REF!),BDI!$E$17,IF(AND(#REF!="Diferenciado",$H$4=#REF!),BDI!#REF!,IF(#REF!="ZERO",0))))),"")</f>
        <v>#REF!</v>
      </c>
      <c r="H1766" s="127" t="str">
        <f t="shared" si="91"/>
        <v/>
      </c>
      <c r="I1766" s="125" t="str">
        <f t="shared" si="92"/>
        <v/>
      </c>
    </row>
    <row r="1767" spans="1:9" hidden="1" x14ac:dyDescent="0.25">
      <c r="A1767" s="103" t="s">
        <v>5402</v>
      </c>
      <c r="B1767" s="104" t="s">
        <v>4195</v>
      </c>
      <c r="C1767" s="105" t="s">
        <v>20</v>
      </c>
      <c r="D1767" s="105">
        <v>0</v>
      </c>
      <c r="E1767" s="124" t="s">
        <v>523</v>
      </c>
      <c r="F1767" s="125" t="str">
        <f t="shared" si="90"/>
        <v/>
      </c>
      <c r="G1767" s="126" t="e">
        <f>IF(A1767&lt;&gt;"",IF(AND(#REF!="Padrão",$H$4=#REF!),BDI!$B$17,IF(AND(#REF!="Padrão",$H$4=#REF!),BDI!#REF!,IF(AND(#REF!="Diferenciado",$H$4=#REF!),BDI!$E$17,IF(AND(#REF!="Diferenciado",$H$4=#REF!),BDI!#REF!,IF(#REF!="ZERO",0))))),"")</f>
        <v>#REF!</v>
      </c>
      <c r="H1767" s="127" t="str">
        <f t="shared" si="91"/>
        <v/>
      </c>
      <c r="I1767" s="125" t="str">
        <f t="shared" si="92"/>
        <v/>
      </c>
    </row>
    <row r="1768" spans="1:9" hidden="1" x14ac:dyDescent="0.25">
      <c r="A1768" s="103" t="s">
        <v>5403</v>
      </c>
      <c r="B1768" s="104" t="s">
        <v>4196</v>
      </c>
      <c r="C1768" s="105" t="s">
        <v>20</v>
      </c>
      <c r="D1768" s="105">
        <v>0</v>
      </c>
      <c r="E1768" s="124" t="s">
        <v>523</v>
      </c>
      <c r="F1768" s="125" t="str">
        <f t="shared" si="90"/>
        <v/>
      </c>
      <c r="G1768" s="126" t="e">
        <f>IF(A1768&lt;&gt;"",IF(AND(#REF!="Padrão",$H$4=#REF!),BDI!$B$17,IF(AND(#REF!="Padrão",$H$4=#REF!),BDI!#REF!,IF(AND(#REF!="Diferenciado",$H$4=#REF!),BDI!$E$17,IF(AND(#REF!="Diferenciado",$H$4=#REF!),BDI!#REF!,IF(#REF!="ZERO",0))))),"")</f>
        <v>#REF!</v>
      </c>
      <c r="H1768" s="127" t="str">
        <f t="shared" si="91"/>
        <v/>
      </c>
      <c r="I1768" s="125" t="str">
        <f t="shared" si="92"/>
        <v/>
      </c>
    </row>
    <row r="1769" spans="1:9" hidden="1" x14ac:dyDescent="0.25">
      <c r="A1769" s="103" t="s">
        <v>5404</v>
      </c>
      <c r="B1769" s="104" t="s">
        <v>4197</v>
      </c>
      <c r="C1769" s="105" t="s">
        <v>20</v>
      </c>
      <c r="D1769" s="105">
        <v>0</v>
      </c>
      <c r="E1769" s="124" t="s">
        <v>523</v>
      </c>
      <c r="F1769" s="125" t="str">
        <f t="shared" si="90"/>
        <v/>
      </c>
      <c r="G1769" s="126" t="e">
        <f>IF(A1769&lt;&gt;"",IF(AND(#REF!="Padrão",$H$4=#REF!),BDI!$B$17,IF(AND(#REF!="Padrão",$H$4=#REF!),BDI!#REF!,IF(AND(#REF!="Diferenciado",$H$4=#REF!),BDI!$E$17,IF(AND(#REF!="Diferenciado",$H$4=#REF!),BDI!#REF!,IF(#REF!="ZERO",0))))),"")</f>
        <v>#REF!</v>
      </c>
      <c r="H1769" s="127" t="str">
        <f t="shared" si="91"/>
        <v/>
      </c>
      <c r="I1769" s="125" t="str">
        <f t="shared" si="92"/>
        <v/>
      </c>
    </row>
    <row r="1770" spans="1:9" hidden="1" x14ac:dyDescent="0.25">
      <c r="A1770" s="103" t="s">
        <v>5405</v>
      </c>
      <c r="B1770" s="104" t="s">
        <v>4198</v>
      </c>
      <c r="C1770" s="105" t="s">
        <v>20</v>
      </c>
      <c r="D1770" s="105">
        <v>0</v>
      </c>
      <c r="E1770" s="124" t="s">
        <v>523</v>
      </c>
      <c r="F1770" s="125" t="str">
        <f t="shared" si="90"/>
        <v/>
      </c>
      <c r="G1770" s="126" t="e">
        <f>IF(A1770&lt;&gt;"",IF(AND(#REF!="Padrão",$H$4=#REF!),BDI!$B$17,IF(AND(#REF!="Padrão",$H$4=#REF!),BDI!#REF!,IF(AND(#REF!="Diferenciado",$H$4=#REF!),BDI!$E$17,IF(AND(#REF!="Diferenciado",$H$4=#REF!),BDI!#REF!,IF(#REF!="ZERO",0))))),"")</f>
        <v>#REF!</v>
      </c>
      <c r="H1770" s="127" t="str">
        <f t="shared" si="91"/>
        <v/>
      </c>
      <c r="I1770" s="125" t="str">
        <f t="shared" si="92"/>
        <v/>
      </c>
    </row>
    <row r="1771" spans="1:9" hidden="1" x14ac:dyDescent="0.25">
      <c r="A1771" s="103" t="s">
        <v>5406</v>
      </c>
      <c r="B1771" s="104" t="s">
        <v>4199</v>
      </c>
      <c r="C1771" s="105" t="s">
        <v>20</v>
      </c>
      <c r="D1771" s="105">
        <v>0</v>
      </c>
      <c r="E1771" s="124" t="s">
        <v>523</v>
      </c>
      <c r="F1771" s="125" t="str">
        <f t="shared" si="90"/>
        <v/>
      </c>
      <c r="G1771" s="126" t="e">
        <f>IF(A1771&lt;&gt;"",IF(AND(#REF!="Padrão",$H$4=#REF!),BDI!$B$17,IF(AND(#REF!="Padrão",$H$4=#REF!),BDI!#REF!,IF(AND(#REF!="Diferenciado",$H$4=#REF!),BDI!$E$17,IF(AND(#REF!="Diferenciado",$H$4=#REF!),BDI!#REF!,IF(#REF!="ZERO",0))))),"")</f>
        <v>#REF!</v>
      </c>
      <c r="H1771" s="127" t="str">
        <f t="shared" si="91"/>
        <v/>
      </c>
      <c r="I1771" s="125" t="str">
        <f t="shared" si="92"/>
        <v/>
      </c>
    </row>
    <row r="1772" spans="1:9" hidden="1" x14ac:dyDescent="0.25">
      <c r="A1772" s="103" t="s">
        <v>5407</v>
      </c>
      <c r="B1772" s="104" t="s">
        <v>4200</v>
      </c>
      <c r="C1772" s="105" t="s">
        <v>20</v>
      </c>
      <c r="D1772" s="105">
        <v>0</v>
      </c>
      <c r="E1772" s="124" t="s">
        <v>523</v>
      </c>
      <c r="F1772" s="125" t="str">
        <f t="shared" si="90"/>
        <v/>
      </c>
      <c r="G1772" s="126" t="e">
        <f>IF(A1772&lt;&gt;"",IF(AND(#REF!="Padrão",$H$4=#REF!),BDI!$B$17,IF(AND(#REF!="Padrão",$H$4=#REF!),BDI!#REF!,IF(AND(#REF!="Diferenciado",$H$4=#REF!),BDI!$E$17,IF(AND(#REF!="Diferenciado",$H$4=#REF!),BDI!#REF!,IF(#REF!="ZERO",0))))),"")</f>
        <v>#REF!</v>
      </c>
      <c r="H1772" s="127" t="str">
        <f t="shared" si="91"/>
        <v/>
      </c>
      <c r="I1772" s="125" t="str">
        <f t="shared" si="92"/>
        <v/>
      </c>
    </row>
    <row r="1773" spans="1:9" hidden="1" x14ac:dyDescent="0.25">
      <c r="A1773" s="103" t="s">
        <v>5408</v>
      </c>
      <c r="B1773" s="104" t="s">
        <v>4201</v>
      </c>
      <c r="C1773" s="105" t="s">
        <v>20</v>
      </c>
      <c r="D1773" s="105">
        <v>0</v>
      </c>
      <c r="E1773" s="124" t="s">
        <v>523</v>
      </c>
      <c r="F1773" s="125" t="str">
        <f t="shared" ref="F1773:F1836" si="93">IF(ISNUMBER(E1773),D1773*E1773,"")</f>
        <v/>
      </c>
      <c r="G1773" s="126" t="e">
        <f>IF(A1773&lt;&gt;"",IF(AND(#REF!="Padrão",$H$4=#REF!),BDI!$B$17,IF(AND(#REF!="Padrão",$H$4=#REF!),BDI!#REF!,IF(AND(#REF!="Diferenciado",$H$4=#REF!),BDI!$E$17,IF(AND(#REF!="Diferenciado",$H$4=#REF!),BDI!#REF!,IF(#REF!="ZERO",0))))),"")</f>
        <v>#REF!</v>
      </c>
      <c r="H1773" s="127" t="str">
        <f t="shared" ref="H1773:H1836" si="94">IF(ISNUMBER(E1773),ROUND(E1773*(1+G1773),2),"")</f>
        <v/>
      </c>
      <c r="I1773" s="125" t="str">
        <f t="shared" ref="I1773:I1836" si="95">IF(ISNUMBER(E1773),ROUND(H1773*D1773,2),"")</f>
        <v/>
      </c>
    </row>
    <row r="1774" spans="1:9" ht="25.5" hidden="1" x14ac:dyDescent="0.25">
      <c r="A1774" s="103" t="s">
        <v>5409</v>
      </c>
      <c r="B1774" s="104" t="s">
        <v>4202</v>
      </c>
      <c r="C1774" s="105" t="s">
        <v>20</v>
      </c>
      <c r="D1774" s="105">
        <v>0</v>
      </c>
      <c r="E1774" s="124" t="s">
        <v>523</v>
      </c>
      <c r="F1774" s="125" t="str">
        <f t="shared" si="93"/>
        <v/>
      </c>
      <c r="G1774" s="126" t="e">
        <f>IF(A1774&lt;&gt;"",IF(AND(#REF!="Padrão",$H$4=#REF!),BDI!$B$17,IF(AND(#REF!="Padrão",$H$4=#REF!),BDI!#REF!,IF(AND(#REF!="Diferenciado",$H$4=#REF!),BDI!$E$17,IF(AND(#REF!="Diferenciado",$H$4=#REF!),BDI!#REF!,IF(#REF!="ZERO",0))))),"")</f>
        <v>#REF!</v>
      </c>
      <c r="H1774" s="127" t="str">
        <f t="shared" si="94"/>
        <v/>
      </c>
      <c r="I1774" s="125" t="str">
        <f t="shared" si="95"/>
        <v/>
      </c>
    </row>
    <row r="1775" spans="1:9" hidden="1" x14ac:dyDescent="0.25">
      <c r="A1775" s="103" t="s">
        <v>5410</v>
      </c>
      <c r="B1775" s="104" t="s">
        <v>4203</v>
      </c>
      <c r="C1775" s="105" t="s">
        <v>20</v>
      </c>
      <c r="D1775" s="105">
        <v>0</v>
      </c>
      <c r="E1775" s="124" t="s">
        <v>523</v>
      </c>
      <c r="F1775" s="125" t="str">
        <f t="shared" si="93"/>
        <v/>
      </c>
      <c r="G1775" s="126" t="e">
        <f>IF(A1775&lt;&gt;"",IF(AND(#REF!="Padrão",$H$4=#REF!),BDI!$B$17,IF(AND(#REF!="Padrão",$H$4=#REF!),BDI!#REF!,IF(AND(#REF!="Diferenciado",$H$4=#REF!),BDI!$E$17,IF(AND(#REF!="Diferenciado",$H$4=#REF!),BDI!#REF!,IF(#REF!="ZERO",0))))),"")</f>
        <v>#REF!</v>
      </c>
      <c r="H1775" s="127" t="str">
        <f t="shared" si="94"/>
        <v/>
      </c>
      <c r="I1775" s="125" t="str">
        <f t="shared" si="95"/>
        <v/>
      </c>
    </row>
    <row r="1776" spans="1:9" hidden="1" x14ac:dyDescent="0.25">
      <c r="A1776" s="103" t="s">
        <v>5411</v>
      </c>
      <c r="B1776" s="104" t="s">
        <v>4204</v>
      </c>
      <c r="C1776" s="105" t="s">
        <v>20</v>
      </c>
      <c r="D1776" s="105">
        <v>0</v>
      </c>
      <c r="E1776" s="124" t="s">
        <v>523</v>
      </c>
      <c r="F1776" s="125" t="str">
        <f t="shared" si="93"/>
        <v/>
      </c>
      <c r="G1776" s="126" t="e">
        <f>IF(A1776&lt;&gt;"",IF(AND(#REF!="Padrão",$H$4=#REF!),BDI!$B$17,IF(AND(#REF!="Padrão",$H$4=#REF!),BDI!#REF!,IF(AND(#REF!="Diferenciado",$H$4=#REF!),BDI!$E$17,IF(AND(#REF!="Diferenciado",$H$4=#REF!),BDI!#REF!,IF(#REF!="ZERO",0))))),"")</f>
        <v>#REF!</v>
      </c>
      <c r="H1776" s="127" t="str">
        <f t="shared" si="94"/>
        <v/>
      </c>
      <c r="I1776" s="125" t="str">
        <f t="shared" si="95"/>
        <v/>
      </c>
    </row>
    <row r="1777" spans="1:9" hidden="1" x14ac:dyDescent="0.25">
      <c r="A1777" s="103" t="s">
        <v>5412</v>
      </c>
      <c r="B1777" s="104" t="s">
        <v>4205</v>
      </c>
      <c r="C1777" s="105" t="s">
        <v>20</v>
      </c>
      <c r="D1777" s="105">
        <v>0</v>
      </c>
      <c r="E1777" s="124" t="s">
        <v>523</v>
      </c>
      <c r="F1777" s="125" t="str">
        <f t="shared" si="93"/>
        <v/>
      </c>
      <c r="G1777" s="126" t="e">
        <f>IF(A1777&lt;&gt;"",IF(AND(#REF!="Padrão",$H$4=#REF!),BDI!$B$17,IF(AND(#REF!="Padrão",$H$4=#REF!),BDI!#REF!,IF(AND(#REF!="Diferenciado",$H$4=#REF!),BDI!$E$17,IF(AND(#REF!="Diferenciado",$H$4=#REF!),BDI!#REF!,IF(#REF!="ZERO",0))))),"")</f>
        <v>#REF!</v>
      </c>
      <c r="H1777" s="127" t="str">
        <f t="shared" si="94"/>
        <v/>
      </c>
      <c r="I1777" s="125" t="str">
        <f t="shared" si="95"/>
        <v/>
      </c>
    </row>
    <row r="1778" spans="1:9" hidden="1" x14ac:dyDescent="0.25">
      <c r="A1778" s="103" t="s">
        <v>5413</v>
      </c>
      <c r="B1778" s="104" t="s">
        <v>4206</v>
      </c>
      <c r="C1778" s="105" t="s">
        <v>20</v>
      </c>
      <c r="D1778" s="105">
        <v>0</v>
      </c>
      <c r="E1778" s="124" t="s">
        <v>523</v>
      </c>
      <c r="F1778" s="125" t="str">
        <f t="shared" si="93"/>
        <v/>
      </c>
      <c r="G1778" s="126" t="e">
        <f>IF(A1778&lt;&gt;"",IF(AND(#REF!="Padrão",$H$4=#REF!),BDI!$B$17,IF(AND(#REF!="Padrão",$H$4=#REF!),BDI!#REF!,IF(AND(#REF!="Diferenciado",$H$4=#REF!),BDI!$E$17,IF(AND(#REF!="Diferenciado",$H$4=#REF!),BDI!#REF!,IF(#REF!="ZERO",0))))),"")</f>
        <v>#REF!</v>
      </c>
      <c r="H1778" s="127" t="str">
        <f t="shared" si="94"/>
        <v/>
      </c>
      <c r="I1778" s="125" t="str">
        <f t="shared" si="95"/>
        <v/>
      </c>
    </row>
    <row r="1779" spans="1:9" hidden="1" x14ac:dyDescent="0.25">
      <c r="A1779" s="103" t="s">
        <v>5414</v>
      </c>
      <c r="B1779" s="104" t="s">
        <v>4207</v>
      </c>
      <c r="C1779" s="105" t="s">
        <v>20</v>
      </c>
      <c r="D1779" s="105">
        <v>0</v>
      </c>
      <c r="E1779" s="124" t="s">
        <v>523</v>
      </c>
      <c r="F1779" s="125" t="str">
        <f t="shared" si="93"/>
        <v/>
      </c>
      <c r="G1779" s="126" t="e">
        <f>IF(A1779&lt;&gt;"",IF(AND(#REF!="Padrão",$H$4=#REF!),BDI!$B$17,IF(AND(#REF!="Padrão",$H$4=#REF!),BDI!#REF!,IF(AND(#REF!="Diferenciado",$H$4=#REF!),BDI!$E$17,IF(AND(#REF!="Diferenciado",$H$4=#REF!),BDI!#REF!,IF(#REF!="ZERO",0))))),"")</f>
        <v>#REF!</v>
      </c>
      <c r="H1779" s="127" t="str">
        <f t="shared" si="94"/>
        <v/>
      </c>
      <c r="I1779" s="125" t="str">
        <f t="shared" si="95"/>
        <v/>
      </c>
    </row>
    <row r="1780" spans="1:9" hidden="1" x14ac:dyDescent="0.25">
      <c r="A1780" s="103" t="s">
        <v>5415</v>
      </c>
      <c r="B1780" s="104" t="s">
        <v>4208</v>
      </c>
      <c r="C1780" s="105" t="s">
        <v>20</v>
      </c>
      <c r="D1780" s="105">
        <v>0</v>
      </c>
      <c r="E1780" s="124" t="s">
        <v>523</v>
      </c>
      <c r="F1780" s="125" t="str">
        <f t="shared" si="93"/>
        <v/>
      </c>
      <c r="G1780" s="126" t="e">
        <f>IF(A1780&lt;&gt;"",IF(AND(#REF!="Padrão",$H$4=#REF!),BDI!$B$17,IF(AND(#REF!="Padrão",$H$4=#REF!),BDI!#REF!,IF(AND(#REF!="Diferenciado",$H$4=#REF!),BDI!$E$17,IF(AND(#REF!="Diferenciado",$H$4=#REF!),BDI!#REF!,IF(#REF!="ZERO",0))))),"")</f>
        <v>#REF!</v>
      </c>
      <c r="H1780" s="127" t="str">
        <f t="shared" si="94"/>
        <v/>
      </c>
      <c r="I1780" s="125" t="str">
        <f t="shared" si="95"/>
        <v/>
      </c>
    </row>
    <row r="1781" spans="1:9" hidden="1" x14ac:dyDescent="0.25">
      <c r="A1781" s="103" t="s">
        <v>5416</v>
      </c>
      <c r="B1781" s="104" t="s">
        <v>4209</v>
      </c>
      <c r="C1781" s="105" t="s">
        <v>20</v>
      </c>
      <c r="D1781" s="105">
        <v>0</v>
      </c>
      <c r="E1781" s="124" t="s">
        <v>523</v>
      </c>
      <c r="F1781" s="125" t="str">
        <f t="shared" si="93"/>
        <v/>
      </c>
      <c r="G1781" s="126" t="e">
        <f>IF(A1781&lt;&gt;"",IF(AND(#REF!="Padrão",$H$4=#REF!),BDI!$B$17,IF(AND(#REF!="Padrão",$H$4=#REF!),BDI!#REF!,IF(AND(#REF!="Diferenciado",$H$4=#REF!),BDI!$E$17,IF(AND(#REF!="Diferenciado",$H$4=#REF!),BDI!#REF!,IF(#REF!="ZERO",0))))),"")</f>
        <v>#REF!</v>
      </c>
      <c r="H1781" s="127" t="str">
        <f t="shared" si="94"/>
        <v/>
      </c>
      <c r="I1781" s="125" t="str">
        <f t="shared" si="95"/>
        <v/>
      </c>
    </row>
    <row r="1782" spans="1:9" hidden="1" x14ac:dyDescent="0.25">
      <c r="A1782" s="103" t="s">
        <v>5417</v>
      </c>
      <c r="B1782" s="104" t="s">
        <v>4210</v>
      </c>
      <c r="C1782" s="105" t="s">
        <v>20</v>
      </c>
      <c r="D1782" s="105">
        <v>0</v>
      </c>
      <c r="E1782" s="124" t="s">
        <v>523</v>
      </c>
      <c r="F1782" s="125" t="str">
        <f t="shared" si="93"/>
        <v/>
      </c>
      <c r="G1782" s="126" t="e">
        <f>IF(A1782&lt;&gt;"",IF(AND(#REF!="Padrão",$H$4=#REF!),BDI!$B$17,IF(AND(#REF!="Padrão",$H$4=#REF!),BDI!#REF!,IF(AND(#REF!="Diferenciado",$H$4=#REF!),BDI!$E$17,IF(AND(#REF!="Diferenciado",$H$4=#REF!),BDI!#REF!,IF(#REF!="ZERO",0))))),"")</f>
        <v>#REF!</v>
      </c>
      <c r="H1782" s="127" t="str">
        <f t="shared" si="94"/>
        <v/>
      </c>
      <c r="I1782" s="125" t="str">
        <f t="shared" si="95"/>
        <v/>
      </c>
    </row>
    <row r="1783" spans="1:9" hidden="1" x14ac:dyDescent="0.25">
      <c r="A1783" s="103" t="s">
        <v>5418</v>
      </c>
      <c r="B1783" s="104" t="s">
        <v>4211</v>
      </c>
      <c r="C1783" s="105" t="s">
        <v>20</v>
      </c>
      <c r="D1783" s="105">
        <v>0</v>
      </c>
      <c r="E1783" s="124" t="s">
        <v>523</v>
      </c>
      <c r="F1783" s="125" t="str">
        <f t="shared" si="93"/>
        <v/>
      </c>
      <c r="G1783" s="126" t="e">
        <f>IF(A1783&lt;&gt;"",IF(AND(#REF!="Padrão",$H$4=#REF!),BDI!$B$17,IF(AND(#REF!="Padrão",$H$4=#REF!),BDI!#REF!,IF(AND(#REF!="Diferenciado",$H$4=#REF!),BDI!$E$17,IF(AND(#REF!="Diferenciado",$H$4=#REF!),BDI!#REF!,IF(#REF!="ZERO",0))))),"")</f>
        <v>#REF!</v>
      </c>
      <c r="H1783" s="127" t="str">
        <f t="shared" si="94"/>
        <v/>
      </c>
      <c r="I1783" s="125" t="str">
        <f t="shared" si="95"/>
        <v/>
      </c>
    </row>
    <row r="1784" spans="1:9" hidden="1" x14ac:dyDescent="0.25">
      <c r="A1784" s="103" t="s">
        <v>5419</v>
      </c>
      <c r="B1784" s="104" t="s">
        <v>4212</v>
      </c>
      <c r="C1784" s="105" t="s">
        <v>20</v>
      </c>
      <c r="D1784" s="105">
        <v>0</v>
      </c>
      <c r="E1784" s="124" t="s">
        <v>523</v>
      </c>
      <c r="F1784" s="125" t="str">
        <f t="shared" si="93"/>
        <v/>
      </c>
      <c r="G1784" s="126" t="e">
        <f>IF(A1784&lt;&gt;"",IF(AND(#REF!="Padrão",$H$4=#REF!),BDI!$B$17,IF(AND(#REF!="Padrão",$H$4=#REF!),BDI!#REF!,IF(AND(#REF!="Diferenciado",$H$4=#REF!),BDI!$E$17,IF(AND(#REF!="Diferenciado",$H$4=#REF!),BDI!#REF!,IF(#REF!="ZERO",0))))),"")</f>
        <v>#REF!</v>
      </c>
      <c r="H1784" s="127" t="str">
        <f t="shared" si="94"/>
        <v/>
      </c>
      <c r="I1784" s="125" t="str">
        <f t="shared" si="95"/>
        <v/>
      </c>
    </row>
    <row r="1785" spans="1:9" hidden="1" x14ac:dyDescent="0.25">
      <c r="A1785" s="103" t="s">
        <v>5420</v>
      </c>
      <c r="B1785" s="104" t="s">
        <v>4213</v>
      </c>
      <c r="C1785" s="105" t="s">
        <v>20</v>
      </c>
      <c r="D1785" s="105">
        <v>0</v>
      </c>
      <c r="E1785" s="124" t="s">
        <v>523</v>
      </c>
      <c r="F1785" s="125" t="str">
        <f t="shared" si="93"/>
        <v/>
      </c>
      <c r="G1785" s="126" t="e">
        <f>IF(A1785&lt;&gt;"",IF(AND(#REF!="Padrão",$H$4=#REF!),BDI!$B$17,IF(AND(#REF!="Padrão",$H$4=#REF!),BDI!#REF!,IF(AND(#REF!="Diferenciado",$H$4=#REF!),BDI!$E$17,IF(AND(#REF!="Diferenciado",$H$4=#REF!),BDI!#REF!,IF(#REF!="ZERO",0))))),"")</f>
        <v>#REF!</v>
      </c>
      <c r="H1785" s="127" t="str">
        <f t="shared" si="94"/>
        <v/>
      </c>
      <c r="I1785" s="125" t="str">
        <f t="shared" si="95"/>
        <v/>
      </c>
    </row>
    <row r="1786" spans="1:9" hidden="1" x14ac:dyDescent="0.25">
      <c r="A1786" s="103" t="s">
        <v>5421</v>
      </c>
      <c r="B1786" s="104" t="s">
        <v>4214</v>
      </c>
      <c r="C1786" s="105" t="s">
        <v>20</v>
      </c>
      <c r="D1786" s="105">
        <v>0</v>
      </c>
      <c r="E1786" s="124" t="s">
        <v>523</v>
      </c>
      <c r="F1786" s="125" t="str">
        <f t="shared" si="93"/>
        <v/>
      </c>
      <c r="G1786" s="126" t="e">
        <f>IF(A1786&lt;&gt;"",IF(AND(#REF!="Padrão",$H$4=#REF!),BDI!$B$17,IF(AND(#REF!="Padrão",$H$4=#REF!),BDI!#REF!,IF(AND(#REF!="Diferenciado",$H$4=#REF!),BDI!$E$17,IF(AND(#REF!="Diferenciado",$H$4=#REF!),BDI!#REF!,IF(#REF!="ZERO",0))))),"")</f>
        <v>#REF!</v>
      </c>
      <c r="H1786" s="127" t="str">
        <f t="shared" si="94"/>
        <v/>
      </c>
      <c r="I1786" s="125" t="str">
        <f t="shared" si="95"/>
        <v/>
      </c>
    </row>
    <row r="1787" spans="1:9" hidden="1" x14ac:dyDescent="0.25">
      <c r="A1787" s="103" t="s">
        <v>5422</v>
      </c>
      <c r="B1787" s="104" t="s">
        <v>4215</v>
      </c>
      <c r="C1787" s="105" t="s">
        <v>20</v>
      </c>
      <c r="D1787" s="105">
        <v>0</v>
      </c>
      <c r="E1787" s="124" t="s">
        <v>523</v>
      </c>
      <c r="F1787" s="125" t="str">
        <f t="shared" si="93"/>
        <v/>
      </c>
      <c r="G1787" s="126" t="e">
        <f>IF(A1787&lt;&gt;"",IF(AND(#REF!="Padrão",$H$4=#REF!),BDI!$B$17,IF(AND(#REF!="Padrão",$H$4=#REF!),BDI!#REF!,IF(AND(#REF!="Diferenciado",$H$4=#REF!),BDI!$E$17,IF(AND(#REF!="Diferenciado",$H$4=#REF!),BDI!#REF!,IF(#REF!="ZERO",0))))),"")</f>
        <v>#REF!</v>
      </c>
      <c r="H1787" s="127" t="str">
        <f t="shared" si="94"/>
        <v/>
      </c>
      <c r="I1787" s="125" t="str">
        <f t="shared" si="95"/>
        <v/>
      </c>
    </row>
    <row r="1788" spans="1:9" hidden="1" x14ac:dyDescent="0.25">
      <c r="A1788" s="103" t="s">
        <v>5423</v>
      </c>
      <c r="B1788" s="104" t="s">
        <v>4216</v>
      </c>
      <c r="C1788" s="105" t="s">
        <v>20</v>
      </c>
      <c r="D1788" s="105">
        <v>0</v>
      </c>
      <c r="E1788" s="124" t="s">
        <v>523</v>
      </c>
      <c r="F1788" s="125" t="str">
        <f t="shared" si="93"/>
        <v/>
      </c>
      <c r="G1788" s="126" t="e">
        <f>IF(A1788&lt;&gt;"",IF(AND(#REF!="Padrão",$H$4=#REF!),BDI!$B$17,IF(AND(#REF!="Padrão",$H$4=#REF!),BDI!#REF!,IF(AND(#REF!="Diferenciado",$H$4=#REF!),BDI!$E$17,IF(AND(#REF!="Diferenciado",$H$4=#REF!),BDI!#REF!,IF(#REF!="ZERO",0))))),"")</f>
        <v>#REF!</v>
      </c>
      <c r="H1788" s="127" t="str">
        <f t="shared" si="94"/>
        <v/>
      </c>
      <c r="I1788" s="125" t="str">
        <f t="shared" si="95"/>
        <v/>
      </c>
    </row>
    <row r="1789" spans="1:9" hidden="1" x14ac:dyDescent="0.25">
      <c r="A1789" s="103" t="s">
        <v>5424</v>
      </c>
      <c r="B1789" s="104" t="s">
        <v>4217</v>
      </c>
      <c r="C1789" s="105" t="s">
        <v>20</v>
      </c>
      <c r="D1789" s="105">
        <v>0</v>
      </c>
      <c r="E1789" s="124" t="s">
        <v>523</v>
      </c>
      <c r="F1789" s="125" t="str">
        <f t="shared" si="93"/>
        <v/>
      </c>
      <c r="G1789" s="126" t="e">
        <f>IF(A1789&lt;&gt;"",IF(AND(#REF!="Padrão",$H$4=#REF!),BDI!$B$17,IF(AND(#REF!="Padrão",$H$4=#REF!),BDI!#REF!,IF(AND(#REF!="Diferenciado",$H$4=#REF!),BDI!$E$17,IF(AND(#REF!="Diferenciado",$H$4=#REF!),BDI!#REF!,IF(#REF!="ZERO",0))))),"")</f>
        <v>#REF!</v>
      </c>
      <c r="H1789" s="127" t="str">
        <f t="shared" si="94"/>
        <v/>
      </c>
      <c r="I1789" s="125" t="str">
        <f t="shared" si="95"/>
        <v/>
      </c>
    </row>
    <row r="1790" spans="1:9" hidden="1" x14ac:dyDescent="0.25">
      <c r="A1790" s="103" t="s">
        <v>5425</v>
      </c>
      <c r="B1790" s="104" t="s">
        <v>4218</v>
      </c>
      <c r="C1790" s="105" t="s">
        <v>20</v>
      </c>
      <c r="D1790" s="105">
        <v>0</v>
      </c>
      <c r="E1790" s="124" t="s">
        <v>523</v>
      </c>
      <c r="F1790" s="125" t="str">
        <f t="shared" si="93"/>
        <v/>
      </c>
      <c r="G1790" s="126" t="e">
        <f>IF(A1790&lt;&gt;"",IF(AND(#REF!="Padrão",$H$4=#REF!),BDI!$B$17,IF(AND(#REF!="Padrão",$H$4=#REF!),BDI!#REF!,IF(AND(#REF!="Diferenciado",$H$4=#REF!),BDI!$E$17,IF(AND(#REF!="Diferenciado",$H$4=#REF!),BDI!#REF!,IF(#REF!="ZERO",0))))),"")</f>
        <v>#REF!</v>
      </c>
      <c r="H1790" s="127" t="str">
        <f t="shared" si="94"/>
        <v/>
      </c>
      <c r="I1790" s="125" t="str">
        <f t="shared" si="95"/>
        <v/>
      </c>
    </row>
    <row r="1791" spans="1:9" hidden="1" x14ac:dyDescent="0.25">
      <c r="A1791" s="103" t="s">
        <v>5426</v>
      </c>
      <c r="B1791" s="104" t="s">
        <v>4219</v>
      </c>
      <c r="C1791" s="105" t="s">
        <v>20</v>
      </c>
      <c r="D1791" s="105">
        <v>0</v>
      </c>
      <c r="E1791" s="124" t="s">
        <v>523</v>
      </c>
      <c r="F1791" s="125" t="str">
        <f t="shared" si="93"/>
        <v/>
      </c>
      <c r="G1791" s="126" t="e">
        <f>IF(A1791&lt;&gt;"",IF(AND(#REF!="Padrão",$H$4=#REF!),BDI!$B$17,IF(AND(#REF!="Padrão",$H$4=#REF!),BDI!#REF!,IF(AND(#REF!="Diferenciado",$H$4=#REF!),BDI!$E$17,IF(AND(#REF!="Diferenciado",$H$4=#REF!),BDI!#REF!,IF(#REF!="ZERO",0))))),"")</f>
        <v>#REF!</v>
      </c>
      <c r="H1791" s="127" t="str">
        <f t="shared" si="94"/>
        <v/>
      </c>
      <c r="I1791" s="125" t="str">
        <f t="shared" si="95"/>
        <v/>
      </c>
    </row>
    <row r="1792" spans="1:9" hidden="1" x14ac:dyDescent="0.25">
      <c r="A1792" s="103" t="s">
        <v>5427</v>
      </c>
      <c r="B1792" s="104" t="s">
        <v>4220</v>
      </c>
      <c r="C1792" s="105" t="s">
        <v>20</v>
      </c>
      <c r="D1792" s="105">
        <v>0</v>
      </c>
      <c r="E1792" s="124" t="s">
        <v>523</v>
      </c>
      <c r="F1792" s="125" t="str">
        <f t="shared" si="93"/>
        <v/>
      </c>
      <c r="G1792" s="126" t="e">
        <f>IF(A1792&lt;&gt;"",IF(AND(#REF!="Padrão",$H$4=#REF!),BDI!$B$17,IF(AND(#REF!="Padrão",$H$4=#REF!),BDI!#REF!,IF(AND(#REF!="Diferenciado",$H$4=#REF!),BDI!$E$17,IF(AND(#REF!="Diferenciado",$H$4=#REF!),BDI!#REF!,IF(#REF!="ZERO",0))))),"")</f>
        <v>#REF!</v>
      </c>
      <c r="H1792" s="127" t="str">
        <f t="shared" si="94"/>
        <v/>
      </c>
      <c r="I1792" s="125" t="str">
        <f t="shared" si="95"/>
        <v/>
      </c>
    </row>
    <row r="1793" spans="1:9" hidden="1" x14ac:dyDescent="0.25">
      <c r="A1793" s="103" t="s">
        <v>5428</v>
      </c>
      <c r="B1793" s="104" t="s">
        <v>4221</v>
      </c>
      <c r="C1793" s="105" t="s">
        <v>20</v>
      </c>
      <c r="D1793" s="105">
        <v>0</v>
      </c>
      <c r="E1793" s="124" t="s">
        <v>523</v>
      </c>
      <c r="F1793" s="125" t="str">
        <f t="shared" si="93"/>
        <v/>
      </c>
      <c r="G1793" s="126" t="e">
        <f>IF(A1793&lt;&gt;"",IF(AND(#REF!="Padrão",$H$4=#REF!),BDI!$B$17,IF(AND(#REF!="Padrão",$H$4=#REF!),BDI!#REF!,IF(AND(#REF!="Diferenciado",$H$4=#REF!),BDI!$E$17,IF(AND(#REF!="Diferenciado",$H$4=#REF!),BDI!#REF!,IF(#REF!="ZERO",0))))),"")</f>
        <v>#REF!</v>
      </c>
      <c r="H1793" s="127" t="str">
        <f t="shared" si="94"/>
        <v/>
      </c>
      <c r="I1793" s="125" t="str">
        <f t="shared" si="95"/>
        <v/>
      </c>
    </row>
    <row r="1794" spans="1:9" hidden="1" x14ac:dyDescent="0.25">
      <c r="A1794" s="103" t="s">
        <v>5429</v>
      </c>
      <c r="B1794" s="104" t="s">
        <v>4222</v>
      </c>
      <c r="C1794" s="105" t="s">
        <v>20</v>
      </c>
      <c r="D1794" s="105">
        <v>0</v>
      </c>
      <c r="E1794" s="124" t="s">
        <v>523</v>
      </c>
      <c r="F1794" s="125" t="str">
        <f t="shared" si="93"/>
        <v/>
      </c>
      <c r="G1794" s="126" t="e">
        <f>IF(A1794&lt;&gt;"",IF(AND(#REF!="Padrão",$H$4=#REF!),BDI!$B$17,IF(AND(#REF!="Padrão",$H$4=#REF!),BDI!#REF!,IF(AND(#REF!="Diferenciado",$H$4=#REF!),BDI!$E$17,IF(AND(#REF!="Diferenciado",$H$4=#REF!),BDI!#REF!,IF(#REF!="ZERO",0))))),"")</f>
        <v>#REF!</v>
      </c>
      <c r="H1794" s="127" t="str">
        <f t="shared" si="94"/>
        <v/>
      </c>
      <c r="I1794" s="125" t="str">
        <f t="shared" si="95"/>
        <v/>
      </c>
    </row>
    <row r="1795" spans="1:9" hidden="1" x14ac:dyDescent="0.25">
      <c r="A1795" s="103" t="s">
        <v>5430</v>
      </c>
      <c r="B1795" s="104" t="s">
        <v>4223</v>
      </c>
      <c r="C1795" s="105" t="s">
        <v>20</v>
      </c>
      <c r="D1795" s="105">
        <v>0</v>
      </c>
      <c r="E1795" s="124" t="s">
        <v>523</v>
      </c>
      <c r="F1795" s="125" t="str">
        <f t="shared" si="93"/>
        <v/>
      </c>
      <c r="G1795" s="126" t="e">
        <f>IF(A1795&lt;&gt;"",IF(AND(#REF!="Padrão",$H$4=#REF!),BDI!$B$17,IF(AND(#REF!="Padrão",$H$4=#REF!),BDI!#REF!,IF(AND(#REF!="Diferenciado",$H$4=#REF!),BDI!$E$17,IF(AND(#REF!="Diferenciado",$H$4=#REF!),BDI!#REF!,IF(#REF!="ZERO",0))))),"")</f>
        <v>#REF!</v>
      </c>
      <c r="H1795" s="127" t="str">
        <f t="shared" si="94"/>
        <v/>
      </c>
      <c r="I1795" s="125" t="str">
        <f t="shared" si="95"/>
        <v/>
      </c>
    </row>
    <row r="1796" spans="1:9" hidden="1" x14ac:dyDescent="0.25">
      <c r="A1796" s="103" t="s">
        <v>5431</v>
      </c>
      <c r="B1796" s="104" t="s">
        <v>4224</v>
      </c>
      <c r="C1796" s="105" t="s">
        <v>20</v>
      </c>
      <c r="D1796" s="105">
        <v>0</v>
      </c>
      <c r="E1796" s="124" t="s">
        <v>523</v>
      </c>
      <c r="F1796" s="125" t="str">
        <f t="shared" si="93"/>
        <v/>
      </c>
      <c r="G1796" s="126" t="e">
        <f>IF(A1796&lt;&gt;"",IF(AND(#REF!="Padrão",$H$4=#REF!),BDI!$B$17,IF(AND(#REF!="Padrão",$H$4=#REF!),BDI!#REF!,IF(AND(#REF!="Diferenciado",$H$4=#REF!),BDI!$E$17,IF(AND(#REF!="Diferenciado",$H$4=#REF!),BDI!#REF!,IF(#REF!="ZERO",0))))),"")</f>
        <v>#REF!</v>
      </c>
      <c r="H1796" s="127" t="str">
        <f t="shared" si="94"/>
        <v/>
      </c>
      <c r="I1796" s="125" t="str">
        <f t="shared" si="95"/>
        <v/>
      </c>
    </row>
    <row r="1797" spans="1:9" hidden="1" x14ac:dyDescent="0.25">
      <c r="A1797" s="103" t="s">
        <v>5432</v>
      </c>
      <c r="B1797" s="104" t="s">
        <v>4225</v>
      </c>
      <c r="C1797" s="105" t="s">
        <v>20</v>
      </c>
      <c r="D1797" s="105">
        <v>0</v>
      </c>
      <c r="E1797" s="124" t="s">
        <v>523</v>
      </c>
      <c r="F1797" s="125" t="str">
        <f t="shared" si="93"/>
        <v/>
      </c>
      <c r="G1797" s="126" t="e">
        <f>IF(A1797&lt;&gt;"",IF(AND(#REF!="Padrão",$H$4=#REF!),BDI!$B$17,IF(AND(#REF!="Padrão",$H$4=#REF!),BDI!#REF!,IF(AND(#REF!="Diferenciado",$H$4=#REF!),BDI!$E$17,IF(AND(#REF!="Diferenciado",$H$4=#REF!),BDI!#REF!,IF(#REF!="ZERO",0))))),"")</f>
        <v>#REF!</v>
      </c>
      <c r="H1797" s="127" t="str">
        <f t="shared" si="94"/>
        <v/>
      </c>
      <c r="I1797" s="125" t="str">
        <f t="shared" si="95"/>
        <v/>
      </c>
    </row>
    <row r="1798" spans="1:9" hidden="1" x14ac:dyDescent="0.25">
      <c r="A1798" s="103" t="s">
        <v>5433</v>
      </c>
      <c r="B1798" s="104" t="s">
        <v>4226</v>
      </c>
      <c r="C1798" s="105" t="s">
        <v>20</v>
      </c>
      <c r="D1798" s="105">
        <v>0</v>
      </c>
      <c r="E1798" s="124" t="s">
        <v>523</v>
      </c>
      <c r="F1798" s="125" t="str">
        <f t="shared" si="93"/>
        <v/>
      </c>
      <c r="G1798" s="126" t="e">
        <f>IF(A1798&lt;&gt;"",IF(AND(#REF!="Padrão",$H$4=#REF!),BDI!$B$17,IF(AND(#REF!="Padrão",$H$4=#REF!),BDI!#REF!,IF(AND(#REF!="Diferenciado",$H$4=#REF!),BDI!$E$17,IF(AND(#REF!="Diferenciado",$H$4=#REF!),BDI!#REF!,IF(#REF!="ZERO",0))))),"")</f>
        <v>#REF!</v>
      </c>
      <c r="H1798" s="127" t="str">
        <f t="shared" si="94"/>
        <v/>
      </c>
      <c r="I1798" s="125" t="str">
        <f t="shared" si="95"/>
        <v/>
      </c>
    </row>
    <row r="1799" spans="1:9" hidden="1" x14ac:dyDescent="0.25">
      <c r="A1799" s="103" t="s">
        <v>5434</v>
      </c>
      <c r="B1799" s="104" t="s">
        <v>4227</v>
      </c>
      <c r="C1799" s="105" t="s">
        <v>20</v>
      </c>
      <c r="D1799" s="105">
        <v>0</v>
      </c>
      <c r="E1799" s="124" t="s">
        <v>523</v>
      </c>
      <c r="F1799" s="125" t="str">
        <f t="shared" si="93"/>
        <v/>
      </c>
      <c r="G1799" s="126" t="e">
        <f>IF(A1799&lt;&gt;"",IF(AND(#REF!="Padrão",$H$4=#REF!),BDI!$B$17,IF(AND(#REF!="Padrão",$H$4=#REF!),BDI!#REF!,IF(AND(#REF!="Diferenciado",$H$4=#REF!),BDI!$E$17,IF(AND(#REF!="Diferenciado",$H$4=#REF!),BDI!#REF!,IF(#REF!="ZERO",0))))),"")</f>
        <v>#REF!</v>
      </c>
      <c r="H1799" s="127" t="str">
        <f t="shared" si="94"/>
        <v/>
      </c>
      <c r="I1799" s="125" t="str">
        <f t="shared" si="95"/>
        <v/>
      </c>
    </row>
    <row r="1800" spans="1:9" hidden="1" x14ac:dyDescent="0.25">
      <c r="A1800" s="103" t="s">
        <v>5435</v>
      </c>
      <c r="B1800" s="104" t="s">
        <v>4228</v>
      </c>
      <c r="C1800" s="105" t="s">
        <v>20</v>
      </c>
      <c r="D1800" s="105">
        <v>0</v>
      </c>
      <c r="E1800" s="124" t="s">
        <v>523</v>
      </c>
      <c r="F1800" s="125" t="str">
        <f t="shared" si="93"/>
        <v/>
      </c>
      <c r="G1800" s="126" t="e">
        <f>IF(A1800&lt;&gt;"",IF(AND(#REF!="Padrão",$H$4=#REF!),BDI!$B$17,IF(AND(#REF!="Padrão",$H$4=#REF!),BDI!#REF!,IF(AND(#REF!="Diferenciado",$H$4=#REF!),BDI!$E$17,IF(AND(#REF!="Diferenciado",$H$4=#REF!),BDI!#REF!,IF(#REF!="ZERO",0))))),"")</f>
        <v>#REF!</v>
      </c>
      <c r="H1800" s="127" t="str">
        <f t="shared" si="94"/>
        <v/>
      </c>
      <c r="I1800" s="125" t="str">
        <f t="shared" si="95"/>
        <v/>
      </c>
    </row>
    <row r="1801" spans="1:9" hidden="1" x14ac:dyDescent="0.25">
      <c r="A1801" s="103" t="s">
        <v>5436</v>
      </c>
      <c r="B1801" s="104" t="s">
        <v>4229</v>
      </c>
      <c r="C1801" s="105" t="s">
        <v>20</v>
      </c>
      <c r="D1801" s="105">
        <v>0</v>
      </c>
      <c r="E1801" s="124" t="s">
        <v>523</v>
      </c>
      <c r="F1801" s="125" t="str">
        <f t="shared" si="93"/>
        <v/>
      </c>
      <c r="G1801" s="126" t="e">
        <f>IF(A1801&lt;&gt;"",IF(AND(#REF!="Padrão",$H$4=#REF!),BDI!$B$17,IF(AND(#REF!="Padrão",$H$4=#REF!),BDI!#REF!,IF(AND(#REF!="Diferenciado",$H$4=#REF!),BDI!$E$17,IF(AND(#REF!="Diferenciado",$H$4=#REF!),BDI!#REF!,IF(#REF!="ZERO",0))))),"")</f>
        <v>#REF!</v>
      </c>
      <c r="H1801" s="127" t="str">
        <f t="shared" si="94"/>
        <v/>
      </c>
      <c r="I1801" s="125" t="str">
        <f t="shared" si="95"/>
        <v/>
      </c>
    </row>
    <row r="1802" spans="1:9" hidden="1" x14ac:dyDescent="0.25">
      <c r="A1802" s="103" t="s">
        <v>5437</v>
      </c>
      <c r="B1802" s="104" t="s">
        <v>4230</v>
      </c>
      <c r="C1802" s="105" t="s">
        <v>20</v>
      </c>
      <c r="D1802" s="105">
        <v>0</v>
      </c>
      <c r="E1802" s="124" t="s">
        <v>523</v>
      </c>
      <c r="F1802" s="125" t="str">
        <f t="shared" si="93"/>
        <v/>
      </c>
      <c r="G1802" s="126" t="e">
        <f>IF(A1802&lt;&gt;"",IF(AND(#REF!="Padrão",$H$4=#REF!),BDI!$B$17,IF(AND(#REF!="Padrão",$H$4=#REF!),BDI!#REF!,IF(AND(#REF!="Diferenciado",$H$4=#REF!),BDI!$E$17,IF(AND(#REF!="Diferenciado",$H$4=#REF!),BDI!#REF!,IF(#REF!="ZERO",0))))),"")</f>
        <v>#REF!</v>
      </c>
      <c r="H1802" s="127" t="str">
        <f t="shared" si="94"/>
        <v/>
      </c>
      <c r="I1802" s="125" t="str">
        <f t="shared" si="95"/>
        <v/>
      </c>
    </row>
    <row r="1803" spans="1:9" hidden="1" x14ac:dyDescent="0.25">
      <c r="A1803" s="103" t="s">
        <v>5438</v>
      </c>
      <c r="B1803" s="104" t="s">
        <v>4231</v>
      </c>
      <c r="C1803" s="105" t="s">
        <v>20</v>
      </c>
      <c r="D1803" s="105">
        <v>0</v>
      </c>
      <c r="E1803" s="124" t="s">
        <v>523</v>
      </c>
      <c r="F1803" s="125" t="str">
        <f t="shared" si="93"/>
        <v/>
      </c>
      <c r="G1803" s="126" t="e">
        <f>IF(A1803&lt;&gt;"",IF(AND(#REF!="Padrão",$H$4=#REF!),BDI!$B$17,IF(AND(#REF!="Padrão",$H$4=#REF!),BDI!#REF!,IF(AND(#REF!="Diferenciado",$H$4=#REF!),BDI!$E$17,IF(AND(#REF!="Diferenciado",$H$4=#REF!),BDI!#REF!,IF(#REF!="ZERO",0))))),"")</f>
        <v>#REF!</v>
      </c>
      <c r="H1803" s="127" t="str">
        <f t="shared" si="94"/>
        <v/>
      </c>
      <c r="I1803" s="125" t="str">
        <f t="shared" si="95"/>
        <v/>
      </c>
    </row>
    <row r="1804" spans="1:9" hidden="1" x14ac:dyDescent="0.25">
      <c r="A1804" s="103" t="s">
        <v>5439</v>
      </c>
      <c r="B1804" s="104" t="s">
        <v>4232</v>
      </c>
      <c r="C1804" s="105" t="s">
        <v>20</v>
      </c>
      <c r="D1804" s="105">
        <v>0</v>
      </c>
      <c r="E1804" s="124" t="s">
        <v>523</v>
      </c>
      <c r="F1804" s="125" t="str">
        <f t="shared" si="93"/>
        <v/>
      </c>
      <c r="G1804" s="126" t="e">
        <f>IF(A1804&lt;&gt;"",IF(AND(#REF!="Padrão",$H$4=#REF!),BDI!$B$17,IF(AND(#REF!="Padrão",$H$4=#REF!),BDI!#REF!,IF(AND(#REF!="Diferenciado",$H$4=#REF!),BDI!$E$17,IF(AND(#REF!="Diferenciado",$H$4=#REF!),BDI!#REF!,IF(#REF!="ZERO",0))))),"")</f>
        <v>#REF!</v>
      </c>
      <c r="H1804" s="127" t="str">
        <f t="shared" si="94"/>
        <v/>
      </c>
      <c r="I1804" s="125" t="str">
        <f t="shared" si="95"/>
        <v/>
      </c>
    </row>
    <row r="1805" spans="1:9" hidden="1" x14ac:dyDescent="0.25">
      <c r="A1805" s="103" t="s">
        <v>5440</v>
      </c>
      <c r="B1805" s="104" t="s">
        <v>4233</v>
      </c>
      <c r="C1805" s="105" t="s">
        <v>20</v>
      </c>
      <c r="D1805" s="105">
        <v>0</v>
      </c>
      <c r="E1805" s="124" t="s">
        <v>523</v>
      </c>
      <c r="F1805" s="125" t="str">
        <f t="shared" si="93"/>
        <v/>
      </c>
      <c r="G1805" s="126" t="e">
        <f>IF(A1805&lt;&gt;"",IF(AND(#REF!="Padrão",$H$4=#REF!),BDI!$B$17,IF(AND(#REF!="Padrão",$H$4=#REF!),BDI!#REF!,IF(AND(#REF!="Diferenciado",$H$4=#REF!),BDI!$E$17,IF(AND(#REF!="Diferenciado",$H$4=#REF!),BDI!#REF!,IF(#REF!="ZERO",0))))),"")</f>
        <v>#REF!</v>
      </c>
      <c r="H1805" s="127" t="str">
        <f t="shared" si="94"/>
        <v/>
      </c>
      <c r="I1805" s="125" t="str">
        <f t="shared" si="95"/>
        <v/>
      </c>
    </row>
    <row r="1806" spans="1:9" hidden="1" x14ac:dyDescent="0.25">
      <c r="A1806" s="103" t="s">
        <v>5441</v>
      </c>
      <c r="B1806" s="104" t="s">
        <v>4234</v>
      </c>
      <c r="C1806" s="105" t="s">
        <v>20</v>
      </c>
      <c r="D1806" s="105">
        <v>0</v>
      </c>
      <c r="E1806" s="124" t="s">
        <v>523</v>
      </c>
      <c r="F1806" s="125" t="str">
        <f t="shared" si="93"/>
        <v/>
      </c>
      <c r="G1806" s="126" t="e">
        <f>IF(A1806&lt;&gt;"",IF(AND(#REF!="Padrão",$H$4=#REF!),BDI!$B$17,IF(AND(#REF!="Padrão",$H$4=#REF!),BDI!#REF!,IF(AND(#REF!="Diferenciado",$H$4=#REF!),BDI!$E$17,IF(AND(#REF!="Diferenciado",$H$4=#REF!),BDI!#REF!,IF(#REF!="ZERO",0))))),"")</f>
        <v>#REF!</v>
      </c>
      <c r="H1806" s="127" t="str">
        <f t="shared" si="94"/>
        <v/>
      </c>
      <c r="I1806" s="125" t="str">
        <f t="shared" si="95"/>
        <v/>
      </c>
    </row>
    <row r="1807" spans="1:9" hidden="1" x14ac:dyDescent="0.25">
      <c r="A1807" s="103" t="s">
        <v>5442</v>
      </c>
      <c r="B1807" s="104" t="s">
        <v>4235</v>
      </c>
      <c r="C1807" s="105" t="s">
        <v>20</v>
      </c>
      <c r="D1807" s="105">
        <v>0</v>
      </c>
      <c r="E1807" s="124" t="s">
        <v>523</v>
      </c>
      <c r="F1807" s="125" t="str">
        <f t="shared" si="93"/>
        <v/>
      </c>
      <c r="G1807" s="126" t="e">
        <f>IF(A1807&lt;&gt;"",IF(AND(#REF!="Padrão",$H$4=#REF!),BDI!$B$17,IF(AND(#REF!="Padrão",$H$4=#REF!),BDI!#REF!,IF(AND(#REF!="Diferenciado",$H$4=#REF!),BDI!$E$17,IF(AND(#REF!="Diferenciado",$H$4=#REF!),BDI!#REF!,IF(#REF!="ZERO",0))))),"")</f>
        <v>#REF!</v>
      </c>
      <c r="H1807" s="127" t="str">
        <f t="shared" si="94"/>
        <v/>
      </c>
      <c r="I1807" s="125" t="str">
        <f t="shared" si="95"/>
        <v/>
      </c>
    </row>
    <row r="1808" spans="1:9" hidden="1" x14ac:dyDescent="0.25">
      <c r="A1808" s="103" t="s">
        <v>5443</v>
      </c>
      <c r="B1808" s="104" t="s">
        <v>4236</v>
      </c>
      <c r="C1808" s="105" t="s">
        <v>20</v>
      </c>
      <c r="D1808" s="105">
        <v>0</v>
      </c>
      <c r="E1808" s="124" t="s">
        <v>523</v>
      </c>
      <c r="F1808" s="125" t="str">
        <f t="shared" si="93"/>
        <v/>
      </c>
      <c r="G1808" s="126" t="e">
        <f>IF(A1808&lt;&gt;"",IF(AND(#REF!="Padrão",$H$4=#REF!),BDI!$B$17,IF(AND(#REF!="Padrão",$H$4=#REF!),BDI!#REF!,IF(AND(#REF!="Diferenciado",$H$4=#REF!),BDI!$E$17,IF(AND(#REF!="Diferenciado",$H$4=#REF!),BDI!#REF!,IF(#REF!="ZERO",0))))),"")</f>
        <v>#REF!</v>
      </c>
      <c r="H1808" s="127" t="str">
        <f t="shared" si="94"/>
        <v/>
      </c>
      <c r="I1808" s="125" t="str">
        <f t="shared" si="95"/>
        <v/>
      </c>
    </row>
    <row r="1809" spans="1:9" hidden="1" x14ac:dyDescent="0.25">
      <c r="A1809" s="103" t="s">
        <v>5444</v>
      </c>
      <c r="B1809" s="104" t="s">
        <v>4237</v>
      </c>
      <c r="C1809" s="105" t="s">
        <v>20</v>
      </c>
      <c r="D1809" s="105">
        <v>0</v>
      </c>
      <c r="E1809" s="124" t="s">
        <v>523</v>
      </c>
      <c r="F1809" s="125" t="str">
        <f t="shared" si="93"/>
        <v/>
      </c>
      <c r="G1809" s="126" t="e">
        <f>IF(A1809&lt;&gt;"",IF(AND(#REF!="Padrão",$H$4=#REF!),BDI!$B$17,IF(AND(#REF!="Padrão",$H$4=#REF!),BDI!#REF!,IF(AND(#REF!="Diferenciado",$H$4=#REF!),BDI!$E$17,IF(AND(#REF!="Diferenciado",$H$4=#REF!),BDI!#REF!,IF(#REF!="ZERO",0))))),"")</f>
        <v>#REF!</v>
      </c>
      <c r="H1809" s="127" t="str">
        <f t="shared" si="94"/>
        <v/>
      </c>
      <c r="I1809" s="125" t="str">
        <f t="shared" si="95"/>
        <v/>
      </c>
    </row>
    <row r="1810" spans="1:9" hidden="1" x14ac:dyDescent="0.25">
      <c r="A1810" s="103" t="s">
        <v>5445</v>
      </c>
      <c r="B1810" s="104" t="s">
        <v>4238</v>
      </c>
      <c r="C1810" s="105" t="s">
        <v>20</v>
      </c>
      <c r="D1810" s="105">
        <v>0</v>
      </c>
      <c r="E1810" s="124" t="s">
        <v>523</v>
      </c>
      <c r="F1810" s="125" t="str">
        <f t="shared" si="93"/>
        <v/>
      </c>
      <c r="G1810" s="126" t="e">
        <f>IF(A1810&lt;&gt;"",IF(AND(#REF!="Padrão",$H$4=#REF!),BDI!$B$17,IF(AND(#REF!="Padrão",$H$4=#REF!),BDI!#REF!,IF(AND(#REF!="Diferenciado",$H$4=#REF!),BDI!$E$17,IF(AND(#REF!="Diferenciado",$H$4=#REF!),BDI!#REF!,IF(#REF!="ZERO",0))))),"")</f>
        <v>#REF!</v>
      </c>
      <c r="H1810" s="127" t="str">
        <f t="shared" si="94"/>
        <v/>
      </c>
      <c r="I1810" s="125" t="str">
        <f t="shared" si="95"/>
        <v/>
      </c>
    </row>
    <row r="1811" spans="1:9" hidden="1" x14ac:dyDescent="0.25">
      <c r="A1811" s="103" t="s">
        <v>5446</v>
      </c>
      <c r="B1811" s="104" t="s">
        <v>4239</v>
      </c>
      <c r="C1811" s="105" t="s">
        <v>93</v>
      </c>
      <c r="D1811" s="105">
        <v>0</v>
      </c>
      <c r="E1811" s="124" t="s">
        <v>523</v>
      </c>
      <c r="F1811" s="125" t="str">
        <f t="shared" si="93"/>
        <v/>
      </c>
      <c r="G1811" s="126" t="e">
        <f>IF(A1811&lt;&gt;"",IF(AND(#REF!="Padrão",$H$4=#REF!),BDI!$B$17,IF(AND(#REF!="Padrão",$H$4=#REF!),BDI!#REF!,IF(AND(#REF!="Diferenciado",$H$4=#REF!),BDI!$E$17,IF(AND(#REF!="Diferenciado",$H$4=#REF!),BDI!#REF!,IF(#REF!="ZERO",0))))),"")</f>
        <v>#REF!</v>
      </c>
      <c r="H1811" s="127" t="str">
        <f t="shared" si="94"/>
        <v/>
      </c>
      <c r="I1811" s="125" t="str">
        <f t="shared" si="95"/>
        <v/>
      </c>
    </row>
    <row r="1812" spans="1:9" hidden="1" x14ac:dyDescent="0.25">
      <c r="A1812" s="103" t="s">
        <v>5447</v>
      </c>
      <c r="B1812" s="104" t="s">
        <v>4240</v>
      </c>
      <c r="C1812" s="105" t="s">
        <v>93</v>
      </c>
      <c r="D1812" s="105">
        <v>0</v>
      </c>
      <c r="E1812" s="124">
        <f ca="1">OFFSET(INDEX(Composições!A:J,MATCH(Orçamentária!A1812,Composições!A:A,0),8),2,0)</f>
        <v>0</v>
      </c>
      <c r="F1812" s="125">
        <f t="shared" ca="1" si="93"/>
        <v>0</v>
      </c>
      <c r="G1812" s="126" t="e">
        <f>IF(A1812&lt;&gt;"",IF(AND(#REF!="Padrão",$H$4=#REF!),BDI!$B$17,IF(AND(#REF!="Padrão",$H$4=#REF!),BDI!#REF!,IF(AND(#REF!="Diferenciado",$H$4=#REF!),BDI!$E$17,IF(AND(#REF!="Diferenciado",$H$4=#REF!),BDI!#REF!,IF(#REF!="ZERO",0))))),"")</f>
        <v>#REF!</v>
      </c>
      <c r="H1812" s="127" t="e">
        <f t="shared" ca="1" si="94"/>
        <v>#REF!</v>
      </c>
      <c r="I1812" s="125" t="e">
        <f t="shared" ca="1" si="95"/>
        <v>#REF!</v>
      </c>
    </row>
    <row r="1813" spans="1:9" hidden="1" x14ac:dyDescent="0.25">
      <c r="A1813" s="103" t="s">
        <v>5448</v>
      </c>
      <c r="B1813" s="104" t="s">
        <v>4241</v>
      </c>
      <c r="C1813" s="105" t="s">
        <v>93</v>
      </c>
      <c r="D1813" s="105">
        <v>0</v>
      </c>
      <c r="E1813" s="124">
        <f ca="1">OFFSET(INDEX(Composições!A:J,MATCH(Orçamentária!A1813,Composições!A:A,0),8),2,0)</f>
        <v>0</v>
      </c>
      <c r="F1813" s="125">
        <f t="shared" ca="1" si="93"/>
        <v>0</v>
      </c>
      <c r="G1813" s="126" t="e">
        <f>IF(A1813&lt;&gt;"",IF(AND(#REF!="Padrão",$H$4=#REF!),BDI!$B$17,IF(AND(#REF!="Padrão",$H$4=#REF!),BDI!#REF!,IF(AND(#REF!="Diferenciado",$H$4=#REF!),BDI!$E$17,IF(AND(#REF!="Diferenciado",$H$4=#REF!),BDI!#REF!,IF(#REF!="ZERO",0))))),"")</f>
        <v>#REF!</v>
      </c>
      <c r="H1813" s="127" t="e">
        <f t="shared" ca="1" si="94"/>
        <v>#REF!</v>
      </c>
      <c r="I1813" s="125" t="e">
        <f t="shared" ca="1" si="95"/>
        <v>#REF!</v>
      </c>
    </row>
    <row r="1814" spans="1:9" hidden="1" x14ac:dyDescent="0.25">
      <c r="A1814" s="103" t="s">
        <v>5449</v>
      </c>
      <c r="B1814" s="104" t="s">
        <v>4242</v>
      </c>
      <c r="C1814" s="105" t="s">
        <v>93</v>
      </c>
      <c r="D1814" s="105">
        <v>0</v>
      </c>
      <c r="E1814" s="124">
        <f ca="1">OFFSET(INDEX(Composições!A:J,MATCH(Orçamentária!A1814,Composições!A:A,0),8),2,0)</f>
        <v>0</v>
      </c>
      <c r="F1814" s="125">
        <f t="shared" ca="1" si="93"/>
        <v>0</v>
      </c>
      <c r="G1814" s="126" t="e">
        <f>IF(A1814&lt;&gt;"",IF(AND(#REF!="Padrão",$H$4=#REF!),BDI!$B$17,IF(AND(#REF!="Padrão",$H$4=#REF!),BDI!#REF!,IF(AND(#REF!="Diferenciado",$H$4=#REF!),BDI!$E$17,IF(AND(#REF!="Diferenciado",$H$4=#REF!),BDI!#REF!,IF(#REF!="ZERO",0))))),"")</f>
        <v>#REF!</v>
      </c>
      <c r="H1814" s="127" t="e">
        <f t="shared" ca="1" si="94"/>
        <v>#REF!</v>
      </c>
      <c r="I1814" s="125" t="e">
        <f t="shared" ca="1" si="95"/>
        <v>#REF!</v>
      </c>
    </row>
    <row r="1815" spans="1:9" hidden="1" x14ac:dyDescent="0.25">
      <c r="A1815" s="103" t="s">
        <v>5450</v>
      </c>
      <c r="B1815" s="104" t="s">
        <v>4243</v>
      </c>
      <c r="C1815" s="105" t="s">
        <v>93</v>
      </c>
      <c r="D1815" s="105">
        <v>0</v>
      </c>
      <c r="E1815" s="124">
        <f ca="1">OFFSET(INDEX(Composições!A:J,MATCH(Orçamentária!A1815,Composições!A:A,0),8),2,0)</f>
        <v>0</v>
      </c>
      <c r="F1815" s="125">
        <f t="shared" ca="1" si="93"/>
        <v>0</v>
      </c>
      <c r="G1815" s="126" t="e">
        <f>IF(A1815&lt;&gt;"",IF(AND(#REF!="Padrão",$H$4=#REF!),BDI!$B$17,IF(AND(#REF!="Padrão",$H$4=#REF!),BDI!#REF!,IF(AND(#REF!="Diferenciado",$H$4=#REF!),BDI!$E$17,IF(AND(#REF!="Diferenciado",$H$4=#REF!),BDI!#REF!,IF(#REF!="ZERO",0))))),"")</f>
        <v>#REF!</v>
      </c>
      <c r="H1815" s="127" t="e">
        <f t="shared" ca="1" si="94"/>
        <v>#REF!</v>
      </c>
      <c r="I1815" s="125" t="e">
        <f t="shared" ca="1" si="95"/>
        <v>#REF!</v>
      </c>
    </row>
    <row r="1816" spans="1:9" hidden="1" x14ac:dyDescent="0.25">
      <c r="A1816" s="103" t="s">
        <v>5451</v>
      </c>
      <c r="B1816" s="104" t="s">
        <v>4244</v>
      </c>
      <c r="C1816" s="105" t="s">
        <v>93</v>
      </c>
      <c r="D1816" s="105">
        <v>0</v>
      </c>
      <c r="E1816" s="124">
        <f ca="1">OFFSET(INDEX(Composições!A:J,MATCH(Orçamentária!A1816,Composições!A:A,0),8),2,0)</f>
        <v>0</v>
      </c>
      <c r="F1816" s="125">
        <f t="shared" ca="1" si="93"/>
        <v>0</v>
      </c>
      <c r="G1816" s="126" t="e">
        <f>IF(A1816&lt;&gt;"",IF(AND(#REF!="Padrão",$H$4=#REF!),BDI!$B$17,IF(AND(#REF!="Padrão",$H$4=#REF!),BDI!#REF!,IF(AND(#REF!="Diferenciado",$H$4=#REF!),BDI!$E$17,IF(AND(#REF!="Diferenciado",$H$4=#REF!),BDI!#REF!,IF(#REF!="ZERO",0))))),"")</f>
        <v>#REF!</v>
      </c>
      <c r="H1816" s="127" t="e">
        <f t="shared" ca="1" si="94"/>
        <v>#REF!</v>
      </c>
      <c r="I1816" s="125" t="e">
        <f t="shared" ca="1" si="95"/>
        <v>#REF!</v>
      </c>
    </row>
    <row r="1817" spans="1:9" hidden="1" x14ac:dyDescent="0.25">
      <c r="A1817" s="103" t="s">
        <v>5452</v>
      </c>
      <c r="B1817" s="104" t="s">
        <v>4245</v>
      </c>
      <c r="C1817" s="105" t="s">
        <v>93</v>
      </c>
      <c r="D1817" s="105">
        <v>0</v>
      </c>
      <c r="E1817" s="124">
        <f ca="1">OFFSET(INDEX(Composições!A:J,MATCH(Orçamentária!A1817,Composições!A:A,0),8),2,0)</f>
        <v>0</v>
      </c>
      <c r="F1817" s="125">
        <f t="shared" ca="1" si="93"/>
        <v>0</v>
      </c>
      <c r="G1817" s="126" t="e">
        <f>IF(A1817&lt;&gt;"",IF(AND(#REF!="Padrão",$H$4=#REF!),BDI!$B$17,IF(AND(#REF!="Padrão",$H$4=#REF!),BDI!#REF!,IF(AND(#REF!="Diferenciado",$H$4=#REF!),BDI!$E$17,IF(AND(#REF!="Diferenciado",$H$4=#REF!),BDI!#REF!,IF(#REF!="ZERO",0))))),"")</f>
        <v>#REF!</v>
      </c>
      <c r="H1817" s="127" t="e">
        <f t="shared" ca="1" si="94"/>
        <v>#REF!</v>
      </c>
      <c r="I1817" s="125" t="e">
        <f t="shared" ca="1" si="95"/>
        <v>#REF!</v>
      </c>
    </row>
    <row r="1818" spans="1:9" hidden="1" x14ac:dyDescent="0.25">
      <c r="A1818" s="103" t="s">
        <v>5453</v>
      </c>
      <c r="B1818" s="104" t="s">
        <v>6473</v>
      </c>
      <c r="C1818" s="105" t="s">
        <v>93</v>
      </c>
      <c r="D1818" s="105">
        <v>0</v>
      </c>
      <c r="E1818" s="124">
        <f ca="1">OFFSET(INDEX(Composições!A:J,MATCH(Orçamentária!A1818,Composições!A:A,0),8),2,0)</f>
        <v>0</v>
      </c>
      <c r="F1818" s="125">
        <f t="shared" ca="1" si="93"/>
        <v>0</v>
      </c>
      <c r="G1818" s="126" t="e">
        <f>IF(A1818&lt;&gt;"",IF(AND(#REF!="Padrão",$H$4=#REF!),BDI!$B$17,IF(AND(#REF!="Padrão",$H$4=#REF!),BDI!#REF!,IF(AND(#REF!="Diferenciado",$H$4=#REF!),BDI!$E$17,IF(AND(#REF!="Diferenciado",$H$4=#REF!),BDI!#REF!,IF(#REF!="ZERO",0))))),"")</f>
        <v>#REF!</v>
      </c>
      <c r="H1818" s="127" t="e">
        <f t="shared" ca="1" si="94"/>
        <v>#REF!</v>
      </c>
      <c r="I1818" s="125" t="e">
        <f t="shared" ca="1" si="95"/>
        <v>#REF!</v>
      </c>
    </row>
    <row r="1819" spans="1:9" hidden="1" x14ac:dyDescent="0.25">
      <c r="A1819" s="103" t="s">
        <v>5454</v>
      </c>
      <c r="B1819" s="104" t="s">
        <v>4246</v>
      </c>
      <c r="C1819" s="105" t="s">
        <v>93</v>
      </c>
      <c r="D1819" s="105">
        <v>0</v>
      </c>
      <c r="E1819" s="124">
        <f ca="1">OFFSET(INDEX(Composições!A:J,MATCH(Orçamentária!A1819,Composições!A:A,0),8),2,0)</f>
        <v>0</v>
      </c>
      <c r="F1819" s="125">
        <f t="shared" ca="1" si="93"/>
        <v>0</v>
      </c>
      <c r="G1819" s="126" t="e">
        <f>IF(A1819&lt;&gt;"",IF(AND(#REF!="Padrão",$H$4=#REF!),BDI!$B$17,IF(AND(#REF!="Padrão",$H$4=#REF!),BDI!#REF!,IF(AND(#REF!="Diferenciado",$H$4=#REF!),BDI!$E$17,IF(AND(#REF!="Diferenciado",$H$4=#REF!),BDI!#REF!,IF(#REF!="ZERO",0))))),"")</f>
        <v>#REF!</v>
      </c>
      <c r="H1819" s="127" t="e">
        <f t="shared" ca="1" si="94"/>
        <v>#REF!</v>
      </c>
      <c r="I1819" s="125" t="e">
        <f t="shared" ca="1" si="95"/>
        <v>#REF!</v>
      </c>
    </row>
    <row r="1820" spans="1:9" hidden="1" x14ac:dyDescent="0.25">
      <c r="A1820" s="103" t="s">
        <v>5455</v>
      </c>
      <c r="B1820" s="104" t="s">
        <v>4247</v>
      </c>
      <c r="C1820" s="105" t="s">
        <v>93</v>
      </c>
      <c r="D1820" s="105">
        <v>0</v>
      </c>
      <c r="E1820" s="124" t="s">
        <v>523</v>
      </c>
      <c r="F1820" s="125" t="str">
        <f t="shared" si="93"/>
        <v/>
      </c>
      <c r="G1820" s="126" t="e">
        <f>IF(A1820&lt;&gt;"",IF(AND(#REF!="Padrão",$H$4=#REF!),BDI!$B$17,IF(AND(#REF!="Padrão",$H$4=#REF!),BDI!#REF!,IF(AND(#REF!="Diferenciado",$H$4=#REF!),BDI!$E$17,IF(AND(#REF!="Diferenciado",$H$4=#REF!),BDI!#REF!,IF(#REF!="ZERO",0))))),"")</f>
        <v>#REF!</v>
      </c>
      <c r="H1820" s="127" t="str">
        <f t="shared" si="94"/>
        <v/>
      </c>
      <c r="I1820" s="125" t="str">
        <f t="shared" si="95"/>
        <v/>
      </c>
    </row>
    <row r="1821" spans="1:9" hidden="1" x14ac:dyDescent="0.25">
      <c r="A1821" s="103" t="s">
        <v>5456</v>
      </c>
      <c r="B1821" s="104" t="s">
        <v>4248</v>
      </c>
      <c r="C1821" s="105" t="s">
        <v>93</v>
      </c>
      <c r="D1821" s="105">
        <v>0</v>
      </c>
      <c r="E1821" s="124" t="s">
        <v>523</v>
      </c>
      <c r="F1821" s="125" t="str">
        <f t="shared" si="93"/>
        <v/>
      </c>
      <c r="G1821" s="126" t="e">
        <f>IF(A1821&lt;&gt;"",IF(AND(#REF!="Padrão",$H$4=#REF!),BDI!$B$17,IF(AND(#REF!="Padrão",$H$4=#REF!),BDI!#REF!,IF(AND(#REF!="Diferenciado",$H$4=#REF!),BDI!$E$17,IF(AND(#REF!="Diferenciado",$H$4=#REF!),BDI!#REF!,IF(#REF!="ZERO",0))))),"")</f>
        <v>#REF!</v>
      </c>
      <c r="H1821" s="127" t="str">
        <f t="shared" si="94"/>
        <v/>
      </c>
      <c r="I1821" s="125" t="str">
        <f t="shared" si="95"/>
        <v/>
      </c>
    </row>
    <row r="1822" spans="1:9" hidden="1" x14ac:dyDescent="0.25">
      <c r="A1822" s="103" t="s">
        <v>5457</v>
      </c>
      <c r="B1822" s="104" t="s">
        <v>4249</v>
      </c>
      <c r="C1822" s="105" t="s">
        <v>93</v>
      </c>
      <c r="D1822" s="105">
        <v>0</v>
      </c>
      <c r="E1822" s="124" t="s">
        <v>523</v>
      </c>
      <c r="F1822" s="125" t="str">
        <f t="shared" si="93"/>
        <v/>
      </c>
      <c r="G1822" s="126" t="e">
        <f>IF(A1822&lt;&gt;"",IF(AND(#REF!="Padrão",$H$4=#REF!),BDI!$B$17,IF(AND(#REF!="Padrão",$H$4=#REF!),BDI!#REF!,IF(AND(#REF!="Diferenciado",$H$4=#REF!),BDI!$E$17,IF(AND(#REF!="Diferenciado",$H$4=#REF!),BDI!#REF!,IF(#REF!="ZERO",0))))),"")</f>
        <v>#REF!</v>
      </c>
      <c r="H1822" s="127" t="str">
        <f t="shared" si="94"/>
        <v/>
      </c>
      <c r="I1822" s="125" t="str">
        <f t="shared" si="95"/>
        <v/>
      </c>
    </row>
    <row r="1823" spans="1:9" hidden="1" x14ac:dyDescent="0.25">
      <c r="A1823" s="103" t="s">
        <v>5458</v>
      </c>
      <c r="B1823" s="104" t="s">
        <v>4250</v>
      </c>
      <c r="C1823" s="105" t="s">
        <v>93</v>
      </c>
      <c r="D1823" s="105">
        <v>0</v>
      </c>
      <c r="E1823" s="124" t="s">
        <v>523</v>
      </c>
      <c r="F1823" s="125" t="str">
        <f t="shared" si="93"/>
        <v/>
      </c>
      <c r="G1823" s="126" t="e">
        <f>IF(A1823&lt;&gt;"",IF(AND(#REF!="Padrão",$H$4=#REF!),BDI!$B$17,IF(AND(#REF!="Padrão",$H$4=#REF!),BDI!#REF!,IF(AND(#REF!="Diferenciado",$H$4=#REF!),BDI!$E$17,IF(AND(#REF!="Diferenciado",$H$4=#REF!),BDI!#REF!,IF(#REF!="ZERO",0))))),"")</f>
        <v>#REF!</v>
      </c>
      <c r="H1823" s="127" t="str">
        <f t="shared" si="94"/>
        <v/>
      </c>
      <c r="I1823" s="125" t="str">
        <f t="shared" si="95"/>
        <v/>
      </c>
    </row>
    <row r="1824" spans="1:9" hidden="1" x14ac:dyDescent="0.25">
      <c r="A1824" s="103" t="s">
        <v>5459</v>
      </c>
      <c r="B1824" s="104" t="s">
        <v>4251</v>
      </c>
      <c r="C1824" s="105" t="s">
        <v>93</v>
      </c>
      <c r="D1824" s="105">
        <v>0</v>
      </c>
      <c r="E1824" s="124" t="s">
        <v>523</v>
      </c>
      <c r="F1824" s="125" t="str">
        <f t="shared" si="93"/>
        <v/>
      </c>
      <c r="G1824" s="126" t="e">
        <f>IF(A1824&lt;&gt;"",IF(AND(#REF!="Padrão",$H$4=#REF!),BDI!$B$17,IF(AND(#REF!="Padrão",$H$4=#REF!),BDI!#REF!,IF(AND(#REF!="Diferenciado",$H$4=#REF!),BDI!$E$17,IF(AND(#REF!="Diferenciado",$H$4=#REF!),BDI!#REF!,IF(#REF!="ZERO",0))))),"")</f>
        <v>#REF!</v>
      </c>
      <c r="H1824" s="127" t="str">
        <f t="shared" si="94"/>
        <v/>
      </c>
      <c r="I1824" s="125" t="str">
        <f t="shared" si="95"/>
        <v/>
      </c>
    </row>
    <row r="1825" spans="1:9" hidden="1" x14ac:dyDescent="0.25">
      <c r="A1825" s="103" t="s">
        <v>5460</v>
      </c>
      <c r="B1825" s="104" t="s">
        <v>4252</v>
      </c>
      <c r="C1825" s="105" t="s">
        <v>93</v>
      </c>
      <c r="D1825" s="105">
        <v>0</v>
      </c>
      <c r="E1825" s="124" t="s">
        <v>523</v>
      </c>
      <c r="F1825" s="125" t="str">
        <f t="shared" si="93"/>
        <v/>
      </c>
      <c r="G1825" s="126" t="e">
        <f>IF(A1825&lt;&gt;"",IF(AND(#REF!="Padrão",$H$4=#REF!),BDI!$B$17,IF(AND(#REF!="Padrão",$H$4=#REF!),BDI!#REF!,IF(AND(#REF!="Diferenciado",$H$4=#REF!),BDI!$E$17,IF(AND(#REF!="Diferenciado",$H$4=#REF!),BDI!#REF!,IF(#REF!="ZERO",0))))),"")</f>
        <v>#REF!</v>
      </c>
      <c r="H1825" s="127" t="str">
        <f t="shared" si="94"/>
        <v/>
      </c>
      <c r="I1825" s="125" t="str">
        <f t="shared" si="95"/>
        <v/>
      </c>
    </row>
    <row r="1826" spans="1:9" hidden="1" x14ac:dyDescent="0.25">
      <c r="A1826" s="103" t="s">
        <v>5461</v>
      </c>
      <c r="B1826" s="104" t="s">
        <v>4253</v>
      </c>
      <c r="C1826" s="105" t="s">
        <v>93</v>
      </c>
      <c r="D1826" s="105">
        <v>0</v>
      </c>
      <c r="E1826" s="124" t="s">
        <v>523</v>
      </c>
      <c r="F1826" s="125" t="str">
        <f t="shared" si="93"/>
        <v/>
      </c>
      <c r="G1826" s="126" t="e">
        <f>IF(A1826&lt;&gt;"",IF(AND(#REF!="Padrão",$H$4=#REF!),BDI!$B$17,IF(AND(#REF!="Padrão",$H$4=#REF!),BDI!#REF!,IF(AND(#REF!="Diferenciado",$H$4=#REF!),BDI!$E$17,IF(AND(#REF!="Diferenciado",$H$4=#REF!),BDI!#REF!,IF(#REF!="ZERO",0))))),"")</f>
        <v>#REF!</v>
      </c>
      <c r="H1826" s="127" t="str">
        <f t="shared" si="94"/>
        <v/>
      </c>
      <c r="I1826" s="125" t="str">
        <f t="shared" si="95"/>
        <v/>
      </c>
    </row>
    <row r="1827" spans="1:9" hidden="1" x14ac:dyDescent="0.25">
      <c r="A1827" s="103" t="s">
        <v>5462</v>
      </c>
      <c r="B1827" s="104" t="s">
        <v>4254</v>
      </c>
      <c r="C1827" s="105" t="s">
        <v>93</v>
      </c>
      <c r="D1827" s="105">
        <v>0</v>
      </c>
      <c r="E1827" s="124" t="s">
        <v>523</v>
      </c>
      <c r="F1827" s="125" t="str">
        <f t="shared" si="93"/>
        <v/>
      </c>
      <c r="G1827" s="126" t="e">
        <f>IF(A1827&lt;&gt;"",IF(AND(#REF!="Padrão",$H$4=#REF!),BDI!$B$17,IF(AND(#REF!="Padrão",$H$4=#REF!),BDI!#REF!,IF(AND(#REF!="Diferenciado",$H$4=#REF!),BDI!$E$17,IF(AND(#REF!="Diferenciado",$H$4=#REF!),BDI!#REF!,IF(#REF!="ZERO",0))))),"")</f>
        <v>#REF!</v>
      </c>
      <c r="H1827" s="127" t="str">
        <f t="shared" si="94"/>
        <v/>
      </c>
      <c r="I1827" s="125" t="str">
        <f t="shared" si="95"/>
        <v/>
      </c>
    </row>
    <row r="1828" spans="1:9" hidden="1" x14ac:dyDescent="0.25">
      <c r="A1828" s="103" t="s">
        <v>5463</v>
      </c>
      <c r="B1828" s="104" t="s">
        <v>4255</v>
      </c>
      <c r="C1828" s="105" t="s">
        <v>20</v>
      </c>
      <c r="D1828" s="105">
        <v>0</v>
      </c>
      <c r="E1828" s="124" t="s">
        <v>523</v>
      </c>
      <c r="F1828" s="125" t="str">
        <f t="shared" si="93"/>
        <v/>
      </c>
      <c r="G1828" s="126" t="e">
        <f>IF(A1828&lt;&gt;"",IF(AND(#REF!="Padrão",$H$4=#REF!),BDI!$B$17,IF(AND(#REF!="Padrão",$H$4=#REF!),BDI!#REF!,IF(AND(#REF!="Diferenciado",$H$4=#REF!),BDI!$E$17,IF(AND(#REF!="Diferenciado",$H$4=#REF!),BDI!#REF!,IF(#REF!="ZERO",0))))),"")</f>
        <v>#REF!</v>
      </c>
      <c r="H1828" s="127" t="str">
        <f t="shared" si="94"/>
        <v/>
      </c>
      <c r="I1828" s="125" t="str">
        <f t="shared" si="95"/>
        <v/>
      </c>
    </row>
    <row r="1829" spans="1:9" hidden="1" x14ac:dyDescent="0.25">
      <c r="A1829" s="103" t="s">
        <v>5464</v>
      </c>
      <c r="B1829" s="104" t="s">
        <v>4256</v>
      </c>
      <c r="C1829" s="105" t="s">
        <v>20</v>
      </c>
      <c r="D1829" s="105">
        <v>0</v>
      </c>
      <c r="E1829" s="124">
        <f ca="1">OFFSET(INDEX(Composições!A:J,MATCH(Orçamentária!A1829,Composições!A:A,0),8),2,0)</f>
        <v>2.2799999999999998</v>
      </c>
      <c r="F1829" s="125">
        <f t="shared" ca="1" si="93"/>
        <v>0</v>
      </c>
      <c r="G1829" s="126" t="e">
        <f>IF(A1829&lt;&gt;"",IF(AND(#REF!="Padrão",$H$4=#REF!),BDI!$B$17,IF(AND(#REF!="Padrão",$H$4=#REF!),BDI!#REF!,IF(AND(#REF!="Diferenciado",$H$4=#REF!),BDI!$E$17,IF(AND(#REF!="Diferenciado",$H$4=#REF!),BDI!#REF!,IF(#REF!="ZERO",0))))),"")</f>
        <v>#REF!</v>
      </c>
      <c r="H1829" s="127" t="e">
        <f t="shared" ca="1" si="94"/>
        <v>#REF!</v>
      </c>
      <c r="I1829" s="125" t="e">
        <f t="shared" ca="1" si="95"/>
        <v>#REF!</v>
      </c>
    </row>
    <row r="1830" spans="1:9" hidden="1" x14ac:dyDescent="0.25">
      <c r="A1830" s="103" t="s">
        <v>5465</v>
      </c>
      <c r="B1830" s="104" t="s">
        <v>4257</v>
      </c>
      <c r="C1830" s="105" t="s">
        <v>20</v>
      </c>
      <c r="D1830" s="105">
        <v>0</v>
      </c>
      <c r="E1830" s="124" t="s">
        <v>523</v>
      </c>
      <c r="F1830" s="125" t="str">
        <f t="shared" si="93"/>
        <v/>
      </c>
      <c r="G1830" s="126" t="e">
        <f>IF(A1830&lt;&gt;"",IF(AND(#REF!="Padrão",$H$4=#REF!),BDI!$B$17,IF(AND(#REF!="Padrão",$H$4=#REF!),BDI!#REF!,IF(AND(#REF!="Diferenciado",$H$4=#REF!),BDI!$E$17,IF(AND(#REF!="Diferenciado",$H$4=#REF!),BDI!#REF!,IF(#REF!="ZERO",0))))),"")</f>
        <v>#REF!</v>
      </c>
      <c r="H1830" s="127" t="str">
        <f t="shared" si="94"/>
        <v/>
      </c>
      <c r="I1830" s="125" t="str">
        <f t="shared" si="95"/>
        <v/>
      </c>
    </row>
    <row r="1831" spans="1:9" hidden="1" x14ac:dyDescent="0.25">
      <c r="A1831" s="103" t="s">
        <v>5466</v>
      </c>
      <c r="B1831" s="104" t="s">
        <v>4258</v>
      </c>
      <c r="C1831" s="105" t="s">
        <v>20</v>
      </c>
      <c r="D1831" s="105">
        <v>0</v>
      </c>
      <c r="E1831" s="124">
        <f ca="1">OFFSET(INDEX(Composições!A:J,MATCH(Orçamentária!A1831,Composições!A:A,0),8),2,0)</f>
        <v>5.6999999999999993</v>
      </c>
      <c r="F1831" s="125">
        <f t="shared" ca="1" si="93"/>
        <v>0</v>
      </c>
      <c r="G1831" s="126" t="e">
        <f>IF(A1831&lt;&gt;"",IF(AND(#REF!="Padrão",$H$4=#REF!),BDI!$B$17,IF(AND(#REF!="Padrão",$H$4=#REF!),BDI!#REF!,IF(AND(#REF!="Diferenciado",$H$4=#REF!),BDI!$E$17,IF(AND(#REF!="Diferenciado",$H$4=#REF!),BDI!#REF!,IF(#REF!="ZERO",0))))),"")</f>
        <v>#REF!</v>
      </c>
      <c r="H1831" s="127" t="e">
        <f t="shared" ca="1" si="94"/>
        <v>#REF!</v>
      </c>
      <c r="I1831" s="125" t="e">
        <f t="shared" ca="1" si="95"/>
        <v>#REF!</v>
      </c>
    </row>
    <row r="1832" spans="1:9" hidden="1" x14ac:dyDescent="0.25">
      <c r="A1832" s="103" t="s">
        <v>5467</v>
      </c>
      <c r="B1832" s="104" t="s">
        <v>4259</v>
      </c>
      <c r="C1832" s="105" t="s">
        <v>20</v>
      </c>
      <c r="D1832" s="105">
        <v>0</v>
      </c>
      <c r="E1832" s="124">
        <f ca="1">OFFSET(INDEX(Composições!A:J,MATCH(Orçamentária!A1832,Composições!A:A,0),8),2,0)</f>
        <v>2.1469999999999998</v>
      </c>
      <c r="F1832" s="125">
        <f t="shared" ca="1" si="93"/>
        <v>0</v>
      </c>
      <c r="G1832" s="126" t="e">
        <f>IF(A1832&lt;&gt;"",IF(AND(#REF!="Padrão",$H$4=#REF!),BDI!$B$17,IF(AND(#REF!="Padrão",$H$4=#REF!),BDI!#REF!,IF(AND(#REF!="Diferenciado",$H$4=#REF!),BDI!$E$17,IF(AND(#REF!="Diferenciado",$H$4=#REF!),BDI!#REF!,IF(#REF!="ZERO",0))))),"")</f>
        <v>#REF!</v>
      </c>
      <c r="H1832" s="127" t="e">
        <f t="shared" ca="1" si="94"/>
        <v>#REF!</v>
      </c>
      <c r="I1832" s="125" t="e">
        <f t="shared" ca="1" si="95"/>
        <v>#REF!</v>
      </c>
    </row>
    <row r="1833" spans="1:9" hidden="1" x14ac:dyDescent="0.25">
      <c r="A1833" s="103" t="s">
        <v>5468</v>
      </c>
      <c r="B1833" s="104" t="s">
        <v>4260</v>
      </c>
      <c r="C1833" s="105" t="s">
        <v>20</v>
      </c>
      <c r="D1833" s="105">
        <v>0</v>
      </c>
      <c r="E1833" s="124">
        <f ca="1">OFFSET(INDEX(Composições!A:J,MATCH(Orçamentária!A1833,Composições!A:A,0),8),2,0)</f>
        <v>10.1175</v>
      </c>
      <c r="F1833" s="125">
        <f t="shared" ca="1" si="93"/>
        <v>0</v>
      </c>
      <c r="G1833" s="126" t="e">
        <f>IF(A1833&lt;&gt;"",IF(AND(#REF!="Padrão",$H$4=#REF!),BDI!$B$17,IF(AND(#REF!="Padrão",$H$4=#REF!),BDI!#REF!,IF(AND(#REF!="Diferenciado",$H$4=#REF!),BDI!$E$17,IF(AND(#REF!="Diferenciado",$H$4=#REF!),BDI!#REF!,IF(#REF!="ZERO",0))))),"")</f>
        <v>#REF!</v>
      </c>
      <c r="H1833" s="127" t="e">
        <f t="shared" ca="1" si="94"/>
        <v>#REF!</v>
      </c>
      <c r="I1833" s="125" t="e">
        <f t="shared" ca="1" si="95"/>
        <v>#REF!</v>
      </c>
    </row>
    <row r="1834" spans="1:9" hidden="1" x14ac:dyDescent="0.25">
      <c r="A1834" s="103" t="s">
        <v>5469</v>
      </c>
      <c r="B1834" s="104" t="s">
        <v>4261</v>
      </c>
      <c r="C1834" s="105" t="s">
        <v>20</v>
      </c>
      <c r="D1834" s="105">
        <v>0</v>
      </c>
      <c r="E1834" s="124">
        <f ca="1">OFFSET(INDEX(Composições!A:J,MATCH(Orçamentária!A1834,Composições!A:A,0),8),2,0)</f>
        <v>2.4319999999999999</v>
      </c>
      <c r="F1834" s="125">
        <f t="shared" ca="1" si="93"/>
        <v>0</v>
      </c>
      <c r="G1834" s="126" t="e">
        <f>IF(A1834&lt;&gt;"",IF(AND(#REF!="Padrão",$H$4=#REF!),BDI!$B$17,IF(AND(#REF!="Padrão",$H$4=#REF!),BDI!#REF!,IF(AND(#REF!="Diferenciado",$H$4=#REF!),BDI!$E$17,IF(AND(#REF!="Diferenciado",$H$4=#REF!),BDI!#REF!,IF(#REF!="ZERO",0))))),"")</f>
        <v>#REF!</v>
      </c>
      <c r="H1834" s="127" t="e">
        <f t="shared" ca="1" si="94"/>
        <v>#REF!</v>
      </c>
      <c r="I1834" s="125" t="e">
        <f t="shared" ca="1" si="95"/>
        <v>#REF!</v>
      </c>
    </row>
    <row r="1835" spans="1:9" hidden="1" x14ac:dyDescent="0.25">
      <c r="A1835" s="103" t="s">
        <v>5470</v>
      </c>
      <c r="B1835" s="104" t="s">
        <v>4262</v>
      </c>
      <c r="C1835" s="105" t="s">
        <v>20</v>
      </c>
      <c r="D1835" s="105">
        <v>0</v>
      </c>
      <c r="E1835" s="124" t="s">
        <v>523</v>
      </c>
      <c r="F1835" s="125" t="str">
        <f t="shared" si="93"/>
        <v/>
      </c>
      <c r="G1835" s="126" t="e">
        <f>IF(A1835&lt;&gt;"",IF(AND(#REF!="Padrão",$H$4=#REF!),BDI!$B$17,IF(AND(#REF!="Padrão",$H$4=#REF!),BDI!#REF!,IF(AND(#REF!="Diferenciado",$H$4=#REF!),BDI!$E$17,IF(AND(#REF!="Diferenciado",$H$4=#REF!),BDI!#REF!,IF(#REF!="ZERO",0))))),"")</f>
        <v>#REF!</v>
      </c>
      <c r="H1835" s="127" t="str">
        <f t="shared" si="94"/>
        <v/>
      </c>
      <c r="I1835" s="125" t="str">
        <f t="shared" si="95"/>
        <v/>
      </c>
    </row>
    <row r="1836" spans="1:9" hidden="1" x14ac:dyDescent="0.25">
      <c r="A1836" s="103" t="s">
        <v>5471</v>
      </c>
      <c r="B1836" s="104" t="s">
        <v>4263</v>
      </c>
      <c r="C1836" s="105" t="s">
        <v>20</v>
      </c>
      <c r="D1836" s="105">
        <v>0</v>
      </c>
      <c r="E1836" s="124">
        <f ca="1">OFFSET(INDEX(Composições!A:J,MATCH(Orçamentária!A1836,Composições!A:A,0),8),2,0)</f>
        <v>6.4504999999999999</v>
      </c>
      <c r="F1836" s="125">
        <f t="shared" ca="1" si="93"/>
        <v>0</v>
      </c>
      <c r="G1836" s="126" t="e">
        <f>IF(A1836&lt;&gt;"",IF(AND(#REF!="Padrão",$H$4=#REF!),BDI!$B$17,IF(AND(#REF!="Padrão",$H$4=#REF!),BDI!#REF!,IF(AND(#REF!="Diferenciado",$H$4=#REF!),BDI!$E$17,IF(AND(#REF!="Diferenciado",$H$4=#REF!),BDI!#REF!,IF(#REF!="ZERO",0))))),"")</f>
        <v>#REF!</v>
      </c>
      <c r="H1836" s="127" t="e">
        <f t="shared" ca="1" si="94"/>
        <v>#REF!</v>
      </c>
      <c r="I1836" s="125" t="e">
        <f t="shared" ca="1" si="95"/>
        <v>#REF!</v>
      </c>
    </row>
    <row r="1837" spans="1:9" hidden="1" x14ac:dyDescent="0.25">
      <c r="A1837" s="103" t="s">
        <v>5472</v>
      </c>
      <c r="B1837" s="104" t="s">
        <v>4264</v>
      </c>
      <c r="C1837" s="105" t="s">
        <v>20</v>
      </c>
      <c r="D1837" s="105">
        <v>0</v>
      </c>
      <c r="E1837" s="124">
        <f ca="1">OFFSET(INDEX(Composições!A:J,MATCH(Orçamentária!A1837,Composições!A:A,0),8),2,0)</f>
        <v>3.8285</v>
      </c>
      <c r="F1837" s="125">
        <f t="shared" ref="F1837:F1900" ca="1" si="96">IF(ISNUMBER(E1837),D1837*E1837,"")</f>
        <v>0</v>
      </c>
      <c r="G1837" s="126" t="e">
        <f>IF(A1837&lt;&gt;"",IF(AND(#REF!="Padrão",$H$4=#REF!),BDI!$B$17,IF(AND(#REF!="Padrão",$H$4=#REF!),BDI!#REF!,IF(AND(#REF!="Diferenciado",$H$4=#REF!),BDI!$E$17,IF(AND(#REF!="Diferenciado",$H$4=#REF!),BDI!#REF!,IF(#REF!="ZERO",0))))),"")</f>
        <v>#REF!</v>
      </c>
      <c r="H1837" s="127" t="e">
        <f t="shared" ref="H1837:H1900" ca="1" si="97">IF(ISNUMBER(E1837),ROUND(E1837*(1+G1837),2),"")</f>
        <v>#REF!</v>
      </c>
      <c r="I1837" s="125" t="e">
        <f t="shared" ref="I1837:I1900" ca="1" si="98">IF(ISNUMBER(E1837),ROUND(H1837*D1837,2),"")</f>
        <v>#REF!</v>
      </c>
    </row>
    <row r="1838" spans="1:9" hidden="1" x14ac:dyDescent="0.25">
      <c r="A1838" s="103" t="s">
        <v>5473</v>
      </c>
      <c r="B1838" s="104" t="s">
        <v>4265</v>
      </c>
      <c r="C1838" s="105" t="s">
        <v>20</v>
      </c>
      <c r="D1838" s="105">
        <v>0</v>
      </c>
      <c r="E1838" s="124">
        <f ca="1">OFFSET(INDEX(Composições!A:J,MATCH(Orçamentária!A1838,Composições!A:A,0),8),2,0)</f>
        <v>12.16</v>
      </c>
      <c r="F1838" s="125">
        <f t="shared" ca="1" si="96"/>
        <v>0</v>
      </c>
      <c r="G1838" s="126" t="e">
        <f>IF(A1838&lt;&gt;"",IF(AND(#REF!="Padrão",$H$4=#REF!),BDI!$B$17,IF(AND(#REF!="Padrão",$H$4=#REF!),BDI!#REF!,IF(AND(#REF!="Diferenciado",$H$4=#REF!),BDI!$E$17,IF(AND(#REF!="Diferenciado",$H$4=#REF!),BDI!#REF!,IF(#REF!="ZERO",0))))),"")</f>
        <v>#REF!</v>
      </c>
      <c r="H1838" s="127" t="e">
        <f t="shared" ca="1" si="97"/>
        <v>#REF!</v>
      </c>
      <c r="I1838" s="125" t="e">
        <f t="shared" ca="1" si="98"/>
        <v>#REF!</v>
      </c>
    </row>
    <row r="1839" spans="1:9" hidden="1" x14ac:dyDescent="0.25">
      <c r="A1839" s="103" t="s">
        <v>5474</v>
      </c>
      <c r="B1839" s="104" t="s">
        <v>4266</v>
      </c>
      <c r="C1839" s="105" t="s">
        <v>20</v>
      </c>
      <c r="D1839" s="105">
        <v>0</v>
      </c>
      <c r="E1839" s="124">
        <f ca="1">OFFSET(INDEX(Composições!A:J,MATCH(Orçamentária!A1839,Composições!A:A,0),8),2,0)</f>
        <v>2.831</v>
      </c>
      <c r="F1839" s="125">
        <f t="shared" ca="1" si="96"/>
        <v>0</v>
      </c>
      <c r="G1839" s="126" t="e">
        <f>IF(A1839&lt;&gt;"",IF(AND(#REF!="Padrão",$H$4=#REF!),BDI!$B$17,IF(AND(#REF!="Padrão",$H$4=#REF!),BDI!#REF!,IF(AND(#REF!="Diferenciado",$H$4=#REF!),BDI!$E$17,IF(AND(#REF!="Diferenciado",$H$4=#REF!),BDI!#REF!,IF(#REF!="ZERO",0))))),"")</f>
        <v>#REF!</v>
      </c>
      <c r="H1839" s="127" t="e">
        <f t="shared" ca="1" si="97"/>
        <v>#REF!</v>
      </c>
      <c r="I1839" s="125" t="e">
        <f t="shared" ca="1" si="98"/>
        <v>#REF!</v>
      </c>
    </row>
    <row r="1840" spans="1:9" hidden="1" x14ac:dyDescent="0.25">
      <c r="A1840" s="103" t="s">
        <v>5475</v>
      </c>
      <c r="B1840" s="104" t="s">
        <v>4267</v>
      </c>
      <c r="C1840" s="105" t="s">
        <v>20</v>
      </c>
      <c r="D1840" s="105">
        <v>0</v>
      </c>
      <c r="E1840" s="124" t="s">
        <v>523</v>
      </c>
      <c r="F1840" s="125" t="str">
        <f t="shared" si="96"/>
        <v/>
      </c>
      <c r="G1840" s="126" t="e">
        <f>IF(A1840&lt;&gt;"",IF(AND(#REF!="Padrão",$H$4=#REF!),BDI!$B$17,IF(AND(#REF!="Padrão",$H$4=#REF!),BDI!#REF!,IF(AND(#REF!="Diferenciado",$H$4=#REF!),BDI!$E$17,IF(AND(#REF!="Diferenciado",$H$4=#REF!),BDI!#REF!,IF(#REF!="ZERO",0))))),"")</f>
        <v>#REF!</v>
      </c>
      <c r="H1840" s="127" t="str">
        <f t="shared" si="97"/>
        <v/>
      </c>
      <c r="I1840" s="125" t="str">
        <f t="shared" si="98"/>
        <v/>
      </c>
    </row>
    <row r="1841" spans="1:9" hidden="1" x14ac:dyDescent="0.25">
      <c r="A1841" s="103" t="s">
        <v>5476</v>
      </c>
      <c r="B1841" s="104" t="s">
        <v>4268</v>
      </c>
      <c r="C1841" s="105" t="s">
        <v>20</v>
      </c>
      <c r="D1841" s="105">
        <v>0</v>
      </c>
      <c r="E1841" s="124">
        <f ca="1">OFFSET(INDEX(Composições!A:J,MATCH(Orçamentária!A1841,Composições!A:A,0),8),2,0)</f>
        <v>8.7684999999999995</v>
      </c>
      <c r="F1841" s="125">
        <f t="shared" ca="1" si="96"/>
        <v>0</v>
      </c>
      <c r="G1841" s="126" t="e">
        <f>IF(A1841&lt;&gt;"",IF(AND(#REF!="Padrão",$H$4=#REF!),BDI!$B$17,IF(AND(#REF!="Padrão",$H$4=#REF!),BDI!#REF!,IF(AND(#REF!="Diferenciado",$H$4=#REF!),BDI!$E$17,IF(AND(#REF!="Diferenciado",$H$4=#REF!),BDI!#REF!,IF(#REF!="ZERO",0))))),"")</f>
        <v>#REF!</v>
      </c>
      <c r="H1841" s="127" t="e">
        <f t="shared" ca="1" si="97"/>
        <v>#REF!</v>
      </c>
      <c r="I1841" s="125" t="e">
        <f t="shared" ca="1" si="98"/>
        <v>#REF!</v>
      </c>
    </row>
    <row r="1842" spans="1:9" hidden="1" x14ac:dyDescent="0.25">
      <c r="A1842" s="103" t="s">
        <v>5477</v>
      </c>
      <c r="B1842" s="104" t="s">
        <v>4269</v>
      </c>
      <c r="C1842" s="105" t="s">
        <v>20</v>
      </c>
      <c r="D1842" s="105">
        <v>0</v>
      </c>
      <c r="E1842" s="124">
        <f ca="1">OFFSET(INDEX(Composições!A:J,MATCH(Orçamentária!A1842,Composições!A:A,0),8),2,0)</f>
        <v>5.3769999999999998</v>
      </c>
      <c r="F1842" s="125">
        <f t="shared" ca="1" si="96"/>
        <v>0</v>
      </c>
      <c r="G1842" s="126" t="e">
        <f>IF(A1842&lt;&gt;"",IF(AND(#REF!="Padrão",$H$4=#REF!),BDI!$B$17,IF(AND(#REF!="Padrão",$H$4=#REF!),BDI!#REF!,IF(AND(#REF!="Diferenciado",$H$4=#REF!),BDI!$E$17,IF(AND(#REF!="Diferenciado",$H$4=#REF!),BDI!#REF!,IF(#REF!="ZERO",0))))),"")</f>
        <v>#REF!</v>
      </c>
      <c r="H1842" s="127" t="e">
        <f t="shared" ca="1" si="97"/>
        <v>#REF!</v>
      </c>
      <c r="I1842" s="125" t="e">
        <f t="shared" ca="1" si="98"/>
        <v>#REF!</v>
      </c>
    </row>
    <row r="1843" spans="1:9" hidden="1" x14ac:dyDescent="0.25">
      <c r="A1843" s="103" t="s">
        <v>5478</v>
      </c>
      <c r="B1843" s="104" t="s">
        <v>4270</v>
      </c>
      <c r="C1843" s="105" t="s">
        <v>20</v>
      </c>
      <c r="D1843" s="105">
        <v>0</v>
      </c>
      <c r="E1843" s="124">
        <f ca="1">OFFSET(INDEX(Composições!A:J,MATCH(Orçamentária!A1843,Composições!A:A,0),8),2,0)</f>
        <v>15.142999999999999</v>
      </c>
      <c r="F1843" s="125">
        <f t="shared" ca="1" si="96"/>
        <v>0</v>
      </c>
      <c r="G1843" s="126" t="e">
        <f>IF(A1843&lt;&gt;"",IF(AND(#REF!="Padrão",$H$4=#REF!),BDI!$B$17,IF(AND(#REF!="Padrão",$H$4=#REF!),BDI!#REF!,IF(AND(#REF!="Diferenciado",$H$4=#REF!),BDI!$E$17,IF(AND(#REF!="Diferenciado",$H$4=#REF!),BDI!#REF!,IF(#REF!="ZERO",0))))),"")</f>
        <v>#REF!</v>
      </c>
      <c r="H1843" s="127" t="e">
        <f t="shared" ca="1" si="97"/>
        <v>#REF!</v>
      </c>
      <c r="I1843" s="125" t="e">
        <f t="shared" ca="1" si="98"/>
        <v>#REF!</v>
      </c>
    </row>
    <row r="1844" spans="1:9" hidden="1" x14ac:dyDescent="0.25">
      <c r="A1844" s="103" t="s">
        <v>5479</v>
      </c>
      <c r="B1844" s="104" t="s">
        <v>4271</v>
      </c>
      <c r="C1844" s="105" t="s">
        <v>20</v>
      </c>
      <c r="D1844" s="105">
        <v>0</v>
      </c>
      <c r="E1844" s="124">
        <f ca="1">OFFSET(INDEX(Composições!A:J,MATCH(Orçamentária!A1844,Composições!A:A,0),8),2,0)</f>
        <v>5.016</v>
      </c>
      <c r="F1844" s="125">
        <f t="shared" ca="1" si="96"/>
        <v>0</v>
      </c>
      <c r="G1844" s="126" t="e">
        <f>IF(A1844&lt;&gt;"",IF(AND(#REF!="Padrão",$H$4=#REF!),BDI!$B$17,IF(AND(#REF!="Padrão",$H$4=#REF!),BDI!#REF!,IF(AND(#REF!="Diferenciado",$H$4=#REF!),BDI!$E$17,IF(AND(#REF!="Diferenciado",$H$4=#REF!),BDI!#REF!,IF(#REF!="ZERO",0))))),"")</f>
        <v>#REF!</v>
      </c>
      <c r="H1844" s="127" t="e">
        <f t="shared" ca="1" si="97"/>
        <v>#REF!</v>
      </c>
      <c r="I1844" s="125" t="e">
        <f t="shared" ca="1" si="98"/>
        <v>#REF!</v>
      </c>
    </row>
    <row r="1845" spans="1:9" hidden="1" x14ac:dyDescent="0.25">
      <c r="A1845" s="103" t="s">
        <v>5480</v>
      </c>
      <c r="B1845" s="104" t="s">
        <v>4272</v>
      </c>
      <c r="C1845" s="105" t="s">
        <v>20</v>
      </c>
      <c r="D1845" s="105">
        <v>0</v>
      </c>
      <c r="E1845" s="124" t="s">
        <v>523</v>
      </c>
      <c r="F1845" s="125" t="str">
        <f t="shared" si="96"/>
        <v/>
      </c>
      <c r="G1845" s="126" t="e">
        <f>IF(A1845&lt;&gt;"",IF(AND(#REF!="Padrão",$H$4=#REF!),BDI!$B$17,IF(AND(#REF!="Padrão",$H$4=#REF!),BDI!#REF!,IF(AND(#REF!="Diferenciado",$H$4=#REF!),BDI!$E$17,IF(AND(#REF!="Diferenciado",$H$4=#REF!),BDI!#REF!,IF(#REF!="ZERO",0))))),"")</f>
        <v>#REF!</v>
      </c>
      <c r="H1845" s="127" t="str">
        <f t="shared" si="97"/>
        <v/>
      </c>
      <c r="I1845" s="125" t="str">
        <f t="shared" si="98"/>
        <v/>
      </c>
    </row>
    <row r="1846" spans="1:9" hidden="1" x14ac:dyDescent="0.25">
      <c r="A1846" s="103" t="s">
        <v>5481</v>
      </c>
      <c r="B1846" s="104" t="s">
        <v>4273</v>
      </c>
      <c r="C1846" s="105" t="s">
        <v>20</v>
      </c>
      <c r="D1846" s="105">
        <v>0</v>
      </c>
      <c r="E1846" s="124">
        <f ca="1">OFFSET(INDEX(Composições!A:J,MATCH(Orçamentária!A1846,Composições!A:A,0),8),2,0)</f>
        <v>19.968999999999998</v>
      </c>
      <c r="F1846" s="125">
        <f t="shared" ca="1" si="96"/>
        <v>0</v>
      </c>
      <c r="G1846" s="126" t="e">
        <f>IF(A1846&lt;&gt;"",IF(AND(#REF!="Padrão",$H$4=#REF!),BDI!$B$17,IF(AND(#REF!="Padrão",$H$4=#REF!),BDI!#REF!,IF(AND(#REF!="Diferenciado",$H$4=#REF!),BDI!$E$17,IF(AND(#REF!="Diferenciado",$H$4=#REF!),BDI!#REF!,IF(#REF!="ZERO",0))))),"")</f>
        <v>#REF!</v>
      </c>
      <c r="H1846" s="127" t="e">
        <f t="shared" ca="1" si="97"/>
        <v>#REF!</v>
      </c>
      <c r="I1846" s="125" t="e">
        <f t="shared" ca="1" si="98"/>
        <v>#REF!</v>
      </c>
    </row>
    <row r="1847" spans="1:9" hidden="1" x14ac:dyDescent="0.25">
      <c r="A1847" s="103" t="s">
        <v>5482</v>
      </c>
      <c r="B1847" s="104" t="s">
        <v>4274</v>
      </c>
      <c r="C1847" s="105" t="s">
        <v>20</v>
      </c>
      <c r="D1847" s="105">
        <v>0</v>
      </c>
      <c r="E1847" s="124">
        <f ca="1">OFFSET(INDEX(Composições!A:J,MATCH(Orçamentária!A1847,Composições!A:A,0),8),2,0)</f>
        <v>8.3885000000000005</v>
      </c>
      <c r="F1847" s="125">
        <f t="shared" ca="1" si="96"/>
        <v>0</v>
      </c>
      <c r="G1847" s="126" t="e">
        <f>IF(A1847&lt;&gt;"",IF(AND(#REF!="Padrão",$H$4=#REF!),BDI!$B$17,IF(AND(#REF!="Padrão",$H$4=#REF!),BDI!#REF!,IF(AND(#REF!="Diferenciado",$H$4=#REF!),BDI!$E$17,IF(AND(#REF!="Diferenciado",$H$4=#REF!),BDI!#REF!,IF(#REF!="ZERO",0))))),"")</f>
        <v>#REF!</v>
      </c>
      <c r="H1847" s="127" t="e">
        <f t="shared" ca="1" si="97"/>
        <v>#REF!</v>
      </c>
      <c r="I1847" s="125" t="e">
        <f t="shared" ca="1" si="98"/>
        <v>#REF!</v>
      </c>
    </row>
    <row r="1848" spans="1:9" hidden="1" x14ac:dyDescent="0.25">
      <c r="A1848" s="103" t="s">
        <v>5483</v>
      </c>
      <c r="B1848" s="104" t="s">
        <v>4275</v>
      </c>
      <c r="C1848" s="105" t="s">
        <v>20</v>
      </c>
      <c r="D1848" s="105">
        <v>0</v>
      </c>
      <c r="E1848" s="124">
        <f ca="1">OFFSET(INDEX(Composições!A:J,MATCH(Orçamentária!A1848,Composições!A:A,0),8),2,0)</f>
        <v>23.436499999999999</v>
      </c>
      <c r="F1848" s="125">
        <f t="shared" ca="1" si="96"/>
        <v>0</v>
      </c>
      <c r="G1848" s="126" t="e">
        <f>IF(A1848&lt;&gt;"",IF(AND(#REF!="Padrão",$H$4=#REF!),BDI!$B$17,IF(AND(#REF!="Padrão",$H$4=#REF!),BDI!#REF!,IF(AND(#REF!="Diferenciado",$H$4=#REF!),BDI!$E$17,IF(AND(#REF!="Diferenciado",$H$4=#REF!),BDI!#REF!,IF(#REF!="ZERO",0))))),"")</f>
        <v>#REF!</v>
      </c>
      <c r="H1848" s="127" t="e">
        <f t="shared" ca="1" si="97"/>
        <v>#REF!</v>
      </c>
      <c r="I1848" s="125" t="e">
        <f t="shared" ca="1" si="98"/>
        <v>#REF!</v>
      </c>
    </row>
    <row r="1849" spans="1:9" hidden="1" x14ac:dyDescent="0.25">
      <c r="A1849" s="103" t="s">
        <v>5484</v>
      </c>
      <c r="B1849" s="104" t="s">
        <v>4276</v>
      </c>
      <c r="C1849" s="105" t="s">
        <v>20</v>
      </c>
      <c r="D1849" s="105">
        <v>0</v>
      </c>
      <c r="E1849" s="124">
        <f ca="1">OFFSET(INDEX(Composições!A:J,MATCH(Orçamentária!A1849,Composições!A:A,0),8),2,0)</f>
        <v>7.2579999999999991</v>
      </c>
      <c r="F1849" s="125">
        <f t="shared" ca="1" si="96"/>
        <v>0</v>
      </c>
      <c r="G1849" s="126" t="e">
        <f>IF(A1849&lt;&gt;"",IF(AND(#REF!="Padrão",$H$4=#REF!),BDI!$B$17,IF(AND(#REF!="Padrão",$H$4=#REF!),BDI!#REF!,IF(AND(#REF!="Diferenciado",$H$4=#REF!),BDI!$E$17,IF(AND(#REF!="Diferenciado",$H$4=#REF!),BDI!#REF!,IF(#REF!="ZERO",0))))),"")</f>
        <v>#REF!</v>
      </c>
      <c r="H1849" s="127" t="e">
        <f t="shared" ca="1" si="97"/>
        <v>#REF!</v>
      </c>
      <c r="I1849" s="125" t="e">
        <f t="shared" ca="1" si="98"/>
        <v>#REF!</v>
      </c>
    </row>
    <row r="1850" spans="1:9" hidden="1" x14ac:dyDescent="0.25">
      <c r="A1850" s="103" t="s">
        <v>5485</v>
      </c>
      <c r="B1850" s="104" t="s">
        <v>4277</v>
      </c>
      <c r="C1850" s="105" t="s">
        <v>20</v>
      </c>
      <c r="D1850" s="105">
        <v>0</v>
      </c>
      <c r="E1850" s="124" t="s">
        <v>523</v>
      </c>
      <c r="F1850" s="125" t="str">
        <f t="shared" si="96"/>
        <v/>
      </c>
      <c r="G1850" s="126" t="e">
        <f>IF(A1850&lt;&gt;"",IF(AND(#REF!="Padrão",$H$4=#REF!),BDI!$B$17,IF(AND(#REF!="Padrão",$H$4=#REF!),BDI!#REF!,IF(AND(#REF!="Diferenciado",$H$4=#REF!),BDI!$E$17,IF(AND(#REF!="Diferenciado",$H$4=#REF!),BDI!#REF!,IF(#REF!="ZERO",0))))),"")</f>
        <v>#REF!</v>
      </c>
      <c r="H1850" s="127" t="str">
        <f t="shared" si="97"/>
        <v/>
      </c>
      <c r="I1850" s="125" t="str">
        <f t="shared" si="98"/>
        <v/>
      </c>
    </row>
    <row r="1851" spans="1:9" hidden="1" x14ac:dyDescent="0.25">
      <c r="A1851" s="103" t="s">
        <v>5486</v>
      </c>
      <c r="B1851" s="104" t="s">
        <v>4278</v>
      </c>
      <c r="C1851" s="105" t="s">
        <v>20</v>
      </c>
      <c r="D1851" s="105">
        <v>0</v>
      </c>
      <c r="E1851" s="124">
        <f ca="1">OFFSET(INDEX(Composições!A:J,MATCH(Orçamentária!A1851,Composições!A:A,0),8),2,0)</f>
        <v>24.348499999999998</v>
      </c>
      <c r="F1851" s="125">
        <f t="shared" ca="1" si="96"/>
        <v>0</v>
      </c>
      <c r="G1851" s="126" t="e">
        <f>IF(A1851&lt;&gt;"",IF(AND(#REF!="Padrão",$H$4=#REF!),BDI!$B$17,IF(AND(#REF!="Padrão",$H$4=#REF!),BDI!#REF!,IF(AND(#REF!="Diferenciado",$H$4=#REF!),BDI!$E$17,IF(AND(#REF!="Diferenciado",$H$4=#REF!),BDI!#REF!,IF(#REF!="ZERO",0))))),"")</f>
        <v>#REF!</v>
      </c>
      <c r="H1851" s="127" t="e">
        <f t="shared" ca="1" si="97"/>
        <v>#REF!</v>
      </c>
      <c r="I1851" s="125" t="e">
        <f t="shared" ca="1" si="98"/>
        <v>#REF!</v>
      </c>
    </row>
    <row r="1852" spans="1:9" hidden="1" x14ac:dyDescent="0.25">
      <c r="A1852" s="103" t="s">
        <v>5487</v>
      </c>
      <c r="B1852" s="104" t="s">
        <v>4279</v>
      </c>
      <c r="C1852" s="105" t="s">
        <v>20</v>
      </c>
      <c r="D1852" s="105">
        <v>0</v>
      </c>
      <c r="E1852" s="124">
        <f ca="1">OFFSET(INDEX(Composições!A:J,MATCH(Orçamentária!A1852,Composições!A:A,0),8),2,0)</f>
        <v>9.3004999999999995</v>
      </c>
      <c r="F1852" s="125">
        <f t="shared" ca="1" si="96"/>
        <v>0</v>
      </c>
      <c r="G1852" s="126" t="e">
        <f>IF(A1852&lt;&gt;"",IF(AND(#REF!="Padrão",$H$4=#REF!),BDI!$B$17,IF(AND(#REF!="Padrão",$H$4=#REF!),BDI!#REF!,IF(AND(#REF!="Diferenciado",$H$4=#REF!),BDI!$E$17,IF(AND(#REF!="Diferenciado",$H$4=#REF!),BDI!#REF!,IF(#REF!="ZERO",0))))),"")</f>
        <v>#REF!</v>
      </c>
      <c r="H1852" s="127" t="e">
        <f t="shared" ca="1" si="97"/>
        <v>#REF!</v>
      </c>
      <c r="I1852" s="125" t="e">
        <f t="shared" ca="1" si="98"/>
        <v>#REF!</v>
      </c>
    </row>
    <row r="1853" spans="1:9" hidden="1" x14ac:dyDescent="0.25">
      <c r="A1853" s="103" t="s">
        <v>5488</v>
      </c>
      <c r="B1853" s="104" t="s">
        <v>4280</v>
      </c>
      <c r="C1853" s="105" t="s">
        <v>20</v>
      </c>
      <c r="D1853" s="105">
        <v>0</v>
      </c>
      <c r="E1853" s="124">
        <f ca="1">OFFSET(INDEX(Composições!A:J,MATCH(Orçamentária!A1853,Composições!A:A,0),8),2,0)</f>
        <v>47.490499999999997</v>
      </c>
      <c r="F1853" s="125">
        <f t="shared" ca="1" si="96"/>
        <v>0</v>
      </c>
      <c r="G1853" s="126" t="e">
        <f>IF(A1853&lt;&gt;"",IF(AND(#REF!="Padrão",$H$4=#REF!),BDI!$B$17,IF(AND(#REF!="Padrão",$H$4=#REF!),BDI!#REF!,IF(AND(#REF!="Diferenciado",$H$4=#REF!),BDI!$E$17,IF(AND(#REF!="Diferenciado",$H$4=#REF!),BDI!#REF!,IF(#REF!="ZERO",0))))),"")</f>
        <v>#REF!</v>
      </c>
      <c r="H1853" s="127" t="e">
        <f t="shared" ca="1" si="97"/>
        <v>#REF!</v>
      </c>
      <c r="I1853" s="125" t="e">
        <f t="shared" ca="1" si="98"/>
        <v>#REF!</v>
      </c>
    </row>
    <row r="1854" spans="1:9" hidden="1" x14ac:dyDescent="0.25">
      <c r="A1854" s="103" t="s">
        <v>5489</v>
      </c>
      <c r="B1854" s="104" t="s">
        <v>4281</v>
      </c>
      <c r="C1854" s="105" t="s">
        <v>20</v>
      </c>
      <c r="D1854" s="105">
        <v>0</v>
      </c>
      <c r="E1854" s="124">
        <f ca="1">OFFSET(INDEX(Composições!A:J,MATCH(Orçamentária!A1854,Composições!A:A,0),8),2,0)</f>
        <v>10.1175</v>
      </c>
      <c r="F1854" s="125">
        <f t="shared" ca="1" si="96"/>
        <v>0</v>
      </c>
      <c r="G1854" s="126" t="e">
        <f>IF(A1854&lt;&gt;"",IF(AND(#REF!="Padrão",$H$4=#REF!),BDI!$B$17,IF(AND(#REF!="Padrão",$H$4=#REF!),BDI!#REF!,IF(AND(#REF!="Diferenciado",$H$4=#REF!),BDI!$E$17,IF(AND(#REF!="Diferenciado",$H$4=#REF!),BDI!#REF!,IF(#REF!="ZERO",0))))),"")</f>
        <v>#REF!</v>
      </c>
      <c r="H1854" s="127" t="e">
        <f t="shared" ca="1" si="97"/>
        <v>#REF!</v>
      </c>
      <c r="I1854" s="125" t="e">
        <f t="shared" ca="1" si="98"/>
        <v>#REF!</v>
      </c>
    </row>
    <row r="1855" spans="1:9" hidden="1" x14ac:dyDescent="0.25">
      <c r="A1855" s="103" t="s">
        <v>5490</v>
      </c>
      <c r="B1855" s="104" t="s">
        <v>4282</v>
      </c>
      <c r="C1855" s="105" t="s">
        <v>20</v>
      </c>
      <c r="D1855" s="105">
        <v>0</v>
      </c>
      <c r="E1855" s="124" t="s">
        <v>523</v>
      </c>
      <c r="F1855" s="125" t="str">
        <f t="shared" si="96"/>
        <v/>
      </c>
      <c r="G1855" s="126" t="e">
        <f>IF(A1855&lt;&gt;"",IF(AND(#REF!="Padrão",$H$4=#REF!),BDI!$B$17,IF(AND(#REF!="Padrão",$H$4=#REF!),BDI!#REF!,IF(AND(#REF!="Diferenciado",$H$4=#REF!),BDI!$E$17,IF(AND(#REF!="Diferenciado",$H$4=#REF!),BDI!#REF!,IF(#REF!="ZERO",0))))),"")</f>
        <v>#REF!</v>
      </c>
      <c r="H1855" s="127" t="str">
        <f t="shared" si="97"/>
        <v/>
      </c>
      <c r="I1855" s="125" t="str">
        <f t="shared" si="98"/>
        <v/>
      </c>
    </row>
    <row r="1856" spans="1:9" hidden="1" x14ac:dyDescent="0.25">
      <c r="A1856" s="103" t="s">
        <v>5491</v>
      </c>
      <c r="B1856" s="104" t="s">
        <v>4283</v>
      </c>
      <c r="C1856" s="105" t="s">
        <v>20</v>
      </c>
      <c r="D1856" s="105">
        <v>0</v>
      </c>
      <c r="E1856" s="124">
        <f ca="1">OFFSET(INDEX(Composições!A:J,MATCH(Orçamentária!A1856,Composições!A:A,0),8),2,0)</f>
        <v>35.7485</v>
      </c>
      <c r="F1856" s="125">
        <f t="shared" ca="1" si="96"/>
        <v>0</v>
      </c>
      <c r="G1856" s="126" t="e">
        <f>IF(A1856&lt;&gt;"",IF(AND(#REF!="Padrão",$H$4=#REF!),BDI!$B$17,IF(AND(#REF!="Padrão",$H$4=#REF!),BDI!#REF!,IF(AND(#REF!="Diferenciado",$H$4=#REF!),BDI!$E$17,IF(AND(#REF!="Diferenciado",$H$4=#REF!),BDI!#REF!,IF(#REF!="ZERO",0))))),"")</f>
        <v>#REF!</v>
      </c>
      <c r="H1856" s="127" t="e">
        <f t="shared" ca="1" si="97"/>
        <v>#REF!</v>
      </c>
      <c r="I1856" s="125" t="e">
        <f t="shared" ca="1" si="98"/>
        <v>#REF!</v>
      </c>
    </row>
    <row r="1857" spans="1:9" hidden="1" x14ac:dyDescent="0.25">
      <c r="A1857" s="103" t="s">
        <v>5492</v>
      </c>
      <c r="B1857" s="104" t="s">
        <v>4284</v>
      </c>
      <c r="C1857" s="105" t="s">
        <v>20</v>
      </c>
      <c r="D1857" s="105">
        <v>0</v>
      </c>
      <c r="E1857" s="124" t="s">
        <v>523</v>
      </c>
      <c r="F1857" s="125" t="str">
        <f t="shared" si="96"/>
        <v/>
      </c>
      <c r="G1857" s="126" t="e">
        <f>IF(A1857&lt;&gt;"",IF(AND(#REF!="Padrão",$H$4=#REF!),BDI!$B$17,IF(AND(#REF!="Padrão",$H$4=#REF!),BDI!#REF!,IF(AND(#REF!="Diferenciado",$H$4=#REF!),BDI!$E$17,IF(AND(#REF!="Diferenciado",$H$4=#REF!),BDI!#REF!,IF(#REF!="ZERO",0))))),"")</f>
        <v>#REF!</v>
      </c>
      <c r="H1857" s="127" t="str">
        <f t="shared" si="97"/>
        <v/>
      </c>
      <c r="I1857" s="125" t="str">
        <f t="shared" si="98"/>
        <v/>
      </c>
    </row>
    <row r="1858" spans="1:9" hidden="1" x14ac:dyDescent="0.25">
      <c r="A1858" s="103" t="s">
        <v>5493</v>
      </c>
      <c r="B1858" s="104" t="s">
        <v>4285</v>
      </c>
      <c r="C1858" s="105" t="s">
        <v>20</v>
      </c>
      <c r="D1858" s="105">
        <v>0</v>
      </c>
      <c r="E1858" s="124">
        <f ca="1">OFFSET(INDEX(Composições!A:J,MATCH(Orçamentária!A1858,Composições!A:A,0),8),2,0)</f>
        <v>111.568</v>
      </c>
      <c r="F1858" s="125">
        <f t="shared" ca="1" si="96"/>
        <v>0</v>
      </c>
      <c r="G1858" s="126" t="e">
        <f>IF(A1858&lt;&gt;"",IF(AND(#REF!="Padrão",$H$4=#REF!),BDI!$B$17,IF(AND(#REF!="Padrão",$H$4=#REF!),BDI!#REF!,IF(AND(#REF!="Diferenciado",$H$4=#REF!),BDI!$E$17,IF(AND(#REF!="Diferenciado",$H$4=#REF!),BDI!#REF!,IF(#REF!="ZERO",0))))),"")</f>
        <v>#REF!</v>
      </c>
      <c r="H1858" s="127" t="e">
        <f t="shared" ca="1" si="97"/>
        <v>#REF!</v>
      </c>
      <c r="I1858" s="125" t="e">
        <f t="shared" ca="1" si="98"/>
        <v>#REF!</v>
      </c>
    </row>
    <row r="1859" spans="1:9" hidden="1" x14ac:dyDescent="0.25">
      <c r="A1859" s="103" t="s">
        <v>5494</v>
      </c>
      <c r="B1859" s="104" t="s">
        <v>4286</v>
      </c>
      <c r="C1859" s="105" t="s">
        <v>20</v>
      </c>
      <c r="D1859" s="105">
        <v>0</v>
      </c>
      <c r="E1859" s="124">
        <f ca="1">OFFSET(INDEX(Composições!A:J,MATCH(Orçamentária!A1859,Composições!A:A,0),8),2,0)</f>
        <v>14.772500000000001</v>
      </c>
      <c r="F1859" s="125">
        <f t="shared" ca="1" si="96"/>
        <v>0</v>
      </c>
      <c r="G1859" s="126" t="e">
        <f>IF(A1859&lt;&gt;"",IF(AND(#REF!="Padrão",$H$4=#REF!),BDI!$B$17,IF(AND(#REF!="Padrão",$H$4=#REF!),BDI!#REF!,IF(AND(#REF!="Diferenciado",$H$4=#REF!),BDI!$E$17,IF(AND(#REF!="Diferenciado",$H$4=#REF!),BDI!#REF!,IF(#REF!="ZERO",0))))),"")</f>
        <v>#REF!</v>
      </c>
      <c r="H1859" s="127" t="e">
        <f t="shared" ca="1" si="97"/>
        <v>#REF!</v>
      </c>
      <c r="I1859" s="125" t="e">
        <f t="shared" ca="1" si="98"/>
        <v>#REF!</v>
      </c>
    </row>
    <row r="1860" spans="1:9" hidden="1" x14ac:dyDescent="0.25">
      <c r="A1860" s="103" t="s">
        <v>5495</v>
      </c>
      <c r="B1860" s="104" t="s">
        <v>4287</v>
      </c>
      <c r="C1860" s="105" t="s">
        <v>20</v>
      </c>
      <c r="D1860" s="105">
        <v>0</v>
      </c>
      <c r="E1860" s="124" t="s">
        <v>523</v>
      </c>
      <c r="F1860" s="125" t="str">
        <f t="shared" si="96"/>
        <v/>
      </c>
      <c r="G1860" s="126" t="e">
        <f>IF(A1860&lt;&gt;"",IF(AND(#REF!="Padrão",$H$4=#REF!),BDI!$B$17,IF(AND(#REF!="Padrão",$H$4=#REF!),BDI!#REF!,IF(AND(#REF!="Diferenciado",$H$4=#REF!),BDI!$E$17,IF(AND(#REF!="Diferenciado",$H$4=#REF!),BDI!#REF!,IF(#REF!="ZERO",0))))),"")</f>
        <v>#REF!</v>
      </c>
      <c r="H1860" s="127" t="str">
        <f t="shared" si="97"/>
        <v/>
      </c>
      <c r="I1860" s="125" t="str">
        <f t="shared" si="98"/>
        <v/>
      </c>
    </row>
    <row r="1861" spans="1:9" hidden="1" x14ac:dyDescent="0.25">
      <c r="A1861" s="103" t="s">
        <v>5496</v>
      </c>
      <c r="B1861" s="104" t="s">
        <v>4288</v>
      </c>
      <c r="C1861" s="105" t="s">
        <v>20</v>
      </c>
      <c r="D1861" s="105">
        <v>0</v>
      </c>
      <c r="E1861" s="124">
        <f ca="1">OFFSET(INDEX(Composições!A:J,MATCH(Orçamentária!A1861,Composições!A:A,0),8),2,0)</f>
        <v>90.525500000000008</v>
      </c>
      <c r="F1861" s="125">
        <f t="shared" ca="1" si="96"/>
        <v>0</v>
      </c>
      <c r="G1861" s="126" t="e">
        <f>IF(A1861&lt;&gt;"",IF(AND(#REF!="Padrão",$H$4=#REF!),BDI!$B$17,IF(AND(#REF!="Padrão",$H$4=#REF!),BDI!#REF!,IF(AND(#REF!="Diferenciado",$H$4=#REF!),BDI!$E$17,IF(AND(#REF!="Diferenciado",$H$4=#REF!),BDI!#REF!,IF(#REF!="ZERO",0))))),"")</f>
        <v>#REF!</v>
      </c>
      <c r="H1861" s="127" t="e">
        <f t="shared" ca="1" si="97"/>
        <v>#REF!</v>
      </c>
      <c r="I1861" s="125" t="e">
        <f t="shared" ca="1" si="98"/>
        <v>#REF!</v>
      </c>
    </row>
    <row r="1862" spans="1:9" hidden="1" x14ac:dyDescent="0.25">
      <c r="A1862" s="103" t="s">
        <v>5497</v>
      </c>
      <c r="B1862" s="104" t="s">
        <v>4289</v>
      </c>
      <c r="C1862" s="105" t="s">
        <v>20</v>
      </c>
      <c r="D1862" s="105">
        <v>0</v>
      </c>
      <c r="E1862" s="124">
        <f ca="1">OFFSET(INDEX(Composições!A:J,MATCH(Orçamentária!A1862,Composições!A:A,0),8),2,0)</f>
        <v>30.666</v>
      </c>
      <c r="F1862" s="125">
        <f t="shared" ca="1" si="96"/>
        <v>0</v>
      </c>
      <c r="G1862" s="126" t="e">
        <f>IF(A1862&lt;&gt;"",IF(AND(#REF!="Padrão",$H$4=#REF!),BDI!$B$17,IF(AND(#REF!="Padrão",$H$4=#REF!),BDI!#REF!,IF(AND(#REF!="Diferenciado",$H$4=#REF!),BDI!$E$17,IF(AND(#REF!="Diferenciado",$H$4=#REF!),BDI!#REF!,IF(#REF!="ZERO",0))))),"")</f>
        <v>#REF!</v>
      </c>
      <c r="H1862" s="127" t="e">
        <f t="shared" ca="1" si="97"/>
        <v>#REF!</v>
      </c>
      <c r="I1862" s="125" t="e">
        <f t="shared" ca="1" si="98"/>
        <v>#REF!</v>
      </c>
    </row>
    <row r="1863" spans="1:9" hidden="1" x14ac:dyDescent="0.25">
      <c r="A1863" s="103" t="s">
        <v>5498</v>
      </c>
      <c r="B1863" s="104" t="s">
        <v>4290</v>
      </c>
      <c r="C1863" s="105" t="s">
        <v>20</v>
      </c>
      <c r="D1863" s="105">
        <v>0</v>
      </c>
      <c r="E1863" s="124">
        <f ca="1">OFFSET(INDEX(Composições!A:J,MATCH(Orçamentária!A1863,Composições!A:A,0),8),2,0)</f>
        <v>134.52950000000001</v>
      </c>
      <c r="F1863" s="125">
        <f t="shared" ca="1" si="96"/>
        <v>0</v>
      </c>
      <c r="G1863" s="126" t="e">
        <f>IF(A1863&lt;&gt;"",IF(AND(#REF!="Padrão",$H$4=#REF!),BDI!$B$17,IF(AND(#REF!="Padrão",$H$4=#REF!),BDI!#REF!,IF(AND(#REF!="Diferenciado",$H$4=#REF!),BDI!$E$17,IF(AND(#REF!="Diferenciado",$H$4=#REF!),BDI!#REF!,IF(#REF!="ZERO",0))))),"")</f>
        <v>#REF!</v>
      </c>
      <c r="H1863" s="127" t="e">
        <f t="shared" ca="1" si="97"/>
        <v>#REF!</v>
      </c>
      <c r="I1863" s="125" t="e">
        <f t="shared" ca="1" si="98"/>
        <v>#REF!</v>
      </c>
    </row>
    <row r="1864" spans="1:9" hidden="1" x14ac:dyDescent="0.25">
      <c r="A1864" s="103" t="s">
        <v>5499</v>
      </c>
      <c r="B1864" s="104" t="s">
        <v>4291</v>
      </c>
      <c r="C1864" s="105" t="s">
        <v>20</v>
      </c>
      <c r="D1864" s="105">
        <v>0</v>
      </c>
      <c r="E1864" s="124">
        <f ca="1">OFFSET(INDEX(Composições!A:J,MATCH(Orçamentária!A1864,Composições!A:A,0),8),2,0)</f>
        <v>22.486499999999999</v>
      </c>
      <c r="F1864" s="125">
        <f t="shared" ca="1" si="96"/>
        <v>0</v>
      </c>
      <c r="G1864" s="126" t="e">
        <f>IF(A1864&lt;&gt;"",IF(AND(#REF!="Padrão",$H$4=#REF!),BDI!$B$17,IF(AND(#REF!="Padrão",$H$4=#REF!),BDI!#REF!,IF(AND(#REF!="Diferenciado",$H$4=#REF!),BDI!$E$17,IF(AND(#REF!="Diferenciado",$H$4=#REF!),BDI!#REF!,IF(#REF!="ZERO",0))))),"")</f>
        <v>#REF!</v>
      </c>
      <c r="H1864" s="127" t="e">
        <f t="shared" ca="1" si="97"/>
        <v>#REF!</v>
      </c>
      <c r="I1864" s="125" t="e">
        <f t="shared" ca="1" si="98"/>
        <v>#REF!</v>
      </c>
    </row>
    <row r="1865" spans="1:9" hidden="1" x14ac:dyDescent="0.25">
      <c r="A1865" s="103" t="s">
        <v>5500</v>
      </c>
      <c r="B1865" s="104" t="s">
        <v>4292</v>
      </c>
      <c r="C1865" s="105" t="s">
        <v>20</v>
      </c>
      <c r="D1865" s="105">
        <v>0</v>
      </c>
      <c r="E1865" s="124" t="s">
        <v>523</v>
      </c>
      <c r="F1865" s="125" t="str">
        <f t="shared" si="96"/>
        <v/>
      </c>
      <c r="G1865" s="126" t="e">
        <f>IF(A1865&lt;&gt;"",IF(AND(#REF!="Padrão",$H$4=#REF!),BDI!$B$17,IF(AND(#REF!="Padrão",$H$4=#REF!),BDI!#REF!,IF(AND(#REF!="Diferenciado",$H$4=#REF!),BDI!$E$17,IF(AND(#REF!="Diferenciado",$H$4=#REF!),BDI!#REF!,IF(#REF!="ZERO",0))))),"")</f>
        <v>#REF!</v>
      </c>
      <c r="H1865" s="127" t="str">
        <f t="shared" si="97"/>
        <v/>
      </c>
      <c r="I1865" s="125" t="str">
        <f t="shared" si="98"/>
        <v/>
      </c>
    </row>
    <row r="1866" spans="1:9" hidden="1" x14ac:dyDescent="0.25">
      <c r="A1866" s="103" t="s">
        <v>5501</v>
      </c>
      <c r="B1866" s="104" t="s">
        <v>4293</v>
      </c>
      <c r="C1866" s="105" t="s">
        <v>20</v>
      </c>
      <c r="D1866" s="105">
        <v>0</v>
      </c>
      <c r="E1866" s="124">
        <f ca="1">OFFSET(INDEX(Composições!A:J,MATCH(Orçamentária!A1866,Composições!A:A,0),8),2,0)</f>
        <v>118.84499999999998</v>
      </c>
      <c r="F1866" s="125">
        <f t="shared" ca="1" si="96"/>
        <v>0</v>
      </c>
      <c r="G1866" s="126" t="e">
        <f>IF(A1866&lt;&gt;"",IF(AND(#REF!="Padrão",$H$4=#REF!),BDI!$B$17,IF(AND(#REF!="Padrão",$H$4=#REF!),BDI!#REF!,IF(AND(#REF!="Diferenciado",$H$4=#REF!),BDI!$E$17,IF(AND(#REF!="Diferenciado",$H$4=#REF!),BDI!#REF!,IF(#REF!="ZERO",0))))),"")</f>
        <v>#REF!</v>
      </c>
      <c r="H1866" s="127" t="e">
        <f t="shared" ca="1" si="97"/>
        <v>#REF!</v>
      </c>
      <c r="I1866" s="125" t="e">
        <f t="shared" ca="1" si="98"/>
        <v>#REF!</v>
      </c>
    </row>
    <row r="1867" spans="1:9" hidden="1" x14ac:dyDescent="0.25">
      <c r="A1867" s="103" t="s">
        <v>5502</v>
      </c>
      <c r="B1867" s="104" t="s">
        <v>4294</v>
      </c>
      <c r="C1867" s="105" t="s">
        <v>20</v>
      </c>
      <c r="D1867" s="105">
        <v>0</v>
      </c>
      <c r="E1867" s="124">
        <f ca="1">OFFSET(INDEX(Composições!A:J,MATCH(Orçamentária!A1867,Composições!A:A,0),8),2,0)</f>
        <v>48.060499999999998</v>
      </c>
      <c r="F1867" s="125">
        <f t="shared" ca="1" si="96"/>
        <v>0</v>
      </c>
      <c r="G1867" s="126" t="e">
        <f>IF(A1867&lt;&gt;"",IF(AND(#REF!="Padrão",$H$4=#REF!),BDI!$B$17,IF(AND(#REF!="Padrão",$H$4=#REF!),BDI!#REF!,IF(AND(#REF!="Diferenciado",$H$4=#REF!),BDI!$E$17,IF(AND(#REF!="Diferenciado",$H$4=#REF!),BDI!#REF!,IF(#REF!="ZERO",0))))),"")</f>
        <v>#REF!</v>
      </c>
      <c r="H1867" s="127" t="e">
        <f t="shared" ca="1" si="97"/>
        <v>#REF!</v>
      </c>
      <c r="I1867" s="125" t="e">
        <f t="shared" ca="1" si="98"/>
        <v>#REF!</v>
      </c>
    </row>
    <row r="1868" spans="1:9" hidden="1" x14ac:dyDescent="0.25">
      <c r="A1868" s="103" t="s">
        <v>5503</v>
      </c>
      <c r="B1868" s="104" t="s">
        <v>4295</v>
      </c>
      <c r="C1868" s="105" t="s">
        <v>20</v>
      </c>
      <c r="D1868" s="105">
        <v>0</v>
      </c>
      <c r="E1868" s="124">
        <f ca="1">OFFSET(INDEX(Composições!A:J,MATCH(Orçamentária!A1868,Composições!A:A,0),8),2,0)</f>
        <v>247.60799999999998</v>
      </c>
      <c r="F1868" s="125">
        <f t="shared" ca="1" si="96"/>
        <v>0</v>
      </c>
      <c r="G1868" s="126" t="e">
        <f>IF(A1868&lt;&gt;"",IF(AND(#REF!="Padrão",$H$4=#REF!),BDI!$B$17,IF(AND(#REF!="Padrão",$H$4=#REF!),BDI!#REF!,IF(AND(#REF!="Diferenciado",$H$4=#REF!),BDI!$E$17,IF(AND(#REF!="Diferenciado",$H$4=#REF!),BDI!#REF!,IF(#REF!="ZERO",0))))),"")</f>
        <v>#REF!</v>
      </c>
      <c r="H1868" s="127" t="e">
        <f t="shared" ca="1" si="97"/>
        <v>#REF!</v>
      </c>
      <c r="I1868" s="125" t="e">
        <f t="shared" ca="1" si="98"/>
        <v>#REF!</v>
      </c>
    </row>
    <row r="1869" spans="1:9" hidden="1" x14ac:dyDescent="0.25">
      <c r="A1869" s="103" t="s">
        <v>5504</v>
      </c>
      <c r="B1869" s="104" t="s">
        <v>4296</v>
      </c>
      <c r="C1869" s="105" t="s">
        <v>20</v>
      </c>
      <c r="D1869" s="105">
        <v>0</v>
      </c>
      <c r="E1869" s="124">
        <f ca="1">OFFSET(INDEX(Composições!A:J,MATCH(Orçamentária!A1869,Composições!A:A,0),8),2,0)</f>
        <v>35.491999999999997</v>
      </c>
      <c r="F1869" s="125">
        <f t="shared" ca="1" si="96"/>
        <v>0</v>
      </c>
      <c r="G1869" s="126" t="e">
        <f>IF(A1869&lt;&gt;"",IF(AND(#REF!="Padrão",$H$4=#REF!),BDI!$B$17,IF(AND(#REF!="Padrão",$H$4=#REF!),BDI!#REF!,IF(AND(#REF!="Diferenciado",$H$4=#REF!),BDI!$E$17,IF(AND(#REF!="Diferenciado",$H$4=#REF!),BDI!#REF!,IF(#REF!="ZERO",0))))),"")</f>
        <v>#REF!</v>
      </c>
      <c r="H1869" s="127" t="e">
        <f t="shared" ca="1" si="97"/>
        <v>#REF!</v>
      </c>
      <c r="I1869" s="125" t="e">
        <f t="shared" ca="1" si="98"/>
        <v>#REF!</v>
      </c>
    </row>
    <row r="1870" spans="1:9" hidden="1" x14ac:dyDescent="0.25">
      <c r="A1870" s="103" t="s">
        <v>5505</v>
      </c>
      <c r="B1870" s="104" t="s">
        <v>4297</v>
      </c>
      <c r="C1870" s="105" t="s">
        <v>20</v>
      </c>
      <c r="D1870" s="105">
        <v>0</v>
      </c>
      <c r="E1870" s="124" t="s">
        <v>523</v>
      </c>
      <c r="F1870" s="125" t="str">
        <f t="shared" si="96"/>
        <v/>
      </c>
      <c r="G1870" s="126" t="e">
        <f>IF(A1870&lt;&gt;"",IF(AND(#REF!="Padrão",$H$4=#REF!),BDI!$B$17,IF(AND(#REF!="Padrão",$H$4=#REF!),BDI!#REF!,IF(AND(#REF!="Diferenciado",$H$4=#REF!),BDI!$E$17,IF(AND(#REF!="Diferenciado",$H$4=#REF!),BDI!#REF!,IF(#REF!="ZERO",0))))),"")</f>
        <v>#REF!</v>
      </c>
      <c r="H1870" s="127" t="str">
        <f t="shared" si="97"/>
        <v/>
      </c>
      <c r="I1870" s="125" t="str">
        <f t="shared" si="98"/>
        <v/>
      </c>
    </row>
    <row r="1871" spans="1:9" hidden="1" x14ac:dyDescent="0.25">
      <c r="A1871" s="103" t="s">
        <v>5506</v>
      </c>
      <c r="B1871" s="104" t="s">
        <v>4298</v>
      </c>
      <c r="C1871" s="105" t="s">
        <v>20</v>
      </c>
      <c r="D1871" s="105">
        <v>0</v>
      </c>
      <c r="E1871" s="124">
        <f ca="1">OFFSET(INDEX(Composições!A:J,MATCH(Orçamentária!A1871,Composições!A:A,0),8),2,0)</f>
        <v>201.56149999999997</v>
      </c>
      <c r="F1871" s="125">
        <f t="shared" ca="1" si="96"/>
        <v>0</v>
      </c>
      <c r="G1871" s="126" t="e">
        <f>IF(A1871&lt;&gt;"",IF(AND(#REF!="Padrão",$H$4=#REF!),BDI!$B$17,IF(AND(#REF!="Padrão",$H$4=#REF!),BDI!#REF!,IF(AND(#REF!="Diferenciado",$H$4=#REF!),BDI!$E$17,IF(AND(#REF!="Diferenciado",$H$4=#REF!),BDI!#REF!,IF(#REF!="ZERO",0))))),"")</f>
        <v>#REF!</v>
      </c>
      <c r="H1871" s="127" t="e">
        <f t="shared" ca="1" si="97"/>
        <v>#REF!</v>
      </c>
      <c r="I1871" s="125" t="e">
        <f t="shared" ca="1" si="98"/>
        <v>#REF!</v>
      </c>
    </row>
    <row r="1872" spans="1:9" hidden="1" x14ac:dyDescent="0.25">
      <c r="A1872" s="103" t="s">
        <v>5507</v>
      </c>
      <c r="B1872" s="104" t="s">
        <v>4299</v>
      </c>
      <c r="C1872" s="105" t="s">
        <v>93</v>
      </c>
      <c r="D1872" s="105">
        <v>0</v>
      </c>
      <c r="E1872" s="124">
        <f ca="1">OFFSET(INDEX(Composições!A:J,MATCH(Orçamentária!A1872,Composições!A:A,0),8),2,0)</f>
        <v>4.1420000000000003</v>
      </c>
      <c r="F1872" s="125">
        <f t="shared" ca="1" si="96"/>
        <v>0</v>
      </c>
      <c r="G1872" s="126" t="e">
        <f>IF(A1872&lt;&gt;"",IF(AND(#REF!="Padrão",$H$4=#REF!),BDI!$B$17,IF(AND(#REF!="Padrão",$H$4=#REF!),BDI!#REF!,IF(AND(#REF!="Diferenciado",$H$4=#REF!),BDI!$E$17,IF(AND(#REF!="Diferenciado",$H$4=#REF!),BDI!#REF!,IF(#REF!="ZERO",0))))),"")</f>
        <v>#REF!</v>
      </c>
      <c r="H1872" s="127" t="e">
        <f t="shared" ca="1" si="97"/>
        <v>#REF!</v>
      </c>
      <c r="I1872" s="125" t="e">
        <f t="shared" ca="1" si="98"/>
        <v>#REF!</v>
      </c>
    </row>
    <row r="1873" spans="1:9" hidden="1" x14ac:dyDescent="0.25">
      <c r="A1873" s="103" t="s">
        <v>5508</v>
      </c>
      <c r="B1873" s="104" t="s">
        <v>4300</v>
      </c>
      <c r="C1873" s="105" t="s">
        <v>93</v>
      </c>
      <c r="D1873" s="105">
        <v>0</v>
      </c>
      <c r="E1873" s="124">
        <f ca="1">OFFSET(INDEX(Composições!A:J,MATCH(Orçamentária!A1873,Composições!A:A,0),8),2,0)</f>
        <v>7.9705000000000004</v>
      </c>
      <c r="F1873" s="125">
        <f t="shared" ca="1" si="96"/>
        <v>0</v>
      </c>
      <c r="G1873" s="126" t="e">
        <f>IF(A1873&lt;&gt;"",IF(AND(#REF!="Padrão",$H$4=#REF!),BDI!$B$17,IF(AND(#REF!="Padrão",$H$4=#REF!),BDI!#REF!,IF(AND(#REF!="Diferenciado",$H$4=#REF!),BDI!$E$17,IF(AND(#REF!="Diferenciado",$H$4=#REF!),BDI!#REF!,IF(#REF!="ZERO",0))))),"")</f>
        <v>#REF!</v>
      </c>
      <c r="H1873" s="127" t="e">
        <f t="shared" ca="1" si="97"/>
        <v>#REF!</v>
      </c>
      <c r="I1873" s="125" t="e">
        <f t="shared" ca="1" si="98"/>
        <v>#REF!</v>
      </c>
    </row>
    <row r="1874" spans="1:9" hidden="1" x14ac:dyDescent="0.25">
      <c r="A1874" s="103" t="s">
        <v>5509</v>
      </c>
      <c r="B1874" s="104" t="s">
        <v>4301</v>
      </c>
      <c r="C1874" s="105" t="s">
        <v>93</v>
      </c>
      <c r="D1874" s="105">
        <v>0</v>
      </c>
      <c r="E1874" s="124">
        <f ca="1">OFFSET(INDEX(Composições!A:J,MATCH(Orçamentária!A1874,Composições!A:A,0),8),2,0)</f>
        <v>14.648999999999999</v>
      </c>
      <c r="F1874" s="125">
        <f t="shared" ca="1" si="96"/>
        <v>0</v>
      </c>
      <c r="G1874" s="126" t="e">
        <f>IF(A1874&lt;&gt;"",IF(AND(#REF!="Padrão",$H$4=#REF!),BDI!$B$17,IF(AND(#REF!="Padrão",$H$4=#REF!),BDI!#REF!,IF(AND(#REF!="Diferenciado",$H$4=#REF!),BDI!$E$17,IF(AND(#REF!="Diferenciado",$H$4=#REF!),BDI!#REF!,IF(#REF!="ZERO",0))))),"")</f>
        <v>#REF!</v>
      </c>
      <c r="H1874" s="127" t="e">
        <f t="shared" ca="1" si="97"/>
        <v>#REF!</v>
      </c>
      <c r="I1874" s="125" t="e">
        <f t="shared" ca="1" si="98"/>
        <v>#REF!</v>
      </c>
    </row>
    <row r="1875" spans="1:9" hidden="1" x14ac:dyDescent="0.25">
      <c r="A1875" s="103" t="s">
        <v>5510</v>
      </c>
      <c r="B1875" s="104" t="s">
        <v>4302</v>
      </c>
      <c r="C1875" s="105" t="s">
        <v>20</v>
      </c>
      <c r="D1875" s="105">
        <v>0</v>
      </c>
      <c r="E1875" s="124" t="s">
        <v>523</v>
      </c>
      <c r="F1875" s="125" t="str">
        <f t="shared" si="96"/>
        <v/>
      </c>
      <c r="G1875" s="126" t="e">
        <f>IF(A1875&lt;&gt;"",IF(AND(#REF!="Padrão",$H$4=#REF!),BDI!$B$17,IF(AND(#REF!="Padrão",$H$4=#REF!),BDI!#REF!,IF(AND(#REF!="Diferenciado",$H$4=#REF!),BDI!$E$17,IF(AND(#REF!="Diferenciado",$H$4=#REF!),BDI!#REF!,IF(#REF!="ZERO",0))))),"")</f>
        <v>#REF!</v>
      </c>
      <c r="H1875" s="127" t="str">
        <f t="shared" si="97"/>
        <v/>
      </c>
      <c r="I1875" s="125" t="str">
        <f t="shared" si="98"/>
        <v/>
      </c>
    </row>
    <row r="1876" spans="1:9" hidden="1" x14ac:dyDescent="0.25">
      <c r="A1876" s="103" t="s">
        <v>5511</v>
      </c>
      <c r="B1876" s="104" t="s">
        <v>4303</v>
      </c>
      <c r="C1876" s="105" t="s">
        <v>93</v>
      </c>
      <c r="D1876" s="105">
        <v>0</v>
      </c>
      <c r="E1876" s="124">
        <f ca="1">OFFSET(INDEX(Composições!A:J,MATCH(Orçamentária!A1876,Composições!A:A,0),8),2,0)</f>
        <v>19.218499999999999</v>
      </c>
      <c r="F1876" s="125">
        <f t="shared" ca="1" si="96"/>
        <v>0</v>
      </c>
      <c r="G1876" s="126" t="e">
        <f>IF(A1876&lt;&gt;"",IF(AND(#REF!="Padrão",$H$4=#REF!),BDI!$B$17,IF(AND(#REF!="Padrão",$H$4=#REF!),BDI!#REF!,IF(AND(#REF!="Diferenciado",$H$4=#REF!),BDI!$E$17,IF(AND(#REF!="Diferenciado",$H$4=#REF!),BDI!#REF!,IF(#REF!="ZERO",0))))),"")</f>
        <v>#REF!</v>
      </c>
      <c r="H1876" s="127" t="e">
        <f t="shared" ca="1" si="97"/>
        <v>#REF!</v>
      </c>
      <c r="I1876" s="125" t="e">
        <f t="shared" ca="1" si="98"/>
        <v>#REF!</v>
      </c>
    </row>
    <row r="1877" spans="1:9" hidden="1" x14ac:dyDescent="0.25">
      <c r="A1877" s="103" t="s">
        <v>5512</v>
      </c>
      <c r="B1877" s="104" t="s">
        <v>4304</v>
      </c>
      <c r="C1877" s="105" t="s">
        <v>20</v>
      </c>
      <c r="D1877" s="105">
        <v>0</v>
      </c>
      <c r="E1877" s="124" t="s">
        <v>523</v>
      </c>
      <c r="F1877" s="125" t="str">
        <f t="shared" si="96"/>
        <v/>
      </c>
      <c r="G1877" s="126" t="e">
        <f>IF(A1877&lt;&gt;"",IF(AND(#REF!="Padrão",$H$4=#REF!),BDI!$B$17,IF(AND(#REF!="Padrão",$H$4=#REF!),BDI!#REF!,IF(AND(#REF!="Diferenciado",$H$4=#REF!),BDI!$E$17,IF(AND(#REF!="Diferenciado",$H$4=#REF!),BDI!#REF!,IF(#REF!="ZERO",0))))),"")</f>
        <v>#REF!</v>
      </c>
      <c r="H1877" s="127" t="str">
        <f t="shared" si="97"/>
        <v/>
      </c>
      <c r="I1877" s="125" t="str">
        <f t="shared" si="98"/>
        <v/>
      </c>
    </row>
    <row r="1878" spans="1:9" hidden="1" x14ac:dyDescent="0.25">
      <c r="A1878" s="103" t="s">
        <v>5513</v>
      </c>
      <c r="B1878" s="104" t="s">
        <v>4305</v>
      </c>
      <c r="C1878" s="105" t="s">
        <v>93</v>
      </c>
      <c r="D1878" s="105">
        <v>0</v>
      </c>
      <c r="E1878" s="124">
        <f ca="1">OFFSET(INDEX(Composições!A:J,MATCH(Orçamentária!A1878,Composições!A:A,0),8),2,0)</f>
        <v>28.994</v>
      </c>
      <c r="F1878" s="125">
        <f t="shared" ca="1" si="96"/>
        <v>0</v>
      </c>
      <c r="G1878" s="126" t="e">
        <f>IF(A1878&lt;&gt;"",IF(AND(#REF!="Padrão",$H$4=#REF!),BDI!$B$17,IF(AND(#REF!="Padrão",$H$4=#REF!),BDI!#REF!,IF(AND(#REF!="Diferenciado",$H$4=#REF!),BDI!$E$17,IF(AND(#REF!="Diferenciado",$H$4=#REF!),BDI!#REF!,IF(#REF!="ZERO",0))))),"")</f>
        <v>#REF!</v>
      </c>
      <c r="H1878" s="127" t="e">
        <f t="shared" ca="1" si="97"/>
        <v>#REF!</v>
      </c>
      <c r="I1878" s="125" t="e">
        <f t="shared" ca="1" si="98"/>
        <v>#REF!</v>
      </c>
    </row>
    <row r="1879" spans="1:9" hidden="1" x14ac:dyDescent="0.25">
      <c r="A1879" s="103" t="s">
        <v>5514</v>
      </c>
      <c r="B1879" s="104" t="s">
        <v>4306</v>
      </c>
      <c r="C1879" s="105" t="s">
        <v>20</v>
      </c>
      <c r="D1879" s="105">
        <v>0</v>
      </c>
      <c r="E1879" s="124" t="s">
        <v>523</v>
      </c>
      <c r="F1879" s="125" t="str">
        <f t="shared" si="96"/>
        <v/>
      </c>
      <c r="G1879" s="126" t="e">
        <f>IF(A1879&lt;&gt;"",IF(AND(#REF!="Padrão",$H$4=#REF!),BDI!$B$17,IF(AND(#REF!="Padrão",$H$4=#REF!),BDI!#REF!,IF(AND(#REF!="Diferenciado",$H$4=#REF!),BDI!$E$17,IF(AND(#REF!="Diferenciado",$H$4=#REF!),BDI!#REF!,IF(#REF!="ZERO",0))))),"")</f>
        <v>#REF!</v>
      </c>
      <c r="H1879" s="127" t="str">
        <f t="shared" si="97"/>
        <v/>
      </c>
      <c r="I1879" s="125" t="str">
        <f t="shared" si="98"/>
        <v/>
      </c>
    </row>
    <row r="1880" spans="1:9" hidden="1" x14ac:dyDescent="0.25">
      <c r="A1880" s="103" t="s">
        <v>5515</v>
      </c>
      <c r="B1880" s="104" t="s">
        <v>4307</v>
      </c>
      <c r="C1880" s="105" t="s">
        <v>93</v>
      </c>
      <c r="D1880" s="105">
        <v>0</v>
      </c>
      <c r="E1880" s="124">
        <f ca="1">OFFSET(INDEX(Composições!A:J,MATCH(Orçamentária!A1880,Composições!A:A,0),8),2,0)</f>
        <v>37.316000000000003</v>
      </c>
      <c r="F1880" s="125">
        <f t="shared" ca="1" si="96"/>
        <v>0</v>
      </c>
      <c r="G1880" s="126" t="e">
        <f>IF(A1880&lt;&gt;"",IF(AND(#REF!="Padrão",$H$4=#REF!),BDI!$B$17,IF(AND(#REF!="Padrão",$H$4=#REF!),BDI!#REF!,IF(AND(#REF!="Diferenciado",$H$4=#REF!),BDI!$E$17,IF(AND(#REF!="Diferenciado",$H$4=#REF!),BDI!#REF!,IF(#REF!="ZERO",0))))),"")</f>
        <v>#REF!</v>
      </c>
      <c r="H1880" s="127" t="e">
        <f t="shared" ca="1" si="97"/>
        <v>#REF!</v>
      </c>
      <c r="I1880" s="125" t="e">
        <f t="shared" ca="1" si="98"/>
        <v>#REF!</v>
      </c>
    </row>
    <row r="1881" spans="1:9" hidden="1" x14ac:dyDescent="0.25">
      <c r="A1881" s="103" t="s">
        <v>5516</v>
      </c>
      <c r="B1881" s="104" t="s">
        <v>4308</v>
      </c>
      <c r="C1881" s="105" t="s">
        <v>20</v>
      </c>
      <c r="D1881" s="105">
        <v>0</v>
      </c>
      <c r="E1881" s="124" t="s">
        <v>523</v>
      </c>
      <c r="F1881" s="125" t="str">
        <f t="shared" si="96"/>
        <v/>
      </c>
      <c r="G1881" s="126" t="e">
        <f>IF(A1881&lt;&gt;"",IF(AND(#REF!="Padrão",$H$4=#REF!),BDI!$B$17,IF(AND(#REF!="Padrão",$H$4=#REF!),BDI!#REF!,IF(AND(#REF!="Diferenciado",$H$4=#REF!),BDI!$E$17,IF(AND(#REF!="Diferenciado",$H$4=#REF!),BDI!#REF!,IF(#REF!="ZERO",0))))),"")</f>
        <v>#REF!</v>
      </c>
      <c r="H1881" s="127" t="str">
        <f t="shared" si="97"/>
        <v/>
      </c>
      <c r="I1881" s="125" t="str">
        <f t="shared" si="98"/>
        <v/>
      </c>
    </row>
    <row r="1882" spans="1:9" hidden="1" x14ac:dyDescent="0.25">
      <c r="A1882" s="103" t="s">
        <v>5517</v>
      </c>
      <c r="B1882" s="104" t="s">
        <v>4309</v>
      </c>
      <c r="C1882" s="105" t="s">
        <v>93</v>
      </c>
      <c r="D1882" s="105">
        <v>0</v>
      </c>
      <c r="E1882" s="124">
        <f ca="1">OFFSET(INDEX(Composições!A:J,MATCH(Orçamentária!A1882,Composições!A:A,0),8),2,0)</f>
        <v>49.704000000000001</v>
      </c>
      <c r="F1882" s="125">
        <f t="shared" ca="1" si="96"/>
        <v>0</v>
      </c>
      <c r="G1882" s="126" t="e">
        <f>IF(A1882&lt;&gt;"",IF(AND(#REF!="Padrão",$H$4=#REF!),BDI!$B$17,IF(AND(#REF!="Padrão",$H$4=#REF!),BDI!#REF!,IF(AND(#REF!="Diferenciado",$H$4=#REF!),BDI!$E$17,IF(AND(#REF!="Diferenciado",$H$4=#REF!),BDI!#REF!,IF(#REF!="ZERO",0))))),"")</f>
        <v>#REF!</v>
      </c>
      <c r="H1882" s="127" t="e">
        <f t="shared" ca="1" si="97"/>
        <v>#REF!</v>
      </c>
      <c r="I1882" s="125" t="e">
        <f t="shared" ca="1" si="98"/>
        <v>#REF!</v>
      </c>
    </row>
    <row r="1883" spans="1:9" hidden="1" x14ac:dyDescent="0.25">
      <c r="A1883" s="103" t="s">
        <v>5518</v>
      </c>
      <c r="B1883" s="104" t="s">
        <v>4310</v>
      </c>
      <c r="C1883" s="105" t="s">
        <v>20</v>
      </c>
      <c r="D1883" s="105">
        <v>0</v>
      </c>
      <c r="E1883" s="124" t="s">
        <v>523</v>
      </c>
      <c r="F1883" s="125" t="str">
        <f t="shared" si="96"/>
        <v/>
      </c>
      <c r="G1883" s="126" t="e">
        <f>IF(A1883&lt;&gt;"",IF(AND(#REF!="Padrão",$H$4=#REF!),BDI!$B$17,IF(AND(#REF!="Padrão",$H$4=#REF!),BDI!#REF!,IF(AND(#REF!="Diferenciado",$H$4=#REF!),BDI!$E$17,IF(AND(#REF!="Diferenciado",$H$4=#REF!),BDI!#REF!,IF(#REF!="ZERO",0))))),"")</f>
        <v>#REF!</v>
      </c>
      <c r="H1883" s="127" t="str">
        <f t="shared" si="97"/>
        <v/>
      </c>
      <c r="I1883" s="125" t="str">
        <f t="shared" si="98"/>
        <v/>
      </c>
    </row>
    <row r="1884" spans="1:9" hidden="1" x14ac:dyDescent="0.25">
      <c r="A1884" s="103" t="s">
        <v>5519</v>
      </c>
      <c r="B1884" s="104" t="s">
        <v>4311</v>
      </c>
      <c r="C1884" s="105" t="s">
        <v>93</v>
      </c>
      <c r="D1884" s="105">
        <v>0</v>
      </c>
      <c r="E1884" s="124">
        <f ca="1">OFFSET(INDEX(Composições!A:J,MATCH(Orçamentária!A1884,Composições!A:A,0),8),2,0)</f>
        <v>3.3819999999999997</v>
      </c>
      <c r="F1884" s="125">
        <f t="shared" ca="1" si="96"/>
        <v>0</v>
      </c>
      <c r="G1884" s="126" t="e">
        <f>IF(A1884&lt;&gt;"",IF(AND(#REF!="Padrão",$H$4=#REF!),BDI!$B$17,IF(AND(#REF!="Padrão",$H$4=#REF!),BDI!#REF!,IF(AND(#REF!="Diferenciado",$H$4=#REF!),BDI!$E$17,IF(AND(#REF!="Diferenciado",$H$4=#REF!),BDI!#REF!,IF(#REF!="ZERO",0))))),"")</f>
        <v>#REF!</v>
      </c>
      <c r="H1884" s="127" t="e">
        <f t="shared" ca="1" si="97"/>
        <v>#REF!</v>
      </c>
      <c r="I1884" s="125" t="e">
        <f t="shared" ca="1" si="98"/>
        <v>#REF!</v>
      </c>
    </row>
    <row r="1885" spans="1:9" hidden="1" x14ac:dyDescent="0.25">
      <c r="A1885" s="103" t="s">
        <v>5520</v>
      </c>
      <c r="B1885" s="104" t="s">
        <v>4312</v>
      </c>
      <c r="C1885" s="105" t="s">
        <v>20</v>
      </c>
      <c r="D1885" s="105">
        <v>0</v>
      </c>
      <c r="E1885" s="124">
        <f ca="1">OFFSET(INDEX(Composições!A:J,MATCH(Orçamentária!A1885,Composições!A:A,0),8),2,0)</f>
        <v>5.6239999999999997</v>
      </c>
      <c r="F1885" s="125">
        <f t="shared" ca="1" si="96"/>
        <v>0</v>
      </c>
      <c r="G1885" s="126" t="e">
        <f>IF(A1885&lt;&gt;"",IF(AND(#REF!="Padrão",$H$4=#REF!),BDI!$B$17,IF(AND(#REF!="Padrão",$H$4=#REF!),BDI!#REF!,IF(AND(#REF!="Diferenciado",$H$4=#REF!),BDI!$E$17,IF(AND(#REF!="Diferenciado",$H$4=#REF!),BDI!#REF!,IF(#REF!="ZERO",0))))),"")</f>
        <v>#REF!</v>
      </c>
      <c r="H1885" s="127" t="e">
        <f t="shared" ca="1" si="97"/>
        <v>#REF!</v>
      </c>
      <c r="I1885" s="125" t="e">
        <f t="shared" ca="1" si="98"/>
        <v>#REF!</v>
      </c>
    </row>
    <row r="1886" spans="1:9" hidden="1" x14ac:dyDescent="0.25">
      <c r="A1886" s="103" t="s">
        <v>5521</v>
      </c>
      <c r="B1886" s="104" t="s">
        <v>4313</v>
      </c>
      <c r="C1886" s="105" t="s">
        <v>93</v>
      </c>
      <c r="D1886" s="105">
        <v>0</v>
      </c>
      <c r="E1886" s="124">
        <f ca="1">OFFSET(INDEX(Composições!A:J,MATCH(Orçamentária!A1886,Composições!A:A,0),8),2,0)</f>
        <v>5.5765000000000002</v>
      </c>
      <c r="F1886" s="125">
        <f t="shared" ca="1" si="96"/>
        <v>0</v>
      </c>
      <c r="G1886" s="126" t="e">
        <f>IF(A1886&lt;&gt;"",IF(AND(#REF!="Padrão",$H$4=#REF!),BDI!$B$17,IF(AND(#REF!="Padrão",$H$4=#REF!),BDI!#REF!,IF(AND(#REF!="Diferenciado",$H$4=#REF!),BDI!$E$17,IF(AND(#REF!="Diferenciado",$H$4=#REF!),BDI!#REF!,IF(#REF!="ZERO",0))))),"")</f>
        <v>#REF!</v>
      </c>
      <c r="H1886" s="127" t="e">
        <f t="shared" ca="1" si="97"/>
        <v>#REF!</v>
      </c>
      <c r="I1886" s="125" t="e">
        <f t="shared" ca="1" si="98"/>
        <v>#REF!</v>
      </c>
    </row>
    <row r="1887" spans="1:9" hidden="1" x14ac:dyDescent="0.25">
      <c r="A1887" s="103" t="s">
        <v>5522</v>
      </c>
      <c r="B1887" s="104" t="s">
        <v>4314</v>
      </c>
      <c r="C1887" s="105" t="s">
        <v>20</v>
      </c>
      <c r="D1887" s="105">
        <v>0</v>
      </c>
      <c r="E1887" s="124">
        <f ca="1">OFFSET(INDEX(Composições!A:J,MATCH(Orçamentária!A1887,Composições!A:A,0),8),2,0)</f>
        <v>6.4219999999999997</v>
      </c>
      <c r="F1887" s="125">
        <f t="shared" ca="1" si="96"/>
        <v>0</v>
      </c>
      <c r="G1887" s="126" t="e">
        <f>IF(A1887&lt;&gt;"",IF(AND(#REF!="Padrão",$H$4=#REF!),BDI!$B$17,IF(AND(#REF!="Padrão",$H$4=#REF!),BDI!#REF!,IF(AND(#REF!="Diferenciado",$H$4=#REF!),BDI!$E$17,IF(AND(#REF!="Diferenciado",$H$4=#REF!),BDI!#REF!,IF(#REF!="ZERO",0))))),"")</f>
        <v>#REF!</v>
      </c>
      <c r="H1887" s="127" t="e">
        <f t="shared" ca="1" si="97"/>
        <v>#REF!</v>
      </c>
      <c r="I1887" s="125" t="e">
        <f t="shared" ca="1" si="98"/>
        <v>#REF!</v>
      </c>
    </row>
    <row r="1888" spans="1:9" hidden="1" x14ac:dyDescent="0.25">
      <c r="A1888" s="103" t="s">
        <v>5523</v>
      </c>
      <c r="B1888" s="104" t="s">
        <v>4315</v>
      </c>
      <c r="C1888" s="105" t="s">
        <v>93</v>
      </c>
      <c r="D1888" s="105">
        <v>0</v>
      </c>
      <c r="E1888" s="124">
        <f ca="1">OFFSET(INDEX(Composições!A:J,MATCH(Orçamentária!A1888,Composições!A:A,0),8),2,0)</f>
        <v>7.8090000000000002</v>
      </c>
      <c r="F1888" s="125">
        <f t="shared" ca="1" si="96"/>
        <v>0</v>
      </c>
      <c r="G1888" s="126" t="e">
        <f>IF(A1888&lt;&gt;"",IF(AND(#REF!="Padrão",$H$4=#REF!),BDI!$B$17,IF(AND(#REF!="Padrão",$H$4=#REF!),BDI!#REF!,IF(AND(#REF!="Diferenciado",$H$4=#REF!),BDI!$E$17,IF(AND(#REF!="Diferenciado",$H$4=#REF!),BDI!#REF!,IF(#REF!="ZERO",0))))),"")</f>
        <v>#REF!</v>
      </c>
      <c r="H1888" s="127" t="e">
        <f t="shared" ca="1" si="97"/>
        <v>#REF!</v>
      </c>
      <c r="I1888" s="125" t="e">
        <f t="shared" ca="1" si="98"/>
        <v>#REF!</v>
      </c>
    </row>
    <row r="1889" spans="1:9" hidden="1" x14ac:dyDescent="0.25">
      <c r="A1889" s="103" t="s">
        <v>5524</v>
      </c>
      <c r="B1889" s="104" t="s">
        <v>4316</v>
      </c>
      <c r="C1889" s="105" t="s">
        <v>20</v>
      </c>
      <c r="D1889" s="105">
        <v>0</v>
      </c>
      <c r="E1889" s="124">
        <f ca="1">OFFSET(INDEX(Composições!A:J,MATCH(Orçamentária!A1889,Composições!A:A,0),8),2,0)</f>
        <v>9.4809999999999999</v>
      </c>
      <c r="F1889" s="125">
        <f t="shared" ca="1" si="96"/>
        <v>0</v>
      </c>
      <c r="G1889" s="126" t="e">
        <f>IF(A1889&lt;&gt;"",IF(AND(#REF!="Padrão",$H$4=#REF!),BDI!$B$17,IF(AND(#REF!="Padrão",$H$4=#REF!),BDI!#REF!,IF(AND(#REF!="Diferenciado",$H$4=#REF!),BDI!$E$17,IF(AND(#REF!="Diferenciado",$H$4=#REF!),BDI!#REF!,IF(#REF!="ZERO",0))))),"")</f>
        <v>#REF!</v>
      </c>
      <c r="H1889" s="127" t="e">
        <f t="shared" ca="1" si="97"/>
        <v>#REF!</v>
      </c>
      <c r="I1889" s="125" t="e">
        <f t="shared" ca="1" si="98"/>
        <v>#REF!</v>
      </c>
    </row>
    <row r="1890" spans="1:9" hidden="1" x14ac:dyDescent="0.25">
      <c r="A1890" s="103" t="s">
        <v>5525</v>
      </c>
      <c r="B1890" s="104" t="s">
        <v>4317</v>
      </c>
      <c r="C1890" s="105" t="s">
        <v>93</v>
      </c>
      <c r="D1890" s="105">
        <v>0</v>
      </c>
      <c r="E1890" s="124">
        <f ca="1">OFFSET(INDEX(Composições!A:J,MATCH(Orçamentária!A1890,Composições!A:A,0),8),2,0)</f>
        <v>5.1680000000000001</v>
      </c>
      <c r="F1890" s="125">
        <f t="shared" ca="1" si="96"/>
        <v>0</v>
      </c>
      <c r="G1890" s="126" t="e">
        <f>IF(A1890&lt;&gt;"",IF(AND(#REF!="Padrão",$H$4=#REF!),BDI!$B$17,IF(AND(#REF!="Padrão",$H$4=#REF!),BDI!#REF!,IF(AND(#REF!="Diferenciado",$H$4=#REF!),BDI!$E$17,IF(AND(#REF!="Diferenciado",$H$4=#REF!),BDI!#REF!,IF(#REF!="ZERO",0))))),"")</f>
        <v>#REF!</v>
      </c>
      <c r="H1890" s="127" t="e">
        <f t="shared" ca="1" si="97"/>
        <v>#REF!</v>
      </c>
      <c r="I1890" s="125" t="e">
        <f t="shared" ca="1" si="98"/>
        <v>#REF!</v>
      </c>
    </row>
    <row r="1891" spans="1:9" hidden="1" x14ac:dyDescent="0.25">
      <c r="A1891" s="103" t="s">
        <v>5526</v>
      </c>
      <c r="B1891" s="104" t="s">
        <v>4318</v>
      </c>
      <c r="C1891" s="105" t="s">
        <v>20</v>
      </c>
      <c r="D1891" s="105">
        <v>0</v>
      </c>
      <c r="E1891" s="124">
        <f ca="1">OFFSET(INDEX(Composições!A:J,MATCH(Orçamentária!A1891,Composições!A:A,0),8),2,0)</f>
        <v>1.71</v>
      </c>
      <c r="F1891" s="125">
        <f t="shared" ca="1" si="96"/>
        <v>0</v>
      </c>
      <c r="G1891" s="126" t="e">
        <f>IF(A1891&lt;&gt;"",IF(AND(#REF!="Padrão",$H$4=#REF!),BDI!$B$17,IF(AND(#REF!="Padrão",$H$4=#REF!),BDI!#REF!,IF(AND(#REF!="Diferenciado",$H$4=#REF!),BDI!$E$17,IF(AND(#REF!="Diferenciado",$H$4=#REF!),BDI!#REF!,IF(#REF!="ZERO",0))))),"")</f>
        <v>#REF!</v>
      </c>
      <c r="H1891" s="127" t="e">
        <f t="shared" ca="1" si="97"/>
        <v>#REF!</v>
      </c>
      <c r="I1891" s="125" t="e">
        <f t="shared" ca="1" si="98"/>
        <v>#REF!</v>
      </c>
    </row>
    <row r="1892" spans="1:9" hidden="1" x14ac:dyDescent="0.25">
      <c r="A1892" s="103" t="s">
        <v>5527</v>
      </c>
      <c r="B1892" s="104" t="s">
        <v>4319</v>
      </c>
      <c r="C1892" s="105" t="s">
        <v>20</v>
      </c>
      <c r="D1892" s="105">
        <v>0</v>
      </c>
      <c r="E1892" s="124">
        <f ca="1">OFFSET(INDEX(Composições!A:J,MATCH(Orçamentária!A1892,Composições!A:A,0),8),2,0)</f>
        <v>3.6859999999999999</v>
      </c>
      <c r="F1892" s="125">
        <f t="shared" ca="1" si="96"/>
        <v>0</v>
      </c>
      <c r="G1892" s="126" t="e">
        <f>IF(A1892&lt;&gt;"",IF(AND(#REF!="Padrão",$H$4=#REF!),BDI!$B$17,IF(AND(#REF!="Padrão",$H$4=#REF!),BDI!#REF!,IF(AND(#REF!="Diferenciado",$H$4=#REF!),BDI!$E$17,IF(AND(#REF!="Diferenciado",$H$4=#REF!),BDI!#REF!,IF(#REF!="ZERO",0))))),"")</f>
        <v>#REF!</v>
      </c>
      <c r="H1892" s="127" t="e">
        <f t="shared" ca="1" si="97"/>
        <v>#REF!</v>
      </c>
      <c r="I1892" s="125" t="e">
        <f t="shared" ca="1" si="98"/>
        <v>#REF!</v>
      </c>
    </row>
    <row r="1893" spans="1:9" hidden="1" x14ac:dyDescent="0.25">
      <c r="A1893" s="103" t="s">
        <v>5528</v>
      </c>
      <c r="B1893" s="104" t="s">
        <v>4320</v>
      </c>
      <c r="C1893" s="105" t="s">
        <v>93</v>
      </c>
      <c r="D1893" s="105">
        <v>0</v>
      </c>
      <c r="E1893" s="124">
        <f ca="1">OFFSET(INDEX(Composições!A:J,MATCH(Orçamentária!A1893,Composições!A:A,0),8),2,0)</f>
        <v>8.0749999999999993</v>
      </c>
      <c r="F1893" s="125">
        <f t="shared" ca="1" si="96"/>
        <v>0</v>
      </c>
      <c r="G1893" s="126" t="e">
        <f>IF(A1893&lt;&gt;"",IF(AND(#REF!="Padrão",$H$4=#REF!),BDI!$B$17,IF(AND(#REF!="Padrão",$H$4=#REF!),BDI!#REF!,IF(AND(#REF!="Diferenciado",$H$4=#REF!),BDI!$E$17,IF(AND(#REF!="Diferenciado",$H$4=#REF!),BDI!#REF!,IF(#REF!="ZERO",0))))),"")</f>
        <v>#REF!</v>
      </c>
      <c r="H1893" s="127" t="e">
        <f t="shared" ca="1" si="97"/>
        <v>#REF!</v>
      </c>
      <c r="I1893" s="125" t="e">
        <f t="shared" ca="1" si="98"/>
        <v>#REF!</v>
      </c>
    </row>
    <row r="1894" spans="1:9" hidden="1" x14ac:dyDescent="0.25">
      <c r="A1894" s="103" t="s">
        <v>5529</v>
      </c>
      <c r="B1894" s="104" t="s">
        <v>4321</v>
      </c>
      <c r="C1894" s="105" t="s">
        <v>20</v>
      </c>
      <c r="D1894" s="105">
        <v>0</v>
      </c>
      <c r="E1894" s="124">
        <f ca="1">OFFSET(INDEX(Composições!A:J,MATCH(Orçamentária!A1894,Composições!A:A,0),8),2,0)</f>
        <v>2.3844999999999996</v>
      </c>
      <c r="F1894" s="125">
        <f t="shared" ca="1" si="96"/>
        <v>0</v>
      </c>
      <c r="G1894" s="126" t="e">
        <f>IF(A1894&lt;&gt;"",IF(AND(#REF!="Padrão",$H$4=#REF!),BDI!$B$17,IF(AND(#REF!="Padrão",$H$4=#REF!),BDI!#REF!,IF(AND(#REF!="Diferenciado",$H$4=#REF!),BDI!$E$17,IF(AND(#REF!="Diferenciado",$H$4=#REF!),BDI!#REF!,IF(#REF!="ZERO",0))))),"")</f>
        <v>#REF!</v>
      </c>
      <c r="H1894" s="127" t="e">
        <f t="shared" ca="1" si="97"/>
        <v>#REF!</v>
      </c>
      <c r="I1894" s="125" t="e">
        <f t="shared" ca="1" si="98"/>
        <v>#REF!</v>
      </c>
    </row>
    <row r="1895" spans="1:9" hidden="1" x14ac:dyDescent="0.25">
      <c r="A1895" s="103" t="s">
        <v>5530</v>
      </c>
      <c r="B1895" s="104" t="s">
        <v>4322</v>
      </c>
      <c r="C1895" s="105" t="s">
        <v>20</v>
      </c>
      <c r="D1895" s="105">
        <v>0</v>
      </c>
      <c r="E1895" s="124">
        <f ca="1">OFFSET(INDEX(Composições!A:J,MATCH(Orçamentária!A1895,Composições!A:A,0),8),2,0)</f>
        <v>5.1014999999999997</v>
      </c>
      <c r="F1895" s="125">
        <f t="shared" ca="1" si="96"/>
        <v>0</v>
      </c>
      <c r="G1895" s="126" t="e">
        <f>IF(A1895&lt;&gt;"",IF(AND(#REF!="Padrão",$H$4=#REF!),BDI!$B$17,IF(AND(#REF!="Padrão",$H$4=#REF!),BDI!#REF!,IF(AND(#REF!="Diferenciado",$H$4=#REF!),BDI!$E$17,IF(AND(#REF!="Diferenciado",$H$4=#REF!),BDI!#REF!,IF(#REF!="ZERO",0))))),"")</f>
        <v>#REF!</v>
      </c>
      <c r="H1895" s="127" t="e">
        <f t="shared" ca="1" si="97"/>
        <v>#REF!</v>
      </c>
      <c r="I1895" s="125" t="e">
        <f t="shared" ca="1" si="98"/>
        <v>#REF!</v>
      </c>
    </row>
    <row r="1896" spans="1:9" hidden="1" x14ac:dyDescent="0.25">
      <c r="A1896" s="103" t="s">
        <v>5531</v>
      </c>
      <c r="B1896" s="104" t="s">
        <v>4323</v>
      </c>
      <c r="C1896" s="105" t="s">
        <v>93</v>
      </c>
      <c r="D1896" s="105">
        <v>0</v>
      </c>
      <c r="E1896" s="124">
        <f ca="1">OFFSET(INDEX(Composições!A:J,MATCH(Orçamentária!A1896,Composições!A:A,0),8),2,0)</f>
        <v>10.754</v>
      </c>
      <c r="F1896" s="125">
        <f t="shared" ca="1" si="96"/>
        <v>0</v>
      </c>
      <c r="G1896" s="126" t="e">
        <f>IF(A1896&lt;&gt;"",IF(AND(#REF!="Padrão",$H$4=#REF!),BDI!$B$17,IF(AND(#REF!="Padrão",$H$4=#REF!),BDI!#REF!,IF(AND(#REF!="Diferenciado",$H$4=#REF!),BDI!$E$17,IF(AND(#REF!="Diferenciado",$H$4=#REF!),BDI!#REF!,IF(#REF!="ZERO",0))))),"")</f>
        <v>#REF!</v>
      </c>
      <c r="H1896" s="127" t="e">
        <f t="shared" ca="1" si="97"/>
        <v>#REF!</v>
      </c>
      <c r="I1896" s="125" t="e">
        <f t="shared" ca="1" si="98"/>
        <v>#REF!</v>
      </c>
    </row>
    <row r="1897" spans="1:9" hidden="1" x14ac:dyDescent="0.25">
      <c r="A1897" s="103" t="s">
        <v>5532</v>
      </c>
      <c r="B1897" s="104" t="s">
        <v>4324</v>
      </c>
      <c r="C1897" s="105" t="s">
        <v>20</v>
      </c>
      <c r="D1897" s="105">
        <v>0</v>
      </c>
      <c r="E1897" s="124">
        <f ca="1">OFFSET(INDEX(Composições!A:J,MATCH(Orçamentária!A1897,Composições!A:A,0),8),2,0)</f>
        <v>3.7049999999999996</v>
      </c>
      <c r="F1897" s="125">
        <f t="shared" ca="1" si="96"/>
        <v>0</v>
      </c>
      <c r="G1897" s="126" t="e">
        <f>IF(A1897&lt;&gt;"",IF(AND(#REF!="Padrão",$H$4=#REF!),BDI!$B$17,IF(AND(#REF!="Padrão",$H$4=#REF!),BDI!#REF!,IF(AND(#REF!="Diferenciado",$H$4=#REF!),BDI!$E$17,IF(AND(#REF!="Diferenciado",$H$4=#REF!),BDI!#REF!,IF(#REF!="ZERO",0))))),"")</f>
        <v>#REF!</v>
      </c>
      <c r="H1897" s="127" t="e">
        <f t="shared" ca="1" si="97"/>
        <v>#REF!</v>
      </c>
      <c r="I1897" s="125" t="e">
        <f t="shared" ca="1" si="98"/>
        <v>#REF!</v>
      </c>
    </row>
    <row r="1898" spans="1:9" hidden="1" x14ac:dyDescent="0.25">
      <c r="A1898" s="103" t="s">
        <v>5533</v>
      </c>
      <c r="B1898" s="104" t="s">
        <v>4325</v>
      </c>
      <c r="C1898" s="105" t="s">
        <v>20</v>
      </c>
      <c r="D1898" s="105">
        <v>0</v>
      </c>
      <c r="E1898" s="124">
        <f ca="1">OFFSET(INDEX(Composições!A:J,MATCH(Orçamentária!A1898,Composições!A:A,0),8),2,0)</f>
        <v>6.726</v>
      </c>
      <c r="F1898" s="125">
        <f t="shared" ca="1" si="96"/>
        <v>0</v>
      </c>
      <c r="G1898" s="126" t="e">
        <f>IF(A1898&lt;&gt;"",IF(AND(#REF!="Padrão",$H$4=#REF!),BDI!$B$17,IF(AND(#REF!="Padrão",$H$4=#REF!),BDI!#REF!,IF(AND(#REF!="Diferenciado",$H$4=#REF!),BDI!$E$17,IF(AND(#REF!="Diferenciado",$H$4=#REF!),BDI!#REF!,IF(#REF!="ZERO",0))))),"")</f>
        <v>#REF!</v>
      </c>
      <c r="H1898" s="127" t="e">
        <f t="shared" ca="1" si="97"/>
        <v>#REF!</v>
      </c>
      <c r="I1898" s="125" t="e">
        <f t="shared" ca="1" si="98"/>
        <v>#REF!</v>
      </c>
    </row>
    <row r="1899" spans="1:9" hidden="1" x14ac:dyDescent="0.25">
      <c r="A1899" s="103" t="s">
        <v>5534</v>
      </c>
      <c r="B1899" s="104" t="s">
        <v>4326</v>
      </c>
      <c r="C1899" s="105" t="s">
        <v>93</v>
      </c>
      <c r="D1899" s="105">
        <v>0</v>
      </c>
      <c r="E1899" s="124">
        <f ca="1">OFFSET(INDEX(Composições!A:J,MATCH(Orçamentária!A1899,Composições!A:A,0),8),2,0)</f>
        <v>11.818</v>
      </c>
      <c r="F1899" s="125">
        <f t="shared" ca="1" si="96"/>
        <v>0</v>
      </c>
      <c r="G1899" s="126" t="e">
        <f>IF(A1899&lt;&gt;"",IF(AND(#REF!="Padrão",$H$4=#REF!),BDI!$B$17,IF(AND(#REF!="Padrão",$H$4=#REF!),BDI!#REF!,IF(AND(#REF!="Diferenciado",$H$4=#REF!),BDI!$E$17,IF(AND(#REF!="Diferenciado",$H$4=#REF!),BDI!#REF!,IF(#REF!="ZERO",0))))),"")</f>
        <v>#REF!</v>
      </c>
      <c r="H1899" s="127" t="e">
        <f t="shared" ca="1" si="97"/>
        <v>#REF!</v>
      </c>
      <c r="I1899" s="125" t="e">
        <f t="shared" ca="1" si="98"/>
        <v>#REF!</v>
      </c>
    </row>
    <row r="1900" spans="1:9" hidden="1" x14ac:dyDescent="0.25">
      <c r="A1900" s="103" t="s">
        <v>5535</v>
      </c>
      <c r="B1900" s="104" t="s">
        <v>4327</v>
      </c>
      <c r="C1900" s="105" t="s">
        <v>20</v>
      </c>
      <c r="D1900" s="105">
        <v>0</v>
      </c>
      <c r="E1900" s="124">
        <f ca="1">OFFSET(INDEX(Composições!A:J,MATCH(Orçamentária!A1900,Composições!A:A,0),8),2,0)</f>
        <v>5.0824999999999996</v>
      </c>
      <c r="F1900" s="125">
        <f t="shared" ca="1" si="96"/>
        <v>0</v>
      </c>
      <c r="G1900" s="126" t="e">
        <f>IF(A1900&lt;&gt;"",IF(AND(#REF!="Padrão",$H$4=#REF!),BDI!$B$17,IF(AND(#REF!="Padrão",$H$4=#REF!),BDI!#REF!,IF(AND(#REF!="Diferenciado",$H$4=#REF!),BDI!$E$17,IF(AND(#REF!="Diferenciado",$H$4=#REF!),BDI!#REF!,IF(#REF!="ZERO",0))))),"")</f>
        <v>#REF!</v>
      </c>
      <c r="H1900" s="127" t="e">
        <f t="shared" ca="1" si="97"/>
        <v>#REF!</v>
      </c>
      <c r="I1900" s="125" t="e">
        <f t="shared" ca="1" si="98"/>
        <v>#REF!</v>
      </c>
    </row>
    <row r="1901" spans="1:9" hidden="1" x14ac:dyDescent="0.25">
      <c r="A1901" s="103" t="s">
        <v>5536</v>
      </c>
      <c r="B1901" s="104" t="s">
        <v>4328</v>
      </c>
      <c r="C1901" s="105" t="s">
        <v>20</v>
      </c>
      <c r="D1901" s="105">
        <v>0</v>
      </c>
      <c r="E1901" s="124">
        <f ca="1">OFFSET(INDEX(Composições!A:J,MATCH(Orçamentária!A1901,Composições!A:A,0),8),2,0)</f>
        <v>8.1509999999999998</v>
      </c>
      <c r="F1901" s="125">
        <f t="shared" ref="F1901:F1964" ca="1" si="99">IF(ISNUMBER(E1901),D1901*E1901,"")</f>
        <v>0</v>
      </c>
      <c r="G1901" s="126" t="e">
        <f>IF(A1901&lt;&gt;"",IF(AND(#REF!="Padrão",$H$4=#REF!),BDI!$B$17,IF(AND(#REF!="Padrão",$H$4=#REF!),BDI!#REF!,IF(AND(#REF!="Diferenciado",$H$4=#REF!),BDI!$E$17,IF(AND(#REF!="Diferenciado",$H$4=#REF!),BDI!#REF!,IF(#REF!="ZERO",0))))),"")</f>
        <v>#REF!</v>
      </c>
      <c r="H1901" s="127" t="e">
        <f t="shared" ref="H1901:H1964" ca="1" si="100">IF(ISNUMBER(E1901),ROUND(E1901*(1+G1901),2),"")</f>
        <v>#REF!</v>
      </c>
      <c r="I1901" s="125" t="e">
        <f t="shared" ref="I1901:I1964" ca="1" si="101">IF(ISNUMBER(E1901),ROUND(H1901*D1901,2),"")</f>
        <v>#REF!</v>
      </c>
    </row>
    <row r="1902" spans="1:9" hidden="1" x14ac:dyDescent="0.25">
      <c r="A1902" s="103" t="s">
        <v>5537</v>
      </c>
      <c r="B1902" s="104" t="s">
        <v>4329</v>
      </c>
      <c r="C1902" s="105" t="s">
        <v>93</v>
      </c>
      <c r="D1902" s="105">
        <v>0</v>
      </c>
      <c r="E1902" s="124">
        <f ca="1">OFFSET(INDEX(Composições!A:J,MATCH(Orçamentária!A1902,Composições!A:A,0),8),2,0)</f>
        <v>19.313499999999998</v>
      </c>
      <c r="F1902" s="125">
        <f t="shared" ca="1" si="99"/>
        <v>0</v>
      </c>
      <c r="G1902" s="126" t="e">
        <f>IF(A1902&lt;&gt;"",IF(AND(#REF!="Padrão",$H$4=#REF!),BDI!$B$17,IF(AND(#REF!="Padrão",$H$4=#REF!),BDI!#REF!,IF(AND(#REF!="Diferenciado",$H$4=#REF!),BDI!$E$17,IF(AND(#REF!="Diferenciado",$H$4=#REF!),BDI!#REF!,IF(#REF!="ZERO",0))))),"")</f>
        <v>#REF!</v>
      </c>
      <c r="H1902" s="127" t="e">
        <f t="shared" ca="1" si="100"/>
        <v>#REF!</v>
      </c>
      <c r="I1902" s="125" t="e">
        <f t="shared" ca="1" si="101"/>
        <v>#REF!</v>
      </c>
    </row>
    <row r="1903" spans="1:9" hidden="1" x14ac:dyDescent="0.25">
      <c r="A1903" s="103" t="s">
        <v>5538</v>
      </c>
      <c r="B1903" s="104" t="s">
        <v>4330</v>
      </c>
      <c r="C1903" s="105" t="s">
        <v>20</v>
      </c>
      <c r="D1903" s="105">
        <v>0</v>
      </c>
      <c r="E1903" s="124">
        <f ca="1">OFFSET(INDEX(Composições!A:J,MATCH(Orçamentária!A1903,Composições!A:A,0),8),2,0)</f>
        <v>7.3624999999999998</v>
      </c>
      <c r="F1903" s="125">
        <f t="shared" ca="1" si="99"/>
        <v>0</v>
      </c>
      <c r="G1903" s="126" t="e">
        <f>IF(A1903&lt;&gt;"",IF(AND(#REF!="Padrão",$H$4=#REF!),BDI!$B$17,IF(AND(#REF!="Padrão",$H$4=#REF!),BDI!#REF!,IF(AND(#REF!="Diferenciado",$H$4=#REF!),BDI!$E$17,IF(AND(#REF!="Diferenciado",$H$4=#REF!),BDI!#REF!,IF(#REF!="ZERO",0))))),"")</f>
        <v>#REF!</v>
      </c>
      <c r="H1903" s="127" t="e">
        <f t="shared" ca="1" si="100"/>
        <v>#REF!</v>
      </c>
      <c r="I1903" s="125" t="e">
        <f t="shared" ca="1" si="101"/>
        <v>#REF!</v>
      </c>
    </row>
    <row r="1904" spans="1:9" hidden="1" x14ac:dyDescent="0.25">
      <c r="A1904" s="103" t="s">
        <v>5539</v>
      </c>
      <c r="B1904" s="104" t="s">
        <v>4331</v>
      </c>
      <c r="C1904" s="105" t="s">
        <v>20</v>
      </c>
      <c r="D1904" s="105">
        <v>0</v>
      </c>
      <c r="E1904" s="124">
        <f ca="1">OFFSET(INDEX(Composições!A:J,MATCH(Orçamentária!A1904,Composições!A:A,0),8),2,0)</f>
        <v>13.242999999999999</v>
      </c>
      <c r="F1904" s="125">
        <f t="shared" ca="1" si="99"/>
        <v>0</v>
      </c>
      <c r="G1904" s="126" t="e">
        <f>IF(A1904&lt;&gt;"",IF(AND(#REF!="Padrão",$H$4=#REF!),BDI!$B$17,IF(AND(#REF!="Padrão",$H$4=#REF!),BDI!#REF!,IF(AND(#REF!="Diferenciado",$H$4=#REF!),BDI!$E$17,IF(AND(#REF!="Diferenciado",$H$4=#REF!),BDI!#REF!,IF(#REF!="ZERO",0))))),"")</f>
        <v>#REF!</v>
      </c>
      <c r="H1904" s="127" t="e">
        <f t="shared" ca="1" si="100"/>
        <v>#REF!</v>
      </c>
      <c r="I1904" s="125" t="e">
        <f t="shared" ca="1" si="101"/>
        <v>#REF!</v>
      </c>
    </row>
    <row r="1905" spans="1:9" hidden="1" x14ac:dyDescent="0.25">
      <c r="A1905" s="103" t="s">
        <v>5540</v>
      </c>
      <c r="B1905" s="104" t="s">
        <v>4332</v>
      </c>
      <c r="C1905" s="105" t="s">
        <v>93</v>
      </c>
      <c r="D1905" s="105">
        <v>0</v>
      </c>
      <c r="E1905" s="124">
        <f ca="1">OFFSET(INDEX(Composições!A:J,MATCH(Orçamentária!A1905,Composições!A:A,0),8),2,0)</f>
        <v>35.340000000000003</v>
      </c>
      <c r="F1905" s="125">
        <f t="shared" ca="1" si="99"/>
        <v>0</v>
      </c>
      <c r="G1905" s="126" t="e">
        <f>IF(A1905&lt;&gt;"",IF(AND(#REF!="Padrão",$H$4=#REF!),BDI!$B$17,IF(AND(#REF!="Padrão",$H$4=#REF!),BDI!#REF!,IF(AND(#REF!="Diferenciado",$H$4=#REF!),BDI!$E$17,IF(AND(#REF!="Diferenciado",$H$4=#REF!),BDI!#REF!,IF(#REF!="ZERO",0))))),"")</f>
        <v>#REF!</v>
      </c>
      <c r="H1905" s="127" t="e">
        <f t="shared" ca="1" si="100"/>
        <v>#REF!</v>
      </c>
      <c r="I1905" s="125" t="e">
        <f t="shared" ca="1" si="101"/>
        <v>#REF!</v>
      </c>
    </row>
    <row r="1906" spans="1:9" hidden="1" x14ac:dyDescent="0.25">
      <c r="A1906" s="103" t="s">
        <v>5541</v>
      </c>
      <c r="B1906" s="104" t="s">
        <v>4333</v>
      </c>
      <c r="C1906" s="105" t="s">
        <v>20</v>
      </c>
      <c r="D1906" s="105">
        <v>0</v>
      </c>
      <c r="E1906" s="124">
        <f ca="1">OFFSET(INDEX(Composições!A:J,MATCH(Orçamentária!A1906,Composições!A:A,0),8),2,0)</f>
        <v>21.983000000000001</v>
      </c>
      <c r="F1906" s="125">
        <f t="shared" ca="1" si="99"/>
        <v>0</v>
      </c>
      <c r="G1906" s="126" t="e">
        <f>IF(A1906&lt;&gt;"",IF(AND(#REF!="Padrão",$H$4=#REF!),BDI!$B$17,IF(AND(#REF!="Padrão",$H$4=#REF!),BDI!#REF!,IF(AND(#REF!="Diferenciado",$H$4=#REF!),BDI!$E$17,IF(AND(#REF!="Diferenciado",$H$4=#REF!),BDI!#REF!,IF(#REF!="ZERO",0))))),"")</f>
        <v>#REF!</v>
      </c>
      <c r="H1906" s="127" t="e">
        <f t="shared" ca="1" si="100"/>
        <v>#REF!</v>
      </c>
      <c r="I1906" s="125" t="e">
        <f t="shared" ca="1" si="101"/>
        <v>#REF!</v>
      </c>
    </row>
    <row r="1907" spans="1:9" hidden="1" x14ac:dyDescent="0.25">
      <c r="A1907" s="103" t="s">
        <v>5542</v>
      </c>
      <c r="B1907" s="104" t="s">
        <v>4334</v>
      </c>
      <c r="C1907" s="105" t="s">
        <v>20</v>
      </c>
      <c r="D1907" s="105">
        <v>0</v>
      </c>
      <c r="E1907" s="124">
        <f ca="1">OFFSET(INDEX(Composições!A:J,MATCH(Orçamentária!A1907,Composições!A:A,0),8),2,0)</f>
        <v>33.829499999999996</v>
      </c>
      <c r="F1907" s="125">
        <f t="shared" ca="1" si="99"/>
        <v>0</v>
      </c>
      <c r="G1907" s="126" t="e">
        <f>IF(A1907&lt;&gt;"",IF(AND(#REF!="Padrão",$H$4=#REF!),BDI!$B$17,IF(AND(#REF!="Padrão",$H$4=#REF!),BDI!#REF!,IF(AND(#REF!="Diferenciado",$H$4=#REF!),BDI!$E$17,IF(AND(#REF!="Diferenciado",$H$4=#REF!),BDI!#REF!,IF(#REF!="ZERO",0))))),"")</f>
        <v>#REF!</v>
      </c>
      <c r="H1907" s="127" t="e">
        <f t="shared" ca="1" si="100"/>
        <v>#REF!</v>
      </c>
      <c r="I1907" s="125" t="e">
        <f t="shared" ca="1" si="101"/>
        <v>#REF!</v>
      </c>
    </row>
    <row r="1908" spans="1:9" hidden="1" x14ac:dyDescent="0.25">
      <c r="A1908" s="103" t="s">
        <v>5543</v>
      </c>
      <c r="B1908" s="104" t="s">
        <v>4335</v>
      </c>
      <c r="C1908" s="105" t="s">
        <v>20</v>
      </c>
      <c r="D1908" s="105">
        <v>0</v>
      </c>
      <c r="E1908" s="124" t="s">
        <v>523</v>
      </c>
      <c r="F1908" s="125" t="str">
        <f t="shared" si="99"/>
        <v/>
      </c>
      <c r="G1908" s="126" t="e">
        <f>IF(A1908&lt;&gt;"",IF(AND(#REF!="Padrão",$H$4=#REF!),BDI!$B$17,IF(AND(#REF!="Padrão",$H$4=#REF!),BDI!#REF!,IF(AND(#REF!="Diferenciado",$H$4=#REF!),BDI!$E$17,IF(AND(#REF!="Diferenciado",$H$4=#REF!),BDI!#REF!,IF(#REF!="ZERO",0))))),"")</f>
        <v>#REF!</v>
      </c>
      <c r="H1908" s="127" t="str">
        <f t="shared" si="100"/>
        <v/>
      </c>
      <c r="I1908" s="125" t="str">
        <f t="shared" si="101"/>
        <v/>
      </c>
    </row>
    <row r="1909" spans="1:9" hidden="1" x14ac:dyDescent="0.25">
      <c r="A1909" s="103" t="s">
        <v>5544</v>
      </c>
      <c r="B1909" s="104" t="s">
        <v>4336</v>
      </c>
      <c r="C1909" s="105" t="s">
        <v>20</v>
      </c>
      <c r="D1909" s="105">
        <v>0</v>
      </c>
      <c r="E1909" s="124" t="s">
        <v>523</v>
      </c>
      <c r="F1909" s="125" t="str">
        <f t="shared" si="99"/>
        <v/>
      </c>
      <c r="G1909" s="126" t="e">
        <f>IF(A1909&lt;&gt;"",IF(AND(#REF!="Padrão",$H$4=#REF!),BDI!$B$17,IF(AND(#REF!="Padrão",$H$4=#REF!),BDI!#REF!,IF(AND(#REF!="Diferenciado",$H$4=#REF!),BDI!$E$17,IF(AND(#REF!="Diferenciado",$H$4=#REF!),BDI!#REF!,IF(#REF!="ZERO",0))))),"")</f>
        <v>#REF!</v>
      </c>
      <c r="H1909" s="127" t="str">
        <f t="shared" si="100"/>
        <v/>
      </c>
      <c r="I1909" s="125" t="str">
        <f t="shared" si="101"/>
        <v/>
      </c>
    </row>
    <row r="1910" spans="1:9" hidden="1" x14ac:dyDescent="0.25">
      <c r="A1910" s="103" t="s">
        <v>5545</v>
      </c>
      <c r="B1910" s="104" t="s">
        <v>4337</v>
      </c>
      <c r="C1910" s="105" t="s">
        <v>20</v>
      </c>
      <c r="D1910" s="105">
        <v>0</v>
      </c>
      <c r="E1910" s="124" t="s">
        <v>523</v>
      </c>
      <c r="F1910" s="125" t="str">
        <f t="shared" si="99"/>
        <v/>
      </c>
      <c r="G1910" s="126" t="e">
        <f>IF(A1910&lt;&gt;"",IF(AND(#REF!="Padrão",$H$4=#REF!),BDI!$B$17,IF(AND(#REF!="Padrão",$H$4=#REF!),BDI!#REF!,IF(AND(#REF!="Diferenciado",$H$4=#REF!),BDI!$E$17,IF(AND(#REF!="Diferenciado",$H$4=#REF!),BDI!#REF!,IF(#REF!="ZERO",0))))),"")</f>
        <v>#REF!</v>
      </c>
      <c r="H1910" s="127" t="str">
        <f t="shared" si="100"/>
        <v/>
      </c>
      <c r="I1910" s="125" t="str">
        <f t="shared" si="101"/>
        <v/>
      </c>
    </row>
    <row r="1911" spans="1:9" hidden="1" x14ac:dyDescent="0.25">
      <c r="A1911" s="103" t="s">
        <v>5546</v>
      </c>
      <c r="B1911" s="104" t="s">
        <v>4338</v>
      </c>
      <c r="C1911" s="105" t="s">
        <v>20</v>
      </c>
      <c r="D1911" s="105">
        <v>0</v>
      </c>
      <c r="E1911" s="124" t="s">
        <v>523</v>
      </c>
      <c r="F1911" s="125" t="str">
        <f t="shared" si="99"/>
        <v/>
      </c>
      <c r="G1911" s="126" t="e">
        <f>IF(A1911&lt;&gt;"",IF(AND(#REF!="Padrão",$H$4=#REF!),BDI!$B$17,IF(AND(#REF!="Padrão",$H$4=#REF!),BDI!#REF!,IF(AND(#REF!="Diferenciado",$H$4=#REF!),BDI!$E$17,IF(AND(#REF!="Diferenciado",$H$4=#REF!),BDI!#REF!,IF(#REF!="ZERO",0))))),"")</f>
        <v>#REF!</v>
      </c>
      <c r="H1911" s="127" t="str">
        <f t="shared" si="100"/>
        <v/>
      </c>
      <c r="I1911" s="125" t="str">
        <f t="shared" si="101"/>
        <v/>
      </c>
    </row>
    <row r="1912" spans="1:9" hidden="1" x14ac:dyDescent="0.25">
      <c r="A1912" s="103" t="s">
        <v>5547</v>
      </c>
      <c r="B1912" s="104" t="s">
        <v>4339</v>
      </c>
      <c r="C1912" s="105" t="s">
        <v>20</v>
      </c>
      <c r="D1912" s="105">
        <v>0</v>
      </c>
      <c r="E1912" s="124" t="s">
        <v>523</v>
      </c>
      <c r="F1912" s="125" t="str">
        <f t="shared" si="99"/>
        <v/>
      </c>
      <c r="G1912" s="126" t="e">
        <f>IF(A1912&lt;&gt;"",IF(AND(#REF!="Padrão",$H$4=#REF!),BDI!$B$17,IF(AND(#REF!="Padrão",$H$4=#REF!),BDI!#REF!,IF(AND(#REF!="Diferenciado",$H$4=#REF!),BDI!$E$17,IF(AND(#REF!="Diferenciado",$H$4=#REF!),BDI!#REF!,IF(#REF!="ZERO",0))))),"")</f>
        <v>#REF!</v>
      </c>
      <c r="H1912" s="127" t="str">
        <f t="shared" si="100"/>
        <v/>
      </c>
      <c r="I1912" s="125" t="str">
        <f t="shared" si="101"/>
        <v/>
      </c>
    </row>
    <row r="1913" spans="1:9" hidden="1" x14ac:dyDescent="0.25">
      <c r="A1913" s="103" t="s">
        <v>5548</v>
      </c>
      <c r="B1913" s="104" t="s">
        <v>4340</v>
      </c>
      <c r="C1913" s="105" t="s">
        <v>20</v>
      </c>
      <c r="D1913" s="105">
        <v>0</v>
      </c>
      <c r="E1913" s="124" t="s">
        <v>523</v>
      </c>
      <c r="F1913" s="125" t="str">
        <f t="shared" si="99"/>
        <v/>
      </c>
      <c r="G1913" s="126" t="e">
        <f>IF(A1913&lt;&gt;"",IF(AND(#REF!="Padrão",$H$4=#REF!),BDI!$B$17,IF(AND(#REF!="Padrão",$H$4=#REF!),BDI!#REF!,IF(AND(#REF!="Diferenciado",$H$4=#REF!),BDI!$E$17,IF(AND(#REF!="Diferenciado",$H$4=#REF!),BDI!#REF!,IF(#REF!="ZERO",0))))),"")</f>
        <v>#REF!</v>
      </c>
      <c r="H1913" s="127" t="str">
        <f t="shared" si="100"/>
        <v/>
      </c>
      <c r="I1913" s="125" t="str">
        <f t="shared" si="101"/>
        <v/>
      </c>
    </row>
    <row r="1914" spans="1:9" hidden="1" x14ac:dyDescent="0.25">
      <c r="A1914" s="103" t="s">
        <v>5549</v>
      </c>
      <c r="B1914" s="104" t="s">
        <v>4341</v>
      </c>
      <c r="C1914" s="105" t="s">
        <v>20</v>
      </c>
      <c r="D1914" s="105">
        <v>0</v>
      </c>
      <c r="E1914" s="124" t="s">
        <v>523</v>
      </c>
      <c r="F1914" s="125" t="str">
        <f t="shared" si="99"/>
        <v/>
      </c>
      <c r="G1914" s="126" t="e">
        <f>IF(A1914&lt;&gt;"",IF(AND(#REF!="Padrão",$H$4=#REF!),BDI!$B$17,IF(AND(#REF!="Padrão",$H$4=#REF!),BDI!#REF!,IF(AND(#REF!="Diferenciado",$H$4=#REF!),BDI!$E$17,IF(AND(#REF!="Diferenciado",$H$4=#REF!),BDI!#REF!,IF(#REF!="ZERO",0))))),"")</f>
        <v>#REF!</v>
      </c>
      <c r="H1914" s="127" t="str">
        <f t="shared" si="100"/>
        <v/>
      </c>
      <c r="I1914" s="125" t="str">
        <f t="shared" si="101"/>
        <v/>
      </c>
    </row>
    <row r="1915" spans="1:9" hidden="1" x14ac:dyDescent="0.25">
      <c r="A1915" s="103" t="s">
        <v>5550</v>
      </c>
      <c r="B1915" s="104" t="s">
        <v>4342</v>
      </c>
      <c r="C1915" s="105" t="s">
        <v>20</v>
      </c>
      <c r="D1915" s="105">
        <v>0</v>
      </c>
      <c r="E1915" s="124" t="s">
        <v>523</v>
      </c>
      <c r="F1915" s="125" t="str">
        <f t="shared" si="99"/>
        <v/>
      </c>
      <c r="G1915" s="126" t="e">
        <f>IF(A1915&lt;&gt;"",IF(AND(#REF!="Padrão",$H$4=#REF!),BDI!$B$17,IF(AND(#REF!="Padrão",$H$4=#REF!),BDI!#REF!,IF(AND(#REF!="Diferenciado",$H$4=#REF!),BDI!$E$17,IF(AND(#REF!="Diferenciado",$H$4=#REF!),BDI!#REF!,IF(#REF!="ZERO",0))))),"")</f>
        <v>#REF!</v>
      </c>
      <c r="H1915" s="127" t="str">
        <f t="shared" si="100"/>
        <v/>
      </c>
      <c r="I1915" s="125" t="str">
        <f t="shared" si="101"/>
        <v/>
      </c>
    </row>
    <row r="1916" spans="1:9" hidden="1" x14ac:dyDescent="0.25">
      <c r="A1916" s="103" t="s">
        <v>5551</v>
      </c>
      <c r="B1916" s="104" t="s">
        <v>4343</v>
      </c>
      <c r="C1916" s="105" t="s">
        <v>20</v>
      </c>
      <c r="D1916" s="105">
        <v>0</v>
      </c>
      <c r="E1916" s="124" t="s">
        <v>523</v>
      </c>
      <c r="F1916" s="125" t="str">
        <f t="shared" si="99"/>
        <v/>
      </c>
      <c r="G1916" s="126" t="e">
        <f>IF(A1916&lt;&gt;"",IF(AND(#REF!="Padrão",$H$4=#REF!),BDI!$B$17,IF(AND(#REF!="Padrão",$H$4=#REF!),BDI!#REF!,IF(AND(#REF!="Diferenciado",$H$4=#REF!),BDI!$E$17,IF(AND(#REF!="Diferenciado",$H$4=#REF!),BDI!#REF!,IF(#REF!="ZERO",0))))),"")</f>
        <v>#REF!</v>
      </c>
      <c r="H1916" s="127" t="str">
        <f t="shared" si="100"/>
        <v/>
      </c>
      <c r="I1916" s="125" t="str">
        <f t="shared" si="101"/>
        <v/>
      </c>
    </row>
    <row r="1917" spans="1:9" hidden="1" x14ac:dyDescent="0.25">
      <c r="A1917" s="103" t="s">
        <v>5552</v>
      </c>
      <c r="B1917" s="104" t="s">
        <v>4344</v>
      </c>
      <c r="C1917" s="105" t="s">
        <v>20</v>
      </c>
      <c r="D1917" s="105">
        <v>0</v>
      </c>
      <c r="E1917" s="124" t="s">
        <v>523</v>
      </c>
      <c r="F1917" s="125" t="str">
        <f t="shared" si="99"/>
        <v/>
      </c>
      <c r="G1917" s="126" t="e">
        <f>IF(A1917&lt;&gt;"",IF(AND(#REF!="Padrão",$H$4=#REF!),BDI!$B$17,IF(AND(#REF!="Padrão",$H$4=#REF!),BDI!#REF!,IF(AND(#REF!="Diferenciado",$H$4=#REF!),BDI!$E$17,IF(AND(#REF!="Diferenciado",$H$4=#REF!),BDI!#REF!,IF(#REF!="ZERO",0))))),"")</f>
        <v>#REF!</v>
      </c>
      <c r="H1917" s="127" t="str">
        <f t="shared" si="100"/>
        <v/>
      </c>
      <c r="I1917" s="125" t="str">
        <f t="shared" si="101"/>
        <v/>
      </c>
    </row>
    <row r="1918" spans="1:9" hidden="1" x14ac:dyDescent="0.25">
      <c r="A1918" s="103" t="s">
        <v>5553</v>
      </c>
      <c r="B1918" s="104" t="s">
        <v>4345</v>
      </c>
      <c r="C1918" s="105" t="s">
        <v>20</v>
      </c>
      <c r="D1918" s="105">
        <v>0</v>
      </c>
      <c r="E1918" s="124" t="s">
        <v>523</v>
      </c>
      <c r="F1918" s="125" t="str">
        <f t="shared" si="99"/>
        <v/>
      </c>
      <c r="G1918" s="126" t="e">
        <f>IF(A1918&lt;&gt;"",IF(AND(#REF!="Padrão",$H$4=#REF!),BDI!$B$17,IF(AND(#REF!="Padrão",$H$4=#REF!),BDI!#REF!,IF(AND(#REF!="Diferenciado",$H$4=#REF!),BDI!$E$17,IF(AND(#REF!="Diferenciado",$H$4=#REF!),BDI!#REF!,IF(#REF!="ZERO",0))))),"")</f>
        <v>#REF!</v>
      </c>
      <c r="H1918" s="127" t="str">
        <f t="shared" si="100"/>
        <v/>
      </c>
      <c r="I1918" s="125" t="str">
        <f t="shared" si="101"/>
        <v/>
      </c>
    </row>
    <row r="1919" spans="1:9" hidden="1" x14ac:dyDescent="0.25">
      <c r="A1919" s="103" t="s">
        <v>5554</v>
      </c>
      <c r="B1919" s="104" t="s">
        <v>4346</v>
      </c>
      <c r="C1919" s="105" t="s">
        <v>20</v>
      </c>
      <c r="D1919" s="105">
        <v>0</v>
      </c>
      <c r="E1919" s="124" t="s">
        <v>523</v>
      </c>
      <c r="F1919" s="125" t="str">
        <f t="shared" si="99"/>
        <v/>
      </c>
      <c r="G1919" s="126" t="e">
        <f>IF(A1919&lt;&gt;"",IF(AND(#REF!="Padrão",$H$4=#REF!),BDI!$B$17,IF(AND(#REF!="Padrão",$H$4=#REF!),BDI!#REF!,IF(AND(#REF!="Diferenciado",$H$4=#REF!),BDI!$E$17,IF(AND(#REF!="Diferenciado",$H$4=#REF!),BDI!#REF!,IF(#REF!="ZERO",0))))),"")</f>
        <v>#REF!</v>
      </c>
      <c r="H1919" s="127" t="str">
        <f t="shared" si="100"/>
        <v/>
      </c>
      <c r="I1919" s="125" t="str">
        <f t="shared" si="101"/>
        <v/>
      </c>
    </row>
    <row r="1920" spans="1:9" hidden="1" x14ac:dyDescent="0.25">
      <c r="A1920" s="103" t="s">
        <v>5555</v>
      </c>
      <c r="B1920" s="104" t="s">
        <v>4347</v>
      </c>
      <c r="C1920" s="105" t="s">
        <v>20</v>
      </c>
      <c r="D1920" s="105">
        <v>0</v>
      </c>
      <c r="E1920" s="124">
        <f ca="1">OFFSET(INDEX(Composições!A:J,MATCH(Orçamentária!A1920,Composições!A:A,0),8),2,0)</f>
        <v>0</v>
      </c>
      <c r="F1920" s="125">
        <f t="shared" ca="1" si="99"/>
        <v>0</v>
      </c>
      <c r="G1920" s="126" t="e">
        <f>IF(A1920&lt;&gt;"",IF(AND(#REF!="Padrão",$H$4=#REF!),BDI!$B$17,IF(AND(#REF!="Padrão",$H$4=#REF!),BDI!#REF!,IF(AND(#REF!="Diferenciado",$H$4=#REF!),BDI!$E$17,IF(AND(#REF!="Diferenciado",$H$4=#REF!),BDI!#REF!,IF(#REF!="ZERO",0))))),"")</f>
        <v>#REF!</v>
      </c>
      <c r="H1920" s="127" t="e">
        <f t="shared" ca="1" si="100"/>
        <v>#REF!</v>
      </c>
      <c r="I1920" s="125" t="e">
        <f t="shared" ca="1" si="101"/>
        <v>#REF!</v>
      </c>
    </row>
    <row r="1921" spans="1:9" hidden="1" x14ac:dyDescent="0.25">
      <c r="A1921" s="103" t="s">
        <v>5556</v>
      </c>
      <c r="B1921" s="104" t="s">
        <v>4348</v>
      </c>
      <c r="C1921" s="105" t="s">
        <v>20</v>
      </c>
      <c r="D1921" s="105">
        <v>0</v>
      </c>
      <c r="E1921" s="124">
        <f ca="1">OFFSET(INDEX(Composições!A:J,MATCH(Orçamentária!A1921,Composições!A:A,0),8),2,0)</f>
        <v>0</v>
      </c>
      <c r="F1921" s="125">
        <f t="shared" ca="1" si="99"/>
        <v>0</v>
      </c>
      <c r="G1921" s="126" t="e">
        <f>IF(A1921&lt;&gt;"",IF(AND(#REF!="Padrão",$H$4=#REF!),BDI!$B$17,IF(AND(#REF!="Padrão",$H$4=#REF!),BDI!#REF!,IF(AND(#REF!="Diferenciado",$H$4=#REF!),BDI!$E$17,IF(AND(#REF!="Diferenciado",$H$4=#REF!),BDI!#REF!,IF(#REF!="ZERO",0))))),"")</f>
        <v>#REF!</v>
      </c>
      <c r="H1921" s="127" t="e">
        <f t="shared" ca="1" si="100"/>
        <v>#REF!</v>
      </c>
      <c r="I1921" s="125" t="e">
        <f t="shared" ca="1" si="101"/>
        <v>#REF!</v>
      </c>
    </row>
    <row r="1922" spans="1:9" hidden="1" x14ac:dyDescent="0.25">
      <c r="A1922" s="103" t="s">
        <v>5557</v>
      </c>
      <c r="B1922" s="104" t="s">
        <v>4349</v>
      </c>
      <c r="C1922" s="105" t="s">
        <v>20</v>
      </c>
      <c r="D1922" s="105">
        <v>0</v>
      </c>
      <c r="E1922" s="124">
        <f ca="1">OFFSET(INDEX(Composições!A:J,MATCH(Orçamentária!A1922,Composições!A:A,0),8),2,0)</f>
        <v>0</v>
      </c>
      <c r="F1922" s="125">
        <f t="shared" ca="1" si="99"/>
        <v>0</v>
      </c>
      <c r="G1922" s="126" t="e">
        <f>IF(A1922&lt;&gt;"",IF(AND(#REF!="Padrão",$H$4=#REF!),BDI!$B$17,IF(AND(#REF!="Padrão",$H$4=#REF!),BDI!#REF!,IF(AND(#REF!="Diferenciado",$H$4=#REF!),BDI!$E$17,IF(AND(#REF!="Diferenciado",$H$4=#REF!),BDI!#REF!,IF(#REF!="ZERO",0))))),"")</f>
        <v>#REF!</v>
      </c>
      <c r="H1922" s="127" t="e">
        <f t="shared" ca="1" si="100"/>
        <v>#REF!</v>
      </c>
      <c r="I1922" s="125" t="e">
        <f t="shared" ca="1" si="101"/>
        <v>#REF!</v>
      </c>
    </row>
    <row r="1923" spans="1:9" hidden="1" x14ac:dyDescent="0.25">
      <c r="A1923" s="103" t="s">
        <v>5558</v>
      </c>
      <c r="B1923" s="104" t="s">
        <v>4350</v>
      </c>
      <c r="C1923" s="105" t="s">
        <v>20</v>
      </c>
      <c r="D1923" s="105">
        <v>0</v>
      </c>
      <c r="E1923" s="124">
        <f ca="1">OFFSET(INDEX(Composições!A:J,MATCH(Orçamentária!A1923,Composições!A:A,0),8),2,0)</f>
        <v>0</v>
      </c>
      <c r="F1923" s="125">
        <f t="shared" ca="1" si="99"/>
        <v>0</v>
      </c>
      <c r="G1923" s="126" t="e">
        <f>IF(A1923&lt;&gt;"",IF(AND(#REF!="Padrão",$H$4=#REF!),BDI!$B$17,IF(AND(#REF!="Padrão",$H$4=#REF!),BDI!#REF!,IF(AND(#REF!="Diferenciado",$H$4=#REF!),BDI!$E$17,IF(AND(#REF!="Diferenciado",$H$4=#REF!),BDI!#REF!,IF(#REF!="ZERO",0))))),"")</f>
        <v>#REF!</v>
      </c>
      <c r="H1923" s="127" t="e">
        <f t="shared" ca="1" si="100"/>
        <v>#REF!</v>
      </c>
      <c r="I1923" s="125" t="e">
        <f t="shared" ca="1" si="101"/>
        <v>#REF!</v>
      </c>
    </row>
    <row r="1924" spans="1:9" hidden="1" x14ac:dyDescent="0.25">
      <c r="A1924" s="103" t="s">
        <v>5559</v>
      </c>
      <c r="B1924" s="104" t="s">
        <v>4351</v>
      </c>
      <c r="C1924" s="105" t="s">
        <v>20</v>
      </c>
      <c r="D1924" s="105">
        <v>0</v>
      </c>
      <c r="E1924" s="124">
        <f ca="1">OFFSET(INDEX(Composições!A:J,MATCH(Orçamentária!A1924,Composições!A:A,0),8),2,0)</f>
        <v>0</v>
      </c>
      <c r="F1924" s="125">
        <f t="shared" ca="1" si="99"/>
        <v>0</v>
      </c>
      <c r="G1924" s="126" t="e">
        <f>IF(A1924&lt;&gt;"",IF(AND(#REF!="Padrão",$H$4=#REF!),BDI!$B$17,IF(AND(#REF!="Padrão",$H$4=#REF!),BDI!#REF!,IF(AND(#REF!="Diferenciado",$H$4=#REF!),BDI!$E$17,IF(AND(#REF!="Diferenciado",$H$4=#REF!),BDI!#REF!,IF(#REF!="ZERO",0))))),"")</f>
        <v>#REF!</v>
      </c>
      <c r="H1924" s="127" t="e">
        <f t="shared" ca="1" si="100"/>
        <v>#REF!</v>
      </c>
      <c r="I1924" s="125" t="e">
        <f t="shared" ca="1" si="101"/>
        <v>#REF!</v>
      </c>
    </row>
    <row r="1925" spans="1:9" hidden="1" x14ac:dyDescent="0.25">
      <c r="A1925" s="103" t="s">
        <v>5560</v>
      </c>
      <c r="B1925" s="104" t="s">
        <v>4352</v>
      </c>
      <c r="C1925" s="105" t="s">
        <v>20</v>
      </c>
      <c r="D1925" s="105">
        <v>0</v>
      </c>
      <c r="E1925" s="124" t="s">
        <v>523</v>
      </c>
      <c r="F1925" s="125" t="str">
        <f t="shared" si="99"/>
        <v/>
      </c>
      <c r="G1925" s="126" t="e">
        <f>IF(A1925&lt;&gt;"",IF(AND(#REF!="Padrão",$H$4=#REF!),BDI!$B$17,IF(AND(#REF!="Padrão",$H$4=#REF!),BDI!#REF!,IF(AND(#REF!="Diferenciado",$H$4=#REF!),BDI!$E$17,IF(AND(#REF!="Diferenciado",$H$4=#REF!),BDI!#REF!,IF(#REF!="ZERO",0))))),"")</f>
        <v>#REF!</v>
      </c>
      <c r="H1925" s="127" t="str">
        <f t="shared" si="100"/>
        <v/>
      </c>
      <c r="I1925" s="125" t="str">
        <f t="shared" si="101"/>
        <v/>
      </c>
    </row>
    <row r="1926" spans="1:9" hidden="1" x14ac:dyDescent="0.25">
      <c r="A1926" s="103" t="s">
        <v>5561</v>
      </c>
      <c r="B1926" s="104" t="s">
        <v>4353</v>
      </c>
      <c r="C1926" s="105" t="s">
        <v>20</v>
      </c>
      <c r="D1926" s="105">
        <v>0</v>
      </c>
      <c r="E1926" s="124">
        <f ca="1">OFFSET(INDEX(Composições!A:J,MATCH(Orçamentária!A1926,Composições!A:A,0),8),2,0)</f>
        <v>0</v>
      </c>
      <c r="F1926" s="125">
        <f t="shared" ca="1" si="99"/>
        <v>0</v>
      </c>
      <c r="G1926" s="126" t="e">
        <f>IF(A1926&lt;&gt;"",IF(AND(#REF!="Padrão",$H$4=#REF!),BDI!$B$17,IF(AND(#REF!="Padrão",$H$4=#REF!),BDI!#REF!,IF(AND(#REF!="Diferenciado",$H$4=#REF!),BDI!$E$17,IF(AND(#REF!="Diferenciado",$H$4=#REF!),BDI!#REF!,IF(#REF!="ZERO",0))))),"")</f>
        <v>#REF!</v>
      </c>
      <c r="H1926" s="127" t="e">
        <f t="shared" ca="1" si="100"/>
        <v>#REF!</v>
      </c>
      <c r="I1926" s="125" t="e">
        <f t="shared" ca="1" si="101"/>
        <v>#REF!</v>
      </c>
    </row>
    <row r="1927" spans="1:9" hidden="1" x14ac:dyDescent="0.25">
      <c r="A1927" s="103" t="s">
        <v>5562</v>
      </c>
      <c r="B1927" s="104" t="s">
        <v>4354</v>
      </c>
      <c r="C1927" s="105" t="s">
        <v>20</v>
      </c>
      <c r="D1927" s="105">
        <v>0</v>
      </c>
      <c r="E1927" s="124" t="s">
        <v>523</v>
      </c>
      <c r="F1927" s="125" t="str">
        <f t="shared" si="99"/>
        <v/>
      </c>
      <c r="G1927" s="126" t="e">
        <f>IF(A1927&lt;&gt;"",IF(AND(#REF!="Padrão",$H$4=#REF!),BDI!$B$17,IF(AND(#REF!="Padrão",$H$4=#REF!),BDI!#REF!,IF(AND(#REF!="Diferenciado",$H$4=#REF!),BDI!$E$17,IF(AND(#REF!="Diferenciado",$H$4=#REF!),BDI!#REF!,IF(#REF!="ZERO",0))))),"")</f>
        <v>#REF!</v>
      </c>
      <c r="H1927" s="127" t="str">
        <f t="shared" si="100"/>
        <v/>
      </c>
      <c r="I1927" s="125" t="str">
        <f t="shared" si="101"/>
        <v/>
      </c>
    </row>
    <row r="1928" spans="1:9" hidden="1" x14ac:dyDescent="0.25">
      <c r="A1928" s="103" t="s">
        <v>5563</v>
      </c>
      <c r="B1928" s="104" t="s">
        <v>4355</v>
      </c>
      <c r="C1928" s="105" t="s">
        <v>20</v>
      </c>
      <c r="D1928" s="105">
        <v>0</v>
      </c>
      <c r="E1928" s="124">
        <f ca="1">OFFSET(INDEX(Composições!A:J,MATCH(Orçamentária!A1928,Composições!A:A,0),8),2,0)</f>
        <v>0</v>
      </c>
      <c r="F1928" s="125">
        <f t="shared" ca="1" si="99"/>
        <v>0</v>
      </c>
      <c r="G1928" s="126" t="e">
        <f>IF(A1928&lt;&gt;"",IF(AND(#REF!="Padrão",$H$4=#REF!),BDI!$B$17,IF(AND(#REF!="Padrão",$H$4=#REF!),BDI!#REF!,IF(AND(#REF!="Diferenciado",$H$4=#REF!),BDI!$E$17,IF(AND(#REF!="Diferenciado",$H$4=#REF!),BDI!#REF!,IF(#REF!="ZERO",0))))),"")</f>
        <v>#REF!</v>
      </c>
      <c r="H1928" s="127" t="e">
        <f t="shared" ca="1" si="100"/>
        <v>#REF!</v>
      </c>
      <c r="I1928" s="125" t="e">
        <f t="shared" ca="1" si="101"/>
        <v>#REF!</v>
      </c>
    </row>
    <row r="1929" spans="1:9" hidden="1" x14ac:dyDescent="0.25">
      <c r="A1929" s="103" t="s">
        <v>5564</v>
      </c>
      <c r="B1929" s="104" t="s">
        <v>4356</v>
      </c>
      <c r="C1929" s="105" t="s">
        <v>20</v>
      </c>
      <c r="D1929" s="105">
        <v>0</v>
      </c>
      <c r="E1929" s="124" t="s">
        <v>523</v>
      </c>
      <c r="F1929" s="125" t="str">
        <f t="shared" si="99"/>
        <v/>
      </c>
      <c r="G1929" s="126" t="e">
        <f>IF(A1929&lt;&gt;"",IF(AND(#REF!="Padrão",$H$4=#REF!),BDI!$B$17,IF(AND(#REF!="Padrão",$H$4=#REF!),BDI!#REF!,IF(AND(#REF!="Diferenciado",$H$4=#REF!),BDI!$E$17,IF(AND(#REF!="Diferenciado",$H$4=#REF!),BDI!#REF!,IF(#REF!="ZERO",0))))),"")</f>
        <v>#REF!</v>
      </c>
      <c r="H1929" s="127" t="str">
        <f t="shared" si="100"/>
        <v/>
      </c>
      <c r="I1929" s="125" t="str">
        <f t="shared" si="101"/>
        <v/>
      </c>
    </row>
    <row r="1930" spans="1:9" hidden="1" x14ac:dyDescent="0.25">
      <c r="A1930" s="103" t="s">
        <v>5565</v>
      </c>
      <c r="B1930" s="104" t="s">
        <v>4357</v>
      </c>
      <c r="C1930" s="105" t="s">
        <v>20</v>
      </c>
      <c r="D1930" s="105">
        <v>0</v>
      </c>
      <c r="E1930" s="124">
        <f ca="1">OFFSET(INDEX(Composições!A:J,MATCH(Orçamentária!A1930,Composições!A:A,0),8),2,0)</f>
        <v>0</v>
      </c>
      <c r="F1930" s="125">
        <f t="shared" ca="1" si="99"/>
        <v>0</v>
      </c>
      <c r="G1930" s="126" t="e">
        <f>IF(A1930&lt;&gt;"",IF(AND(#REF!="Padrão",$H$4=#REF!),BDI!$B$17,IF(AND(#REF!="Padrão",$H$4=#REF!),BDI!#REF!,IF(AND(#REF!="Diferenciado",$H$4=#REF!),BDI!$E$17,IF(AND(#REF!="Diferenciado",$H$4=#REF!),BDI!#REF!,IF(#REF!="ZERO",0))))),"")</f>
        <v>#REF!</v>
      </c>
      <c r="H1930" s="127" t="e">
        <f t="shared" ca="1" si="100"/>
        <v>#REF!</v>
      </c>
      <c r="I1930" s="125" t="e">
        <f t="shared" ca="1" si="101"/>
        <v>#REF!</v>
      </c>
    </row>
    <row r="1931" spans="1:9" hidden="1" x14ac:dyDescent="0.25">
      <c r="A1931" s="103" t="s">
        <v>5566</v>
      </c>
      <c r="B1931" s="104" t="s">
        <v>4358</v>
      </c>
      <c r="C1931" s="105" t="s">
        <v>20</v>
      </c>
      <c r="D1931" s="105">
        <v>0</v>
      </c>
      <c r="E1931" s="124" t="s">
        <v>523</v>
      </c>
      <c r="F1931" s="125" t="str">
        <f t="shared" si="99"/>
        <v/>
      </c>
      <c r="G1931" s="126" t="e">
        <f>IF(A1931&lt;&gt;"",IF(AND(#REF!="Padrão",$H$4=#REF!),BDI!$B$17,IF(AND(#REF!="Padrão",$H$4=#REF!),BDI!#REF!,IF(AND(#REF!="Diferenciado",$H$4=#REF!),BDI!$E$17,IF(AND(#REF!="Diferenciado",$H$4=#REF!),BDI!#REF!,IF(#REF!="ZERO",0))))),"")</f>
        <v>#REF!</v>
      </c>
      <c r="H1931" s="127" t="str">
        <f t="shared" si="100"/>
        <v/>
      </c>
      <c r="I1931" s="125" t="str">
        <f t="shared" si="101"/>
        <v/>
      </c>
    </row>
    <row r="1932" spans="1:9" hidden="1" x14ac:dyDescent="0.25">
      <c r="A1932" s="103" t="s">
        <v>5567</v>
      </c>
      <c r="B1932" s="104" t="s">
        <v>4359</v>
      </c>
      <c r="C1932" s="105" t="s">
        <v>20</v>
      </c>
      <c r="D1932" s="105">
        <v>0</v>
      </c>
      <c r="E1932" s="124" t="s">
        <v>523</v>
      </c>
      <c r="F1932" s="125" t="str">
        <f t="shared" si="99"/>
        <v/>
      </c>
      <c r="G1932" s="126" t="e">
        <f>IF(A1932&lt;&gt;"",IF(AND(#REF!="Padrão",$H$4=#REF!),BDI!$B$17,IF(AND(#REF!="Padrão",$H$4=#REF!),BDI!#REF!,IF(AND(#REF!="Diferenciado",$H$4=#REF!),BDI!$E$17,IF(AND(#REF!="Diferenciado",$H$4=#REF!),BDI!#REF!,IF(#REF!="ZERO",0))))),"")</f>
        <v>#REF!</v>
      </c>
      <c r="H1932" s="127" t="str">
        <f t="shared" si="100"/>
        <v/>
      </c>
      <c r="I1932" s="125" t="str">
        <f t="shared" si="101"/>
        <v/>
      </c>
    </row>
    <row r="1933" spans="1:9" hidden="1" x14ac:dyDescent="0.25">
      <c r="A1933" s="103" t="s">
        <v>5568</v>
      </c>
      <c r="B1933" s="104" t="s">
        <v>4360</v>
      </c>
      <c r="C1933" s="105" t="s">
        <v>20</v>
      </c>
      <c r="D1933" s="105">
        <v>0</v>
      </c>
      <c r="E1933" s="124">
        <f ca="1">OFFSET(INDEX(Composições!A:J,MATCH(Orçamentária!A1933,Composições!A:A,0),8),2,0)</f>
        <v>3.306</v>
      </c>
      <c r="F1933" s="125">
        <f t="shared" ca="1" si="99"/>
        <v>0</v>
      </c>
      <c r="G1933" s="126" t="e">
        <f>IF(A1933&lt;&gt;"",IF(AND(#REF!="Padrão",$H$4=#REF!),BDI!$B$17,IF(AND(#REF!="Padrão",$H$4=#REF!),BDI!#REF!,IF(AND(#REF!="Diferenciado",$H$4=#REF!),BDI!$E$17,IF(AND(#REF!="Diferenciado",$H$4=#REF!),BDI!#REF!,IF(#REF!="ZERO",0))))),"")</f>
        <v>#REF!</v>
      </c>
      <c r="H1933" s="127" t="e">
        <f t="shared" ca="1" si="100"/>
        <v>#REF!</v>
      </c>
      <c r="I1933" s="125" t="e">
        <f t="shared" ca="1" si="101"/>
        <v>#REF!</v>
      </c>
    </row>
    <row r="1934" spans="1:9" hidden="1" x14ac:dyDescent="0.25">
      <c r="A1934" s="103" t="s">
        <v>5569</v>
      </c>
      <c r="B1934" s="104" t="s">
        <v>4361</v>
      </c>
      <c r="C1934" s="105" t="s">
        <v>20</v>
      </c>
      <c r="D1934" s="105">
        <v>0</v>
      </c>
      <c r="E1934" s="124" t="s">
        <v>523</v>
      </c>
      <c r="F1934" s="125" t="str">
        <f t="shared" si="99"/>
        <v/>
      </c>
      <c r="G1934" s="126" t="e">
        <f>IF(A1934&lt;&gt;"",IF(AND(#REF!="Padrão",$H$4=#REF!),BDI!$B$17,IF(AND(#REF!="Padrão",$H$4=#REF!),BDI!#REF!,IF(AND(#REF!="Diferenciado",$H$4=#REF!),BDI!$E$17,IF(AND(#REF!="Diferenciado",$H$4=#REF!),BDI!#REF!,IF(#REF!="ZERO",0))))),"")</f>
        <v>#REF!</v>
      </c>
      <c r="H1934" s="127" t="str">
        <f t="shared" si="100"/>
        <v/>
      </c>
      <c r="I1934" s="125" t="str">
        <f t="shared" si="101"/>
        <v/>
      </c>
    </row>
    <row r="1935" spans="1:9" hidden="1" x14ac:dyDescent="0.25">
      <c r="A1935" s="103" t="s">
        <v>5570</v>
      </c>
      <c r="B1935" s="104" t="s">
        <v>4362</v>
      </c>
      <c r="C1935" s="105" t="s">
        <v>20</v>
      </c>
      <c r="D1935" s="105">
        <v>0</v>
      </c>
      <c r="E1935" s="124" t="s">
        <v>523</v>
      </c>
      <c r="F1935" s="125" t="str">
        <f t="shared" si="99"/>
        <v/>
      </c>
      <c r="G1935" s="126" t="e">
        <f>IF(A1935&lt;&gt;"",IF(AND(#REF!="Padrão",$H$4=#REF!),BDI!$B$17,IF(AND(#REF!="Padrão",$H$4=#REF!),BDI!#REF!,IF(AND(#REF!="Diferenciado",$H$4=#REF!),BDI!$E$17,IF(AND(#REF!="Diferenciado",$H$4=#REF!),BDI!#REF!,IF(#REF!="ZERO",0))))),"")</f>
        <v>#REF!</v>
      </c>
      <c r="H1935" s="127" t="str">
        <f t="shared" si="100"/>
        <v/>
      </c>
      <c r="I1935" s="125" t="str">
        <f t="shared" si="101"/>
        <v/>
      </c>
    </row>
    <row r="1936" spans="1:9" hidden="1" x14ac:dyDescent="0.25">
      <c r="A1936" s="103" t="s">
        <v>5571</v>
      </c>
      <c r="B1936" s="104" t="s">
        <v>4363</v>
      </c>
      <c r="C1936" s="105" t="s">
        <v>20</v>
      </c>
      <c r="D1936" s="105">
        <v>0</v>
      </c>
      <c r="E1936" s="124" t="s">
        <v>523</v>
      </c>
      <c r="F1936" s="125" t="str">
        <f t="shared" si="99"/>
        <v/>
      </c>
      <c r="G1936" s="126" t="e">
        <f>IF(A1936&lt;&gt;"",IF(AND(#REF!="Padrão",$H$4=#REF!),BDI!$B$17,IF(AND(#REF!="Padrão",$H$4=#REF!),BDI!#REF!,IF(AND(#REF!="Diferenciado",$H$4=#REF!),BDI!$E$17,IF(AND(#REF!="Diferenciado",$H$4=#REF!),BDI!#REF!,IF(#REF!="ZERO",0))))),"")</f>
        <v>#REF!</v>
      </c>
      <c r="H1936" s="127" t="str">
        <f t="shared" si="100"/>
        <v/>
      </c>
      <c r="I1936" s="125" t="str">
        <f t="shared" si="101"/>
        <v/>
      </c>
    </row>
    <row r="1937" spans="1:9" hidden="1" x14ac:dyDescent="0.25">
      <c r="A1937" s="103" t="s">
        <v>5572</v>
      </c>
      <c r="B1937" s="104" t="s">
        <v>4364</v>
      </c>
      <c r="C1937" s="105" t="s">
        <v>20</v>
      </c>
      <c r="D1937" s="105">
        <v>0</v>
      </c>
      <c r="E1937" s="124" t="s">
        <v>523</v>
      </c>
      <c r="F1937" s="125" t="str">
        <f t="shared" si="99"/>
        <v/>
      </c>
      <c r="G1937" s="126" t="e">
        <f>IF(A1937&lt;&gt;"",IF(AND(#REF!="Padrão",$H$4=#REF!),BDI!$B$17,IF(AND(#REF!="Padrão",$H$4=#REF!),BDI!#REF!,IF(AND(#REF!="Diferenciado",$H$4=#REF!),BDI!$E$17,IF(AND(#REF!="Diferenciado",$H$4=#REF!),BDI!#REF!,IF(#REF!="ZERO",0))))),"")</f>
        <v>#REF!</v>
      </c>
      <c r="H1937" s="127" t="str">
        <f t="shared" si="100"/>
        <v/>
      </c>
      <c r="I1937" s="125" t="str">
        <f t="shared" si="101"/>
        <v/>
      </c>
    </row>
    <row r="1938" spans="1:9" hidden="1" x14ac:dyDescent="0.25">
      <c r="A1938" s="103" t="s">
        <v>5573</v>
      </c>
      <c r="B1938" s="104" t="s">
        <v>4365</v>
      </c>
      <c r="C1938" s="105" t="s">
        <v>20</v>
      </c>
      <c r="D1938" s="105">
        <v>0</v>
      </c>
      <c r="E1938" s="124" t="s">
        <v>523</v>
      </c>
      <c r="F1938" s="125" t="str">
        <f t="shared" si="99"/>
        <v/>
      </c>
      <c r="G1938" s="126" t="e">
        <f>IF(A1938&lt;&gt;"",IF(AND(#REF!="Padrão",$H$4=#REF!),BDI!$B$17,IF(AND(#REF!="Padrão",$H$4=#REF!),BDI!#REF!,IF(AND(#REF!="Diferenciado",$H$4=#REF!),BDI!$E$17,IF(AND(#REF!="Diferenciado",$H$4=#REF!),BDI!#REF!,IF(#REF!="ZERO",0))))),"")</f>
        <v>#REF!</v>
      </c>
      <c r="H1938" s="127" t="str">
        <f t="shared" si="100"/>
        <v/>
      </c>
      <c r="I1938" s="125" t="str">
        <f t="shared" si="101"/>
        <v/>
      </c>
    </row>
    <row r="1939" spans="1:9" hidden="1" x14ac:dyDescent="0.25">
      <c r="A1939" s="103" t="s">
        <v>5574</v>
      </c>
      <c r="B1939" s="104" t="s">
        <v>4366</v>
      </c>
      <c r="C1939" s="105" t="s">
        <v>20</v>
      </c>
      <c r="D1939" s="105">
        <v>0</v>
      </c>
      <c r="E1939" s="124" t="s">
        <v>523</v>
      </c>
      <c r="F1939" s="125" t="str">
        <f t="shared" si="99"/>
        <v/>
      </c>
      <c r="G1939" s="126" t="e">
        <f>IF(A1939&lt;&gt;"",IF(AND(#REF!="Padrão",$H$4=#REF!),BDI!$B$17,IF(AND(#REF!="Padrão",$H$4=#REF!),BDI!#REF!,IF(AND(#REF!="Diferenciado",$H$4=#REF!),BDI!$E$17,IF(AND(#REF!="Diferenciado",$H$4=#REF!),BDI!#REF!,IF(#REF!="ZERO",0))))),"")</f>
        <v>#REF!</v>
      </c>
      <c r="H1939" s="127" t="str">
        <f t="shared" si="100"/>
        <v/>
      </c>
      <c r="I1939" s="125" t="str">
        <f t="shared" si="101"/>
        <v/>
      </c>
    </row>
    <row r="1940" spans="1:9" hidden="1" x14ac:dyDescent="0.25">
      <c r="A1940" s="103" t="s">
        <v>5575</v>
      </c>
      <c r="B1940" s="104" t="s">
        <v>4367</v>
      </c>
      <c r="C1940" s="105" t="s">
        <v>20</v>
      </c>
      <c r="D1940" s="105">
        <v>0</v>
      </c>
      <c r="E1940" s="124" t="s">
        <v>523</v>
      </c>
      <c r="F1940" s="125" t="str">
        <f t="shared" si="99"/>
        <v/>
      </c>
      <c r="G1940" s="126" t="e">
        <f>IF(A1940&lt;&gt;"",IF(AND(#REF!="Padrão",$H$4=#REF!),BDI!$B$17,IF(AND(#REF!="Padrão",$H$4=#REF!),BDI!#REF!,IF(AND(#REF!="Diferenciado",$H$4=#REF!),BDI!$E$17,IF(AND(#REF!="Diferenciado",$H$4=#REF!),BDI!#REF!,IF(#REF!="ZERO",0))))),"")</f>
        <v>#REF!</v>
      </c>
      <c r="H1940" s="127" t="str">
        <f t="shared" si="100"/>
        <v/>
      </c>
      <c r="I1940" s="125" t="str">
        <f t="shared" si="101"/>
        <v/>
      </c>
    </row>
    <row r="1941" spans="1:9" hidden="1" x14ac:dyDescent="0.25">
      <c r="A1941" s="103" t="s">
        <v>5576</v>
      </c>
      <c r="B1941" s="104" t="s">
        <v>4368</v>
      </c>
      <c r="C1941" s="105" t="s">
        <v>20</v>
      </c>
      <c r="D1941" s="105">
        <v>0</v>
      </c>
      <c r="E1941" s="124" t="s">
        <v>523</v>
      </c>
      <c r="F1941" s="125" t="str">
        <f t="shared" si="99"/>
        <v/>
      </c>
      <c r="G1941" s="126" t="e">
        <f>IF(A1941&lt;&gt;"",IF(AND(#REF!="Padrão",$H$4=#REF!),BDI!$B$17,IF(AND(#REF!="Padrão",$H$4=#REF!),BDI!#REF!,IF(AND(#REF!="Diferenciado",$H$4=#REF!),BDI!$E$17,IF(AND(#REF!="Diferenciado",$H$4=#REF!),BDI!#REF!,IF(#REF!="ZERO",0))))),"")</f>
        <v>#REF!</v>
      </c>
      <c r="H1941" s="127" t="str">
        <f t="shared" si="100"/>
        <v/>
      </c>
      <c r="I1941" s="125" t="str">
        <f t="shared" si="101"/>
        <v/>
      </c>
    </row>
    <row r="1942" spans="1:9" hidden="1" x14ac:dyDescent="0.25">
      <c r="A1942" s="103" t="s">
        <v>5577</v>
      </c>
      <c r="B1942" s="104" t="s">
        <v>4369</v>
      </c>
      <c r="C1942" s="105" t="s">
        <v>20</v>
      </c>
      <c r="D1942" s="105">
        <v>0</v>
      </c>
      <c r="E1942" s="124" t="s">
        <v>523</v>
      </c>
      <c r="F1942" s="125" t="str">
        <f t="shared" si="99"/>
        <v/>
      </c>
      <c r="G1942" s="126" t="e">
        <f>IF(A1942&lt;&gt;"",IF(AND(#REF!="Padrão",$H$4=#REF!),BDI!$B$17,IF(AND(#REF!="Padrão",$H$4=#REF!),BDI!#REF!,IF(AND(#REF!="Diferenciado",$H$4=#REF!),BDI!$E$17,IF(AND(#REF!="Diferenciado",$H$4=#REF!),BDI!#REF!,IF(#REF!="ZERO",0))))),"")</f>
        <v>#REF!</v>
      </c>
      <c r="H1942" s="127" t="str">
        <f t="shared" si="100"/>
        <v/>
      </c>
      <c r="I1942" s="125" t="str">
        <f t="shared" si="101"/>
        <v/>
      </c>
    </row>
    <row r="1943" spans="1:9" hidden="1" x14ac:dyDescent="0.25">
      <c r="A1943" s="103" t="s">
        <v>5578</v>
      </c>
      <c r="B1943" s="104" t="s">
        <v>4370</v>
      </c>
      <c r="C1943" s="105" t="s">
        <v>20</v>
      </c>
      <c r="D1943" s="105">
        <v>0</v>
      </c>
      <c r="E1943" s="124" t="s">
        <v>523</v>
      </c>
      <c r="F1943" s="125" t="str">
        <f t="shared" si="99"/>
        <v/>
      </c>
      <c r="G1943" s="126" t="e">
        <f>IF(A1943&lt;&gt;"",IF(AND(#REF!="Padrão",$H$4=#REF!),BDI!$B$17,IF(AND(#REF!="Padrão",$H$4=#REF!),BDI!#REF!,IF(AND(#REF!="Diferenciado",$H$4=#REF!),BDI!$E$17,IF(AND(#REF!="Diferenciado",$H$4=#REF!),BDI!#REF!,IF(#REF!="ZERO",0))))),"")</f>
        <v>#REF!</v>
      </c>
      <c r="H1943" s="127" t="str">
        <f t="shared" si="100"/>
        <v/>
      </c>
      <c r="I1943" s="125" t="str">
        <f t="shared" si="101"/>
        <v/>
      </c>
    </row>
    <row r="1944" spans="1:9" hidden="1" x14ac:dyDescent="0.25">
      <c r="A1944" s="103" t="s">
        <v>5579</v>
      </c>
      <c r="B1944" s="104" t="s">
        <v>4371</v>
      </c>
      <c r="C1944" s="105" t="s">
        <v>20</v>
      </c>
      <c r="D1944" s="105">
        <v>0</v>
      </c>
      <c r="E1944" s="124" t="s">
        <v>523</v>
      </c>
      <c r="F1944" s="125" t="str">
        <f t="shared" si="99"/>
        <v/>
      </c>
      <c r="G1944" s="126" t="e">
        <f>IF(A1944&lt;&gt;"",IF(AND(#REF!="Padrão",$H$4=#REF!),BDI!$B$17,IF(AND(#REF!="Padrão",$H$4=#REF!),BDI!#REF!,IF(AND(#REF!="Diferenciado",$H$4=#REF!),BDI!$E$17,IF(AND(#REF!="Diferenciado",$H$4=#REF!),BDI!#REF!,IF(#REF!="ZERO",0))))),"")</f>
        <v>#REF!</v>
      </c>
      <c r="H1944" s="127" t="str">
        <f t="shared" si="100"/>
        <v/>
      </c>
      <c r="I1944" s="125" t="str">
        <f t="shared" si="101"/>
        <v/>
      </c>
    </row>
    <row r="1945" spans="1:9" hidden="1" x14ac:dyDescent="0.25">
      <c r="A1945" s="103" t="s">
        <v>5580</v>
      </c>
      <c r="B1945" s="104" t="s">
        <v>4372</v>
      </c>
      <c r="C1945" s="105" t="s">
        <v>20</v>
      </c>
      <c r="D1945" s="105">
        <v>0</v>
      </c>
      <c r="E1945" s="124" t="s">
        <v>523</v>
      </c>
      <c r="F1945" s="125" t="str">
        <f t="shared" si="99"/>
        <v/>
      </c>
      <c r="G1945" s="126" t="e">
        <f>IF(A1945&lt;&gt;"",IF(AND(#REF!="Padrão",$H$4=#REF!),BDI!$B$17,IF(AND(#REF!="Padrão",$H$4=#REF!),BDI!#REF!,IF(AND(#REF!="Diferenciado",$H$4=#REF!),BDI!$E$17,IF(AND(#REF!="Diferenciado",$H$4=#REF!),BDI!#REF!,IF(#REF!="ZERO",0))))),"")</f>
        <v>#REF!</v>
      </c>
      <c r="H1945" s="127" t="str">
        <f t="shared" si="100"/>
        <v/>
      </c>
      <c r="I1945" s="125" t="str">
        <f t="shared" si="101"/>
        <v/>
      </c>
    </row>
    <row r="1946" spans="1:9" hidden="1" x14ac:dyDescent="0.25">
      <c r="A1946" s="103" t="s">
        <v>5581</v>
      </c>
      <c r="B1946" s="104" t="s">
        <v>4373</v>
      </c>
      <c r="C1946" s="105" t="s">
        <v>20</v>
      </c>
      <c r="D1946" s="105">
        <v>0</v>
      </c>
      <c r="E1946" s="124" t="s">
        <v>523</v>
      </c>
      <c r="F1946" s="125" t="str">
        <f t="shared" si="99"/>
        <v/>
      </c>
      <c r="G1946" s="126" t="e">
        <f>IF(A1946&lt;&gt;"",IF(AND(#REF!="Padrão",$H$4=#REF!),BDI!$B$17,IF(AND(#REF!="Padrão",$H$4=#REF!),BDI!#REF!,IF(AND(#REF!="Diferenciado",$H$4=#REF!),BDI!$E$17,IF(AND(#REF!="Diferenciado",$H$4=#REF!),BDI!#REF!,IF(#REF!="ZERO",0))))),"")</f>
        <v>#REF!</v>
      </c>
      <c r="H1946" s="127" t="str">
        <f t="shared" si="100"/>
        <v/>
      </c>
      <c r="I1946" s="125" t="str">
        <f t="shared" si="101"/>
        <v/>
      </c>
    </row>
    <row r="1947" spans="1:9" hidden="1" x14ac:dyDescent="0.25">
      <c r="A1947" s="103" t="s">
        <v>5582</v>
      </c>
      <c r="B1947" s="104" t="s">
        <v>4374</v>
      </c>
      <c r="C1947" s="105" t="s">
        <v>20</v>
      </c>
      <c r="D1947" s="105">
        <v>0</v>
      </c>
      <c r="E1947" s="124" t="s">
        <v>523</v>
      </c>
      <c r="F1947" s="125" t="str">
        <f t="shared" si="99"/>
        <v/>
      </c>
      <c r="G1947" s="126" t="e">
        <f>IF(A1947&lt;&gt;"",IF(AND(#REF!="Padrão",$H$4=#REF!),BDI!$B$17,IF(AND(#REF!="Padrão",$H$4=#REF!),BDI!#REF!,IF(AND(#REF!="Diferenciado",$H$4=#REF!),BDI!$E$17,IF(AND(#REF!="Diferenciado",$H$4=#REF!),BDI!#REF!,IF(#REF!="ZERO",0))))),"")</f>
        <v>#REF!</v>
      </c>
      <c r="H1947" s="127" t="str">
        <f t="shared" si="100"/>
        <v/>
      </c>
      <c r="I1947" s="125" t="str">
        <f t="shared" si="101"/>
        <v/>
      </c>
    </row>
    <row r="1948" spans="1:9" hidden="1" x14ac:dyDescent="0.25">
      <c r="A1948" s="103" t="s">
        <v>5583</v>
      </c>
      <c r="B1948" s="104" t="s">
        <v>4375</v>
      </c>
      <c r="C1948" s="105" t="s">
        <v>20</v>
      </c>
      <c r="D1948" s="105">
        <v>0</v>
      </c>
      <c r="E1948" s="124" t="s">
        <v>523</v>
      </c>
      <c r="F1948" s="125" t="str">
        <f t="shared" si="99"/>
        <v/>
      </c>
      <c r="G1948" s="126" t="e">
        <f>IF(A1948&lt;&gt;"",IF(AND(#REF!="Padrão",$H$4=#REF!),BDI!$B$17,IF(AND(#REF!="Padrão",$H$4=#REF!),BDI!#REF!,IF(AND(#REF!="Diferenciado",$H$4=#REF!),BDI!$E$17,IF(AND(#REF!="Diferenciado",$H$4=#REF!),BDI!#REF!,IF(#REF!="ZERO",0))))),"")</f>
        <v>#REF!</v>
      </c>
      <c r="H1948" s="127" t="str">
        <f t="shared" si="100"/>
        <v/>
      </c>
      <c r="I1948" s="125" t="str">
        <f t="shared" si="101"/>
        <v/>
      </c>
    </row>
    <row r="1949" spans="1:9" hidden="1" x14ac:dyDescent="0.25">
      <c r="A1949" s="103" t="s">
        <v>5584</v>
      </c>
      <c r="B1949" s="104" t="s">
        <v>4376</v>
      </c>
      <c r="C1949" s="105" t="s">
        <v>20</v>
      </c>
      <c r="D1949" s="105">
        <v>0</v>
      </c>
      <c r="E1949" s="124">
        <f ca="1">OFFSET(INDEX(Composições!A:J,MATCH(Orçamentária!A1949,Composições!A:A,0),8),2,0)</f>
        <v>549.98349999999994</v>
      </c>
      <c r="F1949" s="125">
        <f t="shared" ca="1" si="99"/>
        <v>0</v>
      </c>
      <c r="G1949" s="126" t="e">
        <f>IF(A1949&lt;&gt;"",IF(AND(#REF!="Padrão",$H$4=#REF!),BDI!$B$17,IF(AND(#REF!="Padrão",$H$4=#REF!),BDI!#REF!,IF(AND(#REF!="Diferenciado",$H$4=#REF!),BDI!$E$17,IF(AND(#REF!="Diferenciado",$H$4=#REF!),BDI!#REF!,IF(#REF!="ZERO",0))))),"")</f>
        <v>#REF!</v>
      </c>
      <c r="H1949" s="127" t="e">
        <f t="shared" ca="1" si="100"/>
        <v>#REF!</v>
      </c>
      <c r="I1949" s="125" t="e">
        <f t="shared" ca="1" si="101"/>
        <v>#REF!</v>
      </c>
    </row>
    <row r="1950" spans="1:9" hidden="1" x14ac:dyDescent="0.25">
      <c r="A1950" s="103" t="s">
        <v>5585</v>
      </c>
      <c r="B1950" s="104" t="s">
        <v>4377</v>
      </c>
      <c r="C1950" s="105" t="s">
        <v>20</v>
      </c>
      <c r="D1950" s="105">
        <v>0</v>
      </c>
      <c r="E1950" s="124" t="s">
        <v>523</v>
      </c>
      <c r="F1950" s="125" t="str">
        <f t="shared" si="99"/>
        <v/>
      </c>
      <c r="G1950" s="126" t="e">
        <f>IF(A1950&lt;&gt;"",IF(AND(#REF!="Padrão",$H$4=#REF!),BDI!$B$17,IF(AND(#REF!="Padrão",$H$4=#REF!),BDI!#REF!,IF(AND(#REF!="Diferenciado",$H$4=#REF!),BDI!$E$17,IF(AND(#REF!="Diferenciado",$H$4=#REF!),BDI!#REF!,IF(#REF!="ZERO",0))))),"")</f>
        <v>#REF!</v>
      </c>
      <c r="H1950" s="127" t="str">
        <f t="shared" si="100"/>
        <v/>
      </c>
      <c r="I1950" s="125" t="str">
        <f t="shared" si="101"/>
        <v/>
      </c>
    </row>
    <row r="1951" spans="1:9" hidden="1" x14ac:dyDescent="0.25">
      <c r="A1951" s="103" t="s">
        <v>5586</v>
      </c>
      <c r="B1951" s="104" t="s">
        <v>4378</v>
      </c>
      <c r="C1951" s="105" t="s">
        <v>20</v>
      </c>
      <c r="D1951" s="105">
        <v>0</v>
      </c>
      <c r="E1951" s="124">
        <f ca="1">OFFSET(INDEX(Composições!A:J,MATCH(Orçamentária!A1951,Composições!A:A,0),8),2,0)</f>
        <v>2134.7069999999999</v>
      </c>
      <c r="F1951" s="125">
        <f t="shared" ca="1" si="99"/>
        <v>0</v>
      </c>
      <c r="G1951" s="126" t="e">
        <f>IF(A1951&lt;&gt;"",IF(AND(#REF!="Padrão",$H$4=#REF!),BDI!$B$17,IF(AND(#REF!="Padrão",$H$4=#REF!),BDI!#REF!,IF(AND(#REF!="Diferenciado",$H$4=#REF!),BDI!$E$17,IF(AND(#REF!="Diferenciado",$H$4=#REF!),BDI!#REF!,IF(#REF!="ZERO",0))))),"")</f>
        <v>#REF!</v>
      </c>
      <c r="H1951" s="127" t="e">
        <f t="shared" ca="1" si="100"/>
        <v>#REF!</v>
      </c>
      <c r="I1951" s="125" t="e">
        <f t="shared" ca="1" si="101"/>
        <v>#REF!</v>
      </c>
    </row>
    <row r="1952" spans="1:9" hidden="1" x14ac:dyDescent="0.25">
      <c r="A1952" s="103" t="s">
        <v>5587</v>
      </c>
      <c r="B1952" s="104" t="s">
        <v>4379</v>
      </c>
      <c r="C1952" s="105" t="s">
        <v>20</v>
      </c>
      <c r="D1952" s="105">
        <v>0</v>
      </c>
      <c r="E1952" s="124" t="s">
        <v>523</v>
      </c>
      <c r="F1952" s="125" t="str">
        <f t="shared" si="99"/>
        <v/>
      </c>
      <c r="G1952" s="126" t="e">
        <f>IF(A1952&lt;&gt;"",IF(AND(#REF!="Padrão",$H$4=#REF!),BDI!$B$17,IF(AND(#REF!="Padrão",$H$4=#REF!),BDI!#REF!,IF(AND(#REF!="Diferenciado",$H$4=#REF!),BDI!$E$17,IF(AND(#REF!="Diferenciado",$H$4=#REF!),BDI!#REF!,IF(#REF!="ZERO",0))))),"")</f>
        <v>#REF!</v>
      </c>
      <c r="H1952" s="127" t="str">
        <f t="shared" si="100"/>
        <v/>
      </c>
      <c r="I1952" s="125" t="str">
        <f t="shared" si="101"/>
        <v/>
      </c>
    </row>
    <row r="1953" spans="1:9" hidden="1" x14ac:dyDescent="0.25">
      <c r="A1953" s="103" t="s">
        <v>5588</v>
      </c>
      <c r="B1953" s="104" t="s">
        <v>4380</v>
      </c>
      <c r="C1953" s="105" t="s">
        <v>20</v>
      </c>
      <c r="D1953" s="105">
        <v>0</v>
      </c>
      <c r="E1953" s="124">
        <f ca="1">OFFSET(INDEX(Composições!A:J,MATCH(Orçamentária!A1953,Composições!A:A,0),8),2,0)</f>
        <v>2513.6239999999998</v>
      </c>
      <c r="F1953" s="125">
        <f t="shared" ca="1" si="99"/>
        <v>0</v>
      </c>
      <c r="G1953" s="126" t="e">
        <f>IF(A1953&lt;&gt;"",IF(AND(#REF!="Padrão",$H$4=#REF!),BDI!$B$17,IF(AND(#REF!="Padrão",$H$4=#REF!),BDI!#REF!,IF(AND(#REF!="Diferenciado",$H$4=#REF!),BDI!$E$17,IF(AND(#REF!="Diferenciado",$H$4=#REF!),BDI!#REF!,IF(#REF!="ZERO",0))))),"")</f>
        <v>#REF!</v>
      </c>
      <c r="H1953" s="127" t="e">
        <f t="shared" ca="1" si="100"/>
        <v>#REF!</v>
      </c>
      <c r="I1953" s="125" t="e">
        <f t="shared" ca="1" si="101"/>
        <v>#REF!</v>
      </c>
    </row>
    <row r="1954" spans="1:9" hidden="1" x14ac:dyDescent="0.25">
      <c r="A1954" s="103" t="s">
        <v>5589</v>
      </c>
      <c r="B1954" s="104" t="s">
        <v>4381</v>
      </c>
      <c r="C1954" s="105" t="s">
        <v>20</v>
      </c>
      <c r="D1954" s="105">
        <v>0</v>
      </c>
      <c r="E1954" s="124">
        <f ca="1">OFFSET(INDEX(Composições!A:J,MATCH(Orçamentária!A1954,Composições!A:A,0),8),2,0)</f>
        <v>23.75</v>
      </c>
      <c r="F1954" s="125">
        <f t="shared" ca="1" si="99"/>
        <v>0</v>
      </c>
      <c r="G1954" s="126" t="e">
        <f>IF(A1954&lt;&gt;"",IF(AND(#REF!="Padrão",$H$4=#REF!),BDI!$B$17,IF(AND(#REF!="Padrão",$H$4=#REF!),BDI!#REF!,IF(AND(#REF!="Diferenciado",$H$4=#REF!),BDI!$E$17,IF(AND(#REF!="Diferenciado",$H$4=#REF!),BDI!#REF!,IF(#REF!="ZERO",0))))),"")</f>
        <v>#REF!</v>
      </c>
      <c r="H1954" s="127" t="e">
        <f t="shared" ca="1" si="100"/>
        <v>#REF!</v>
      </c>
      <c r="I1954" s="125" t="e">
        <f t="shared" ca="1" si="101"/>
        <v>#REF!</v>
      </c>
    </row>
    <row r="1955" spans="1:9" hidden="1" x14ac:dyDescent="0.25">
      <c r="A1955" s="103" t="s">
        <v>5590</v>
      </c>
      <c r="B1955" s="104" t="s">
        <v>4382</v>
      </c>
      <c r="C1955" s="105" t="s">
        <v>20</v>
      </c>
      <c r="D1955" s="105">
        <v>0</v>
      </c>
      <c r="E1955" s="124" t="s">
        <v>523</v>
      </c>
      <c r="F1955" s="125" t="str">
        <f t="shared" si="99"/>
        <v/>
      </c>
      <c r="G1955" s="126" t="e">
        <f>IF(A1955&lt;&gt;"",IF(AND(#REF!="Padrão",$H$4=#REF!),BDI!$B$17,IF(AND(#REF!="Padrão",$H$4=#REF!),BDI!#REF!,IF(AND(#REF!="Diferenciado",$H$4=#REF!),BDI!$E$17,IF(AND(#REF!="Diferenciado",$H$4=#REF!),BDI!#REF!,IF(#REF!="ZERO",0))))),"")</f>
        <v>#REF!</v>
      </c>
      <c r="H1955" s="127" t="str">
        <f t="shared" si="100"/>
        <v/>
      </c>
      <c r="I1955" s="125" t="str">
        <f t="shared" si="101"/>
        <v/>
      </c>
    </row>
    <row r="1956" spans="1:9" hidden="1" x14ac:dyDescent="0.25">
      <c r="A1956" s="103" t="s">
        <v>5591</v>
      </c>
      <c r="B1956" s="104" t="s">
        <v>4383</v>
      </c>
      <c r="C1956" s="105" t="s">
        <v>20</v>
      </c>
      <c r="D1956" s="105">
        <v>0</v>
      </c>
      <c r="E1956" s="124" t="s">
        <v>523</v>
      </c>
      <c r="F1956" s="125" t="str">
        <f t="shared" si="99"/>
        <v/>
      </c>
      <c r="G1956" s="126" t="e">
        <f>IF(A1956&lt;&gt;"",IF(AND(#REF!="Padrão",$H$4=#REF!),BDI!$B$17,IF(AND(#REF!="Padrão",$H$4=#REF!),BDI!#REF!,IF(AND(#REF!="Diferenciado",$H$4=#REF!),BDI!$E$17,IF(AND(#REF!="Diferenciado",$H$4=#REF!),BDI!#REF!,IF(#REF!="ZERO",0))))),"")</f>
        <v>#REF!</v>
      </c>
      <c r="H1956" s="127" t="str">
        <f t="shared" si="100"/>
        <v/>
      </c>
      <c r="I1956" s="125" t="str">
        <f t="shared" si="101"/>
        <v/>
      </c>
    </row>
    <row r="1957" spans="1:9" hidden="1" x14ac:dyDescent="0.25">
      <c r="A1957" s="103" t="s">
        <v>5592</v>
      </c>
      <c r="B1957" s="104" t="s">
        <v>4384</v>
      </c>
      <c r="C1957" s="105" t="s">
        <v>20</v>
      </c>
      <c r="D1957" s="105">
        <v>0</v>
      </c>
      <c r="E1957" s="124" t="s">
        <v>523</v>
      </c>
      <c r="F1957" s="125" t="str">
        <f t="shared" si="99"/>
        <v/>
      </c>
      <c r="G1957" s="126" t="e">
        <f>IF(A1957&lt;&gt;"",IF(AND(#REF!="Padrão",$H$4=#REF!),BDI!$B$17,IF(AND(#REF!="Padrão",$H$4=#REF!),BDI!#REF!,IF(AND(#REF!="Diferenciado",$H$4=#REF!),BDI!$E$17,IF(AND(#REF!="Diferenciado",$H$4=#REF!),BDI!#REF!,IF(#REF!="ZERO",0))))),"")</f>
        <v>#REF!</v>
      </c>
      <c r="H1957" s="127" t="str">
        <f t="shared" si="100"/>
        <v/>
      </c>
      <c r="I1957" s="125" t="str">
        <f t="shared" si="101"/>
        <v/>
      </c>
    </row>
    <row r="1958" spans="1:9" hidden="1" x14ac:dyDescent="0.25">
      <c r="A1958" s="103" t="s">
        <v>5593</v>
      </c>
      <c r="B1958" s="104" t="s">
        <v>4385</v>
      </c>
      <c r="C1958" s="105" t="s">
        <v>20</v>
      </c>
      <c r="D1958" s="105">
        <v>0</v>
      </c>
      <c r="E1958" s="124" t="s">
        <v>523</v>
      </c>
      <c r="F1958" s="125" t="str">
        <f t="shared" si="99"/>
        <v/>
      </c>
      <c r="G1958" s="126" t="e">
        <f>IF(A1958&lt;&gt;"",IF(AND(#REF!="Padrão",$H$4=#REF!),BDI!$B$17,IF(AND(#REF!="Padrão",$H$4=#REF!),BDI!#REF!,IF(AND(#REF!="Diferenciado",$H$4=#REF!),BDI!$E$17,IF(AND(#REF!="Diferenciado",$H$4=#REF!),BDI!#REF!,IF(#REF!="ZERO",0))))),"")</f>
        <v>#REF!</v>
      </c>
      <c r="H1958" s="127" t="str">
        <f t="shared" si="100"/>
        <v/>
      </c>
      <c r="I1958" s="125" t="str">
        <f t="shared" si="101"/>
        <v/>
      </c>
    </row>
    <row r="1959" spans="1:9" hidden="1" x14ac:dyDescent="0.25">
      <c r="A1959" s="103" t="s">
        <v>5594</v>
      </c>
      <c r="B1959" s="104" t="s">
        <v>4386</v>
      </c>
      <c r="C1959" s="105" t="s">
        <v>20</v>
      </c>
      <c r="D1959" s="105">
        <v>0</v>
      </c>
      <c r="E1959" s="124" t="s">
        <v>523</v>
      </c>
      <c r="F1959" s="125" t="str">
        <f t="shared" si="99"/>
        <v/>
      </c>
      <c r="G1959" s="126" t="e">
        <f>IF(A1959&lt;&gt;"",IF(AND(#REF!="Padrão",$H$4=#REF!),BDI!$B$17,IF(AND(#REF!="Padrão",$H$4=#REF!),BDI!#REF!,IF(AND(#REF!="Diferenciado",$H$4=#REF!),BDI!$E$17,IF(AND(#REF!="Diferenciado",$H$4=#REF!),BDI!#REF!,IF(#REF!="ZERO",0))))),"")</f>
        <v>#REF!</v>
      </c>
      <c r="H1959" s="127" t="str">
        <f t="shared" si="100"/>
        <v/>
      </c>
      <c r="I1959" s="125" t="str">
        <f t="shared" si="101"/>
        <v/>
      </c>
    </row>
    <row r="1960" spans="1:9" hidden="1" x14ac:dyDescent="0.25">
      <c r="A1960" s="103" t="s">
        <v>5595</v>
      </c>
      <c r="B1960" s="104" t="s">
        <v>4387</v>
      </c>
      <c r="C1960" s="105" t="s">
        <v>20</v>
      </c>
      <c r="D1960" s="105">
        <v>0</v>
      </c>
      <c r="E1960" s="124" t="s">
        <v>523</v>
      </c>
      <c r="F1960" s="125" t="str">
        <f t="shared" si="99"/>
        <v/>
      </c>
      <c r="G1960" s="126" t="e">
        <f>IF(A1960&lt;&gt;"",IF(AND(#REF!="Padrão",$H$4=#REF!),BDI!$B$17,IF(AND(#REF!="Padrão",$H$4=#REF!),BDI!#REF!,IF(AND(#REF!="Diferenciado",$H$4=#REF!),BDI!$E$17,IF(AND(#REF!="Diferenciado",$H$4=#REF!),BDI!#REF!,IF(#REF!="ZERO",0))))),"")</f>
        <v>#REF!</v>
      </c>
      <c r="H1960" s="127" t="str">
        <f t="shared" si="100"/>
        <v/>
      </c>
      <c r="I1960" s="125" t="str">
        <f t="shared" si="101"/>
        <v/>
      </c>
    </row>
    <row r="1961" spans="1:9" hidden="1" x14ac:dyDescent="0.25">
      <c r="A1961" s="103" t="s">
        <v>5596</v>
      </c>
      <c r="B1961" s="104" t="s">
        <v>4388</v>
      </c>
      <c r="C1961" s="105" t="s">
        <v>20</v>
      </c>
      <c r="D1961" s="105">
        <v>0</v>
      </c>
      <c r="E1961" s="124" t="s">
        <v>523</v>
      </c>
      <c r="F1961" s="125" t="str">
        <f t="shared" si="99"/>
        <v/>
      </c>
      <c r="G1961" s="126" t="e">
        <f>IF(A1961&lt;&gt;"",IF(AND(#REF!="Padrão",$H$4=#REF!),BDI!$B$17,IF(AND(#REF!="Padrão",$H$4=#REF!),BDI!#REF!,IF(AND(#REF!="Diferenciado",$H$4=#REF!),BDI!$E$17,IF(AND(#REF!="Diferenciado",$H$4=#REF!),BDI!#REF!,IF(#REF!="ZERO",0))))),"")</f>
        <v>#REF!</v>
      </c>
      <c r="H1961" s="127" t="str">
        <f t="shared" si="100"/>
        <v/>
      </c>
      <c r="I1961" s="125" t="str">
        <f t="shared" si="101"/>
        <v/>
      </c>
    </row>
    <row r="1962" spans="1:9" hidden="1" x14ac:dyDescent="0.25">
      <c r="A1962" s="103" t="s">
        <v>5597</v>
      </c>
      <c r="B1962" s="104" t="s">
        <v>4389</v>
      </c>
      <c r="C1962" s="105" t="s">
        <v>20</v>
      </c>
      <c r="D1962" s="105">
        <v>0</v>
      </c>
      <c r="E1962" s="124" t="s">
        <v>523</v>
      </c>
      <c r="F1962" s="125" t="str">
        <f t="shared" si="99"/>
        <v/>
      </c>
      <c r="G1962" s="126" t="e">
        <f>IF(A1962&lt;&gt;"",IF(AND(#REF!="Padrão",$H$4=#REF!),BDI!$B$17,IF(AND(#REF!="Padrão",$H$4=#REF!),BDI!#REF!,IF(AND(#REF!="Diferenciado",$H$4=#REF!),BDI!$E$17,IF(AND(#REF!="Diferenciado",$H$4=#REF!),BDI!#REF!,IF(#REF!="ZERO",0))))),"")</f>
        <v>#REF!</v>
      </c>
      <c r="H1962" s="127" t="str">
        <f t="shared" si="100"/>
        <v/>
      </c>
      <c r="I1962" s="125" t="str">
        <f t="shared" si="101"/>
        <v/>
      </c>
    </row>
    <row r="1963" spans="1:9" hidden="1" x14ac:dyDescent="0.25">
      <c r="A1963" s="103" t="s">
        <v>5598</v>
      </c>
      <c r="B1963" s="104" t="s">
        <v>4390</v>
      </c>
      <c r="C1963" s="105" t="s">
        <v>20</v>
      </c>
      <c r="D1963" s="105">
        <v>0</v>
      </c>
      <c r="E1963" s="124" t="s">
        <v>523</v>
      </c>
      <c r="F1963" s="125" t="str">
        <f t="shared" si="99"/>
        <v/>
      </c>
      <c r="G1963" s="126" t="e">
        <f>IF(A1963&lt;&gt;"",IF(AND(#REF!="Padrão",$H$4=#REF!),BDI!$B$17,IF(AND(#REF!="Padrão",$H$4=#REF!),BDI!#REF!,IF(AND(#REF!="Diferenciado",$H$4=#REF!),BDI!$E$17,IF(AND(#REF!="Diferenciado",$H$4=#REF!),BDI!#REF!,IF(#REF!="ZERO",0))))),"")</f>
        <v>#REF!</v>
      </c>
      <c r="H1963" s="127" t="str">
        <f t="shared" si="100"/>
        <v/>
      </c>
      <c r="I1963" s="125" t="str">
        <f t="shared" si="101"/>
        <v/>
      </c>
    </row>
    <row r="1964" spans="1:9" hidden="1" x14ac:dyDescent="0.25">
      <c r="A1964" s="103" t="s">
        <v>5599</v>
      </c>
      <c r="B1964" s="104" t="s">
        <v>4391</v>
      </c>
      <c r="C1964" s="105" t="s">
        <v>20</v>
      </c>
      <c r="D1964" s="105">
        <v>0</v>
      </c>
      <c r="E1964" s="124" t="s">
        <v>523</v>
      </c>
      <c r="F1964" s="125" t="str">
        <f t="shared" si="99"/>
        <v/>
      </c>
      <c r="G1964" s="126" t="e">
        <f>IF(A1964&lt;&gt;"",IF(AND(#REF!="Padrão",$H$4=#REF!),BDI!$B$17,IF(AND(#REF!="Padrão",$H$4=#REF!),BDI!#REF!,IF(AND(#REF!="Diferenciado",$H$4=#REF!),BDI!$E$17,IF(AND(#REF!="Diferenciado",$H$4=#REF!),BDI!#REF!,IF(#REF!="ZERO",0))))),"")</f>
        <v>#REF!</v>
      </c>
      <c r="H1964" s="127" t="str">
        <f t="shared" si="100"/>
        <v/>
      </c>
      <c r="I1964" s="125" t="str">
        <f t="shared" si="101"/>
        <v/>
      </c>
    </row>
    <row r="1965" spans="1:9" hidden="1" x14ac:dyDescent="0.25">
      <c r="A1965" s="103" t="s">
        <v>5600</v>
      </c>
      <c r="B1965" s="104" t="s">
        <v>4392</v>
      </c>
      <c r="C1965" s="105" t="s">
        <v>20</v>
      </c>
      <c r="D1965" s="105">
        <v>0</v>
      </c>
      <c r="E1965" s="124" t="s">
        <v>523</v>
      </c>
      <c r="F1965" s="125" t="str">
        <f t="shared" ref="F1965:F2028" si="102">IF(ISNUMBER(E1965),D1965*E1965,"")</f>
        <v/>
      </c>
      <c r="G1965" s="126" t="e">
        <f>IF(A1965&lt;&gt;"",IF(AND(#REF!="Padrão",$H$4=#REF!),BDI!$B$17,IF(AND(#REF!="Padrão",$H$4=#REF!),BDI!#REF!,IF(AND(#REF!="Diferenciado",$H$4=#REF!),BDI!$E$17,IF(AND(#REF!="Diferenciado",$H$4=#REF!),BDI!#REF!,IF(#REF!="ZERO",0))))),"")</f>
        <v>#REF!</v>
      </c>
      <c r="H1965" s="127" t="str">
        <f t="shared" ref="H1965:H2028" si="103">IF(ISNUMBER(E1965),ROUND(E1965*(1+G1965),2),"")</f>
        <v/>
      </c>
      <c r="I1965" s="125" t="str">
        <f t="shared" ref="I1965:I2028" si="104">IF(ISNUMBER(E1965),ROUND(H1965*D1965,2),"")</f>
        <v/>
      </c>
    </row>
    <row r="1966" spans="1:9" hidden="1" x14ac:dyDescent="0.25">
      <c r="A1966" s="103" t="s">
        <v>5601</v>
      </c>
      <c r="B1966" s="104" t="s">
        <v>4393</v>
      </c>
      <c r="C1966" s="105" t="s">
        <v>20</v>
      </c>
      <c r="D1966" s="105">
        <v>0</v>
      </c>
      <c r="E1966" s="124" t="s">
        <v>523</v>
      </c>
      <c r="F1966" s="125" t="str">
        <f t="shared" si="102"/>
        <v/>
      </c>
      <c r="G1966" s="126" t="e">
        <f>IF(A1966&lt;&gt;"",IF(AND(#REF!="Padrão",$H$4=#REF!),BDI!$B$17,IF(AND(#REF!="Padrão",$H$4=#REF!),BDI!#REF!,IF(AND(#REF!="Diferenciado",$H$4=#REF!),BDI!$E$17,IF(AND(#REF!="Diferenciado",$H$4=#REF!),BDI!#REF!,IF(#REF!="ZERO",0))))),"")</f>
        <v>#REF!</v>
      </c>
      <c r="H1966" s="127" t="str">
        <f t="shared" si="103"/>
        <v/>
      </c>
      <c r="I1966" s="125" t="str">
        <f t="shared" si="104"/>
        <v/>
      </c>
    </row>
    <row r="1967" spans="1:9" hidden="1" x14ac:dyDescent="0.25">
      <c r="A1967" s="103" t="s">
        <v>5602</v>
      </c>
      <c r="B1967" s="104" t="s">
        <v>4394</v>
      </c>
      <c r="C1967" s="105" t="s">
        <v>20</v>
      </c>
      <c r="D1967" s="105">
        <v>0</v>
      </c>
      <c r="E1967" s="124" t="s">
        <v>523</v>
      </c>
      <c r="F1967" s="125" t="str">
        <f t="shared" si="102"/>
        <v/>
      </c>
      <c r="G1967" s="126" t="e">
        <f>IF(A1967&lt;&gt;"",IF(AND(#REF!="Padrão",$H$4=#REF!),BDI!$B$17,IF(AND(#REF!="Padrão",$H$4=#REF!),BDI!#REF!,IF(AND(#REF!="Diferenciado",$H$4=#REF!),BDI!$E$17,IF(AND(#REF!="Diferenciado",$H$4=#REF!),BDI!#REF!,IF(#REF!="ZERO",0))))),"")</f>
        <v>#REF!</v>
      </c>
      <c r="H1967" s="127" t="str">
        <f t="shared" si="103"/>
        <v/>
      </c>
      <c r="I1967" s="125" t="str">
        <f t="shared" si="104"/>
        <v/>
      </c>
    </row>
    <row r="1968" spans="1:9" hidden="1" x14ac:dyDescent="0.25">
      <c r="A1968" s="103" t="s">
        <v>5603</v>
      </c>
      <c r="B1968" s="104" t="s">
        <v>4395</v>
      </c>
      <c r="C1968" s="105" t="s">
        <v>20</v>
      </c>
      <c r="D1968" s="105">
        <v>0</v>
      </c>
      <c r="E1968" s="124" t="s">
        <v>523</v>
      </c>
      <c r="F1968" s="125" t="str">
        <f t="shared" si="102"/>
        <v/>
      </c>
      <c r="G1968" s="126" t="e">
        <f>IF(A1968&lt;&gt;"",IF(AND(#REF!="Padrão",$H$4=#REF!),BDI!$B$17,IF(AND(#REF!="Padrão",$H$4=#REF!),BDI!#REF!,IF(AND(#REF!="Diferenciado",$H$4=#REF!),BDI!$E$17,IF(AND(#REF!="Diferenciado",$H$4=#REF!),BDI!#REF!,IF(#REF!="ZERO",0))))),"")</f>
        <v>#REF!</v>
      </c>
      <c r="H1968" s="127" t="str">
        <f t="shared" si="103"/>
        <v/>
      </c>
      <c r="I1968" s="125" t="str">
        <f t="shared" si="104"/>
        <v/>
      </c>
    </row>
    <row r="1969" spans="1:9" hidden="1" x14ac:dyDescent="0.25">
      <c r="A1969" s="103" t="s">
        <v>5604</v>
      </c>
      <c r="B1969" s="104" t="s">
        <v>4396</v>
      </c>
      <c r="C1969" s="105" t="s">
        <v>20</v>
      </c>
      <c r="D1969" s="105">
        <v>0</v>
      </c>
      <c r="E1969" s="124" t="s">
        <v>523</v>
      </c>
      <c r="F1969" s="125" t="str">
        <f t="shared" si="102"/>
        <v/>
      </c>
      <c r="G1969" s="126" t="e">
        <f>IF(A1969&lt;&gt;"",IF(AND(#REF!="Padrão",$H$4=#REF!),BDI!$B$17,IF(AND(#REF!="Padrão",$H$4=#REF!),BDI!#REF!,IF(AND(#REF!="Diferenciado",$H$4=#REF!),BDI!$E$17,IF(AND(#REF!="Diferenciado",$H$4=#REF!),BDI!#REF!,IF(#REF!="ZERO",0))))),"")</f>
        <v>#REF!</v>
      </c>
      <c r="H1969" s="127" t="str">
        <f t="shared" si="103"/>
        <v/>
      </c>
      <c r="I1969" s="125" t="str">
        <f t="shared" si="104"/>
        <v/>
      </c>
    </row>
    <row r="1970" spans="1:9" hidden="1" x14ac:dyDescent="0.25">
      <c r="A1970" s="103" t="s">
        <v>5605</v>
      </c>
      <c r="B1970" s="104" t="s">
        <v>4397</v>
      </c>
      <c r="C1970" s="105" t="s">
        <v>20</v>
      </c>
      <c r="D1970" s="105">
        <v>0</v>
      </c>
      <c r="E1970" s="124" t="s">
        <v>523</v>
      </c>
      <c r="F1970" s="125" t="str">
        <f t="shared" si="102"/>
        <v/>
      </c>
      <c r="G1970" s="126" t="e">
        <f>IF(A1970&lt;&gt;"",IF(AND(#REF!="Padrão",$H$4=#REF!),BDI!$B$17,IF(AND(#REF!="Padrão",$H$4=#REF!),BDI!#REF!,IF(AND(#REF!="Diferenciado",$H$4=#REF!),BDI!$E$17,IF(AND(#REF!="Diferenciado",$H$4=#REF!),BDI!#REF!,IF(#REF!="ZERO",0))))),"")</f>
        <v>#REF!</v>
      </c>
      <c r="H1970" s="127" t="str">
        <f t="shared" si="103"/>
        <v/>
      </c>
      <c r="I1970" s="125" t="str">
        <f t="shared" si="104"/>
        <v/>
      </c>
    </row>
    <row r="1971" spans="1:9" hidden="1" x14ac:dyDescent="0.25">
      <c r="A1971" s="103" t="s">
        <v>5606</v>
      </c>
      <c r="B1971" s="104" t="s">
        <v>4398</v>
      </c>
      <c r="C1971" s="105" t="s">
        <v>20</v>
      </c>
      <c r="D1971" s="105">
        <v>0</v>
      </c>
      <c r="E1971" s="124" t="s">
        <v>523</v>
      </c>
      <c r="F1971" s="125" t="str">
        <f t="shared" si="102"/>
        <v/>
      </c>
      <c r="G1971" s="126" t="e">
        <f>IF(A1971&lt;&gt;"",IF(AND(#REF!="Padrão",$H$4=#REF!),BDI!$B$17,IF(AND(#REF!="Padrão",$H$4=#REF!),BDI!#REF!,IF(AND(#REF!="Diferenciado",$H$4=#REF!),BDI!$E$17,IF(AND(#REF!="Diferenciado",$H$4=#REF!),BDI!#REF!,IF(#REF!="ZERO",0))))),"")</f>
        <v>#REF!</v>
      </c>
      <c r="H1971" s="127" t="str">
        <f t="shared" si="103"/>
        <v/>
      </c>
      <c r="I1971" s="125" t="str">
        <f t="shared" si="104"/>
        <v/>
      </c>
    </row>
    <row r="1972" spans="1:9" hidden="1" x14ac:dyDescent="0.25">
      <c r="A1972" s="103" t="s">
        <v>5607</v>
      </c>
      <c r="B1972" s="104" t="s">
        <v>4399</v>
      </c>
      <c r="C1972" s="105" t="s">
        <v>20</v>
      </c>
      <c r="D1972" s="105">
        <v>0</v>
      </c>
      <c r="E1972" s="124" t="s">
        <v>523</v>
      </c>
      <c r="F1972" s="125" t="str">
        <f t="shared" si="102"/>
        <v/>
      </c>
      <c r="G1972" s="126" t="e">
        <f>IF(A1972&lt;&gt;"",IF(AND(#REF!="Padrão",$H$4=#REF!),BDI!$B$17,IF(AND(#REF!="Padrão",$H$4=#REF!),BDI!#REF!,IF(AND(#REF!="Diferenciado",$H$4=#REF!),BDI!$E$17,IF(AND(#REF!="Diferenciado",$H$4=#REF!),BDI!#REF!,IF(#REF!="ZERO",0))))),"")</f>
        <v>#REF!</v>
      </c>
      <c r="H1972" s="127" t="str">
        <f t="shared" si="103"/>
        <v/>
      </c>
      <c r="I1972" s="125" t="str">
        <f t="shared" si="104"/>
        <v/>
      </c>
    </row>
    <row r="1973" spans="1:9" hidden="1" x14ac:dyDescent="0.25">
      <c r="A1973" s="103" t="s">
        <v>5608</v>
      </c>
      <c r="B1973" s="104" t="s">
        <v>4400</v>
      </c>
      <c r="C1973" s="105" t="s">
        <v>20</v>
      </c>
      <c r="D1973" s="105">
        <v>0</v>
      </c>
      <c r="E1973" s="124" t="s">
        <v>523</v>
      </c>
      <c r="F1973" s="125" t="str">
        <f t="shared" si="102"/>
        <v/>
      </c>
      <c r="G1973" s="126" t="e">
        <f>IF(A1973&lt;&gt;"",IF(AND(#REF!="Padrão",$H$4=#REF!),BDI!$B$17,IF(AND(#REF!="Padrão",$H$4=#REF!),BDI!#REF!,IF(AND(#REF!="Diferenciado",$H$4=#REF!),BDI!$E$17,IF(AND(#REF!="Diferenciado",$H$4=#REF!),BDI!#REF!,IF(#REF!="ZERO",0))))),"")</f>
        <v>#REF!</v>
      </c>
      <c r="H1973" s="127" t="str">
        <f t="shared" si="103"/>
        <v/>
      </c>
      <c r="I1973" s="125" t="str">
        <f t="shared" si="104"/>
        <v/>
      </c>
    </row>
    <row r="1974" spans="1:9" hidden="1" x14ac:dyDescent="0.25">
      <c r="A1974" s="103" t="s">
        <v>5609</v>
      </c>
      <c r="B1974" s="104" t="s">
        <v>4401</v>
      </c>
      <c r="C1974" s="105" t="s">
        <v>20</v>
      </c>
      <c r="D1974" s="105">
        <v>0</v>
      </c>
      <c r="E1974" s="124" t="s">
        <v>523</v>
      </c>
      <c r="F1974" s="125" t="str">
        <f t="shared" si="102"/>
        <v/>
      </c>
      <c r="G1974" s="126" t="e">
        <f>IF(A1974&lt;&gt;"",IF(AND(#REF!="Padrão",$H$4=#REF!),BDI!$B$17,IF(AND(#REF!="Padrão",$H$4=#REF!),BDI!#REF!,IF(AND(#REF!="Diferenciado",$H$4=#REF!),BDI!$E$17,IF(AND(#REF!="Diferenciado",$H$4=#REF!),BDI!#REF!,IF(#REF!="ZERO",0))))),"")</f>
        <v>#REF!</v>
      </c>
      <c r="H1974" s="127" t="str">
        <f t="shared" si="103"/>
        <v/>
      </c>
      <c r="I1974" s="125" t="str">
        <f t="shared" si="104"/>
        <v/>
      </c>
    </row>
    <row r="1975" spans="1:9" hidden="1" x14ac:dyDescent="0.25">
      <c r="A1975" s="103" t="s">
        <v>5610</v>
      </c>
      <c r="B1975" s="104" t="s">
        <v>4402</v>
      </c>
      <c r="C1975" s="105" t="s">
        <v>20</v>
      </c>
      <c r="D1975" s="105">
        <v>0</v>
      </c>
      <c r="E1975" s="124" t="s">
        <v>523</v>
      </c>
      <c r="F1975" s="125" t="str">
        <f t="shared" si="102"/>
        <v/>
      </c>
      <c r="G1975" s="126" t="e">
        <f>IF(A1975&lt;&gt;"",IF(AND(#REF!="Padrão",$H$4=#REF!),BDI!$B$17,IF(AND(#REF!="Padrão",$H$4=#REF!),BDI!#REF!,IF(AND(#REF!="Diferenciado",$H$4=#REF!),BDI!$E$17,IF(AND(#REF!="Diferenciado",$H$4=#REF!),BDI!#REF!,IF(#REF!="ZERO",0))))),"")</f>
        <v>#REF!</v>
      </c>
      <c r="H1975" s="127" t="str">
        <f t="shared" si="103"/>
        <v/>
      </c>
      <c r="I1975" s="125" t="str">
        <f t="shared" si="104"/>
        <v/>
      </c>
    </row>
    <row r="1976" spans="1:9" hidden="1" x14ac:dyDescent="0.25">
      <c r="A1976" s="103" t="s">
        <v>5611</v>
      </c>
      <c r="B1976" s="104" t="s">
        <v>4403</v>
      </c>
      <c r="C1976" s="105" t="s">
        <v>20</v>
      </c>
      <c r="D1976" s="105">
        <v>0</v>
      </c>
      <c r="E1976" s="124" t="s">
        <v>523</v>
      </c>
      <c r="F1976" s="125" t="str">
        <f t="shared" si="102"/>
        <v/>
      </c>
      <c r="G1976" s="126" t="e">
        <f>IF(A1976&lt;&gt;"",IF(AND(#REF!="Padrão",$H$4=#REF!),BDI!$B$17,IF(AND(#REF!="Padrão",$H$4=#REF!),BDI!#REF!,IF(AND(#REF!="Diferenciado",$H$4=#REF!),BDI!$E$17,IF(AND(#REF!="Diferenciado",$H$4=#REF!),BDI!#REF!,IF(#REF!="ZERO",0))))),"")</f>
        <v>#REF!</v>
      </c>
      <c r="H1976" s="127" t="str">
        <f t="shared" si="103"/>
        <v/>
      </c>
      <c r="I1976" s="125" t="str">
        <f t="shared" si="104"/>
        <v/>
      </c>
    </row>
    <row r="1977" spans="1:9" hidden="1" x14ac:dyDescent="0.25">
      <c r="A1977" s="103" t="s">
        <v>5612</v>
      </c>
      <c r="B1977" s="104" t="s">
        <v>4404</v>
      </c>
      <c r="C1977" s="105" t="s">
        <v>20</v>
      </c>
      <c r="D1977" s="105">
        <v>0</v>
      </c>
      <c r="E1977" s="124" t="s">
        <v>523</v>
      </c>
      <c r="F1977" s="125" t="str">
        <f t="shared" si="102"/>
        <v/>
      </c>
      <c r="G1977" s="126" t="e">
        <f>IF(A1977&lt;&gt;"",IF(AND(#REF!="Padrão",$H$4=#REF!),BDI!$B$17,IF(AND(#REF!="Padrão",$H$4=#REF!),BDI!#REF!,IF(AND(#REF!="Diferenciado",$H$4=#REF!),BDI!$E$17,IF(AND(#REF!="Diferenciado",$H$4=#REF!),BDI!#REF!,IF(#REF!="ZERO",0))))),"")</f>
        <v>#REF!</v>
      </c>
      <c r="H1977" s="127" t="str">
        <f t="shared" si="103"/>
        <v/>
      </c>
      <c r="I1977" s="125" t="str">
        <f t="shared" si="104"/>
        <v/>
      </c>
    </row>
    <row r="1978" spans="1:9" hidden="1" x14ac:dyDescent="0.25">
      <c r="A1978" s="103" t="s">
        <v>5613</v>
      </c>
      <c r="B1978" s="104" t="s">
        <v>4405</v>
      </c>
      <c r="C1978" s="105" t="s">
        <v>20</v>
      </c>
      <c r="D1978" s="105">
        <v>0</v>
      </c>
      <c r="E1978" s="124" t="s">
        <v>523</v>
      </c>
      <c r="F1978" s="125" t="str">
        <f t="shared" si="102"/>
        <v/>
      </c>
      <c r="G1978" s="126" t="e">
        <f>IF(A1978&lt;&gt;"",IF(AND(#REF!="Padrão",$H$4=#REF!),BDI!$B$17,IF(AND(#REF!="Padrão",$H$4=#REF!),BDI!#REF!,IF(AND(#REF!="Diferenciado",$H$4=#REF!),BDI!$E$17,IF(AND(#REF!="Diferenciado",$H$4=#REF!),BDI!#REF!,IF(#REF!="ZERO",0))))),"")</f>
        <v>#REF!</v>
      </c>
      <c r="H1978" s="127" t="str">
        <f t="shared" si="103"/>
        <v/>
      </c>
      <c r="I1978" s="125" t="str">
        <f t="shared" si="104"/>
        <v/>
      </c>
    </row>
    <row r="1979" spans="1:9" hidden="1" x14ac:dyDescent="0.25">
      <c r="A1979" s="103" t="s">
        <v>5614</v>
      </c>
      <c r="B1979" s="104" t="s">
        <v>4406</v>
      </c>
      <c r="C1979" s="105" t="s">
        <v>20</v>
      </c>
      <c r="D1979" s="105">
        <v>0</v>
      </c>
      <c r="E1979" s="124" t="s">
        <v>523</v>
      </c>
      <c r="F1979" s="125" t="str">
        <f t="shared" si="102"/>
        <v/>
      </c>
      <c r="G1979" s="126" t="e">
        <f>IF(A1979&lt;&gt;"",IF(AND(#REF!="Padrão",$H$4=#REF!),BDI!$B$17,IF(AND(#REF!="Padrão",$H$4=#REF!),BDI!#REF!,IF(AND(#REF!="Diferenciado",$H$4=#REF!),BDI!$E$17,IF(AND(#REF!="Diferenciado",$H$4=#REF!),BDI!#REF!,IF(#REF!="ZERO",0))))),"")</f>
        <v>#REF!</v>
      </c>
      <c r="H1979" s="127" t="str">
        <f t="shared" si="103"/>
        <v/>
      </c>
      <c r="I1979" s="125" t="str">
        <f t="shared" si="104"/>
        <v/>
      </c>
    </row>
    <row r="1980" spans="1:9" hidden="1" x14ac:dyDescent="0.25">
      <c r="A1980" s="103" t="s">
        <v>5615</v>
      </c>
      <c r="B1980" s="104" t="s">
        <v>4407</v>
      </c>
      <c r="C1980" s="105" t="s">
        <v>20</v>
      </c>
      <c r="D1980" s="105">
        <v>0</v>
      </c>
      <c r="E1980" s="124" t="s">
        <v>523</v>
      </c>
      <c r="F1980" s="125" t="str">
        <f t="shared" si="102"/>
        <v/>
      </c>
      <c r="G1980" s="126" t="e">
        <f>IF(A1980&lt;&gt;"",IF(AND(#REF!="Padrão",$H$4=#REF!),BDI!$B$17,IF(AND(#REF!="Padrão",$H$4=#REF!),BDI!#REF!,IF(AND(#REF!="Diferenciado",$H$4=#REF!),BDI!$E$17,IF(AND(#REF!="Diferenciado",$H$4=#REF!),BDI!#REF!,IF(#REF!="ZERO",0))))),"")</f>
        <v>#REF!</v>
      </c>
      <c r="H1980" s="127" t="str">
        <f t="shared" si="103"/>
        <v/>
      </c>
      <c r="I1980" s="125" t="str">
        <f t="shared" si="104"/>
        <v/>
      </c>
    </row>
    <row r="1981" spans="1:9" hidden="1" x14ac:dyDescent="0.25">
      <c r="A1981" s="103" t="s">
        <v>5616</v>
      </c>
      <c r="B1981" s="104" t="s">
        <v>4408</v>
      </c>
      <c r="C1981" s="105" t="s">
        <v>20</v>
      </c>
      <c r="D1981" s="105">
        <v>0</v>
      </c>
      <c r="E1981" s="124" t="s">
        <v>523</v>
      </c>
      <c r="F1981" s="125" t="str">
        <f t="shared" si="102"/>
        <v/>
      </c>
      <c r="G1981" s="126" t="e">
        <f>IF(A1981&lt;&gt;"",IF(AND(#REF!="Padrão",$H$4=#REF!),BDI!$B$17,IF(AND(#REF!="Padrão",$H$4=#REF!),BDI!#REF!,IF(AND(#REF!="Diferenciado",$H$4=#REF!),BDI!$E$17,IF(AND(#REF!="Diferenciado",$H$4=#REF!),BDI!#REF!,IF(#REF!="ZERO",0))))),"")</f>
        <v>#REF!</v>
      </c>
      <c r="H1981" s="127" t="str">
        <f t="shared" si="103"/>
        <v/>
      </c>
      <c r="I1981" s="125" t="str">
        <f t="shared" si="104"/>
        <v/>
      </c>
    </row>
    <row r="1982" spans="1:9" hidden="1" x14ac:dyDescent="0.25">
      <c r="A1982" s="103" t="s">
        <v>5617</v>
      </c>
      <c r="B1982" s="104" t="s">
        <v>4409</v>
      </c>
      <c r="C1982" s="105" t="s">
        <v>20</v>
      </c>
      <c r="D1982" s="105">
        <v>0</v>
      </c>
      <c r="E1982" s="124" t="s">
        <v>523</v>
      </c>
      <c r="F1982" s="125" t="str">
        <f t="shared" si="102"/>
        <v/>
      </c>
      <c r="G1982" s="126" t="e">
        <f>IF(A1982&lt;&gt;"",IF(AND(#REF!="Padrão",$H$4=#REF!),BDI!$B$17,IF(AND(#REF!="Padrão",$H$4=#REF!),BDI!#REF!,IF(AND(#REF!="Diferenciado",$H$4=#REF!),BDI!$E$17,IF(AND(#REF!="Diferenciado",$H$4=#REF!),BDI!#REF!,IF(#REF!="ZERO",0))))),"")</f>
        <v>#REF!</v>
      </c>
      <c r="H1982" s="127" t="str">
        <f t="shared" si="103"/>
        <v/>
      </c>
      <c r="I1982" s="125" t="str">
        <f t="shared" si="104"/>
        <v/>
      </c>
    </row>
    <row r="1983" spans="1:9" hidden="1" x14ac:dyDescent="0.25">
      <c r="A1983" s="103" t="s">
        <v>5618</v>
      </c>
      <c r="B1983" s="104" t="s">
        <v>4410</v>
      </c>
      <c r="C1983" s="105" t="s">
        <v>20</v>
      </c>
      <c r="D1983" s="105">
        <v>0</v>
      </c>
      <c r="E1983" s="124" t="s">
        <v>523</v>
      </c>
      <c r="F1983" s="125" t="str">
        <f t="shared" si="102"/>
        <v/>
      </c>
      <c r="G1983" s="126" t="e">
        <f>IF(A1983&lt;&gt;"",IF(AND(#REF!="Padrão",$H$4=#REF!),BDI!$B$17,IF(AND(#REF!="Padrão",$H$4=#REF!),BDI!#REF!,IF(AND(#REF!="Diferenciado",$H$4=#REF!),BDI!$E$17,IF(AND(#REF!="Diferenciado",$H$4=#REF!),BDI!#REF!,IF(#REF!="ZERO",0))))),"")</f>
        <v>#REF!</v>
      </c>
      <c r="H1983" s="127" t="str">
        <f t="shared" si="103"/>
        <v/>
      </c>
      <c r="I1983" s="125" t="str">
        <f t="shared" si="104"/>
        <v/>
      </c>
    </row>
    <row r="1984" spans="1:9" hidden="1" x14ac:dyDescent="0.25">
      <c r="A1984" s="103" t="s">
        <v>5619</v>
      </c>
      <c r="B1984" s="104" t="s">
        <v>4411</v>
      </c>
      <c r="C1984" s="105" t="s">
        <v>20</v>
      </c>
      <c r="D1984" s="105">
        <v>0</v>
      </c>
      <c r="E1984" s="124" t="s">
        <v>523</v>
      </c>
      <c r="F1984" s="125" t="str">
        <f t="shared" si="102"/>
        <v/>
      </c>
      <c r="G1984" s="126" t="e">
        <f>IF(A1984&lt;&gt;"",IF(AND(#REF!="Padrão",$H$4=#REF!),BDI!$B$17,IF(AND(#REF!="Padrão",$H$4=#REF!),BDI!#REF!,IF(AND(#REF!="Diferenciado",$H$4=#REF!),BDI!$E$17,IF(AND(#REF!="Diferenciado",$H$4=#REF!),BDI!#REF!,IF(#REF!="ZERO",0))))),"")</f>
        <v>#REF!</v>
      </c>
      <c r="H1984" s="127" t="str">
        <f t="shared" si="103"/>
        <v/>
      </c>
      <c r="I1984" s="125" t="str">
        <f t="shared" si="104"/>
        <v/>
      </c>
    </row>
    <row r="1985" spans="1:9" hidden="1" x14ac:dyDescent="0.25">
      <c r="A1985" s="103" t="s">
        <v>5620</v>
      </c>
      <c r="B1985" s="104" t="s">
        <v>4412</v>
      </c>
      <c r="C1985" s="105" t="s">
        <v>20</v>
      </c>
      <c r="D1985" s="105">
        <v>0</v>
      </c>
      <c r="E1985" s="124" t="s">
        <v>523</v>
      </c>
      <c r="F1985" s="125" t="str">
        <f t="shared" si="102"/>
        <v/>
      </c>
      <c r="G1985" s="126" t="e">
        <f>IF(A1985&lt;&gt;"",IF(AND(#REF!="Padrão",$H$4=#REF!),BDI!$B$17,IF(AND(#REF!="Padrão",$H$4=#REF!),BDI!#REF!,IF(AND(#REF!="Diferenciado",$H$4=#REF!),BDI!$E$17,IF(AND(#REF!="Diferenciado",$H$4=#REF!),BDI!#REF!,IF(#REF!="ZERO",0))))),"")</f>
        <v>#REF!</v>
      </c>
      <c r="H1985" s="127" t="str">
        <f t="shared" si="103"/>
        <v/>
      </c>
      <c r="I1985" s="125" t="str">
        <f t="shared" si="104"/>
        <v/>
      </c>
    </row>
    <row r="1986" spans="1:9" hidden="1" x14ac:dyDescent="0.25">
      <c r="A1986" s="103" t="s">
        <v>5621</v>
      </c>
      <c r="B1986" s="104" t="s">
        <v>4413</v>
      </c>
      <c r="C1986" s="105" t="s">
        <v>20</v>
      </c>
      <c r="D1986" s="105">
        <v>0</v>
      </c>
      <c r="E1986" s="124" t="s">
        <v>523</v>
      </c>
      <c r="F1986" s="125" t="str">
        <f t="shared" si="102"/>
        <v/>
      </c>
      <c r="G1986" s="126" t="e">
        <f>IF(A1986&lt;&gt;"",IF(AND(#REF!="Padrão",$H$4=#REF!),BDI!$B$17,IF(AND(#REF!="Padrão",$H$4=#REF!),BDI!#REF!,IF(AND(#REF!="Diferenciado",$H$4=#REF!),BDI!$E$17,IF(AND(#REF!="Diferenciado",$H$4=#REF!),BDI!#REF!,IF(#REF!="ZERO",0))))),"")</f>
        <v>#REF!</v>
      </c>
      <c r="H1986" s="127" t="str">
        <f t="shared" si="103"/>
        <v/>
      </c>
      <c r="I1986" s="125" t="str">
        <f t="shared" si="104"/>
        <v/>
      </c>
    </row>
    <row r="1987" spans="1:9" hidden="1" x14ac:dyDescent="0.25">
      <c r="A1987" s="103" t="s">
        <v>5622</v>
      </c>
      <c r="B1987" s="104" t="s">
        <v>4414</v>
      </c>
      <c r="C1987" s="105" t="s">
        <v>20</v>
      </c>
      <c r="D1987" s="105">
        <v>0</v>
      </c>
      <c r="E1987" s="124" t="s">
        <v>523</v>
      </c>
      <c r="F1987" s="125" t="str">
        <f t="shared" si="102"/>
        <v/>
      </c>
      <c r="G1987" s="126" t="e">
        <f>IF(A1987&lt;&gt;"",IF(AND(#REF!="Padrão",$H$4=#REF!),BDI!$B$17,IF(AND(#REF!="Padrão",$H$4=#REF!),BDI!#REF!,IF(AND(#REF!="Diferenciado",$H$4=#REF!),BDI!$E$17,IF(AND(#REF!="Diferenciado",$H$4=#REF!),BDI!#REF!,IF(#REF!="ZERO",0))))),"")</f>
        <v>#REF!</v>
      </c>
      <c r="H1987" s="127" t="str">
        <f t="shared" si="103"/>
        <v/>
      </c>
      <c r="I1987" s="125" t="str">
        <f t="shared" si="104"/>
        <v/>
      </c>
    </row>
    <row r="1988" spans="1:9" hidden="1" x14ac:dyDescent="0.25">
      <c r="A1988" s="103" t="s">
        <v>5623</v>
      </c>
      <c r="B1988" s="104" t="s">
        <v>4415</v>
      </c>
      <c r="C1988" s="105" t="s">
        <v>20</v>
      </c>
      <c r="D1988" s="105">
        <v>0</v>
      </c>
      <c r="E1988" s="124" t="s">
        <v>523</v>
      </c>
      <c r="F1988" s="125" t="str">
        <f t="shared" si="102"/>
        <v/>
      </c>
      <c r="G1988" s="126" t="e">
        <f>IF(A1988&lt;&gt;"",IF(AND(#REF!="Padrão",$H$4=#REF!),BDI!$B$17,IF(AND(#REF!="Padrão",$H$4=#REF!),BDI!#REF!,IF(AND(#REF!="Diferenciado",$H$4=#REF!),BDI!$E$17,IF(AND(#REF!="Diferenciado",$H$4=#REF!),BDI!#REF!,IF(#REF!="ZERO",0))))),"")</f>
        <v>#REF!</v>
      </c>
      <c r="H1988" s="127" t="str">
        <f t="shared" si="103"/>
        <v/>
      </c>
      <c r="I1988" s="125" t="str">
        <f t="shared" si="104"/>
        <v/>
      </c>
    </row>
    <row r="1989" spans="1:9" hidden="1" x14ac:dyDescent="0.25">
      <c r="A1989" s="103" t="s">
        <v>5624</v>
      </c>
      <c r="B1989" s="104" t="s">
        <v>4416</v>
      </c>
      <c r="C1989" s="105" t="s">
        <v>20</v>
      </c>
      <c r="D1989" s="105">
        <v>0</v>
      </c>
      <c r="E1989" s="124" t="s">
        <v>523</v>
      </c>
      <c r="F1989" s="125" t="str">
        <f t="shared" si="102"/>
        <v/>
      </c>
      <c r="G1989" s="126" t="e">
        <f>IF(A1989&lt;&gt;"",IF(AND(#REF!="Padrão",$H$4=#REF!),BDI!$B$17,IF(AND(#REF!="Padrão",$H$4=#REF!),BDI!#REF!,IF(AND(#REF!="Diferenciado",$H$4=#REF!),BDI!$E$17,IF(AND(#REF!="Diferenciado",$H$4=#REF!),BDI!#REF!,IF(#REF!="ZERO",0))))),"")</f>
        <v>#REF!</v>
      </c>
      <c r="H1989" s="127" t="str">
        <f t="shared" si="103"/>
        <v/>
      </c>
      <c r="I1989" s="125" t="str">
        <f t="shared" si="104"/>
        <v/>
      </c>
    </row>
    <row r="1990" spans="1:9" hidden="1" x14ac:dyDescent="0.25">
      <c r="A1990" s="103" t="s">
        <v>5625</v>
      </c>
      <c r="B1990" s="104" t="s">
        <v>4417</v>
      </c>
      <c r="C1990" s="105" t="s">
        <v>20</v>
      </c>
      <c r="D1990" s="105">
        <v>0</v>
      </c>
      <c r="E1990" s="124" t="s">
        <v>523</v>
      </c>
      <c r="F1990" s="125" t="str">
        <f t="shared" si="102"/>
        <v/>
      </c>
      <c r="G1990" s="126" t="e">
        <f>IF(A1990&lt;&gt;"",IF(AND(#REF!="Padrão",$H$4=#REF!),BDI!$B$17,IF(AND(#REF!="Padrão",$H$4=#REF!),BDI!#REF!,IF(AND(#REF!="Diferenciado",$H$4=#REF!),BDI!$E$17,IF(AND(#REF!="Diferenciado",$H$4=#REF!),BDI!#REF!,IF(#REF!="ZERO",0))))),"")</f>
        <v>#REF!</v>
      </c>
      <c r="H1990" s="127" t="str">
        <f t="shared" si="103"/>
        <v/>
      </c>
      <c r="I1990" s="125" t="str">
        <f t="shared" si="104"/>
        <v/>
      </c>
    </row>
    <row r="1991" spans="1:9" hidden="1" x14ac:dyDescent="0.25">
      <c r="A1991" s="103" t="s">
        <v>5626</v>
      </c>
      <c r="B1991" s="104" t="s">
        <v>4418</v>
      </c>
      <c r="C1991" s="105" t="s">
        <v>20</v>
      </c>
      <c r="D1991" s="105">
        <v>0</v>
      </c>
      <c r="E1991" s="124" t="s">
        <v>523</v>
      </c>
      <c r="F1991" s="125" t="str">
        <f t="shared" si="102"/>
        <v/>
      </c>
      <c r="G1991" s="126" t="e">
        <f>IF(A1991&lt;&gt;"",IF(AND(#REF!="Padrão",$H$4=#REF!),BDI!$B$17,IF(AND(#REF!="Padrão",$H$4=#REF!),BDI!#REF!,IF(AND(#REF!="Diferenciado",$H$4=#REF!),BDI!$E$17,IF(AND(#REF!="Diferenciado",$H$4=#REF!),BDI!#REF!,IF(#REF!="ZERO",0))))),"")</f>
        <v>#REF!</v>
      </c>
      <c r="H1991" s="127" t="str">
        <f t="shared" si="103"/>
        <v/>
      </c>
      <c r="I1991" s="125" t="str">
        <f t="shared" si="104"/>
        <v/>
      </c>
    </row>
    <row r="1992" spans="1:9" hidden="1" x14ac:dyDescent="0.25">
      <c r="A1992" s="103" t="s">
        <v>5627</v>
      </c>
      <c r="B1992" s="104" t="s">
        <v>4419</v>
      </c>
      <c r="C1992" s="105" t="s">
        <v>20</v>
      </c>
      <c r="D1992" s="105">
        <v>0</v>
      </c>
      <c r="E1992" s="124" t="s">
        <v>523</v>
      </c>
      <c r="F1992" s="125" t="str">
        <f t="shared" si="102"/>
        <v/>
      </c>
      <c r="G1992" s="126" t="e">
        <f>IF(A1992&lt;&gt;"",IF(AND(#REF!="Padrão",$H$4=#REF!),BDI!$B$17,IF(AND(#REF!="Padrão",$H$4=#REF!),BDI!#REF!,IF(AND(#REF!="Diferenciado",$H$4=#REF!),BDI!$E$17,IF(AND(#REF!="Diferenciado",$H$4=#REF!),BDI!#REF!,IF(#REF!="ZERO",0))))),"")</f>
        <v>#REF!</v>
      </c>
      <c r="H1992" s="127" t="str">
        <f t="shared" si="103"/>
        <v/>
      </c>
      <c r="I1992" s="125" t="str">
        <f t="shared" si="104"/>
        <v/>
      </c>
    </row>
    <row r="1993" spans="1:9" hidden="1" x14ac:dyDescent="0.25">
      <c r="A1993" s="103" t="s">
        <v>5628</v>
      </c>
      <c r="B1993" s="104" t="s">
        <v>4420</v>
      </c>
      <c r="C1993" s="105" t="s">
        <v>20</v>
      </c>
      <c r="D1993" s="105">
        <v>0</v>
      </c>
      <c r="E1993" s="124" t="s">
        <v>523</v>
      </c>
      <c r="F1993" s="125" t="str">
        <f t="shared" si="102"/>
        <v/>
      </c>
      <c r="G1993" s="126" t="e">
        <f>IF(A1993&lt;&gt;"",IF(AND(#REF!="Padrão",$H$4=#REF!),BDI!$B$17,IF(AND(#REF!="Padrão",$H$4=#REF!),BDI!#REF!,IF(AND(#REF!="Diferenciado",$H$4=#REF!),BDI!$E$17,IF(AND(#REF!="Diferenciado",$H$4=#REF!),BDI!#REF!,IF(#REF!="ZERO",0))))),"")</f>
        <v>#REF!</v>
      </c>
      <c r="H1993" s="127" t="str">
        <f t="shared" si="103"/>
        <v/>
      </c>
      <c r="I1993" s="125" t="str">
        <f t="shared" si="104"/>
        <v/>
      </c>
    </row>
    <row r="1994" spans="1:9" hidden="1" x14ac:dyDescent="0.25">
      <c r="A1994" s="103" t="s">
        <v>5629</v>
      </c>
      <c r="B1994" s="104" t="s">
        <v>4421</v>
      </c>
      <c r="C1994" s="105" t="s">
        <v>20</v>
      </c>
      <c r="D1994" s="105">
        <v>0</v>
      </c>
      <c r="E1994" s="124" t="s">
        <v>523</v>
      </c>
      <c r="F1994" s="125" t="str">
        <f t="shared" si="102"/>
        <v/>
      </c>
      <c r="G1994" s="126" t="e">
        <f>IF(A1994&lt;&gt;"",IF(AND(#REF!="Padrão",$H$4=#REF!),BDI!$B$17,IF(AND(#REF!="Padrão",$H$4=#REF!),BDI!#REF!,IF(AND(#REF!="Diferenciado",$H$4=#REF!),BDI!$E$17,IF(AND(#REF!="Diferenciado",$H$4=#REF!),BDI!#REF!,IF(#REF!="ZERO",0))))),"")</f>
        <v>#REF!</v>
      </c>
      <c r="H1994" s="127" t="str">
        <f t="shared" si="103"/>
        <v/>
      </c>
      <c r="I1994" s="125" t="str">
        <f t="shared" si="104"/>
        <v/>
      </c>
    </row>
    <row r="1995" spans="1:9" hidden="1" x14ac:dyDescent="0.25">
      <c r="A1995" s="103" t="s">
        <v>5630</v>
      </c>
      <c r="B1995" s="104" t="s">
        <v>4422</v>
      </c>
      <c r="C1995" s="105" t="s">
        <v>20</v>
      </c>
      <c r="D1995" s="105">
        <v>0</v>
      </c>
      <c r="E1995" s="124" t="s">
        <v>523</v>
      </c>
      <c r="F1995" s="125" t="str">
        <f t="shared" si="102"/>
        <v/>
      </c>
      <c r="G1995" s="126" t="e">
        <f>IF(A1995&lt;&gt;"",IF(AND(#REF!="Padrão",$H$4=#REF!),BDI!$B$17,IF(AND(#REF!="Padrão",$H$4=#REF!),BDI!#REF!,IF(AND(#REF!="Diferenciado",$H$4=#REF!),BDI!$E$17,IF(AND(#REF!="Diferenciado",$H$4=#REF!),BDI!#REF!,IF(#REF!="ZERO",0))))),"")</f>
        <v>#REF!</v>
      </c>
      <c r="H1995" s="127" t="str">
        <f t="shared" si="103"/>
        <v/>
      </c>
      <c r="I1995" s="125" t="str">
        <f t="shared" si="104"/>
        <v/>
      </c>
    </row>
    <row r="1996" spans="1:9" hidden="1" x14ac:dyDescent="0.25">
      <c r="A1996" s="103" t="s">
        <v>5631</v>
      </c>
      <c r="B1996" s="104" t="s">
        <v>4423</v>
      </c>
      <c r="C1996" s="105" t="s">
        <v>20</v>
      </c>
      <c r="D1996" s="105">
        <v>0</v>
      </c>
      <c r="E1996" s="124" t="s">
        <v>523</v>
      </c>
      <c r="F1996" s="125" t="str">
        <f t="shared" si="102"/>
        <v/>
      </c>
      <c r="G1996" s="126" t="e">
        <f>IF(A1996&lt;&gt;"",IF(AND(#REF!="Padrão",$H$4=#REF!),BDI!$B$17,IF(AND(#REF!="Padrão",$H$4=#REF!),BDI!#REF!,IF(AND(#REF!="Diferenciado",$H$4=#REF!),BDI!$E$17,IF(AND(#REF!="Diferenciado",$H$4=#REF!),BDI!#REF!,IF(#REF!="ZERO",0))))),"")</f>
        <v>#REF!</v>
      </c>
      <c r="H1996" s="127" t="str">
        <f t="shared" si="103"/>
        <v/>
      </c>
      <c r="I1996" s="125" t="str">
        <f t="shared" si="104"/>
        <v/>
      </c>
    </row>
    <row r="1997" spans="1:9" hidden="1" x14ac:dyDescent="0.25">
      <c r="A1997" s="103" t="s">
        <v>5632</v>
      </c>
      <c r="B1997" s="104" t="s">
        <v>4424</v>
      </c>
      <c r="C1997" s="105" t="s">
        <v>20</v>
      </c>
      <c r="D1997" s="105">
        <v>0</v>
      </c>
      <c r="E1997" s="124" t="s">
        <v>523</v>
      </c>
      <c r="F1997" s="125" t="str">
        <f t="shared" si="102"/>
        <v/>
      </c>
      <c r="G1997" s="126" t="e">
        <f>IF(A1997&lt;&gt;"",IF(AND(#REF!="Padrão",$H$4=#REF!),BDI!$B$17,IF(AND(#REF!="Padrão",$H$4=#REF!),BDI!#REF!,IF(AND(#REF!="Diferenciado",$H$4=#REF!),BDI!$E$17,IF(AND(#REF!="Diferenciado",$H$4=#REF!),BDI!#REF!,IF(#REF!="ZERO",0))))),"")</f>
        <v>#REF!</v>
      </c>
      <c r="H1997" s="127" t="str">
        <f t="shared" si="103"/>
        <v/>
      </c>
      <c r="I1997" s="125" t="str">
        <f t="shared" si="104"/>
        <v/>
      </c>
    </row>
    <row r="1998" spans="1:9" hidden="1" x14ac:dyDescent="0.25">
      <c r="A1998" s="103" t="s">
        <v>5633</v>
      </c>
      <c r="B1998" s="104" t="s">
        <v>4425</v>
      </c>
      <c r="C1998" s="105" t="s">
        <v>20</v>
      </c>
      <c r="D1998" s="105">
        <v>0</v>
      </c>
      <c r="E1998" s="124" t="s">
        <v>523</v>
      </c>
      <c r="F1998" s="125" t="str">
        <f t="shared" si="102"/>
        <v/>
      </c>
      <c r="G1998" s="126" t="e">
        <f>IF(A1998&lt;&gt;"",IF(AND(#REF!="Padrão",$H$4=#REF!),BDI!$B$17,IF(AND(#REF!="Padrão",$H$4=#REF!),BDI!#REF!,IF(AND(#REF!="Diferenciado",$H$4=#REF!),BDI!$E$17,IF(AND(#REF!="Diferenciado",$H$4=#REF!),BDI!#REF!,IF(#REF!="ZERO",0))))),"")</f>
        <v>#REF!</v>
      </c>
      <c r="H1998" s="127" t="str">
        <f t="shared" si="103"/>
        <v/>
      </c>
      <c r="I1998" s="125" t="str">
        <f t="shared" si="104"/>
        <v/>
      </c>
    </row>
    <row r="1999" spans="1:9" hidden="1" x14ac:dyDescent="0.25">
      <c r="A1999" s="103" t="s">
        <v>5634</v>
      </c>
      <c r="B1999" s="104" t="s">
        <v>4426</v>
      </c>
      <c r="C1999" s="105" t="s">
        <v>20</v>
      </c>
      <c r="D1999" s="105">
        <v>0</v>
      </c>
      <c r="E1999" s="124" t="s">
        <v>523</v>
      </c>
      <c r="F1999" s="125" t="str">
        <f t="shared" si="102"/>
        <v/>
      </c>
      <c r="G1999" s="126" t="e">
        <f>IF(A1999&lt;&gt;"",IF(AND(#REF!="Padrão",$H$4=#REF!),BDI!$B$17,IF(AND(#REF!="Padrão",$H$4=#REF!),BDI!#REF!,IF(AND(#REF!="Diferenciado",$H$4=#REF!),BDI!$E$17,IF(AND(#REF!="Diferenciado",$H$4=#REF!),BDI!#REF!,IF(#REF!="ZERO",0))))),"")</f>
        <v>#REF!</v>
      </c>
      <c r="H1999" s="127" t="str">
        <f t="shared" si="103"/>
        <v/>
      </c>
      <c r="I1999" s="125" t="str">
        <f t="shared" si="104"/>
        <v/>
      </c>
    </row>
    <row r="2000" spans="1:9" hidden="1" x14ac:dyDescent="0.25">
      <c r="A2000" s="103" t="s">
        <v>5635</v>
      </c>
      <c r="B2000" s="104" t="s">
        <v>4427</v>
      </c>
      <c r="C2000" s="105" t="s">
        <v>20</v>
      </c>
      <c r="D2000" s="105">
        <v>0</v>
      </c>
      <c r="E2000" s="124" t="s">
        <v>523</v>
      </c>
      <c r="F2000" s="125" t="str">
        <f t="shared" si="102"/>
        <v/>
      </c>
      <c r="G2000" s="126" t="e">
        <f>IF(A2000&lt;&gt;"",IF(AND(#REF!="Padrão",$H$4=#REF!),BDI!$B$17,IF(AND(#REF!="Padrão",$H$4=#REF!),BDI!#REF!,IF(AND(#REF!="Diferenciado",$H$4=#REF!),BDI!$E$17,IF(AND(#REF!="Diferenciado",$H$4=#REF!),BDI!#REF!,IF(#REF!="ZERO",0))))),"")</f>
        <v>#REF!</v>
      </c>
      <c r="H2000" s="127" t="str">
        <f t="shared" si="103"/>
        <v/>
      </c>
      <c r="I2000" s="125" t="str">
        <f t="shared" si="104"/>
        <v/>
      </c>
    </row>
    <row r="2001" spans="1:9" hidden="1" x14ac:dyDescent="0.25">
      <c r="A2001" s="103" t="s">
        <v>5636</v>
      </c>
      <c r="B2001" s="104" t="s">
        <v>4428</v>
      </c>
      <c r="C2001" s="105" t="s">
        <v>20</v>
      </c>
      <c r="D2001" s="105">
        <v>0</v>
      </c>
      <c r="E2001" s="124" t="s">
        <v>523</v>
      </c>
      <c r="F2001" s="125" t="str">
        <f t="shared" si="102"/>
        <v/>
      </c>
      <c r="G2001" s="126" t="e">
        <f>IF(A2001&lt;&gt;"",IF(AND(#REF!="Padrão",$H$4=#REF!),BDI!$B$17,IF(AND(#REF!="Padrão",$H$4=#REF!),BDI!#REF!,IF(AND(#REF!="Diferenciado",$H$4=#REF!),BDI!$E$17,IF(AND(#REF!="Diferenciado",$H$4=#REF!),BDI!#REF!,IF(#REF!="ZERO",0))))),"")</f>
        <v>#REF!</v>
      </c>
      <c r="H2001" s="127" t="str">
        <f t="shared" si="103"/>
        <v/>
      </c>
      <c r="I2001" s="125" t="str">
        <f t="shared" si="104"/>
        <v/>
      </c>
    </row>
    <row r="2002" spans="1:9" hidden="1" x14ac:dyDescent="0.25">
      <c r="A2002" s="103" t="s">
        <v>5637</v>
      </c>
      <c r="B2002" s="104" t="s">
        <v>4429</v>
      </c>
      <c r="C2002" s="105" t="s">
        <v>20</v>
      </c>
      <c r="D2002" s="105">
        <v>0</v>
      </c>
      <c r="E2002" s="124" t="s">
        <v>523</v>
      </c>
      <c r="F2002" s="125" t="str">
        <f t="shared" si="102"/>
        <v/>
      </c>
      <c r="G2002" s="126" t="e">
        <f>IF(A2002&lt;&gt;"",IF(AND(#REF!="Padrão",$H$4=#REF!),BDI!$B$17,IF(AND(#REF!="Padrão",$H$4=#REF!),BDI!#REF!,IF(AND(#REF!="Diferenciado",$H$4=#REF!),BDI!$E$17,IF(AND(#REF!="Diferenciado",$H$4=#REF!),BDI!#REF!,IF(#REF!="ZERO",0))))),"")</f>
        <v>#REF!</v>
      </c>
      <c r="H2002" s="127" t="str">
        <f t="shared" si="103"/>
        <v/>
      </c>
      <c r="I2002" s="125" t="str">
        <f t="shared" si="104"/>
        <v/>
      </c>
    </row>
    <row r="2003" spans="1:9" hidden="1" x14ac:dyDescent="0.25">
      <c r="A2003" s="103" t="s">
        <v>5638</v>
      </c>
      <c r="B2003" s="104" t="s">
        <v>4430</v>
      </c>
      <c r="C2003" s="105" t="s">
        <v>20</v>
      </c>
      <c r="D2003" s="105">
        <v>0</v>
      </c>
      <c r="E2003" s="124" t="s">
        <v>523</v>
      </c>
      <c r="F2003" s="125" t="str">
        <f t="shared" si="102"/>
        <v/>
      </c>
      <c r="G2003" s="126" t="e">
        <f>IF(A2003&lt;&gt;"",IF(AND(#REF!="Padrão",$H$4=#REF!),BDI!$B$17,IF(AND(#REF!="Padrão",$H$4=#REF!),BDI!#REF!,IF(AND(#REF!="Diferenciado",$H$4=#REF!),BDI!$E$17,IF(AND(#REF!="Diferenciado",$H$4=#REF!),BDI!#REF!,IF(#REF!="ZERO",0))))),"")</f>
        <v>#REF!</v>
      </c>
      <c r="H2003" s="127" t="str">
        <f t="shared" si="103"/>
        <v/>
      </c>
      <c r="I2003" s="125" t="str">
        <f t="shared" si="104"/>
        <v/>
      </c>
    </row>
    <row r="2004" spans="1:9" hidden="1" x14ac:dyDescent="0.25">
      <c r="A2004" s="103" t="s">
        <v>5639</v>
      </c>
      <c r="B2004" s="104" t="s">
        <v>4431</v>
      </c>
      <c r="C2004" s="105" t="s">
        <v>20</v>
      </c>
      <c r="D2004" s="105">
        <v>0</v>
      </c>
      <c r="E2004" s="124" t="s">
        <v>523</v>
      </c>
      <c r="F2004" s="125" t="str">
        <f t="shared" si="102"/>
        <v/>
      </c>
      <c r="G2004" s="126" t="e">
        <f>IF(A2004&lt;&gt;"",IF(AND(#REF!="Padrão",$H$4=#REF!),BDI!$B$17,IF(AND(#REF!="Padrão",$H$4=#REF!),BDI!#REF!,IF(AND(#REF!="Diferenciado",$H$4=#REF!),BDI!$E$17,IF(AND(#REF!="Diferenciado",$H$4=#REF!),BDI!#REF!,IF(#REF!="ZERO",0))))),"")</f>
        <v>#REF!</v>
      </c>
      <c r="H2004" s="127" t="str">
        <f t="shared" si="103"/>
        <v/>
      </c>
      <c r="I2004" s="125" t="str">
        <f t="shared" si="104"/>
        <v/>
      </c>
    </row>
    <row r="2005" spans="1:9" hidden="1" x14ac:dyDescent="0.25">
      <c r="A2005" s="103" t="s">
        <v>5640</v>
      </c>
      <c r="B2005" s="104" t="s">
        <v>4432</v>
      </c>
      <c r="C2005" s="105" t="s">
        <v>20</v>
      </c>
      <c r="D2005" s="105">
        <v>0</v>
      </c>
      <c r="E2005" s="124" t="s">
        <v>523</v>
      </c>
      <c r="F2005" s="125" t="str">
        <f t="shared" si="102"/>
        <v/>
      </c>
      <c r="G2005" s="126" t="e">
        <f>IF(A2005&lt;&gt;"",IF(AND(#REF!="Padrão",$H$4=#REF!),BDI!$B$17,IF(AND(#REF!="Padrão",$H$4=#REF!),BDI!#REF!,IF(AND(#REF!="Diferenciado",$H$4=#REF!),BDI!$E$17,IF(AND(#REF!="Diferenciado",$H$4=#REF!),BDI!#REF!,IF(#REF!="ZERO",0))))),"")</f>
        <v>#REF!</v>
      </c>
      <c r="H2005" s="127" t="str">
        <f t="shared" si="103"/>
        <v/>
      </c>
      <c r="I2005" s="125" t="str">
        <f t="shared" si="104"/>
        <v/>
      </c>
    </row>
    <row r="2006" spans="1:9" hidden="1" x14ac:dyDescent="0.25">
      <c r="A2006" s="103" t="s">
        <v>5641</v>
      </c>
      <c r="B2006" s="104" t="s">
        <v>4433</v>
      </c>
      <c r="C2006" s="105" t="s">
        <v>20</v>
      </c>
      <c r="D2006" s="105">
        <v>0</v>
      </c>
      <c r="E2006" s="124" t="s">
        <v>523</v>
      </c>
      <c r="F2006" s="125" t="str">
        <f t="shared" si="102"/>
        <v/>
      </c>
      <c r="G2006" s="126" t="e">
        <f>IF(A2006&lt;&gt;"",IF(AND(#REF!="Padrão",$H$4=#REF!),BDI!$B$17,IF(AND(#REF!="Padrão",$H$4=#REF!),BDI!#REF!,IF(AND(#REF!="Diferenciado",$H$4=#REF!),BDI!$E$17,IF(AND(#REF!="Diferenciado",$H$4=#REF!),BDI!#REF!,IF(#REF!="ZERO",0))))),"")</f>
        <v>#REF!</v>
      </c>
      <c r="H2006" s="127" t="str">
        <f t="shared" si="103"/>
        <v/>
      </c>
      <c r="I2006" s="125" t="str">
        <f t="shared" si="104"/>
        <v/>
      </c>
    </row>
    <row r="2007" spans="1:9" hidden="1" x14ac:dyDescent="0.25">
      <c r="A2007" s="103" t="s">
        <v>5642</v>
      </c>
      <c r="B2007" s="104" t="s">
        <v>4434</v>
      </c>
      <c r="C2007" s="105" t="s">
        <v>20</v>
      </c>
      <c r="D2007" s="105">
        <v>0</v>
      </c>
      <c r="E2007" s="124" t="s">
        <v>523</v>
      </c>
      <c r="F2007" s="125" t="str">
        <f t="shared" si="102"/>
        <v/>
      </c>
      <c r="G2007" s="126" t="e">
        <f>IF(A2007&lt;&gt;"",IF(AND(#REF!="Padrão",$H$4=#REF!),BDI!$B$17,IF(AND(#REF!="Padrão",$H$4=#REF!),BDI!#REF!,IF(AND(#REF!="Diferenciado",$H$4=#REF!),BDI!$E$17,IF(AND(#REF!="Diferenciado",$H$4=#REF!),BDI!#REF!,IF(#REF!="ZERO",0))))),"")</f>
        <v>#REF!</v>
      </c>
      <c r="H2007" s="127" t="str">
        <f t="shared" si="103"/>
        <v/>
      </c>
      <c r="I2007" s="125" t="str">
        <f t="shared" si="104"/>
        <v/>
      </c>
    </row>
    <row r="2008" spans="1:9" hidden="1" x14ac:dyDescent="0.25">
      <c r="A2008" s="103" t="s">
        <v>5643</v>
      </c>
      <c r="B2008" s="104" t="s">
        <v>4435</v>
      </c>
      <c r="C2008" s="105" t="s">
        <v>20</v>
      </c>
      <c r="D2008" s="105">
        <v>0</v>
      </c>
      <c r="E2008" s="124" t="s">
        <v>523</v>
      </c>
      <c r="F2008" s="125" t="str">
        <f t="shared" si="102"/>
        <v/>
      </c>
      <c r="G2008" s="126" t="e">
        <f>IF(A2008&lt;&gt;"",IF(AND(#REF!="Padrão",$H$4=#REF!),BDI!$B$17,IF(AND(#REF!="Padrão",$H$4=#REF!),BDI!#REF!,IF(AND(#REF!="Diferenciado",$H$4=#REF!),BDI!$E$17,IF(AND(#REF!="Diferenciado",$H$4=#REF!),BDI!#REF!,IF(#REF!="ZERO",0))))),"")</f>
        <v>#REF!</v>
      </c>
      <c r="H2008" s="127" t="str">
        <f t="shared" si="103"/>
        <v/>
      </c>
      <c r="I2008" s="125" t="str">
        <f t="shared" si="104"/>
        <v/>
      </c>
    </row>
    <row r="2009" spans="1:9" hidden="1" x14ac:dyDescent="0.25">
      <c r="A2009" s="103" t="s">
        <v>5644</v>
      </c>
      <c r="B2009" s="104" t="s">
        <v>4436</v>
      </c>
      <c r="C2009" s="105" t="s">
        <v>20</v>
      </c>
      <c r="D2009" s="105">
        <v>0</v>
      </c>
      <c r="E2009" s="124" t="s">
        <v>523</v>
      </c>
      <c r="F2009" s="125" t="str">
        <f t="shared" si="102"/>
        <v/>
      </c>
      <c r="G2009" s="126" t="e">
        <f>IF(A2009&lt;&gt;"",IF(AND(#REF!="Padrão",$H$4=#REF!),BDI!$B$17,IF(AND(#REF!="Padrão",$H$4=#REF!),BDI!#REF!,IF(AND(#REF!="Diferenciado",$H$4=#REF!),BDI!$E$17,IF(AND(#REF!="Diferenciado",$H$4=#REF!),BDI!#REF!,IF(#REF!="ZERO",0))))),"")</f>
        <v>#REF!</v>
      </c>
      <c r="H2009" s="127" t="str">
        <f t="shared" si="103"/>
        <v/>
      </c>
      <c r="I2009" s="125" t="str">
        <f t="shared" si="104"/>
        <v/>
      </c>
    </row>
    <row r="2010" spans="1:9" hidden="1" x14ac:dyDescent="0.25">
      <c r="A2010" s="103" t="s">
        <v>5645</v>
      </c>
      <c r="B2010" s="104" t="s">
        <v>4437</v>
      </c>
      <c r="C2010" s="105" t="s">
        <v>20</v>
      </c>
      <c r="D2010" s="105">
        <v>0</v>
      </c>
      <c r="E2010" s="124" t="s">
        <v>523</v>
      </c>
      <c r="F2010" s="125" t="str">
        <f t="shared" si="102"/>
        <v/>
      </c>
      <c r="G2010" s="126" t="e">
        <f>IF(A2010&lt;&gt;"",IF(AND(#REF!="Padrão",$H$4=#REF!),BDI!$B$17,IF(AND(#REF!="Padrão",$H$4=#REF!),BDI!#REF!,IF(AND(#REF!="Diferenciado",$H$4=#REF!),BDI!$E$17,IF(AND(#REF!="Diferenciado",$H$4=#REF!),BDI!#REF!,IF(#REF!="ZERO",0))))),"")</f>
        <v>#REF!</v>
      </c>
      <c r="H2010" s="127" t="str">
        <f t="shared" si="103"/>
        <v/>
      </c>
      <c r="I2010" s="125" t="str">
        <f t="shared" si="104"/>
        <v/>
      </c>
    </row>
    <row r="2011" spans="1:9" hidden="1" x14ac:dyDescent="0.25">
      <c r="A2011" s="103" t="s">
        <v>5646</v>
      </c>
      <c r="B2011" s="104" t="s">
        <v>4438</v>
      </c>
      <c r="C2011" s="105" t="s">
        <v>20</v>
      </c>
      <c r="D2011" s="105">
        <v>0</v>
      </c>
      <c r="E2011" s="124" t="s">
        <v>523</v>
      </c>
      <c r="F2011" s="125" t="str">
        <f t="shared" si="102"/>
        <v/>
      </c>
      <c r="G2011" s="126" t="e">
        <f>IF(A2011&lt;&gt;"",IF(AND(#REF!="Padrão",$H$4=#REF!),BDI!$B$17,IF(AND(#REF!="Padrão",$H$4=#REF!),BDI!#REF!,IF(AND(#REF!="Diferenciado",$H$4=#REF!),BDI!$E$17,IF(AND(#REF!="Diferenciado",$H$4=#REF!),BDI!#REF!,IF(#REF!="ZERO",0))))),"")</f>
        <v>#REF!</v>
      </c>
      <c r="H2011" s="127" t="str">
        <f t="shared" si="103"/>
        <v/>
      </c>
      <c r="I2011" s="125" t="str">
        <f t="shared" si="104"/>
        <v/>
      </c>
    </row>
    <row r="2012" spans="1:9" hidden="1" x14ac:dyDescent="0.25">
      <c r="A2012" s="103" t="s">
        <v>5647</v>
      </c>
      <c r="B2012" s="104" t="s">
        <v>4439</v>
      </c>
      <c r="C2012" s="105" t="s">
        <v>20</v>
      </c>
      <c r="D2012" s="105">
        <v>0</v>
      </c>
      <c r="E2012" s="124" t="s">
        <v>523</v>
      </c>
      <c r="F2012" s="125" t="str">
        <f t="shared" si="102"/>
        <v/>
      </c>
      <c r="G2012" s="126" t="e">
        <f>IF(A2012&lt;&gt;"",IF(AND(#REF!="Padrão",$H$4=#REF!),BDI!$B$17,IF(AND(#REF!="Padrão",$H$4=#REF!),BDI!#REF!,IF(AND(#REF!="Diferenciado",$H$4=#REF!),BDI!$E$17,IF(AND(#REF!="Diferenciado",$H$4=#REF!),BDI!#REF!,IF(#REF!="ZERO",0))))),"")</f>
        <v>#REF!</v>
      </c>
      <c r="H2012" s="127" t="str">
        <f t="shared" si="103"/>
        <v/>
      </c>
      <c r="I2012" s="125" t="str">
        <f t="shared" si="104"/>
        <v/>
      </c>
    </row>
    <row r="2013" spans="1:9" hidden="1" x14ac:dyDescent="0.25">
      <c r="A2013" s="103" t="s">
        <v>5648</v>
      </c>
      <c r="B2013" s="104" t="s">
        <v>4440</v>
      </c>
      <c r="C2013" s="105" t="s">
        <v>20</v>
      </c>
      <c r="D2013" s="105">
        <v>0</v>
      </c>
      <c r="E2013" s="124" t="s">
        <v>523</v>
      </c>
      <c r="F2013" s="125" t="str">
        <f t="shared" si="102"/>
        <v/>
      </c>
      <c r="G2013" s="126" t="e">
        <f>IF(A2013&lt;&gt;"",IF(AND(#REF!="Padrão",$H$4=#REF!),BDI!$B$17,IF(AND(#REF!="Padrão",$H$4=#REF!),BDI!#REF!,IF(AND(#REF!="Diferenciado",$H$4=#REF!),BDI!$E$17,IF(AND(#REF!="Diferenciado",$H$4=#REF!),BDI!#REF!,IF(#REF!="ZERO",0))))),"")</f>
        <v>#REF!</v>
      </c>
      <c r="H2013" s="127" t="str">
        <f t="shared" si="103"/>
        <v/>
      </c>
      <c r="I2013" s="125" t="str">
        <f t="shared" si="104"/>
        <v/>
      </c>
    </row>
    <row r="2014" spans="1:9" hidden="1" x14ac:dyDescent="0.25">
      <c r="A2014" s="103" t="s">
        <v>5649</v>
      </c>
      <c r="B2014" s="104" t="s">
        <v>4441</v>
      </c>
      <c r="C2014" s="105" t="s">
        <v>20</v>
      </c>
      <c r="D2014" s="105">
        <v>0</v>
      </c>
      <c r="E2014" s="124" t="s">
        <v>523</v>
      </c>
      <c r="F2014" s="125" t="str">
        <f t="shared" si="102"/>
        <v/>
      </c>
      <c r="G2014" s="126" t="e">
        <f>IF(A2014&lt;&gt;"",IF(AND(#REF!="Padrão",$H$4=#REF!),BDI!$B$17,IF(AND(#REF!="Padrão",$H$4=#REF!),BDI!#REF!,IF(AND(#REF!="Diferenciado",$H$4=#REF!),BDI!$E$17,IF(AND(#REF!="Diferenciado",$H$4=#REF!),BDI!#REF!,IF(#REF!="ZERO",0))))),"")</f>
        <v>#REF!</v>
      </c>
      <c r="H2014" s="127" t="str">
        <f t="shared" si="103"/>
        <v/>
      </c>
      <c r="I2014" s="125" t="str">
        <f t="shared" si="104"/>
        <v/>
      </c>
    </row>
    <row r="2015" spans="1:9" hidden="1" x14ac:dyDescent="0.25">
      <c r="A2015" s="103" t="s">
        <v>5650</v>
      </c>
      <c r="B2015" s="104" t="s">
        <v>4442</v>
      </c>
      <c r="C2015" s="105" t="s">
        <v>20</v>
      </c>
      <c r="D2015" s="105">
        <v>0</v>
      </c>
      <c r="E2015" s="124" t="s">
        <v>523</v>
      </c>
      <c r="F2015" s="125" t="str">
        <f t="shared" si="102"/>
        <v/>
      </c>
      <c r="G2015" s="126" t="e">
        <f>IF(A2015&lt;&gt;"",IF(AND(#REF!="Padrão",$H$4=#REF!),BDI!$B$17,IF(AND(#REF!="Padrão",$H$4=#REF!),BDI!#REF!,IF(AND(#REF!="Diferenciado",$H$4=#REF!),BDI!$E$17,IF(AND(#REF!="Diferenciado",$H$4=#REF!),BDI!#REF!,IF(#REF!="ZERO",0))))),"")</f>
        <v>#REF!</v>
      </c>
      <c r="H2015" s="127" t="str">
        <f t="shared" si="103"/>
        <v/>
      </c>
      <c r="I2015" s="125" t="str">
        <f t="shared" si="104"/>
        <v/>
      </c>
    </row>
    <row r="2016" spans="1:9" hidden="1" x14ac:dyDescent="0.25">
      <c r="A2016" s="103" t="s">
        <v>5651</v>
      </c>
      <c r="B2016" s="104" t="s">
        <v>4443</v>
      </c>
      <c r="C2016" s="105" t="s">
        <v>20</v>
      </c>
      <c r="D2016" s="105">
        <v>0</v>
      </c>
      <c r="E2016" s="124" t="s">
        <v>523</v>
      </c>
      <c r="F2016" s="125" t="str">
        <f t="shared" si="102"/>
        <v/>
      </c>
      <c r="G2016" s="126" t="e">
        <f>IF(A2016&lt;&gt;"",IF(AND(#REF!="Padrão",$H$4=#REF!),BDI!$B$17,IF(AND(#REF!="Padrão",$H$4=#REF!),BDI!#REF!,IF(AND(#REF!="Diferenciado",$H$4=#REF!),BDI!$E$17,IF(AND(#REF!="Diferenciado",$H$4=#REF!),BDI!#REF!,IF(#REF!="ZERO",0))))),"")</f>
        <v>#REF!</v>
      </c>
      <c r="H2016" s="127" t="str">
        <f t="shared" si="103"/>
        <v/>
      </c>
      <c r="I2016" s="125" t="str">
        <f t="shared" si="104"/>
        <v/>
      </c>
    </row>
    <row r="2017" spans="1:9" hidden="1" x14ac:dyDescent="0.25">
      <c r="A2017" s="103" t="s">
        <v>5652</v>
      </c>
      <c r="B2017" s="104" t="s">
        <v>4444</v>
      </c>
      <c r="C2017" s="105" t="s">
        <v>20</v>
      </c>
      <c r="D2017" s="105">
        <v>0</v>
      </c>
      <c r="E2017" s="124" t="s">
        <v>523</v>
      </c>
      <c r="F2017" s="125" t="str">
        <f t="shared" si="102"/>
        <v/>
      </c>
      <c r="G2017" s="126" t="e">
        <f>IF(A2017&lt;&gt;"",IF(AND(#REF!="Padrão",$H$4=#REF!),BDI!$B$17,IF(AND(#REF!="Padrão",$H$4=#REF!),BDI!#REF!,IF(AND(#REF!="Diferenciado",$H$4=#REF!),BDI!$E$17,IF(AND(#REF!="Diferenciado",$H$4=#REF!),BDI!#REF!,IF(#REF!="ZERO",0))))),"")</f>
        <v>#REF!</v>
      </c>
      <c r="H2017" s="127" t="str">
        <f t="shared" si="103"/>
        <v/>
      </c>
      <c r="I2017" s="125" t="str">
        <f t="shared" si="104"/>
        <v/>
      </c>
    </row>
    <row r="2018" spans="1:9" hidden="1" x14ac:dyDescent="0.25">
      <c r="A2018" s="103" t="s">
        <v>5653</v>
      </c>
      <c r="B2018" s="104" t="s">
        <v>4445</v>
      </c>
      <c r="C2018" s="105" t="s">
        <v>20</v>
      </c>
      <c r="D2018" s="105">
        <v>0</v>
      </c>
      <c r="E2018" s="124" t="s">
        <v>523</v>
      </c>
      <c r="F2018" s="125" t="str">
        <f t="shared" si="102"/>
        <v/>
      </c>
      <c r="G2018" s="126" t="e">
        <f>IF(A2018&lt;&gt;"",IF(AND(#REF!="Padrão",$H$4=#REF!),BDI!$B$17,IF(AND(#REF!="Padrão",$H$4=#REF!),BDI!#REF!,IF(AND(#REF!="Diferenciado",$H$4=#REF!),BDI!$E$17,IF(AND(#REF!="Diferenciado",$H$4=#REF!),BDI!#REF!,IF(#REF!="ZERO",0))))),"")</f>
        <v>#REF!</v>
      </c>
      <c r="H2018" s="127" t="str">
        <f t="shared" si="103"/>
        <v/>
      </c>
      <c r="I2018" s="125" t="str">
        <f t="shared" si="104"/>
        <v/>
      </c>
    </row>
    <row r="2019" spans="1:9" hidden="1" x14ac:dyDescent="0.25">
      <c r="A2019" s="103" t="s">
        <v>5654</v>
      </c>
      <c r="B2019" s="104" t="s">
        <v>4446</v>
      </c>
      <c r="C2019" s="105" t="s">
        <v>20</v>
      </c>
      <c r="D2019" s="105">
        <v>0</v>
      </c>
      <c r="E2019" s="124" t="s">
        <v>523</v>
      </c>
      <c r="F2019" s="125" t="str">
        <f t="shared" si="102"/>
        <v/>
      </c>
      <c r="G2019" s="126" t="e">
        <f>IF(A2019&lt;&gt;"",IF(AND(#REF!="Padrão",$H$4=#REF!),BDI!$B$17,IF(AND(#REF!="Padrão",$H$4=#REF!),BDI!#REF!,IF(AND(#REF!="Diferenciado",$H$4=#REF!),BDI!$E$17,IF(AND(#REF!="Diferenciado",$H$4=#REF!),BDI!#REF!,IF(#REF!="ZERO",0))))),"")</f>
        <v>#REF!</v>
      </c>
      <c r="H2019" s="127" t="str">
        <f t="shared" si="103"/>
        <v/>
      </c>
      <c r="I2019" s="125" t="str">
        <f t="shared" si="104"/>
        <v/>
      </c>
    </row>
    <row r="2020" spans="1:9" hidden="1" x14ac:dyDescent="0.25">
      <c r="A2020" s="103" t="s">
        <v>5655</v>
      </c>
      <c r="B2020" s="104" t="s">
        <v>4447</v>
      </c>
      <c r="C2020" s="105" t="s">
        <v>20</v>
      </c>
      <c r="D2020" s="105">
        <v>0</v>
      </c>
      <c r="E2020" s="124" t="s">
        <v>523</v>
      </c>
      <c r="F2020" s="125" t="str">
        <f t="shared" si="102"/>
        <v/>
      </c>
      <c r="G2020" s="126" t="e">
        <f>IF(A2020&lt;&gt;"",IF(AND(#REF!="Padrão",$H$4=#REF!),BDI!$B$17,IF(AND(#REF!="Padrão",$H$4=#REF!),BDI!#REF!,IF(AND(#REF!="Diferenciado",$H$4=#REF!),BDI!$E$17,IF(AND(#REF!="Diferenciado",$H$4=#REF!),BDI!#REF!,IF(#REF!="ZERO",0))))),"")</f>
        <v>#REF!</v>
      </c>
      <c r="H2020" s="127" t="str">
        <f t="shared" si="103"/>
        <v/>
      </c>
      <c r="I2020" s="125" t="str">
        <f t="shared" si="104"/>
        <v/>
      </c>
    </row>
    <row r="2021" spans="1:9" hidden="1" x14ac:dyDescent="0.25">
      <c r="A2021" s="103" t="s">
        <v>5656</v>
      </c>
      <c r="B2021" s="104" t="s">
        <v>4448</v>
      </c>
      <c r="C2021" s="105" t="s">
        <v>20</v>
      </c>
      <c r="D2021" s="105">
        <v>0</v>
      </c>
      <c r="E2021" s="124" t="s">
        <v>523</v>
      </c>
      <c r="F2021" s="125" t="str">
        <f t="shared" si="102"/>
        <v/>
      </c>
      <c r="G2021" s="126" t="e">
        <f>IF(A2021&lt;&gt;"",IF(AND(#REF!="Padrão",$H$4=#REF!),BDI!$B$17,IF(AND(#REF!="Padrão",$H$4=#REF!),BDI!#REF!,IF(AND(#REF!="Diferenciado",$H$4=#REF!),BDI!$E$17,IF(AND(#REF!="Diferenciado",$H$4=#REF!),BDI!#REF!,IF(#REF!="ZERO",0))))),"")</f>
        <v>#REF!</v>
      </c>
      <c r="H2021" s="127" t="str">
        <f t="shared" si="103"/>
        <v/>
      </c>
      <c r="I2021" s="125" t="str">
        <f t="shared" si="104"/>
        <v/>
      </c>
    </row>
    <row r="2022" spans="1:9" hidden="1" x14ac:dyDescent="0.25">
      <c r="A2022" s="103" t="s">
        <v>5657</v>
      </c>
      <c r="B2022" s="104" t="s">
        <v>4449</v>
      </c>
      <c r="C2022" s="105" t="s">
        <v>20</v>
      </c>
      <c r="D2022" s="105">
        <v>0</v>
      </c>
      <c r="E2022" s="124" t="s">
        <v>523</v>
      </c>
      <c r="F2022" s="125" t="str">
        <f t="shared" si="102"/>
        <v/>
      </c>
      <c r="G2022" s="126" t="e">
        <f>IF(A2022&lt;&gt;"",IF(AND(#REF!="Padrão",$H$4=#REF!),BDI!$B$17,IF(AND(#REF!="Padrão",$H$4=#REF!),BDI!#REF!,IF(AND(#REF!="Diferenciado",$H$4=#REF!),BDI!$E$17,IF(AND(#REF!="Diferenciado",$H$4=#REF!),BDI!#REF!,IF(#REF!="ZERO",0))))),"")</f>
        <v>#REF!</v>
      </c>
      <c r="H2022" s="127" t="str">
        <f t="shared" si="103"/>
        <v/>
      </c>
      <c r="I2022" s="125" t="str">
        <f t="shared" si="104"/>
        <v/>
      </c>
    </row>
    <row r="2023" spans="1:9" hidden="1" x14ac:dyDescent="0.25">
      <c r="A2023" s="103" t="s">
        <v>5658</v>
      </c>
      <c r="B2023" s="104" t="s">
        <v>4450</v>
      </c>
      <c r="C2023" s="105" t="s">
        <v>20</v>
      </c>
      <c r="D2023" s="105">
        <v>0</v>
      </c>
      <c r="E2023" s="124" t="s">
        <v>523</v>
      </c>
      <c r="F2023" s="125" t="str">
        <f t="shared" si="102"/>
        <v/>
      </c>
      <c r="G2023" s="126" t="e">
        <f>IF(A2023&lt;&gt;"",IF(AND(#REF!="Padrão",$H$4=#REF!),BDI!$B$17,IF(AND(#REF!="Padrão",$H$4=#REF!),BDI!#REF!,IF(AND(#REF!="Diferenciado",$H$4=#REF!),BDI!$E$17,IF(AND(#REF!="Diferenciado",$H$4=#REF!),BDI!#REF!,IF(#REF!="ZERO",0))))),"")</f>
        <v>#REF!</v>
      </c>
      <c r="H2023" s="127" t="str">
        <f t="shared" si="103"/>
        <v/>
      </c>
      <c r="I2023" s="125" t="str">
        <f t="shared" si="104"/>
        <v/>
      </c>
    </row>
    <row r="2024" spans="1:9" hidden="1" x14ac:dyDescent="0.25">
      <c r="A2024" s="103" t="s">
        <v>5659</v>
      </c>
      <c r="B2024" s="104" t="s">
        <v>4451</v>
      </c>
      <c r="C2024" s="105" t="s">
        <v>20</v>
      </c>
      <c r="D2024" s="105">
        <v>0</v>
      </c>
      <c r="E2024" s="124" t="s">
        <v>523</v>
      </c>
      <c r="F2024" s="125" t="str">
        <f t="shared" si="102"/>
        <v/>
      </c>
      <c r="G2024" s="126" t="e">
        <f>IF(A2024&lt;&gt;"",IF(AND(#REF!="Padrão",$H$4=#REF!),BDI!$B$17,IF(AND(#REF!="Padrão",$H$4=#REF!),BDI!#REF!,IF(AND(#REF!="Diferenciado",$H$4=#REF!),BDI!$E$17,IF(AND(#REF!="Diferenciado",$H$4=#REF!),BDI!#REF!,IF(#REF!="ZERO",0))))),"")</f>
        <v>#REF!</v>
      </c>
      <c r="H2024" s="127" t="str">
        <f t="shared" si="103"/>
        <v/>
      </c>
      <c r="I2024" s="125" t="str">
        <f t="shared" si="104"/>
        <v/>
      </c>
    </row>
    <row r="2025" spans="1:9" hidden="1" x14ac:dyDescent="0.25">
      <c r="A2025" s="103" t="s">
        <v>5660</v>
      </c>
      <c r="B2025" s="104" t="s">
        <v>4452</v>
      </c>
      <c r="C2025" s="105" t="s">
        <v>20</v>
      </c>
      <c r="D2025" s="105">
        <v>0</v>
      </c>
      <c r="E2025" s="124" t="s">
        <v>523</v>
      </c>
      <c r="F2025" s="125" t="str">
        <f t="shared" si="102"/>
        <v/>
      </c>
      <c r="G2025" s="126" t="e">
        <f>IF(A2025&lt;&gt;"",IF(AND(#REF!="Padrão",$H$4=#REF!),BDI!$B$17,IF(AND(#REF!="Padrão",$H$4=#REF!),BDI!#REF!,IF(AND(#REF!="Diferenciado",$H$4=#REF!),BDI!$E$17,IF(AND(#REF!="Diferenciado",$H$4=#REF!),BDI!#REF!,IF(#REF!="ZERO",0))))),"")</f>
        <v>#REF!</v>
      </c>
      <c r="H2025" s="127" t="str">
        <f t="shared" si="103"/>
        <v/>
      </c>
      <c r="I2025" s="125" t="str">
        <f t="shared" si="104"/>
        <v/>
      </c>
    </row>
    <row r="2026" spans="1:9" hidden="1" x14ac:dyDescent="0.25">
      <c r="A2026" s="103" t="s">
        <v>5661</v>
      </c>
      <c r="B2026" s="104" t="s">
        <v>4453</v>
      </c>
      <c r="C2026" s="105" t="s">
        <v>20</v>
      </c>
      <c r="D2026" s="105">
        <v>0</v>
      </c>
      <c r="E2026" s="124" t="s">
        <v>523</v>
      </c>
      <c r="F2026" s="125" t="str">
        <f t="shared" si="102"/>
        <v/>
      </c>
      <c r="G2026" s="126" t="e">
        <f>IF(A2026&lt;&gt;"",IF(AND(#REF!="Padrão",$H$4=#REF!),BDI!$B$17,IF(AND(#REF!="Padrão",$H$4=#REF!),BDI!#REF!,IF(AND(#REF!="Diferenciado",$H$4=#REF!),BDI!$E$17,IF(AND(#REF!="Diferenciado",$H$4=#REF!),BDI!#REF!,IF(#REF!="ZERO",0))))),"")</f>
        <v>#REF!</v>
      </c>
      <c r="H2026" s="127" t="str">
        <f t="shared" si="103"/>
        <v/>
      </c>
      <c r="I2026" s="125" t="str">
        <f t="shared" si="104"/>
        <v/>
      </c>
    </row>
    <row r="2027" spans="1:9" hidden="1" x14ac:dyDescent="0.25">
      <c r="A2027" s="103" t="s">
        <v>5662</v>
      </c>
      <c r="B2027" s="104" t="s">
        <v>4454</v>
      </c>
      <c r="C2027" s="105" t="s">
        <v>20</v>
      </c>
      <c r="D2027" s="105">
        <v>0</v>
      </c>
      <c r="E2027" s="124" t="s">
        <v>523</v>
      </c>
      <c r="F2027" s="125" t="str">
        <f t="shared" si="102"/>
        <v/>
      </c>
      <c r="G2027" s="126" t="e">
        <f>IF(A2027&lt;&gt;"",IF(AND(#REF!="Padrão",$H$4=#REF!),BDI!$B$17,IF(AND(#REF!="Padrão",$H$4=#REF!),BDI!#REF!,IF(AND(#REF!="Diferenciado",$H$4=#REF!),BDI!$E$17,IF(AND(#REF!="Diferenciado",$H$4=#REF!),BDI!#REF!,IF(#REF!="ZERO",0))))),"")</f>
        <v>#REF!</v>
      </c>
      <c r="H2027" s="127" t="str">
        <f t="shared" si="103"/>
        <v/>
      </c>
      <c r="I2027" s="125" t="str">
        <f t="shared" si="104"/>
        <v/>
      </c>
    </row>
    <row r="2028" spans="1:9" hidden="1" x14ac:dyDescent="0.25">
      <c r="A2028" s="103" t="s">
        <v>5663</v>
      </c>
      <c r="B2028" s="104" t="s">
        <v>4455</v>
      </c>
      <c r="C2028" s="105" t="s">
        <v>20</v>
      </c>
      <c r="D2028" s="105">
        <v>0</v>
      </c>
      <c r="E2028" s="124" t="s">
        <v>523</v>
      </c>
      <c r="F2028" s="125" t="str">
        <f t="shared" si="102"/>
        <v/>
      </c>
      <c r="G2028" s="126" t="e">
        <f>IF(A2028&lt;&gt;"",IF(AND(#REF!="Padrão",$H$4=#REF!),BDI!$B$17,IF(AND(#REF!="Padrão",$H$4=#REF!),BDI!#REF!,IF(AND(#REF!="Diferenciado",$H$4=#REF!),BDI!$E$17,IF(AND(#REF!="Diferenciado",$H$4=#REF!),BDI!#REF!,IF(#REF!="ZERO",0))))),"")</f>
        <v>#REF!</v>
      </c>
      <c r="H2028" s="127" t="str">
        <f t="shared" si="103"/>
        <v/>
      </c>
      <c r="I2028" s="125" t="str">
        <f t="shared" si="104"/>
        <v/>
      </c>
    </row>
    <row r="2029" spans="1:9" hidden="1" x14ac:dyDescent="0.25">
      <c r="A2029" s="103" t="s">
        <v>5664</v>
      </c>
      <c r="B2029" s="104" t="s">
        <v>4456</v>
      </c>
      <c r="C2029" s="105" t="s">
        <v>20</v>
      </c>
      <c r="D2029" s="105">
        <v>0</v>
      </c>
      <c r="E2029" s="124" t="s">
        <v>523</v>
      </c>
      <c r="F2029" s="125" t="str">
        <f t="shared" ref="F2029:F2092" si="105">IF(ISNUMBER(E2029),D2029*E2029,"")</f>
        <v/>
      </c>
      <c r="G2029" s="126" t="e">
        <f>IF(A2029&lt;&gt;"",IF(AND(#REF!="Padrão",$H$4=#REF!),BDI!$B$17,IF(AND(#REF!="Padrão",$H$4=#REF!),BDI!#REF!,IF(AND(#REF!="Diferenciado",$H$4=#REF!),BDI!$E$17,IF(AND(#REF!="Diferenciado",$H$4=#REF!),BDI!#REF!,IF(#REF!="ZERO",0))))),"")</f>
        <v>#REF!</v>
      </c>
      <c r="H2029" s="127" t="str">
        <f t="shared" ref="H2029:H2092" si="106">IF(ISNUMBER(E2029),ROUND(E2029*(1+G2029),2),"")</f>
        <v/>
      </c>
      <c r="I2029" s="125" t="str">
        <f t="shared" ref="I2029:I2092" si="107">IF(ISNUMBER(E2029),ROUND(H2029*D2029,2),"")</f>
        <v/>
      </c>
    </row>
    <row r="2030" spans="1:9" hidden="1" x14ac:dyDescent="0.25">
      <c r="A2030" s="103" t="s">
        <v>5665</v>
      </c>
      <c r="B2030" s="104" t="s">
        <v>4457</v>
      </c>
      <c r="C2030" s="105" t="s">
        <v>20</v>
      </c>
      <c r="D2030" s="105">
        <v>0</v>
      </c>
      <c r="E2030" s="124" t="s">
        <v>523</v>
      </c>
      <c r="F2030" s="125" t="str">
        <f t="shared" si="105"/>
        <v/>
      </c>
      <c r="G2030" s="126" t="e">
        <f>IF(A2030&lt;&gt;"",IF(AND(#REF!="Padrão",$H$4=#REF!),BDI!$B$17,IF(AND(#REF!="Padrão",$H$4=#REF!),BDI!#REF!,IF(AND(#REF!="Diferenciado",$H$4=#REF!),BDI!$E$17,IF(AND(#REF!="Diferenciado",$H$4=#REF!),BDI!#REF!,IF(#REF!="ZERO",0))))),"")</f>
        <v>#REF!</v>
      </c>
      <c r="H2030" s="127" t="str">
        <f t="shared" si="106"/>
        <v/>
      </c>
      <c r="I2030" s="125" t="str">
        <f t="shared" si="107"/>
        <v/>
      </c>
    </row>
    <row r="2031" spans="1:9" hidden="1" x14ac:dyDescent="0.25">
      <c r="A2031" s="103" t="s">
        <v>5666</v>
      </c>
      <c r="B2031" s="104" t="s">
        <v>4458</v>
      </c>
      <c r="C2031" s="105" t="s">
        <v>20</v>
      </c>
      <c r="D2031" s="105">
        <v>0</v>
      </c>
      <c r="E2031" s="124" t="s">
        <v>523</v>
      </c>
      <c r="F2031" s="125" t="str">
        <f t="shared" si="105"/>
        <v/>
      </c>
      <c r="G2031" s="126" t="e">
        <f>IF(A2031&lt;&gt;"",IF(AND(#REF!="Padrão",$H$4=#REF!),BDI!$B$17,IF(AND(#REF!="Padrão",$H$4=#REF!),BDI!#REF!,IF(AND(#REF!="Diferenciado",$H$4=#REF!),BDI!$E$17,IF(AND(#REF!="Diferenciado",$H$4=#REF!),BDI!#REF!,IF(#REF!="ZERO",0))))),"")</f>
        <v>#REF!</v>
      </c>
      <c r="H2031" s="127" t="str">
        <f t="shared" si="106"/>
        <v/>
      </c>
      <c r="I2031" s="125" t="str">
        <f t="shared" si="107"/>
        <v/>
      </c>
    </row>
    <row r="2032" spans="1:9" hidden="1" x14ac:dyDescent="0.25">
      <c r="A2032" s="103" t="s">
        <v>5667</v>
      </c>
      <c r="B2032" s="104" t="s">
        <v>4459</v>
      </c>
      <c r="C2032" s="105" t="s">
        <v>20</v>
      </c>
      <c r="D2032" s="105">
        <v>0</v>
      </c>
      <c r="E2032" s="124" t="s">
        <v>523</v>
      </c>
      <c r="F2032" s="125" t="str">
        <f t="shared" si="105"/>
        <v/>
      </c>
      <c r="G2032" s="126" t="e">
        <f>IF(A2032&lt;&gt;"",IF(AND(#REF!="Padrão",$H$4=#REF!),BDI!$B$17,IF(AND(#REF!="Padrão",$H$4=#REF!),BDI!#REF!,IF(AND(#REF!="Diferenciado",$H$4=#REF!),BDI!$E$17,IF(AND(#REF!="Diferenciado",$H$4=#REF!),BDI!#REF!,IF(#REF!="ZERO",0))))),"")</f>
        <v>#REF!</v>
      </c>
      <c r="H2032" s="127" t="str">
        <f t="shared" si="106"/>
        <v/>
      </c>
      <c r="I2032" s="125" t="str">
        <f t="shared" si="107"/>
        <v/>
      </c>
    </row>
    <row r="2033" spans="1:9" hidden="1" x14ac:dyDescent="0.25">
      <c r="A2033" s="103" t="s">
        <v>5668</v>
      </c>
      <c r="B2033" s="104" t="s">
        <v>4460</v>
      </c>
      <c r="C2033" s="105" t="s">
        <v>20</v>
      </c>
      <c r="D2033" s="105">
        <v>0</v>
      </c>
      <c r="E2033" s="124" t="s">
        <v>523</v>
      </c>
      <c r="F2033" s="125" t="str">
        <f t="shared" si="105"/>
        <v/>
      </c>
      <c r="G2033" s="126" t="e">
        <f>IF(A2033&lt;&gt;"",IF(AND(#REF!="Padrão",$H$4=#REF!),BDI!$B$17,IF(AND(#REF!="Padrão",$H$4=#REF!),BDI!#REF!,IF(AND(#REF!="Diferenciado",$H$4=#REF!),BDI!$E$17,IF(AND(#REF!="Diferenciado",$H$4=#REF!),BDI!#REF!,IF(#REF!="ZERO",0))))),"")</f>
        <v>#REF!</v>
      </c>
      <c r="H2033" s="127" t="str">
        <f t="shared" si="106"/>
        <v/>
      </c>
      <c r="I2033" s="125" t="str">
        <f t="shared" si="107"/>
        <v/>
      </c>
    </row>
    <row r="2034" spans="1:9" hidden="1" x14ac:dyDescent="0.25">
      <c r="A2034" s="103" t="s">
        <v>5669</v>
      </c>
      <c r="B2034" s="104" t="s">
        <v>4461</v>
      </c>
      <c r="C2034" s="105" t="s">
        <v>20</v>
      </c>
      <c r="D2034" s="105">
        <v>0</v>
      </c>
      <c r="E2034" s="124" t="s">
        <v>523</v>
      </c>
      <c r="F2034" s="125" t="str">
        <f t="shared" si="105"/>
        <v/>
      </c>
      <c r="G2034" s="126" t="e">
        <f>IF(A2034&lt;&gt;"",IF(AND(#REF!="Padrão",$H$4=#REF!),BDI!$B$17,IF(AND(#REF!="Padrão",$H$4=#REF!),BDI!#REF!,IF(AND(#REF!="Diferenciado",$H$4=#REF!),BDI!$E$17,IF(AND(#REF!="Diferenciado",$H$4=#REF!),BDI!#REF!,IF(#REF!="ZERO",0))))),"")</f>
        <v>#REF!</v>
      </c>
      <c r="H2034" s="127" t="str">
        <f t="shared" si="106"/>
        <v/>
      </c>
      <c r="I2034" s="125" t="str">
        <f t="shared" si="107"/>
        <v/>
      </c>
    </row>
    <row r="2035" spans="1:9" hidden="1" x14ac:dyDescent="0.25">
      <c r="A2035" s="103" t="s">
        <v>5670</v>
      </c>
      <c r="B2035" s="104" t="s">
        <v>4462</v>
      </c>
      <c r="C2035" s="105" t="s">
        <v>20</v>
      </c>
      <c r="D2035" s="105">
        <v>0</v>
      </c>
      <c r="E2035" s="124" t="s">
        <v>523</v>
      </c>
      <c r="F2035" s="125" t="str">
        <f t="shared" si="105"/>
        <v/>
      </c>
      <c r="G2035" s="126" t="e">
        <f>IF(A2035&lt;&gt;"",IF(AND(#REF!="Padrão",$H$4=#REF!),BDI!$B$17,IF(AND(#REF!="Padrão",$H$4=#REF!),BDI!#REF!,IF(AND(#REF!="Diferenciado",$H$4=#REF!),BDI!$E$17,IF(AND(#REF!="Diferenciado",$H$4=#REF!),BDI!#REF!,IF(#REF!="ZERO",0))))),"")</f>
        <v>#REF!</v>
      </c>
      <c r="H2035" s="127" t="str">
        <f t="shared" si="106"/>
        <v/>
      </c>
      <c r="I2035" s="125" t="str">
        <f t="shared" si="107"/>
        <v/>
      </c>
    </row>
    <row r="2036" spans="1:9" hidden="1" x14ac:dyDescent="0.25">
      <c r="A2036" s="103" t="s">
        <v>5671</v>
      </c>
      <c r="B2036" s="104" t="s">
        <v>4463</v>
      </c>
      <c r="C2036" s="105" t="s">
        <v>20</v>
      </c>
      <c r="D2036" s="105">
        <v>0</v>
      </c>
      <c r="E2036" s="124" t="s">
        <v>523</v>
      </c>
      <c r="F2036" s="125" t="str">
        <f t="shared" si="105"/>
        <v/>
      </c>
      <c r="G2036" s="126" t="e">
        <f>IF(A2036&lt;&gt;"",IF(AND(#REF!="Padrão",$H$4=#REF!),BDI!$B$17,IF(AND(#REF!="Padrão",$H$4=#REF!),BDI!#REF!,IF(AND(#REF!="Diferenciado",$H$4=#REF!),BDI!$E$17,IF(AND(#REF!="Diferenciado",$H$4=#REF!),BDI!#REF!,IF(#REF!="ZERO",0))))),"")</f>
        <v>#REF!</v>
      </c>
      <c r="H2036" s="127" t="str">
        <f t="shared" si="106"/>
        <v/>
      </c>
      <c r="I2036" s="125" t="str">
        <f t="shared" si="107"/>
        <v/>
      </c>
    </row>
    <row r="2037" spans="1:9" hidden="1" x14ac:dyDescent="0.25">
      <c r="A2037" s="103" t="s">
        <v>5672</v>
      </c>
      <c r="B2037" s="104" t="s">
        <v>4464</v>
      </c>
      <c r="C2037" s="105" t="s">
        <v>20</v>
      </c>
      <c r="D2037" s="105">
        <v>0</v>
      </c>
      <c r="E2037" s="124" t="s">
        <v>523</v>
      </c>
      <c r="F2037" s="125" t="str">
        <f t="shared" si="105"/>
        <v/>
      </c>
      <c r="G2037" s="126" t="e">
        <f>IF(A2037&lt;&gt;"",IF(AND(#REF!="Padrão",$H$4=#REF!),BDI!$B$17,IF(AND(#REF!="Padrão",$H$4=#REF!),BDI!#REF!,IF(AND(#REF!="Diferenciado",$H$4=#REF!),BDI!$E$17,IF(AND(#REF!="Diferenciado",$H$4=#REF!),BDI!#REF!,IF(#REF!="ZERO",0))))),"")</f>
        <v>#REF!</v>
      </c>
      <c r="H2037" s="127" t="str">
        <f t="shared" si="106"/>
        <v/>
      </c>
      <c r="I2037" s="125" t="str">
        <f t="shared" si="107"/>
        <v/>
      </c>
    </row>
    <row r="2038" spans="1:9" hidden="1" x14ac:dyDescent="0.25">
      <c r="A2038" s="103" t="s">
        <v>5673</v>
      </c>
      <c r="B2038" s="104" t="s">
        <v>4465</v>
      </c>
      <c r="C2038" s="105" t="s">
        <v>20</v>
      </c>
      <c r="D2038" s="105">
        <v>0</v>
      </c>
      <c r="E2038" s="124" t="s">
        <v>523</v>
      </c>
      <c r="F2038" s="125" t="str">
        <f t="shared" si="105"/>
        <v/>
      </c>
      <c r="G2038" s="126" t="e">
        <f>IF(A2038&lt;&gt;"",IF(AND(#REF!="Padrão",$H$4=#REF!),BDI!$B$17,IF(AND(#REF!="Padrão",$H$4=#REF!),BDI!#REF!,IF(AND(#REF!="Diferenciado",$H$4=#REF!),BDI!$E$17,IF(AND(#REF!="Diferenciado",$H$4=#REF!),BDI!#REF!,IF(#REF!="ZERO",0))))),"")</f>
        <v>#REF!</v>
      </c>
      <c r="H2038" s="127" t="str">
        <f t="shared" si="106"/>
        <v/>
      </c>
      <c r="I2038" s="125" t="str">
        <f t="shared" si="107"/>
        <v/>
      </c>
    </row>
    <row r="2039" spans="1:9" hidden="1" x14ac:dyDescent="0.25">
      <c r="A2039" s="103" t="s">
        <v>5674</v>
      </c>
      <c r="B2039" s="104" t="s">
        <v>4466</v>
      </c>
      <c r="C2039" s="105" t="s">
        <v>20</v>
      </c>
      <c r="D2039" s="105">
        <v>0</v>
      </c>
      <c r="E2039" s="124" t="s">
        <v>523</v>
      </c>
      <c r="F2039" s="125" t="str">
        <f t="shared" si="105"/>
        <v/>
      </c>
      <c r="G2039" s="126" t="e">
        <f>IF(A2039&lt;&gt;"",IF(AND(#REF!="Padrão",$H$4=#REF!),BDI!$B$17,IF(AND(#REF!="Padrão",$H$4=#REF!),BDI!#REF!,IF(AND(#REF!="Diferenciado",$H$4=#REF!),BDI!$E$17,IF(AND(#REF!="Diferenciado",$H$4=#REF!),BDI!#REF!,IF(#REF!="ZERO",0))))),"")</f>
        <v>#REF!</v>
      </c>
      <c r="H2039" s="127" t="str">
        <f t="shared" si="106"/>
        <v/>
      </c>
      <c r="I2039" s="125" t="str">
        <f t="shared" si="107"/>
        <v/>
      </c>
    </row>
    <row r="2040" spans="1:9" hidden="1" x14ac:dyDescent="0.25">
      <c r="A2040" s="103" t="s">
        <v>5675</v>
      </c>
      <c r="B2040" s="104" t="s">
        <v>4467</v>
      </c>
      <c r="C2040" s="105" t="s">
        <v>20</v>
      </c>
      <c r="D2040" s="105">
        <v>0</v>
      </c>
      <c r="E2040" s="124" t="s">
        <v>523</v>
      </c>
      <c r="F2040" s="125" t="str">
        <f t="shared" si="105"/>
        <v/>
      </c>
      <c r="G2040" s="126" t="e">
        <f>IF(A2040&lt;&gt;"",IF(AND(#REF!="Padrão",$H$4=#REF!),BDI!$B$17,IF(AND(#REF!="Padrão",$H$4=#REF!),BDI!#REF!,IF(AND(#REF!="Diferenciado",$H$4=#REF!),BDI!$E$17,IF(AND(#REF!="Diferenciado",$H$4=#REF!),BDI!#REF!,IF(#REF!="ZERO",0))))),"")</f>
        <v>#REF!</v>
      </c>
      <c r="H2040" s="127" t="str">
        <f t="shared" si="106"/>
        <v/>
      </c>
      <c r="I2040" s="125" t="str">
        <f t="shared" si="107"/>
        <v/>
      </c>
    </row>
    <row r="2041" spans="1:9" hidden="1" x14ac:dyDescent="0.25">
      <c r="A2041" s="103" t="s">
        <v>5676</v>
      </c>
      <c r="B2041" s="104" t="s">
        <v>4468</v>
      </c>
      <c r="C2041" s="105" t="s">
        <v>20</v>
      </c>
      <c r="D2041" s="105">
        <v>0</v>
      </c>
      <c r="E2041" s="124" t="s">
        <v>523</v>
      </c>
      <c r="F2041" s="125" t="str">
        <f t="shared" si="105"/>
        <v/>
      </c>
      <c r="G2041" s="126" t="e">
        <f>IF(A2041&lt;&gt;"",IF(AND(#REF!="Padrão",$H$4=#REF!),BDI!$B$17,IF(AND(#REF!="Padrão",$H$4=#REF!),BDI!#REF!,IF(AND(#REF!="Diferenciado",$H$4=#REF!),BDI!$E$17,IF(AND(#REF!="Diferenciado",$H$4=#REF!),BDI!#REF!,IF(#REF!="ZERO",0))))),"")</f>
        <v>#REF!</v>
      </c>
      <c r="H2041" s="127" t="str">
        <f t="shared" si="106"/>
        <v/>
      </c>
      <c r="I2041" s="125" t="str">
        <f t="shared" si="107"/>
        <v/>
      </c>
    </row>
    <row r="2042" spans="1:9" hidden="1" x14ac:dyDescent="0.25">
      <c r="A2042" s="103" t="s">
        <v>5677</v>
      </c>
      <c r="B2042" s="104" t="s">
        <v>4469</v>
      </c>
      <c r="C2042" s="105" t="s">
        <v>20</v>
      </c>
      <c r="D2042" s="105">
        <v>0</v>
      </c>
      <c r="E2042" s="124" t="s">
        <v>523</v>
      </c>
      <c r="F2042" s="125" t="str">
        <f t="shared" si="105"/>
        <v/>
      </c>
      <c r="G2042" s="126" t="e">
        <f>IF(A2042&lt;&gt;"",IF(AND(#REF!="Padrão",$H$4=#REF!),BDI!$B$17,IF(AND(#REF!="Padrão",$H$4=#REF!),BDI!#REF!,IF(AND(#REF!="Diferenciado",$H$4=#REF!),BDI!$E$17,IF(AND(#REF!="Diferenciado",$H$4=#REF!),BDI!#REF!,IF(#REF!="ZERO",0))))),"")</f>
        <v>#REF!</v>
      </c>
      <c r="H2042" s="127" t="str">
        <f t="shared" si="106"/>
        <v/>
      </c>
      <c r="I2042" s="125" t="str">
        <f t="shared" si="107"/>
        <v/>
      </c>
    </row>
    <row r="2043" spans="1:9" hidden="1" x14ac:dyDescent="0.25">
      <c r="A2043" s="103" t="s">
        <v>5678</v>
      </c>
      <c r="B2043" s="104" t="s">
        <v>4470</v>
      </c>
      <c r="C2043" s="105" t="s">
        <v>20</v>
      </c>
      <c r="D2043" s="105">
        <v>0</v>
      </c>
      <c r="E2043" s="124" t="s">
        <v>523</v>
      </c>
      <c r="F2043" s="125" t="str">
        <f t="shared" si="105"/>
        <v/>
      </c>
      <c r="G2043" s="126" t="e">
        <f>IF(A2043&lt;&gt;"",IF(AND(#REF!="Padrão",$H$4=#REF!),BDI!$B$17,IF(AND(#REF!="Padrão",$H$4=#REF!),BDI!#REF!,IF(AND(#REF!="Diferenciado",$H$4=#REF!),BDI!$E$17,IF(AND(#REF!="Diferenciado",$H$4=#REF!),BDI!#REF!,IF(#REF!="ZERO",0))))),"")</f>
        <v>#REF!</v>
      </c>
      <c r="H2043" s="127" t="str">
        <f t="shared" si="106"/>
        <v/>
      </c>
      <c r="I2043" s="125" t="str">
        <f t="shared" si="107"/>
        <v/>
      </c>
    </row>
    <row r="2044" spans="1:9" hidden="1" x14ac:dyDescent="0.25">
      <c r="A2044" s="103" t="s">
        <v>5679</v>
      </c>
      <c r="B2044" s="104" t="s">
        <v>4471</v>
      </c>
      <c r="C2044" s="105" t="s">
        <v>20</v>
      </c>
      <c r="D2044" s="105">
        <v>0</v>
      </c>
      <c r="E2044" s="124" t="s">
        <v>523</v>
      </c>
      <c r="F2044" s="125" t="str">
        <f t="shared" si="105"/>
        <v/>
      </c>
      <c r="G2044" s="126" t="e">
        <f>IF(A2044&lt;&gt;"",IF(AND(#REF!="Padrão",$H$4=#REF!),BDI!$B$17,IF(AND(#REF!="Padrão",$H$4=#REF!),BDI!#REF!,IF(AND(#REF!="Diferenciado",$H$4=#REF!),BDI!$E$17,IF(AND(#REF!="Diferenciado",$H$4=#REF!),BDI!#REF!,IF(#REF!="ZERO",0))))),"")</f>
        <v>#REF!</v>
      </c>
      <c r="H2044" s="127" t="str">
        <f t="shared" si="106"/>
        <v/>
      </c>
      <c r="I2044" s="125" t="str">
        <f t="shared" si="107"/>
        <v/>
      </c>
    </row>
    <row r="2045" spans="1:9" hidden="1" x14ac:dyDescent="0.25">
      <c r="A2045" s="103" t="s">
        <v>5680</v>
      </c>
      <c r="B2045" s="104" t="s">
        <v>4472</v>
      </c>
      <c r="C2045" s="105" t="s">
        <v>20</v>
      </c>
      <c r="D2045" s="105">
        <v>0</v>
      </c>
      <c r="E2045" s="124" t="s">
        <v>523</v>
      </c>
      <c r="F2045" s="125" t="str">
        <f t="shared" si="105"/>
        <v/>
      </c>
      <c r="G2045" s="126" t="e">
        <f>IF(A2045&lt;&gt;"",IF(AND(#REF!="Padrão",$H$4=#REF!),BDI!$B$17,IF(AND(#REF!="Padrão",$H$4=#REF!),BDI!#REF!,IF(AND(#REF!="Diferenciado",$H$4=#REF!),BDI!$E$17,IF(AND(#REF!="Diferenciado",$H$4=#REF!),BDI!#REF!,IF(#REF!="ZERO",0))))),"")</f>
        <v>#REF!</v>
      </c>
      <c r="H2045" s="127" t="str">
        <f t="shared" si="106"/>
        <v/>
      </c>
      <c r="I2045" s="125" t="str">
        <f t="shared" si="107"/>
        <v/>
      </c>
    </row>
    <row r="2046" spans="1:9" hidden="1" x14ac:dyDescent="0.25">
      <c r="A2046" s="103" t="s">
        <v>5681</v>
      </c>
      <c r="B2046" s="104" t="s">
        <v>4473</v>
      </c>
      <c r="C2046" s="105" t="s">
        <v>20</v>
      </c>
      <c r="D2046" s="105">
        <v>0</v>
      </c>
      <c r="E2046" s="124" t="s">
        <v>523</v>
      </c>
      <c r="F2046" s="125" t="str">
        <f t="shared" si="105"/>
        <v/>
      </c>
      <c r="G2046" s="126" t="e">
        <f>IF(A2046&lt;&gt;"",IF(AND(#REF!="Padrão",$H$4=#REF!),BDI!$B$17,IF(AND(#REF!="Padrão",$H$4=#REF!),BDI!#REF!,IF(AND(#REF!="Diferenciado",$H$4=#REF!),BDI!$E$17,IF(AND(#REF!="Diferenciado",$H$4=#REF!),BDI!#REF!,IF(#REF!="ZERO",0))))),"")</f>
        <v>#REF!</v>
      </c>
      <c r="H2046" s="127" t="str">
        <f t="shared" si="106"/>
        <v/>
      </c>
      <c r="I2046" s="125" t="str">
        <f t="shared" si="107"/>
        <v/>
      </c>
    </row>
    <row r="2047" spans="1:9" hidden="1" x14ac:dyDescent="0.25">
      <c r="A2047" s="103" t="s">
        <v>5682</v>
      </c>
      <c r="B2047" s="104" t="s">
        <v>4474</v>
      </c>
      <c r="C2047" s="105" t="s">
        <v>20</v>
      </c>
      <c r="D2047" s="105">
        <v>0</v>
      </c>
      <c r="E2047" s="124" t="s">
        <v>523</v>
      </c>
      <c r="F2047" s="125" t="str">
        <f t="shared" si="105"/>
        <v/>
      </c>
      <c r="G2047" s="126" t="e">
        <f>IF(A2047&lt;&gt;"",IF(AND(#REF!="Padrão",$H$4=#REF!),BDI!$B$17,IF(AND(#REF!="Padrão",$H$4=#REF!),BDI!#REF!,IF(AND(#REF!="Diferenciado",$H$4=#REF!),BDI!$E$17,IF(AND(#REF!="Diferenciado",$H$4=#REF!),BDI!#REF!,IF(#REF!="ZERO",0))))),"")</f>
        <v>#REF!</v>
      </c>
      <c r="H2047" s="127" t="str">
        <f t="shared" si="106"/>
        <v/>
      </c>
      <c r="I2047" s="125" t="str">
        <f t="shared" si="107"/>
        <v/>
      </c>
    </row>
    <row r="2048" spans="1:9" hidden="1" x14ac:dyDescent="0.25">
      <c r="A2048" s="103" t="s">
        <v>5683</v>
      </c>
      <c r="B2048" s="104" t="s">
        <v>4475</v>
      </c>
      <c r="C2048" s="105" t="s">
        <v>20</v>
      </c>
      <c r="D2048" s="105">
        <v>0</v>
      </c>
      <c r="E2048" s="124" t="s">
        <v>523</v>
      </c>
      <c r="F2048" s="125" t="str">
        <f t="shared" si="105"/>
        <v/>
      </c>
      <c r="G2048" s="126" t="e">
        <f>IF(A2048&lt;&gt;"",IF(AND(#REF!="Padrão",$H$4=#REF!),BDI!$B$17,IF(AND(#REF!="Padrão",$H$4=#REF!),BDI!#REF!,IF(AND(#REF!="Diferenciado",$H$4=#REF!),BDI!$E$17,IF(AND(#REF!="Diferenciado",$H$4=#REF!),BDI!#REF!,IF(#REF!="ZERO",0))))),"")</f>
        <v>#REF!</v>
      </c>
      <c r="H2048" s="127" t="str">
        <f t="shared" si="106"/>
        <v/>
      </c>
      <c r="I2048" s="125" t="str">
        <f t="shared" si="107"/>
        <v/>
      </c>
    </row>
    <row r="2049" spans="1:9" hidden="1" x14ac:dyDescent="0.25">
      <c r="A2049" s="103" t="s">
        <v>5684</v>
      </c>
      <c r="B2049" s="104" t="s">
        <v>4476</v>
      </c>
      <c r="C2049" s="105" t="s">
        <v>20</v>
      </c>
      <c r="D2049" s="105">
        <v>0</v>
      </c>
      <c r="E2049" s="124" t="s">
        <v>523</v>
      </c>
      <c r="F2049" s="125" t="str">
        <f t="shared" si="105"/>
        <v/>
      </c>
      <c r="G2049" s="126" t="e">
        <f>IF(A2049&lt;&gt;"",IF(AND(#REF!="Padrão",$H$4=#REF!),BDI!$B$17,IF(AND(#REF!="Padrão",$H$4=#REF!),BDI!#REF!,IF(AND(#REF!="Diferenciado",$H$4=#REF!),BDI!$E$17,IF(AND(#REF!="Diferenciado",$H$4=#REF!),BDI!#REF!,IF(#REF!="ZERO",0))))),"")</f>
        <v>#REF!</v>
      </c>
      <c r="H2049" s="127" t="str">
        <f t="shared" si="106"/>
        <v/>
      </c>
      <c r="I2049" s="125" t="str">
        <f t="shared" si="107"/>
        <v/>
      </c>
    </row>
    <row r="2050" spans="1:9" hidden="1" x14ac:dyDescent="0.25">
      <c r="A2050" s="103" t="s">
        <v>5685</v>
      </c>
      <c r="B2050" s="104" t="s">
        <v>4477</v>
      </c>
      <c r="C2050" s="105" t="s">
        <v>20</v>
      </c>
      <c r="D2050" s="105">
        <v>0</v>
      </c>
      <c r="E2050" s="124" t="s">
        <v>523</v>
      </c>
      <c r="F2050" s="125" t="str">
        <f t="shared" si="105"/>
        <v/>
      </c>
      <c r="G2050" s="126" t="e">
        <f>IF(A2050&lt;&gt;"",IF(AND(#REF!="Padrão",$H$4=#REF!),BDI!$B$17,IF(AND(#REF!="Padrão",$H$4=#REF!),BDI!#REF!,IF(AND(#REF!="Diferenciado",$H$4=#REF!),BDI!$E$17,IF(AND(#REF!="Diferenciado",$H$4=#REF!),BDI!#REF!,IF(#REF!="ZERO",0))))),"")</f>
        <v>#REF!</v>
      </c>
      <c r="H2050" s="127" t="str">
        <f t="shared" si="106"/>
        <v/>
      </c>
      <c r="I2050" s="125" t="str">
        <f t="shared" si="107"/>
        <v/>
      </c>
    </row>
    <row r="2051" spans="1:9" hidden="1" x14ac:dyDescent="0.25">
      <c r="A2051" s="103" t="s">
        <v>5686</v>
      </c>
      <c r="B2051" s="104" t="s">
        <v>4478</v>
      </c>
      <c r="C2051" s="105" t="s">
        <v>20</v>
      </c>
      <c r="D2051" s="105">
        <v>0</v>
      </c>
      <c r="E2051" s="124" t="s">
        <v>523</v>
      </c>
      <c r="F2051" s="125" t="str">
        <f t="shared" si="105"/>
        <v/>
      </c>
      <c r="G2051" s="126" t="e">
        <f>IF(A2051&lt;&gt;"",IF(AND(#REF!="Padrão",$H$4=#REF!),BDI!$B$17,IF(AND(#REF!="Padrão",$H$4=#REF!),BDI!#REF!,IF(AND(#REF!="Diferenciado",$H$4=#REF!),BDI!$E$17,IF(AND(#REF!="Diferenciado",$H$4=#REF!),BDI!#REF!,IF(#REF!="ZERO",0))))),"")</f>
        <v>#REF!</v>
      </c>
      <c r="H2051" s="127" t="str">
        <f t="shared" si="106"/>
        <v/>
      </c>
      <c r="I2051" s="125" t="str">
        <f t="shared" si="107"/>
        <v/>
      </c>
    </row>
    <row r="2052" spans="1:9" hidden="1" x14ac:dyDescent="0.25">
      <c r="A2052" s="103" t="s">
        <v>5687</v>
      </c>
      <c r="B2052" s="104" t="s">
        <v>4479</v>
      </c>
      <c r="C2052" s="105" t="s">
        <v>20</v>
      </c>
      <c r="D2052" s="105">
        <v>0</v>
      </c>
      <c r="E2052" s="124" t="s">
        <v>523</v>
      </c>
      <c r="F2052" s="125" t="str">
        <f t="shared" si="105"/>
        <v/>
      </c>
      <c r="G2052" s="126" t="e">
        <f>IF(A2052&lt;&gt;"",IF(AND(#REF!="Padrão",$H$4=#REF!),BDI!$B$17,IF(AND(#REF!="Padrão",$H$4=#REF!),BDI!#REF!,IF(AND(#REF!="Diferenciado",$H$4=#REF!),BDI!$E$17,IF(AND(#REF!="Diferenciado",$H$4=#REF!),BDI!#REF!,IF(#REF!="ZERO",0))))),"")</f>
        <v>#REF!</v>
      </c>
      <c r="H2052" s="127" t="str">
        <f t="shared" si="106"/>
        <v/>
      </c>
      <c r="I2052" s="125" t="str">
        <f t="shared" si="107"/>
        <v/>
      </c>
    </row>
    <row r="2053" spans="1:9" hidden="1" x14ac:dyDescent="0.25">
      <c r="A2053" s="103" t="s">
        <v>5688</v>
      </c>
      <c r="B2053" s="104" t="s">
        <v>4480</v>
      </c>
      <c r="C2053" s="105" t="s">
        <v>20</v>
      </c>
      <c r="D2053" s="105">
        <v>0</v>
      </c>
      <c r="E2053" s="124" t="s">
        <v>523</v>
      </c>
      <c r="F2053" s="125" t="str">
        <f t="shared" si="105"/>
        <v/>
      </c>
      <c r="G2053" s="126" t="e">
        <f>IF(A2053&lt;&gt;"",IF(AND(#REF!="Padrão",$H$4=#REF!),BDI!$B$17,IF(AND(#REF!="Padrão",$H$4=#REF!),BDI!#REF!,IF(AND(#REF!="Diferenciado",$H$4=#REF!),BDI!$E$17,IF(AND(#REF!="Diferenciado",$H$4=#REF!),BDI!#REF!,IF(#REF!="ZERO",0))))),"")</f>
        <v>#REF!</v>
      </c>
      <c r="H2053" s="127" t="str">
        <f t="shared" si="106"/>
        <v/>
      </c>
      <c r="I2053" s="125" t="str">
        <f t="shared" si="107"/>
        <v/>
      </c>
    </row>
    <row r="2054" spans="1:9" hidden="1" x14ac:dyDescent="0.25">
      <c r="A2054" s="103" t="s">
        <v>5689</v>
      </c>
      <c r="B2054" s="104" t="s">
        <v>4481</v>
      </c>
      <c r="C2054" s="105" t="s">
        <v>20</v>
      </c>
      <c r="D2054" s="105">
        <v>0</v>
      </c>
      <c r="E2054" s="124" t="s">
        <v>523</v>
      </c>
      <c r="F2054" s="125" t="str">
        <f t="shared" si="105"/>
        <v/>
      </c>
      <c r="G2054" s="126" t="e">
        <f>IF(A2054&lt;&gt;"",IF(AND(#REF!="Padrão",$H$4=#REF!),BDI!$B$17,IF(AND(#REF!="Padrão",$H$4=#REF!),BDI!#REF!,IF(AND(#REF!="Diferenciado",$H$4=#REF!),BDI!$E$17,IF(AND(#REF!="Diferenciado",$H$4=#REF!),BDI!#REF!,IF(#REF!="ZERO",0))))),"")</f>
        <v>#REF!</v>
      </c>
      <c r="H2054" s="127" t="str">
        <f t="shared" si="106"/>
        <v/>
      </c>
      <c r="I2054" s="125" t="str">
        <f t="shared" si="107"/>
        <v/>
      </c>
    </row>
    <row r="2055" spans="1:9" hidden="1" x14ac:dyDescent="0.25">
      <c r="A2055" s="103" t="s">
        <v>5690</v>
      </c>
      <c r="B2055" s="104" t="s">
        <v>4482</v>
      </c>
      <c r="C2055" s="105" t="s">
        <v>20</v>
      </c>
      <c r="D2055" s="105">
        <v>0</v>
      </c>
      <c r="E2055" s="124" t="s">
        <v>523</v>
      </c>
      <c r="F2055" s="125" t="str">
        <f t="shared" si="105"/>
        <v/>
      </c>
      <c r="G2055" s="126" t="e">
        <f>IF(A2055&lt;&gt;"",IF(AND(#REF!="Padrão",$H$4=#REF!),BDI!$B$17,IF(AND(#REF!="Padrão",$H$4=#REF!),BDI!#REF!,IF(AND(#REF!="Diferenciado",$H$4=#REF!),BDI!$E$17,IF(AND(#REF!="Diferenciado",$H$4=#REF!),BDI!#REF!,IF(#REF!="ZERO",0))))),"")</f>
        <v>#REF!</v>
      </c>
      <c r="H2055" s="127" t="str">
        <f t="shared" si="106"/>
        <v/>
      </c>
      <c r="I2055" s="125" t="str">
        <f t="shared" si="107"/>
        <v/>
      </c>
    </row>
    <row r="2056" spans="1:9" hidden="1" x14ac:dyDescent="0.25">
      <c r="A2056" s="103" t="s">
        <v>5691</v>
      </c>
      <c r="B2056" s="104" t="s">
        <v>4483</v>
      </c>
      <c r="C2056" s="105" t="s">
        <v>20</v>
      </c>
      <c r="D2056" s="105">
        <v>0</v>
      </c>
      <c r="E2056" s="124" t="s">
        <v>523</v>
      </c>
      <c r="F2056" s="125" t="str">
        <f t="shared" si="105"/>
        <v/>
      </c>
      <c r="G2056" s="126" t="e">
        <f>IF(A2056&lt;&gt;"",IF(AND(#REF!="Padrão",$H$4=#REF!),BDI!$B$17,IF(AND(#REF!="Padrão",$H$4=#REF!),BDI!#REF!,IF(AND(#REF!="Diferenciado",$H$4=#REF!),BDI!$E$17,IF(AND(#REF!="Diferenciado",$H$4=#REF!),BDI!#REF!,IF(#REF!="ZERO",0))))),"")</f>
        <v>#REF!</v>
      </c>
      <c r="H2056" s="127" t="str">
        <f t="shared" si="106"/>
        <v/>
      </c>
      <c r="I2056" s="125" t="str">
        <f t="shared" si="107"/>
        <v/>
      </c>
    </row>
    <row r="2057" spans="1:9" hidden="1" x14ac:dyDescent="0.25">
      <c r="A2057" s="103" t="s">
        <v>5692</v>
      </c>
      <c r="B2057" s="104" t="s">
        <v>4484</v>
      </c>
      <c r="C2057" s="105" t="s">
        <v>20</v>
      </c>
      <c r="D2057" s="105">
        <v>0</v>
      </c>
      <c r="E2057" s="124" t="s">
        <v>523</v>
      </c>
      <c r="F2057" s="125" t="str">
        <f t="shared" si="105"/>
        <v/>
      </c>
      <c r="G2057" s="126" t="e">
        <f>IF(A2057&lt;&gt;"",IF(AND(#REF!="Padrão",$H$4=#REF!),BDI!$B$17,IF(AND(#REF!="Padrão",$H$4=#REF!),BDI!#REF!,IF(AND(#REF!="Diferenciado",$H$4=#REF!),BDI!$E$17,IF(AND(#REF!="Diferenciado",$H$4=#REF!),BDI!#REF!,IF(#REF!="ZERO",0))))),"")</f>
        <v>#REF!</v>
      </c>
      <c r="H2057" s="127" t="str">
        <f t="shared" si="106"/>
        <v/>
      </c>
      <c r="I2057" s="125" t="str">
        <f t="shared" si="107"/>
        <v/>
      </c>
    </row>
    <row r="2058" spans="1:9" hidden="1" x14ac:dyDescent="0.25">
      <c r="A2058" s="103" t="s">
        <v>5693</v>
      </c>
      <c r="B2058" s="104" t="s">
        <v>4485</v>
      </c>
      <c r="C2058" s="105" t="s">
        <v>20</v>
      </c>
      <c r="D2058" s="105">
        <v>0</v>
      </c>
      <c r="E2058" s="124" t="s">
        <v>523</v>
      </c>
      <c r="F2058" s="125" t="str">
        <f t="shared" si="105"/>
        <v/>
      </c>
      <c r="G2058" s="126" t="e">
        <f>IF(A2058&lt;&gt;"",IF(AND(#REF!="Padrão",$H$4=#REF!),BDI!$B$17,IF(AND(#REF!="Padrão",$H$4=#REF!),BDI!#REF!,IF(AND(#REF!="Diferenciado",$H$4=#REF!),BDI!$E$17,IF(AND(#REF!="Diferenciado",$H$4=#REF!),BDI!#REF!,IF(#REF!="ZERO",0))))),"")</f>
        <v>#REF!</v>
      </c>
      <c r="H2058" s="127" t="str">
        <f t="shared" si="106"/>
        <v/>
      </c>
      <c r="I2058" s="125" t="str">
        <f t="shared" si="107"/>
        <v/>
      </c>
    </row>
    <row r="2059" spans="1:9" hidden="1" x14ac:dyDescent="0.25">
      <c r="A2059" s="103" t="s">
        <v>5694</v>
      </c>
      <c r="B2059" s="104" t="s">
        <v>4486</v>
      </c>
      <c r="C2059" s="105" t="s">
        <v>20</v>
      </c>
      <c r="D2059" s="105">
        <v>0</v>
      </c>
      <c r="E2059" s="124" t="s">
        <v>523</v>
      </c>
      <c r="F2059" s="125" t="str">
        <f t="shared" si="105"/>
        <v/>
      </c>
      <c r="G2059" s="126" t="e">
        <f>IF(A2059&lt;&gt;"",IF(AND(#REF!="Padrão",$H$4=#REF!),BDI!$B$17,IF(AND(#REF!="Padrão",$H$4=#REF!),BDI!#REF!,IF(AND(#REF!="Diferenciado",$H$4=#REF!),BDI!$E$17,IF(AND(#REF!="Diferenciado",$H$4=#REF!),BDI!#REF!,IF(#REF!="ZERO",0))))),"")</f>
        <v>#REF!</v>
      </c>
      <c r="H2059" s="127" t="str">
        <f t="shared" si="106"/>
        <v/>
      </c>
      <c r="I2059" s="125" t="str">
        <f t="shared" si="107"/>
        <v/>
      </c>
    </row>
    <row r="2060" spans="1:9" hidden="1" x14ac:dyDescent="0.25">
      <c r="A2060" s="103" t="s">
        <v>5695</v>
      </c>
      <c r="B2060" s="104" t="s">
        <v>4487</v>
      </c>
      <c r="C2060" s="105" t="s">
        <v>20</v>
      </c>
      <c r="D2060" s="105">
        <v>0</v>
      </c>
      <c r="E2060" s="124" t="s">
        <v>523</v>
      </c>
      <c r="F2060" s="125" t="str">
        <f t="shared" si="105"/>
        <v/>
      </c>
      <c r="G2060" s="126" t="e">
        <f>IF(A2060&lt;&gt;"",IF(AND(#REF!="Padrão",$H$4=#REF!),BDI!$B$17,IF(AND(#REF!="Padrão",$H$4=#REF!),BDI!#REF!,IF(AND(#REF!="Diferenciado",$H$4=#REF!),BDI!$E$17,IF(AND(#REF!="Diferenciado",$H$4=#REF!),BDI!#REF!,IF(#REF!="ZERO",0))))),"")</f>
        <v>#REF!</v>
      </c>
      <c r="H2060" s="127" t="str">
        <f t="shared" si="106"/>
        <v/>
      </c>
      <c r="I2060" s="125" t="str">
        <f t="shared" si="107"/>
        <v/>
      </c>
    </row>
    <row r="2061" spans="1:9" hidden="1" x14ac:dyDescent="0.25">
      <c r="A2061" s="103" t="s">
        <v>5696</v>
      </c>
      <c r="B2061" s="104" t="s">
        <v>4488</v>
      </c>
      <c r="C2061" s="105" t="s">
        <v>20</v>
      </c>
      <c r="D2061" s="105">
        <v>0</v>
      </c>
      <c r="E2061" s="124" t="s">
        <v>523</v>
      </c>
      <c r="F2061" s="125" t="str">
        <f t="shared" si="105"/>
        <v/>
      </c>
      <c r="G2061" s="126" t="e">
        <f>IF(A2061&lt;&gt;"",IF(AND(#REF!="Padrão",$H$4=#REF!),BDI!$B$17,IF(AND(#REF!="Padrão",$H$4=#REF!),BDI!#REF!,IF(AND(#REF!="Diferenciado",$H$4=#REF!),BDI!$E$17,IF(AND(#REF!="Diferenciado",$H$4=#REF!),BDI!#REF!,IF(#REF!="ZERO",0))))),"")</f>
        <v>#REF!</v>
      </c>
      <c r="H2061" s="127" t="str">
        <f t="shared" si="106"/>
        <v/>
      </c>
      <c r="I2061" s="125" t="str">
        <f t="shared" si="107"/>
        <v/>
      </c>
    </row>
    <row r="2062" spans="1:9" hidden="1" x14ac:dyDescent="0.25">
      <c r="A2062" s="103" t="s">
        <v>5697</v>
      </c>
      <c r="B2062" s="104" t="s">
        <v>4489</v>
      </c>
      <c r="C2062" s="105" t="s">
        <v>20</v>
      </c>
      <c r="D2062" s="105">
        <v>0</v>
      </c>
      <c r="E2062" s="124" t="s">
        <v>523</v>
      </c>
      <c r="F2062" s="125" t="str">
        <f t="shared" si="105"/>
        <v/>
      </c>
      <c r="G2062" s="126" t="e">
        <f>IF(A2062&lt;&gt;"",IF(AND(#REF!="Padrão",$H$4=#REF!),BDI!$B$17,IF(AND(#REF!="Padrão",$H$4=#REF!),BDI!#REF!,IF(AND(#REF!="Diferenciado",$H$4=#REF!),BDI!$E$17,IF(AND(#REF!="Diferenciado",$H$4=#REF!),BDI!#REF!,IF(#REF!="ZERO",0))))),"")</f>
        <v>#REF!</v>
      </c>
      <c r="H2062" s="127" t="str">
        <f t="shared" si="106"/>
        <v/>
      </c>
      <c r="I2062" s="125" t="str">
        <f t="shared" si="107"/>
        <v/>
      </c>
    </row>
    <row r="2063" spans="1:9" hidden="1" x14ac:dyDescent="0.25">
      <c r="A2063" s="103" t="s">
        <v>5698</v>
      </c>
      <c r="B2063" s="104" t="s">
        <v>4490</v>
      </c>
      <c r="C2063" s="105" t="s">
        <v>20</v>
      </c>
      <c r="D2063" s="105">
        <v>0</v>
      </c>
      <c r="E2063" s="124" t="s">
        <v>523</v>
      </c>
      <c r="F2063" s="125" t="str">
        <f t="shared" si="105"/>
        <v/>
      </c>
      <c r="G2063" s="126" t="e">
        <f>IF(A2063&lt;&gt;"",IF(AND(#REF!="Padrão",$H$4=#REF!),BDI!$B$17,IF(AND(#REF!="Padrão",$H$4=#REF!),BDI!#REF!,IF(AND(#REF!="Diferenciado",$H$4=#REF!),BDI!$E$17,IF(AND(#REF!="Diferenciado",$H$4=#REF!),BDI!#REF!,IF(#REF!="ZERO",0))))),"")</f>
        <v>#REF!</v>
      </c>
      <c r="H2063" s="127" t="str">
        <f t="shared" si="106"/>
        <v/>
      </c>
      <c r="I2063" s="125" t="str">
        <f t="shared" si="107"/>
        <v/>
      </c>
    </row>
    <row r="2064" spans="1:9" hidden="1" x14ac:dyDescent="0.25">
      <c r="A2064" s="103" t="s">
        <v>5699</v>
      </c>
      <c r="B2064" s="104" t="s">
        <v>4491</v>
      </c>
      <c r="C2064" s="105" t="s">
        <v>20</v>
      </c>
      <c r="D2064" s="105">
        <v>0</v>
      </c>
      <c r="E2064" s="124" t="s">
        <v>523</v>
      </c>
      <c r="F2064" s="125" t="str">
        <f t="shared" si="105"/>
        <v/>
      </c>
      <c r="G2064" s="126" t="e">
        <f>IF(A2064&lt;&gt;"",IF(AND(#REF!="Padrão",$H$4=#REF!),BDI!$B$17,IF(AND(#REF!="Padrão",$H$4=#REF!),BDI!#REF!,IF(AND(#REF!="Diferenciado",$H$4=#REF!),BDI!$E$17,IF(AND(#REF!="Diferenciado",$H$4=#REF!),BDI!#REF!,IF(#REF!="ZERO",0))))),"")</f>
        <v>#REF!</v>
      </c>
      <c r="H2064" s="127" t="str">
        <f t="shared" si="106"/>
        <v/>
      </c>
      <c r="I2064" s="125" t="str">
        <f t="shared" si="107"/>
        <v/>
      </c>
    </row>
    <row r="2065" spans="1:9" hidden="1" x14ac:dyDescent="0.25">
      <c r="A2065" s="103" t="s">
        <v>5700</v>
      </c>
      <c r="B2065" s="104" t="s">
        <v>4492</v>
      </c>
      <c r="C2065" s="105" t="s">
        <v>20</v>
      </c>
      <c r="D2065" s="105">
        <v>0</v>
      </c>
      <c r="E2065" s="124" t="s">
        <v>523</v>
      </c>
      <c r="F2065" s="125" t="str">
        <f t="shared" si="105"/>
        <v/>
      </c>
      <c r="G2065" s="126" t="e">
        <f>IF(A2065&lt;&gt;"",IF(AND(#REF!="Padrão",$H$4=#REF!),BDI!$B$17,IF(AND(#REF!="Padrão",$H$4=#REF!),BDI!#REF!,IF(AND(#REF!="Diferenciado",$H$4=#REF!),BDI!$E$17,IF(AND(#REF!="Diferenciado",$H$4=#REF!),BDI!#REF!,IF(#REF!="ZERO",0))))),"")</f>
        <v>#REF!</v>
      </c>
      <c r="H2065" s="127" t="str">
        <f t="shared" si="106"/>
        <v/>
      </c>
      <c r="I2065" s="125" t="str">
        <f t="shared" si="107"/>
        <v/>
      </c>
    </row>
    <row r="2066" spans="1:9" hidden="1" x14ac:dyDescent="0.25">
      <c r="A2066" s="103" t="s">
        <v>5701</v>
      </c>
      <c r="B2066" s="104" t="s">
        <v>4493</v>
      </c>
      <c r="C2066" s="105" t="s">
        <v>20</v>
      </c>
      <c r="D2066" s="105">
        <v>0</v>
      </c>
      <c r="E2066" s="124" t="s">
        <v>523</v>
      </c>
      <c r="F2066" s="125" t="str">
        <f t="shared" si="105"/>
        <v/>
      </c>
      <c r="G2066" s="126" t="e">
        <f>IF(A2066&lt;&gt;"",IF(AND(#REF!="Padrão",$H$4=#REF!),BDI!$B$17,IF(AND(#REF!="Padrão",$H$4=#REF!),BDI!#REF!,IF(AND(#REF!="Diferenciado",$H$4=#REF!),BDI!$E$17,IF(AND(#REF!="Diferenciado",$H$4=#REF!),BDI!#REF!,IF(#REF!="ZERO",0))))),"")</f>
        <v>#REF!</v>
      </c>
      <c r="H2066" s="127" t="str">
        <f t="shared" si="106"/>
        <v/>
      </c>
      <c r="I2066" s="125" t="str">
        <f t="shared" si="107"/>
        <v/>
      </c>
    </row>
    <row r="2067" spans="1:9" hidden="1" x14ac:dyDescent="0.25">
      <c r="A2067" s="103" t="s">
        <v>5702</v>
      </c>
      <c r="B2067" s="104" t="s">
        <v>4494</v>
      </c>
      <c r="C2067" s="105" t="s">
        <v>20</v>
      </c>
      <c r="D2067" s="105">
        <v>0</v>
      </c>
      <c r="E2067" s="124" t="s">
        <v>523</v>
      </c>
      <c r="F2067" s="125" t="str">
        <f t="shared" si="105"/>
        <v/>
      </c>
      <c r="G2067" s="126" t="e">
        <f>IF(A2067&lt;&gt;"",IF(AND(#REF!="Padrão",$H$4=#REF!),BDI!$B$17,IF(AND(#REF!="Padrão",$H$4=#REF!),BDI!#REF!,IF(AND(#REF!="Diferenciado",$H$4=#REF!),BDI!$E$17,IF(AND(#REF!="Diferenciado",$H$4=#REF!),BDI!#REF!,IF(#REF!="ZERO",0))))),"")</f>
        <v>#REF!</v>
      </c>
      <c r="H2067" s="127" t="str">
        <f t="shared" si="106"/>
        <v/>
      </c>
      <c r="I2067" s="125" t="str">
        <f t="shared" si="107"/>
        <v/>
      </c>
    </row>
    <row r="2068" spans="1:9" hidden="1" x14ac:dyDescent="0.25">
      <c r="A2068" s="103" t="s">
        <v>5703</v>
      </c>
      <c r="B2068" s="104" t="s">
        <v>4495</v>
      </c>
      <c r="C2068" s="105" t="s">
        <v>20</v>
      </c>
      <c r="D2068" s="105">
        <v>0</v>
      </c>
      <c r="E2068" s="124" t="s">
        <v>523</v>
      </c>
      <c r="F2068" s="125" t="str">
        <f t="shared" si="105"/>
        <v/>
      </c>
      <c r="G2068" s="126" t="e">
        <f>IF(A2068&lt;&gt;"",IF(AND(#REF!="Padrão",$H$4=#REF!),BDI!$B$17,IF(AND(#REF!="Padrão",$H$4=#REF!),BDI!#REF!,IF(AND(#REF!="Diferenciado",$H$4=#REF!),BDI!$E$17,IF(AND(#REF!="Diferenciado",$H$4=#REF!),BDI!#REF!,IF(#REF!="ZERO",0))))),"")</f>
        <v>#REF!</v>
      </c>
      <c r="H2068" s="127" t="str">
        <f t="shared" si="106"/>
        <v/>
      </c>
      <c r="I2068" s="125" t="str">
        <f t="shared" si="107"/>
        <v/>
      </c>
    </row>
    <row r="2069" spans="1:9" hidden="1" x14ac:dyDescent="0.25">
      <c r="A2069" s="103" t="s">
        <v>5704</v>
      </c>
      <c r="B2069" s="104" t="s">
        <v>4496</v>
      </c>
      <c r="C2069" s="105" t="s">
        <v>93</v>
      </c>
      <c r="D2069" s="105">
        <v>0</v>
      </c>
      <c r="E2069" s="124" t="s">
        <v>523</v>
      </c>
      <c r="F2069" s="125" t="str">
        <f t="shared" si="105"/>
        <v/>
      </c>
      <c r="G2069" s="126" t="e">
        <f>IF(A2069&lt;&gt;"",IF(AND(#REF!="Padrão",$H$4=#REF!),BDI!$B$17,IF(AND(#REF!="Padrão",$H$4=#REF!),BDI!#REF!,IF(AND(#REF!="Diferenciado",$H$4=#REF!),BDI!$E$17,IF(AND(#REF!="Diferenciado",$H$4=#REF!),BDI!#REF!,IF(#REF!="ZERO",0))))),"")</f>
        <v>#REF!</v>
      </c>
      <c r="H2069" s="127" t="str">
        <f t="shared" si="106"/>
        <v/>
      </c>
      <c r="I2069" s="125" t="str">
        <f t="shared" si="107"/>
        <v/>
      </c>
    </row>
    <row r="2070" spans="1:9" hidden="1" x14ac:dyDescent="0.25">
      <c r="A2070" s="103" t="s">
        <v>5705</v>
      </c>
      <c r="B2070" s="104" t="s">
        <v>4497</v>
      </c>
      <c r="C2070" s="105" t="s">
        <v>20</v>
      </c>
      <c r="D2070" s="105">
        <v>0</v>
      </c>
      <c r="E2070" s="124" t="s">
        <v>523</v>
      </c>
      <c r="F2070" s="125" t="str">
        <f t="shared" si="105"/>
        <v/>
      </c>
      <c r="G2070" s="126" t="e">
        <f>IF(A2070&lt;&gt;"",IF(AND(#REF!="Padrão",$H$4=#REF!),BDI!$B$17,IF(AND(#REF!="Padrão",$H$4=#REF!),BDI!#REF!,IF(AND(#REF!="Diferenciado",$H$4=#REF!),BDI!$E$17,IF(AND(#REF!="Diferenciado",$H$4=#REF!),BDI!#REF!,IF(#REF!="ZERO",0))))),"")</f>
        <v>#REF!</v>
      </c>
      <c r="H2070" s="127" t="str">
        <f t="shared" si="106"/>
        <v/>
      </c>
      <c r="I2070" s="125" t="str">
        <f t="shared" si="107"/>
        <v/>
      </c>
    </row>
    <row r="2071" spans="1:9" hidden="1" x14ac:dyDescent="0.25">
      <c r="A2071" s="103" t="s">
        <v>5706</v>
      </c>
      <c r="B2071" s="104" t="s">
        <v>4498</v>
      </c>
      <c r="C2071" s="105" t="s">
        <v>20</v>
      </c>
      <c r="D2071" s="105">
        <v>0</v>
      </c>
      <c r="E2071" s="124" t="s">
        <v>523</v>
      </c>
      <c r="F2071" s="125" t="str">
        <f t="shared" si="105"/>
        <v/>
      </c>
      <c r="G2071" s="126" t="e">
        <f>IF(A2071&lt;&gt;"",IF(AND(#REF!="Padrão",$H$4=#REF!),BDI!$B$17,IF(AND(#REF!="Padrão",$H$4=#REF!),BDI!#REF!,IF(AND(#REF!="Diferenciado",$H$4=#REF!),BDI!$E$17,IF(AND(#REF!="Diferenciado",$H$4=#REF!),BDI!#REF!,IF(#REF!="ZERO",0))))),"")</f>
        <v>#REF!</v>
      </c>
      <c r="H2071" s="127" t="str">
        <f t="shared" si="106"/>
        <v/>
      </c>
      <c r="I2071" s="125" t="str">
        <f t="shared" si="107"/>
        <v/>
      </c>
    </row>
    <row r="2072" spans="1:9" hidden="1" x14ac:dyDescent="0.25">
      <c r="A2072" s="103" t="s">
        <v>5707</v>
      </c>
      <c r="B2072" s="104" t="s">
        <v>4499</v>
      </c>
      <c r="C2072" s="105" t="s">
        <v>20</v>
      </c>
      <c r="D2072" s="105">
        <v>0</v>
      </c>
      <c r="E2072" s="124" t="s">
        <v>523</v>
      </c>
      <c r="F2072" s="125" t="str">
        <f t="shared" si="105"/>
        <v/>
      </c>
      <c r="G2072" s="126" t="e">
        <f>IF(A2072&lt;&gt;"",IF(AND(#REF!="Padrão",$H$4=#REF!),BDI!$B$17,IF(AND(#REF!="Padrão",$H$4=#REF!),BDI!#REF!,IF(AND(#REF!="Diferenciado",$H$4=#REF!),BDI!$E$17,IF(AND(#REF!="Diferenciado",$H$4=#REF!),BDI!#REF!,IF(#REF!="ZERO",0))))),"")</f>
        <v>#REF!</v>
      </c>
      <c r="H2072" s="127" t="str">
        <f t="shared" si="106"/>
        <v/>
      </c>
      <c r="I2072" s="125" t="str">
        <f t="shared" si="107"/>
        <v/>
      </c>
    </row>
    <row r="2073" spans="1:9" hidden="1" x14ac:dyDescent="0.25">
      <c r="A2073" s="103" t="s">
        <v>5708</v>
      </c>
      <c r="B2073" s="104" t="s">
        <v>4500</v>
      </c>
      <c r="C2073" s="105" t="s">
        <v>20</v>
      </c>
      <c r="D2073" s="105">
        <v>0</v>
      </c>
      <c r="E2073" s="124" t="s">
        <v>523</v>
      </c>
      <c r="F2073" s="125" t="str">
        <f t="shared" si="105"/>
        <v/>
      </c>
      <c r="G2073" s="126" t="e">
        <f>IF(A2073&lt;&gt;"",IF(AND(#REF!="Padrão",$H$4=#REF!),BDI!$B$17,IF(AND(#REF!="Padrão",$H$4=#REF!),BDI!#REF!,IF(AND(#REF!="Diferenciado",$H$4=#REF!),BDI!$E$17,IF(AND(#REF!="Diferenciado",$H$4=#REF!),BDI!#REF!,IF(#REF!="ZERO",0))))),"")</f>
        <v>#REF!</v>
      </c>
      <c r="H2073" s="127" t="str">
        <f t="shared" si="106"/>
        <v/>
      </c>
      <c r="I2073" s="125" t="str">
        <f t="shared" si="107"/>
        <v/>
      </c>
    </row>
    <row r="2074" spans="1:9" hidden="1" x14ac:dyDescent="0.25">
      <c r="A2074" s="103" t="s">
        <v>5709</v>
      </c>
      <c r="B2074" s="104" t="s">
        <v>4501</v>
      </c>
      <c r="C2074" s="105" t="s">
        <v>20</v>
      </c>
      <c r="D2074" s="105">
        <v>0</v>
      </c>
      <c r="E2074" s="124" t="s">
        <v>523</v>
      </c>
      <c r="F2074" s="125" t="str">
        <f t="shared" si="105"/>
        <v/>
      </c>
      <c r="G2074" s="126" t="e">
        <f>IF(A2074&lt;&gt;"",IF(AND(#REF!="Padrão",$H$4=#REF!),BDI!$B$17,IF(AND(#REF!="Padrão",$H$4=#REF!),BDI!#REF!,IF(AND(#REF!="Diferenciado",$H$4=#REF!),BDI!$E$17,IF(AND(#REF!="Diferenciado",$H$4=#REF!),BDI!#REF!,IF(#REF!="ZERO",0))))),"")</f>
        <v>#REF!</v>
      </c>
      <c r="H2074" s="127" t="str">
        <f t="shared" si="106"/>
        <v/>
      </c>
      <c r="I2074" s="125" t="str">
        <f t="shared" si="107"/>
        <v/>
      </c>
    </row>
    <row r="2075" spans="1:9" hidden="1" x14ac:dyDescent="0.25">
      <c r="A2075" s="103" t="s">
        <v>5710</v>
      </c>
      <c r="B2075" s="104" t="s">
        <v>4502</v>
      </c>
      <c r="C2075" s="105" t="s">
        <v>20</v>
      </c>
      <c r="D2075" s="105">
        <v>0</v>
      </c>
      <c r="E2075" s="124" t="s">
        <v>523</v>
      </c>
      <c r="F2075" s="125" t="str">
        <f t="shared" si="105"/>
        <v/>
      </c>
      <c r="G2075" s="126" t="e">
        <f>IF(A2075&lt;&gt;"",IF(AND(#REF!="Padrão",$H$4=#REF!),BDI!$B$17,IF(AND(#REF!="Padrão",$H$4=#REF!),BDI!#REF!,IF(AND(#REF!="Diferenciado",$H$4=#REF!),BDI!$E$17,IF(AND(#REF!="Diferenciado",$H$4=#REF!),BDI!#REF!,IF(#REF!="ZERO",0))))),"")</f>
        <v>#REF!</v>
      </c>
      <c r="H2075" s="127" t="str">
        <f t="shared" si="106"/>
        <v/>
      </c>
      <c r="I2075" s="125" t="str">
        <f t="shared" si="107"/>
        <v/>
      </c>
    </row>
    <row r="2076" spans="1:9" hidden="1" x14ac:dyDescent="0.25">
      <c r="A2076" s="103" t="s">
        <v>5711</v>
      </c>
      <c r="B2076" s="104" t="s">
        <v>4503</v>
      </c>
      <c r="C2076" s="105" t="s">
        <v>20</v>
      </c>
      <c r="D2076" s="105">
        <v>0</v>
      </c>
      <c r="E2076" s="124" t="s">
        <v>523</v>
      </c>
      <c r="F2076" s="125" t="str">
        <f t="shared" si="105"/>
        <v/>
      </c>
      <c r="G2076" s="126" t="e">
        <f>IF(A2076&lt;&gt;"",IF(AND(#REF!="Padrão",$H$4=#REF!),BDI!$B$17,IF(AND(#REF!="Padrão",$H$4=#REF!),BDI!#REF!,IF(AND(#REF!="Diferenciado",$H$4=#REF!),BDI!$E$17,IF(AND(#REF!="Diferenciado",$H$4=#REF!),BDI!#REF!,IF(#REF!="ZERO",0))))),"")</f>
        <v>#REF!</v>
      </c>
      <c r="H2076" s="127" t="str">
        <f t="shared" si="106"/>
        <v/>
      </c>
      <c r="I2076" s="125" t="str">
        <f t="shared" si="107"/>
        <v/>
      </c>
    </row>
    <row r="2077" spans="1:9" hidden="1" x14ac:dyDescent="0.25">
      <c r="A2077" s="103" t="s">
        <v>5712</v>
      </c>
      <c r="B2077" s="104" t="s">
        <v>4504</v>
      </c>
      <c r="C2077" s="105" t="s">
        <v>20</v>
      </c>
      <c r="D2077" s="105">
        <v>0</v>
      </c>
      <c r="E2077" s="124" t="s">
        <v>523</v>
      </c>
      <c r="F2077" s="125" t="str">
        <f t="shared" si="105"/>
        <v/>
      </c>
      <c r="G2077" s="126" t="e">
        <f>IF(A2077&lt;&gt;"",IF(AND(#REF!="Padrão",$H$4=#REF!),BDI!$B$17,IF(AND(#REF!="Padrão",$H$4=#REF!),BDI!#REF!,IF(AND(#REF!="Diferenciado",$H$4=#REF!),BDI!$E$17,IF(AND(#REF!="Diferenciado",$H$4=#REF!),BDI!#REF!,IF(#REF!="ZERO",0))))),"")</f>
        <v>#REF!</v>
      </c>
      <c r="H2077" s="127" t="str">
        <f t="shared" si="106"/>
        <v/>
      </c>
      <c r="I2077" s="125" t="str">
        <f t="shared" si="107"/>
        <v/>
      </c>
    </row>
    <row r="2078" spans="1:9" hidden="1" x14ac:dyDescent="0.25">
      <c r="A2078" s="103" t="s">
        <v>5713</v>
      </c>
      <c r="B2078" s="104" t="s">
        <v>4505</v>
      </c>
      <c r="C2078" s="105" t="s">
        <v>20</v>
      </c>
      <c r="D2078" s="105">
        <v>0</v>
      </c>
      <c r="E2078" s="124" t="s">
        <v>523</v>
      </c>
      <c r="F2078" s="125" t="str">
        <f t="shared" si="105"/>
        <v/>
      </c>
      <c r="G2078" s="126" t="e">
        <f>IF(A2078&lt;&gt;"",IF(AND(#REF!="Padrão",$H$4=#REF!),BDI!$B$17,IF(AND(#REF!="Padrão",$H$4=#REF!),BDI!#REF!,IF(AND(#REF!="Diferenciado",$H$4=#REF!),BDI!$E$17,IF(AND(#REF!="Diferenciado",$H$4=#REF!),BDI!#REF!,IF(#REF!="ZERO",0))))),"")</f>
        <v>#REF!</v>
      </c>
      <c r="H2078" s="127" t="str">
        <f t="shared" si="106"/>
        <v/>
      </c>
      <c r="I2078" s="125" t="str">
        <f t="shared" si="107"/>
        <v/>
      </c>
    </row>
    <row r="2079" spans="1:9" hidden="1" x14ac:dyDescent="0.25">
      <c r="A2079" s="103" t="s">
        <v>5714</v>
      </c>
      <c r="B2079" s="104" t="s">
        <v>4506</v>
      </c>
      <c r="C2079" s="105" t="s">
        <v>20</v>
      </c>
      <c r="D2079" s="105">
        <v>0</v>
      </c>
      <c r="E2079" s="124" t="s">
        <v>523</v>
      </c>
      <c r="F2079" s="125" t="str">
        <f t="shared" si="105"/>
        <v/>
      </c>
      <c r="G2079" s="126" t="e">
        <f>IF(A2079&lt;&gt;"",IF(AND(#REF!="Padrão",$H$4=#REF!),BDI!$B$17,IF(AND(#REF!="Padrão",$H$4=#REF!),BDI!#REF!,IF(AND(#REF!="Diferenciado",$H$4=#REF!),BDI!$E$17,IF(AND(#REF!="Diferenciado",$H$4=#REF!),BDI!#REF!,IF(#REF!="ZERO",0))))),"")</f>
        <v>#REF!</v>
      </c>
      <c r="H2079" s="127" t="str">
        <f t="shared" si="106"/>
        <v/>
      </c>
      <c r="I2079" s="125" t="str">
        <f t="shared" si="107"/>
        <v/>
      </c>
    </row>
    <row r="2080" spans="1:9" hidden="1" x14ac:dyDescent="0.25">
      <c r="A2080" s="103" t="s">
        <v>5715</v>
      </c>
      <c r="B2080" s="104" t="s">
        <v>4507</v>
      </c>
      <c r="C2080" s="105" t="s">
        <v>20</v>
      </c>
      <c r="D2080" s="105">
        <v>0</v>
      </c>
      <c r="E2080" s="124" t="s">
        <v>523</v>
      </c>
      <c r="F2080" s="125" t="str">
        <f t="shared" si="105"/>
        <v/>
      </c>
      <c r="G2080" s="126" t="e">
        <f>IF(A2080&lt;&gt;"",IF(AND(#REF!="Padrão",$H$4=#REF!),BDI!$B$17,IF(AND(#REF!="Padrão",$H$4=#REF!),BDI!#REF!,IF(AND(#REF!="Diferenciado",$H$4=#REF!),BDI!$E$17,IF(AND(#REF!="Diferenciado",$H$4=#REF!),BDI!#REF!,IF(#REF!="ZERO",0))))),"")</f>
        <v>#REF!</v>
      </c>
      <c r="H2080" s="127" t="str">
        <f t="shared" si="106"/>
        <v/>
      </c>
      <c r="I2080" s="125" t="str">
        <f t="shared" si="107"/>
        <v/>
      </c>
    </row>
    <row r="2081" spans="1:9" hidden="1" x14ac:dyDescent="0.25">
      <c r="A2081" s="103" t="s">
        <v>5716</v>
      </c>
      <c r="B2081" s="104" t="s">
        <v>4508</v>
      </c>
      <c r="C2081" s="105" t="s">
        <v>20</v>
      </c>
      <c r="D2081" s="105">
        <v>0</v>
      </c>
      <c r="E2081" s="124">
        <f ca="1">OFFSET(INDEX(Composições!A:J,MATCH(Orçamentária!A2081,Composições!A:A,0),8),2,0)</f>
        <v>1.1019999999999999</v>
      </c>
      <c r="F2081" s="125">
        <f t="shared" ca="1" si="105"/>
        <v>0</v>
      </c>
      <c r="G2081" s="126" t="e">
        <f>IF(A2081&lt;&gt;"",IF(AND(#REF!="Padrão",$H$4=#REF!),BDI!$B$17,IF(AND(#REF!="Padrão",$H$4=#REF!),BDI!#REF!,IF(AND(#REF!="Diferenciado",$H$4=#REF!),BDI!$E$17,IF(AND(#REF!="Diferenciado",$H$4=#REF!),BDI!#REF!,IF(#REF!="ZERO",0))))),"")</f>
        <v>#REF!</v>
      </c>
      <c r="H2081" s="127" t="e">
        <f t="shared" ca="1" si="106"/>
        <v>#REF!</v>
      </c>
      <c r="I2081" s="125" t="e">
        <f t="shared" ca="1" si="107"/>
        <v>#REF!</v>
      </c>
    </row>
    <row r="2082" spans="1:9" hidden="1" x14ac:dyDescent="0.25">
      <c r="A2082" s="103" t="s">
        <v>5717</v>
      </c>
      <c r="B2082" s="104" t="s">
        <v>4509</v>
      </c>
      <c r="C2082" s="105" t="s">
        <v>20</v>
      </c>
      <c r="D2082" s="105">
        <v>0</v>
      </c>
      <c r="E2082" s="124" t="s">
        <v>523</v>
      </c>
      <c r="F2082" s="125" t="str">
        <f t="shared" si="105"/>
        <v/>
      </c>
      <c r="G2082" s="126" t="e">
        <f>IF(A2082&lt;&gt;"",IF(AND(#REF!="Padrão",$H$4=#REF!),BDI!$B$17,IF(AND(#REF!="Padrão",$H$4=#REF!),BDI!#REF!,IF(AND(#REF!="Diferenciado",$H$4=#REF!),BDI!$E$17,IF(AND(#REF!="Diferenciado",$H$4=#REF!),BDI!#REF!,IF(#REF!="ZERO",0))))),"")</f>
        <v>#REF!</v>
      </c>
      <c r="H2082" s="127" t="str">
        <f t="shared" si="106"/>
        <v/>
      </c>
      <c r="I2082" s="125" t="str">
        <f t="shared" si="107"/>
        <v/>
      </c>
    </row>
    <row r="2083" spans="1:9" hidden="1" x14ac:dyDescent="0.25">
      <c r="A2083" s="103" t="s">
        <v>5718</v>
      </c>
      <c r="B2083" s="104" t="s">
        <v>4510</v>
      </c>
      <c r="C2083" s="105" t="s">
        <v>20</v>
      </c>
      <c r="D2083" s="105">
        <v>0</v>
      </c>
      <c r="E2083" s="124" t="s">
        <v>523</v>
      </c>
      <c r="F2083" s="125" t="str">
        <f t="shared" si="105"/>
        <v/>
      </c>
      <c r="G2083" s="126" t="e">
        <f>IF(A2083&lt;&gt;"",IF(AND(#REF!="Padrão",$H$4=#REF!),BDI!$B$17,IF(AND(#REF!="Padrão",$H$4=#REF!),BDI!#REF!,IF(AND(#REF!="Diferenciado",$H$4=#REF!),BDI!$E$17,IF(AND(#REF!="Diferenciado",$H$4=#REF!),BDI!#REF!,IF(#REF!="ZERO",0))))),"")</f>
        <v>#REF!</v>
      </c>
      <c r="H2083" s="127" t="str">
        <f t="shared" si="106"/>
        <v/>
      </c>
      <c r="I2083" s="125" t="str">
        <f t="shared" si="107"/>
        <v/>
      </c>
    </row>
    <row r="2084" spans="1:9" hidden="1" x14ac:dyDescent="0.25">
      <c r="A2084" s="103" t="s">
        <v>5719</v>
      </c>
      <c r="B2084" s="104" t="s">
        <v>4511</v>
      </c>
      <c r="C2084" s="105" t="s">
        <v>93</v>
      </c>
      <c r="D2084" s="105">
        <v>0</v>
      </c>
      <c r="E2084" s="124" t="s">
        <v>523</v>
      </c>
      <c r="F2084" s="125" t="str">
        <f t="shared" si="105"/>
        <v/>
      </c>
      <c r="G2084" s="126" t="e">
        <f>IF(A2084&lt;&gt;"",IF(AND(#REF!="Padrão",$H$4=#REF!),BDI!$B$17,IF(AND(#REF!="Padrão",$H$4=#REF!),BDI!#REF!,IF(AND(#REF!="Diferenciado",$H$4=#REF!),BDI!$E$17,IF(AND(#REF!="Diferenciado",$H$4=#REF!),BDI!#REF!,IF(#REF!="ZERO",0))))),"")</f>
        <v>#REF!</v>
      </c>
      <c r="H2084" s="127" t="str">
        <f t="shared" si="106"/>
        <v/>
      </c>
      <c r="I2084" s="125" t="str">
        <f t="shared" si="107"/>
        <v/>
      </c>
    </row>
    <row r="2085" spans="1:9" hidden="1" x14ac:dyDescent="0.25">
      <c r="A2085" s="103" t="s">
        <v>5720</v>
      </c>
      <c r="B2085" s="104" t="s">
        <v>4512</v>
      </c>
      <c r="C2085" s="105" t="s">
        <v>93</v>
      </c>
      <c r="D2085" s="105">
        <v>0</v>
      </c>
      <c r="E2085" s="124" t="s">
        <v>523</v>
      </c>
      <c r="F2085" s="125" t="str">
        <f t="shared" si="105"/>
        <v/>
      </c>
      <c r="G2085" s="126" t="e">
        <f>IF(A2085&lt;&gt;"",IF(AND(#REF!="Padrão",$H$4=#REF!),BDI!$B$17,IF(AND(#REF!="Padrão",$H$4=#REF!),BDI!#REF!,IF(AND(#REF!="Diferenciado",$H$4=#REF!),BDI!$E$17,IF(AND(#REF!="Diferenciado",$H$4=#REF!),BDI!#REF!,IF(#REF!="ZERO",0))))),"")</f>
        <v>#REF!</v>
      </c>
      <c r="H2085" s="127" t="str">
        <f t="shared" si="106"/>
        <v/>
      </c>
      <c r="I2085" s="125" t="str">
        <f t="shared" si="107"/>
        <v/>
      </c>
    </row>
    <row r="2086" spans="1:9" hidden="1" x14ac:dyDescent="0.25">
      <c r="A2086" s="103" t="s">
        <v>5721</v>
      </c>
      <c r="B2086" s="104" t="s">
        <v>4513</v>
      </c>
      <c r="C2086" s="105" t="s">
        <v>93</v>
      </c>
      <c r="D2086" s="105">
        <v>0</v>
      </c>
      <c r="E2086" s="124" t="s">
        <v>523</v>
      </c>
      <c r="F2086" s="125" t="str">
        <f t="shared" si="105"/>
        <v/>
      </c>
      <c r="G2086" s="126" t="e">
        <f>IF(A2086&lt;&gt;"",IF(AND(#REF!="Padrão",$H$4=#REF!),BDI!$B$17,IF(AND(#REF!="Padrão",$H$4=#REF!),BDI!#REF!,IF(AND(#REF!="Diferenciado",$H$4=#REF!),BDI!$E$17,IF(AND(#REF!="Diferenciado",$H$4=#REF!),BDI!#REF!,IF(#REF!="ZERO",0))))),"")</f>
        <v>#REF!</v>
      </c>
      <c r="H2086" s="127" t="str">
        <f t="shared" si="106"/>
        <v/>
      </c>
      <c r="I2086" s="125" t="str">
        <f t="shared" si="107"/>
        <v/>
      </c>
    </row>
    <row r="2087" spans="1:9" hidden="1" x14ac:dyDescent="0.25">
      <c r="A2087" s="103" t="s">
        <v>5722</v>
      </c>
      <c r="B2087" s="104" t="s">
        <v>6474</v>
      </c>
      <c r="C2087" s="105" t="s">
        <v>20</v>
      </c>
      <c r="D2087" s="105">
        <v>0</v>
      </c>
      <c r="E2087" s="124">
        <f ca="1">OFFSET(INDEX(Composições!A:J,MATCH(Orçamentária!A2087,Composições!A:A,0),8),2,0)</f>
        <v>3.4009999999999998</v>
      </c>
      <c r="F2087" s="125">
        <f t="shared" ca="1" si="105"/>
        <v>0</v>
      </c>
      <c r="G2087" s="126" t="e">
        <f>IF(A2087&lt;&gt;"",IF(AND(#REF!="Padrão",$H$4=#REF!),BDI!$B$17,IF(AND(#REF!="Padrão",$H$4=#REF!),BDI!#REF!,IF(AND(#REF!="Diferenciado",$H$4=#REF!),BDI!$E$17,IF(AND(#REF!="Diferenciado",$H$4=#REF!),BDI!#REF!,IF(#REF!="ZERO",0))))),"")</f>
        <v>#REF!</v>
      </c>
      <c r="H2087" s="127" t="e">
        <f t="shared" ca="1" si="106"/>
        <v>#REF!</v>
      </c>
      <c r="I2087" s="125" t="e">
        <f t="shared" ca="1" si="107"/>
        <v>#REF!</v>
      </c>
    </row>
    <row r="2088" spans="1:9" hidden="1" x14ac:dyDescent="0.25">
      <c r="A2088" s="103" t="s">
        <v>5723</v>
      </c>
      <c r="B2088" s="104" t="s">
        <v>6475</v>
      </c>
      <c r="C2088" s="105" t="s">
        <v>20</v>
      </c>
      <c r="D2088" s="105">
        <v>0</v>
      </c>
      <c r="E2088" s="124">
        <f ca="1">OFFSET(INDEX(Composições!A:J,MATCH(Orçamentária!A2088,Composições!A:A,0),8),2,0)</f>
        <v>6.7545000000000002</v>
      </c>
      <c r="F2088" s="125">
        <f t="shared" ca="1" si="105"/>
        <v>0</v>
      </c>
      <c r="G2088" s="126" t="e">
        <f>IF(A2088&lt;&gt;"",IF(AND(#REF!="Padrão",$H$4=#REF!),BDI!$B$17,IF(AND(#REF!="Padrão",$H$4=#REF!),BDI!#REF!,IF(AND(#REF!="Diferenciado",$H$4=#REF!),BDI!$E$17,IF(AND(#REF!="Diferenciado",$H$4=#REF!),BDI!#REF!,IF(#REF!="ZERO",0))))),"")</f>
        <v>#REF!</v>
      </c>
      <c r="H2088" s="127" t="e">
        <f t="shared" ca="1" si="106"/>
        <v>#REF!</v>
      </c>
      <c r="I2088" s="125" t="e">
        <f t="shared" ca="1" si="107"/>
        <v>#REF!</v>
      </c>
    </row>
    <row r="2089" spans="1:9" hidden="1" x14ac:dyDescent="0.25">
      <c r="A2089" s="103" t="s">
        <v>5724</v>
      </c>
      <c r="B2089" s="104" t="s">
        <v>6476</v>
      </c>
      <c r="C2089" s="105" t="s">
        <v>20</v>
      </c>
      <c r="D2089" s="105">
        <v>0</v>
      </c>
      <c r="E2089" s="124" t="s">
        <v>523</v>
      </c>
      <c r="F2089" s="125" t="str">
        <f t="shared" si="105"/>
        <v/>
      </c>
      <c r="G2089" s="126" t="e">
        <f>IF(A2089&lt;&gt;"",IF(AND(#REF!="Padrão",$H$4=#REF!),BDI!$B$17,IF(AND(#REF!="Padrão",$H$4=#REF!),BDI!#REF!,IF(AND(#REF!="Diferenciado",$H$4=#REF!),BDI!$E$17,IF(AND(#REF!="Diferenciado",$H$4=#REF!),BDI!#REF!,IF(#REF!="ZERO",0))))),"")</f>
        <v>#REF!</v>
      </c>
      <c r="H2089" s="127" t="str">
        <f t="shared" si="106"/>
        <v/>
      </c>
      <c r="I2089" s="125" t="str">
        <f t="shared" si="107"/>
        <v/>
      </c>
    </row>
    <row r="2090" spans="1:9" hidden="1" x14ac:dyDescent="0.25">
      <c r="A2090" s="103" t="s">
        <v>5725</v>
      </c>
      <c r="B2090" s="104" t="s">
        <v>6477</v>
      </c>
      <c r="C2090" s="105" t="s">
        <v>20</v>
      </c>
      <c r="D2090" s="105">
        <v>0</v>
      </c>
      <c r="E2090" s="124" t="s">
        <v>523</v>
      </c>
      <c r="F2090" s="125" t="str">
        <f t="shared" si="105"/>
        <v/>
      </c>
      <c r="G2090" s="126" t="e">
        <f>IF(A2090&lt;&gt;"",IF(AND(#REF!="Padrão",$H$4=#REF!),BDI!$B$17,IF(AND(#REF!="Padrão",$H$4=#REF!),BDI!#REF!,IF(AND(#REF!="Diferenciado",$H$4=#REF!),BDI!$E$17,IF(AND(#REF!="Diferenciado",$H$4=#REF!),BDI!#REF!,IF(#REF!="ZERO",0))))),"")</f>
        <v>#REF!</v>
      </c>
      <c r="H2090" s="127" t="str">
        <f t="shared" si="106"/>
        <v/>
      </c>
      <c r="I2090" s="125" t="str">
        <f t="shared" si="107"/>
        <v/>
      </c>
    </row>
    <row r="2091" spans="1:9" hidden="1" x14ac:dyDescent="0.25">
      <c r="A2091" s="103" t="s">
        <v>5726</v>
      </c>
      <c r="B2091" s="104" t="s">
        <v>6478</v>
      </c>
      <c r="C2091" s="105" t="s">
        <v>20</v>
      </c>
      <c r="D2091" s="105">
        <v>0</v>
      </c>
      <c r="E2091" s="124" t="s">
        <v>523</v>
      </c>
      <c r="F2091" s="125" t="str">
        <f t="shared" si="105"/>
        <v/>
      </c>
      <c r="G2091" s="126" t="e">
        <f>IF(A2091&lt;&gt;"",IF(AND(#REF!="Padrão",$H$4=#REF!),BDI!$B$17,IF(AND(#REF!="Padrão",$H$4=#REF!),BDI!#REF!,IF(AND(#REF!="Diferenciado",$H$4=#REF!),BDI!$E$17,IF(AND(#REF!="Diferenciado",$H$4=#REF!),BDI!#REF!,IF(#REF!="ZERO",0))))),"")</f>
        <v>#REF!</v>
      </c>
      <c r="H2091" s="127" t="str">
        <f t="shared" si="106"/>
        <v/>
      </c>
      <c r="I2091" s="125" t="str">
        <f t="shared" si="107"/>
        <v/>
      </c>
    </row>
    <row r="2092" spans="1:9" hidden="1" x14ac:dyDescent="0.25">
      <c r="A2092" s="103" t="s">
        <v>5727</v>
      </c>
      <c r="B2092" s="104" t="s">
        <v>4514</v>
      </c>
      <c r="C2092" s="105" t="s">
        <v>20</v>
      </c>
      <c r="D2092" s="105">
        <v>0</v>
      </c>
      <c r="E2092" s="124" t="s">
        <v>523</v>
      </c>
      <c r="F2092" s="125" t="str">
        <f t="shared" si="105"/>
        <v/>
      </c>
      <c r="G2092" s="126" t="e">
        <f>IF(A2092&lt;&gt;"",IF(AND(#REF!="Padrão",$H$4=#REF!),BDI!$B$17,IF(AND(#REF!="Padrão",$H$4=#REF!),BDI!#REF!,IF(AND(#REF!="Diferenciado",$H$4=#REF!),BDI!$E$17,IF(AND(#REF!="Diferenciado",$H$4=#REF!),BDI!#REF!,IF(#REF!="ZERO",0))))),"")</f>
        <v>#REF!</v>
      </c>
      <c r="H2092" s="127" t="str">
        <f t="shared" si="106"/>
        <v/>
      </c>
      <c r="I2092" s="125" t="str">
        <f t="shared" si="107"/>
        <v/>
      </c>
    </row>
    <row r="2093" spans="1:9" hidden="1" x14ac:dyDescent="0.25">
      <c r="A2093" s="103" t="s">
        <v>5728</v>
      </c>
      <c r="B2093" s="104" t="s">
        <v>6479</v>
      </c>
      <c r="C2093" s="105" t="s">
        <v>20</v>
      </c>
      <c r="D2093" s="105">
        <v>0</v>
      </c>
      <c r="E2093" s="124" t="s">
        <v>523</v>
      </c>
      <c r="F2093" s="125" t="str">
        <f t="shared" ref="F2093:F2156" si="108">IF(ISNUMBER(E2093),D2093*E2093,"")</f>
        <v/>
      </c>
      <c r="G2093" s="126" t="e">
        <f>IF(A2093&lt;&gt;"",IF(AND(#REF!="Padrão",$H$4=#REF!),BDI!$B$17,IF(AND(#REF!="Padrão",$H$4=#REF!),BDI!#REF!,IF(AND(#REF!="Diferenciado",$H$4=#REF!),BDI!$E$17,IF(AND(#REF!="Diferenciado",$H$4=#REF!),BDI!#REF!,IF(#REF!="ZERO",0))))),"")</f>
        <v>#REF!</v>
      </c>
      <c r="H2093" s="127" t="str">
        <f t="shared" ref="H2093:H2156" si="109">IF(ISNUMBER(E2093),ROUND(E2093*(1+G2093),2),"")</f>
        <v/>
      </c>
      <c r="I2093" s="125" t="str">
        <f t="shared" ref="I2093:I2156" si="110">IF(ISNUMBER(E2093),ROUND(H2093*D2093,2),"")</f>
        <v/>
      </c>
    </row>
    <row r="2094" spans="1:9" hidden="1" x14ac:dyDescent="0.25">
      <c r="A2094" s="103" t="s">
        <v>5729</v>
      </c>
      <c r="B2094" s="104" t="s">
        <v>3665</v>
      </c>
      <c r="C2094" s="105" t="s">
        <v>20</v>
      </c>
      <c r="D2094" s="105">
        <v>0</v>
      </c>
      <c r="E2094" s="124" t="s">
        <v>523</v>
      </c>
      <c r="F2094" s="125" t="str">
        <f t="shared" si="108"/>
        <v/>
      </c>
      <c r="G2094" s="126" t="e">
        <f>IF(A2094&lt;&gt;"",IF(AND(#REF!="Padrão",$H$4=#REF!),BDI!$B$17,IF(AND(#REF!="Padrão",$H$4=#REF!),BDI!#REF!,IF(AND(#REF!="Diferenciado",$H$4=#REF!),BDI!$E$17,IF(AND(#REF!="Diferenciado",$H$4=#REF!),BDI!#REF!,IF(#REF!="ZERO",0))))),"")</f>
        <v>#REF!</v>
      </c>
      <c r="H2094" s="127" t="str">
        <f t="shared" si="109"/>
        <v/>
      </c>
      <c r="I2094" s="125" t="str">
        <f t="shared" si="110"/>
        <v/>
      </c>
    </row>
    <row r="2095" spans="1:9" hidden="1" x14ac:dyDescent="0.25">
      <c r="A2095" s="103" t="s">
        <v>5730</v>
      </c>
      <c r="B2095" s="104" t="s">
        <v>4515</v>
      </c>
      <c r="C2095" s="105" t="s">
        <v>20</v>
      </c>
      <c r="D2095" s="105">
        <v>0</v>
      </c>
      <c r="E2095" s="124" t="s">
        <v>523</v>
      </c>
      <c r="F2095" s="125" t="str">
        <f t="shared" si="108"/>
        <v/>
      </c>
      <c r="G2095" s="126" t="e">
        <f>IF(A2095&lt;&gt;"",IF(AND(#REF!="Padrão",$H$4=#REF!),BDI!$B$17,IF(AND(#REF!="Padrão",$H$4=#REF!),BDI!#REF!,IF(AND(#REF!="Diferenciado",$H$4=#REF!),BDI!$E$17,IF(AND(#REF!="Diferenciado",$H$4=#REF!),BDI!#REF!,IF(#REF!="ZERO",0))))),"")</f>
        <v>#REF!</v>
      </c>
      <c r="H2095" s="127" t="str">
        <f t="shared" si="109"/>
        <v/>
      </c>
      <c r="I2095" s="125" t="str">
        <f t="shared" si="110"/>
        <v/>
      </c>
    </row>
    <row r="2096" spans="1:9" hidden="1" x14ac:dyDescent="0.25">
      <c r="A2096" s="103" t="s">
        <v>5731</v>
      </c>
      <c r="B2096" s="104" t="s">
        <v>4516</v>
      </c>
      <c r="C2096" s="105" t="s">
        <v>20</v>
      </c>
      <c r="D2096" s="105">
        <v>0</v>
      </c>
      <c r="E2096" s="124">
        <f ca="1">OFFSET(INDEX(Composições!A:J,MATCH(Orçamentária!A2096,Composições!A:A,0),8),2,0)</f>
        <v>0</v>
      </c>
      <c r="F2096" s="125">
        <f t="shared" ca="1" si="108"/>
        <v>0</v>
      </c>
      <c r="G2096" s="126" t="e">
        <f>IF(A2096&lt;&gt;"",IF(AND(#REF!="Padrão",$H$4=#REF!),BDI!$B$17,IF(AND(#REF!="Padrão",$H$4=#REF!),BDI!#REF!,IF(AND(#REF!="Diferenciado",$H$4=#REF!),BDI!$E$17,IF(AND(#REF!="Diferenciado",$H$4=#REF!),BDI!#REF!,IF(#REF!="ZERO",0))))),"")</f>
        <v>#REF!</v>
      </c>
      <c r="H2096" s="127" t="e">
        <f t="shared" ca="1" si="109"/>
        <v>#REF!</v>
      </c>
      <c r="I2096" s="125" t="e">
        <f t="shared" ca="1" si="110"/>
        <v>#REF!</v>
      </c>
    </row>
    <row r="2097" spans="1:9" hidden="1" x14ac:dyDescent="0.25">
      <c r="A2097" s="103" t="s">
        <v>5732</v>
      </c>
      <c r="B2097" s="104" t="s">
        <v>6480</v>
      </c>
      <c r="C2097" s="105" t="s">
        <v>20</v>
      </c>
      <c r="D2097" s="105">
        <v>0</v>
      </c>
      <c r="E2097" s="124" t="s">
        <v>523</v>
      </c>
      <c r="F2097" s="125" t="str">
        <f t="shared" si="108"/>
        <v/>
      </c>
      <c r="G2097" s="126" t="e">
        <f>IF(A2097&lt;&gt;"",IF(AND(#REF!="Padrão",$H$4=#REF!),BDI!$B$17,IF(AND(#REF!="Padrão",$H$4=#REF!),BDI!#REF!,IF(AND(#REF!="Diferenciado",$H$4=#REF!),BDI!$E$17,IF(AND(#REF!="Diferenciado",$H$4=#REF!),BDI!#REF!,IF(#REF!="ZERO",0))))),"")</f>
        <v>#REF!</v>
      </c>
      <c r="H2097" s="127" t="str">
        <f t="shared" si="109"/>
        <v/>
      </c>
      <c r="I2097" s="125" t="str">
        <f t="shared" si="110"/>
        <v/>
      </c>
    </row>
    <row r="2098" spans="1:9" hidden="1" x14ac:dyDescent="0.25">
      <c r="A2098" s="103" t="s">
        <v>5733</v>
      </c>
      <c r="B2098" s="104" t="s">
        <v>4517</v>
      </c>
      <c r="C2098" s="105" t="s">
        <v>20</v>
      </c>
      <c r="D2098" s="105">
        <v>0</v>
      </c>
      <c r="E2098" s="124" t="s">
        <v>523</v>
      </c>
      <c r="F2098" s="125" t="str">
        <f t="shared" si="108"/>
        <v/>
      </c>
      <c r="G2098" s="126" t="e">
        <f>IF(A2098&lt;&gt;"",IF(AND(#REF!="Padrão",$H$4=#REF!),BDI!$B$17,IF(AND(#REF!="Padrão",$H$4=#REF!),BDI!#REF!,IF(AND(#REF!="Diferenciado",$H$4=#REF!),BDI!$E$17,IF(AND(#REF!="Diferenciado",$H$4=#REF!),BDI!#REF!,IF(#REF!="ZERO",0))))),"")</f>
        <v>#REF!</v>
      </c>
      <c r="H2098" s="127" t="str">
        <f t="shared" si="109"/>
        <v/>
      </c>
      <c r="I2098" s="125" t="str">
        <f t="shared" si="110"/>
        <v/>
      </c>
    </row>
    <row r="2099" spans="1:9" hidden="1" x14ac:dyDescent="0.25">
      <c r="A2099" s="103" t="s">
        <v>5734</v>
      </c>
      <c r="B2099" s="104" t="s">
        <v>4518</v>
      </c>
      <c r="C2099" s="105" t="s">
        <v>20</v>
      </c>
      <c r="D2099" s="105">
        <v>0</v>
      </c>
      <c r="E2099" s="124">
        <f ca="1">OFFSET(INDEX(Composições!A:J,MATCH(Orçamentária!A2099,Composições!A:A,0),8),2,0)</f>
        <v>4.9494999999999996</v>
      </c>
      <c r="F2099" s="125">
        <f t="shared" ca="1" si="108"/>
        <v>0</v>
      </c>
      <c r="G2099" s="126" t="e">
        <f>IF(A2099&lt;&gt;"",IF(AND(#REF!="Padrão",$H$4=#REF!),BDI!$B$17,IF(AND(#REF!="Padrão",$H$4=#REF!),BDI!#REF!,IF(AND(#REF!="Diferenciado",$H$4=#REF!),BDI!$E$17,IF(AND(#REF!="Diferenciado",$H$4=#REF!),BDI!#REF!,IF(#REF!="ZERO",0))))),"")</f>
        <v>#REF!</v>
      </c>
      <c r="H2099" s="127" t="e">
        <f t="shared" ca="1" si="109"/>
        <v>#REF!</v>
      </c>
      <c r="I2099" s="125" t="e">
        <f t="shared" ca="1" si="110"/>
        <v>#REF!</v>
      </c>
    </row>
    <row r="2100" spans="1:9" hidden="1" x14ac:dyDescent="0.25">
      <c r="A2100" s="103" t="s">
        <v>5735</v>
      </c>
      <c r="B2100" s="104" t="s">
        <v>4519</v>
      </c>
      <c r="C2100" s="105" t="s">
        <v>20</v>
      </c>
      <c r="D2100" s="105">
        <v>0</v>
      </c>
      <c r="E2100" s="124">
        <f ca="1">OFFSET(INDEX(Composições!A:J,MATCH(Orçamentária!A2100,Composições!A:A,0),8),2,0)</f>
        <v>0</v>
      </c>
      <c r="F2100" s="125">
        <f t="shared" ca="1" si="108"/>
        <v>0</v>
      </c>
      <c r="G2100" s="126" t="e">
        <f>IF(A2100&lt;&gt;"",IF(AND(#REF!="Padrão",$H$4=#REF!),BDI!$B$17,IF(AND(#REF!="Padrão",$H$4=#REF!),BDI!#REF!,IF(AND(#REF!="Diferenciado",$H$4=#REF!),BDI!$E$17,IF(AND(#REF!="Diferenciado",$H$4=#REF!),BDI!#REF!,IF(#REF!="ZERO",0))))),"")</f>
        <v>#REF!</v>
      </c>
      <c r="H2100" s="127" t="e">
        <f t="shared" ca="1" si="109"/>
        <v>#REF!</v>
      </c>
      <c r="I2100" s="125" t="e">
        <f t="shared" ca="1" si="110"/>
        <v>#REF!</v>
      </c>
    </row>
    <row r="2101" spans="1:9" hidden="1" x14ac:dyDescent="0.25">
      <c r="A2101" s="103" t="s">
        <v>5736</v>
      </c>
      <c r="B2101" s="104" t="s">
        <v>6481</v>
      </c>
      <c r="C2101" s="105" t="s">
        <v>20</v>
      </c>
      <c r="D2101" s="105">
        <v>0</v>
      </c>
      <c r="E2101" s="124" t="s">
        <v>523</v>
      </c>
      <c r="F2101" s="125" t="str">
        <f t="shared" si="108"/>
        <v/>
      </c>
      <c r="G2101" s="126" t="e">
        <f>IF(A2101&lt;&gt;"",IF(AND(#REF!="Padrão",$H$4=#REF!),BDI!$B$17,IF(AND(#REF!="Padrão",$H$4=#REF!),BDI!#REF!,IF(AND(#REF!="Diferenciado",$H$4=#REF!),BDI!$E$17,IF(AND(#REF!="Diferenciado",$H$4=#REF!),BDI!#REF!,IF(#REF!="ZERO",0))))),"")</f>
        <v>#REF!</v>
      </c>
      <c r="H2101" s="127" t="str">
        <f t="shared" si="109"/>
        <v/>
      </c>
      <c r="I2101" s="125" t="str">
        <f t="shared" si="110"/>
        <v/>
      </c>
    </row>
    <row r="2102" spans="1:9" hidden="1" x14ac:dyDescent="0.25">
      <c r="A2102" s="103" t="s">
        <v>5737</v>
      </c>
      <c r="B2102" s="104" t="s">
        <v>4520</v>
      </c>
      <c r="C2102" s="105" t="s">
        <v>20</v>
      </c>
      <c r="D2102" s="105">
        <v>0</v>
      </c>
      <c r="E2102" s="124" t="s">
        <v>523</v>
      </c>
      <c r="F2102" s="125" t="str">
        <f t="shared" si="108"/>
        <v/>
      </c>
      <c r="G2102" s="126" t="e">
        <f>IF(A2102&lt;&gt;"",IF(AND(#REF!="Padrão",$H$4=#REF!),BDI!$B$17,IF(AND(#REF!="Padrão",$H$4=#REF!),BDI!#REF!,IF(AND(#REF!="Diferenciado",$H$4=#REF!),BDI!$E$17,IF(AND(#REF!="Diferenciado",$H$4=#REF!),BDI!#REF!,IF(#REF!="ZERO",0))))),"")</f>
        <v>#REF!</v>
      </c>
      <c r="H2102" s="127" t="str">
        <f t="shared" si="109"/>
        <v/>
      </c>
      <c r="I2102" s="125" t="str">
        <f t="shared" si="110"/>
        <v/>
      </c>
    </row>
    <row r="2103" spans="1:9" hidden="1" x14ac:dyDescent="0.25">
      <c r="A2103" s="103" t="s">
        <v>5738</v>
      </c>
      <c r="B2103" s="104" t="s">
        <v>6482</v>
      </c>
      <c r="C2103" s="105" t="s">
        <v>20</v>
      </c>
      <c r="D2103" s="105">
        <v>0</v>
      </c>
      <c r="E2103" s="124" t="s">
        <v>523</v>
      </c>
      <c r="F2103" s="125" t="str">
        <f t="shared" si="108"/>
        <v/>
      </c>
      <c r="G2103" s="126" t="e">
        <f>IF(A2103&lt;&gt;"",IF(AND(#REF!="Padrão",$H$4=#REF!),BDI!$B$17,IF(AND(#REF!="Padrão",$H$4=#REF!),BDI!#REF!,IF(AND(#REF!="Diferenciado",$H$4=#REF!),BDI!$E$17,IF(AND(#REF!="Diferenciado",$H$4=#REF!),BDI!#REF!,IF(#REF!="ZERO",0))))),"")</f>
        <v>#REF!</v>
      </c>
      <c r="H2103" s="127" t="str">
        <f t="shared" si="109"/>
        <v/>
      </c>
      <c r="I2103" s="125" t="str">
        <f t="shared" si="110"/>
        <v/>
      </c>
    </row>
    <row r="2104" spans="1:9" hidden="1" x14ac:dyDescent="0.25">
      <c r="A2104" s="103" t="s">
        <v>5739</v>
      </c>
      <c r="B2104" s="104" t="s">
        <v>6483</v>
      </c>
      <c r="C2104" s="105" t="s">
        <v>20</v>
      </c>
      <c r="D2104" s="105">
        <v>0</v>
      </c>
      <c r="E2104" s="124">
        <f ca="1">OFFSET(INDEX(Composições!A:J,MATCH(Orçamentária!A2104,Composições!A:A,0),8),2,0)</f>
        <v>33.012499999999996</v>
      </c>
      <c r="F2104" s="125">
        <f t="shared" ca="1" si="108"/>
        <v>0</v>
      </c>
      <c r="G2104" s="126" t="e">
        <f>IF(A2104&lt;&gt;"",IF(AND(#REF!="Padrão",$H$4=#REF!),BDI!$B$17,IF(AND(#REF!="Padrão",$H$4=#REF!),BDI!#REF!,IF(AND(#REF!="Diferenciado",$H$4=#REF!),BDI!$E$17,IF(AND(#REF!="Diferenciado",$H$4=#REF!),BDI!#REF!,IF(#REF!="ZERO",0))))),"")</f>
        <v>#REF!</v>
      </c>
      <c r="H2104" s="127" t="e">
        <f t="shared" ca="1" si="109"/>
        <v>#REF!</v>
      </c>
      <c r="I2104" s="125" t="e">
        <f t="shared" ca="1" si="110"/>
        <v>#REF!</v>
      </c>
    </row>
    <row r="2105" spans="1:9" hidden="1" x14ac:dyDescent="0.25">
      <c r="A2105" s="103" t="s">
        <v>5740</v>
      </c>
      <c r="B2105" s="104" t="s">
        <v>4521</v>
      </c>
      <c r="C2105" s="105" t="s">
        <v>20</v>
      </c>
      <c r="D2105" s="105">
        <v>0</v>
      </c>
      <c r="E2105" s="124" t="s">
        <v>523</v>
      </c>
      <c r="F2105" s="125" t="str">
        <f t="shared" si="108"/>
        <v/>
      </c>
      <c r="G2105" s="126" t="e">
        <f>IF(A2105&lt;&gt;"",IF(AND(#REF!="Padrão",$H$4=#REF!),BDI!$B$17,IF(AND(#REF!="Padrão",$H$4=#REF!),BDI!#REF!,IF(AND(#REF!="Diferenciado",$H$4=#REF!),BDI!$E$17,IF(AND(#REF!="Diferenciado",$H$4=#REF!),BDI!#REF!,IF(#REF!="ZERO",0))))),"")</f>
        <v>#REF!</v>
      </c>
      <c r="H2105" s="127" t="str">
        <f t="shared" si="109"/>
        <v/>
      </c>
      <c r="I2105" s="125" t="str">
        <f t="shared" si="110"/>
        <v/>
      </c>
    </row>
    <row r="2106" spans="1:9" hidden="1" x14ac:dyDescent="0.25">
      <c r="A2106" s="103" t="s">
        <v>5741</v>
      </c>
      <c r="B2106" s="104" t="s">
        <v>4522</v>
      </c>
      <c r="C2106" s="105" t="s">
        <v>20</v>
      </c>
      <c r="D2106" s="105">
        <v>0</v>
      </c>
      <c r="E2106" s="124" t="s">
        <v>523</v>
      </c>
      <c r="F2106" s="125" t="str">
        <f t="shared" si="108"/>
        <v/>
      </c>
      <c r="G2106" s="126" t="e">
        <f>IF(A2106&lt;&gt;"",IF(AND(#REF!="Padrão",$H$4=#REF!),BDI!$B$17,IF(AND(#REF!="Padrão",$H$4=#REF!),BDI!#REF!,IF(AND(#REF!="Diferenciado",$H$4=#REF!),BDI!$E$17,IF(AND(#REF!="Diferenciado",$H$4=#REF!),BDI!#REF!,IF(#REF!="ZERO",0))))),"")</f>
        <v>#REF!</v>
      </c>
      <c r="H2106" s="127" t="str">
        <f t="shared" si="109"/>
        <v/>
      </c>
      <c r="I2106" s="125" t="str">
        <f t="shared" si="110"/>
        <v/>
      </c>
    </row>
    <row r="2107" spans="1:9" hidden="1" x14ac:dyDescent="0.25">
      <c r="A2107" s="103" t="s">
        <v>5742</v>
      </c>
      <c r="B2107" s="104" t="s">
        <v>4523</v>
      </c>
      <c r="C2107" s="105" t="s">
        <v>20</v>
      </c>
      <c r="D2107" s="105">
        <v>0</v>
      </c>
      <c r="E2107" s="124" t="s">
        <v>523</v>
      </c>
      <c r="F2107" s="125" t="str">
        <f t="shared" si="108"/>
        <v/>
      </c>
      <c r="G2107" s="126" t="e">
        <f>IF(A2107&lt;&gt;"",IF(AND(#REF!="Padrão",$H$4=#REF!),BDI!$B$17,IF(AND(#REF!="Padrão",$H$4=#REF!),BDI!#REF!,IF(AND(#REF!="Diferenciado",$H$4=#REF!),BDI!$E$17,IF(AND(#REF!="Diferenciado",$H$4=#REF!),BDI!#REF!,IF(#REF!="ZERO",0))))),"")</f>
        <v>#REF!</v>
      </c>
      <c r="H2107" s="127" t="str">
        <f t="shared" si="109"/>
        <v/>
      </c>
      <c r="I2107" s="125" t="str">
        <f t="shared" si="110"/>
        <v/>
      </c>
    </row>
    <row r="2108" spans="1:9" hidden="1" x14ac:dyDescent="0.25">
      <c r="A2108" s="103" t="s">
        <v>5743</v>
      </c>
      <c r="B2108" s="104" t="s">
        <v>4524</v>
      </c>
      <c r="C2108" s="105" t="s">
        <v>20</v>
      </c>
      <c r="D2108" s="105">
        <v>0</v>
      </c>
      <c r="E2108" s="124" t="s">
        <v>523</v>
      </c>
      <c r="F2108" s="125" t="str">
        <f t="shared" si="108"/>
        <v/>
      </c>
      <c r="G2108" s="126" t="e">
        <f>IF(A2108&lt;&gt;"",IF(AND(#REF!="Padrão",$H$4=#REF!),BDI!$B$17,IF(AND(#REF!="Padrão",$H$4=#REF!),BDI!#REF!,IF(AND(#REF!="Diferenciado",$H$4=#REF!),BDI!$E$17,IF(AND(#REF!="Diferenciado",$H$4=#REF!),BDI!#REF!,IF(#REF!="ZERO",0))))),"")</f>
        <v>#REF!</v>
      </c>
      <c r="H2108" s="127" t="str">
        <f t="shared" si="109"/>
        <v/>
      </c>
      <c r="I2108" s="125" t="str">
        <f t="shared" si="110"/>
        <v/>
      </c>
    </row>
    <row r="2109" spans="1:9" hidden="1" x14ac:dyDescent="0.25">
      <c r="A2109" s="103" t="s">
        <v>5744</v>
      </c>
      <c r="B2109" s="104" t="s">
        <v>4525</v>
      </c>
      <c r="C2109" s="105" t="s">
        <v>20</v>
      </c>
      <c r="D2109" s="105">
        <v>0</v>
      </c>
      <c r="E2109" s="124" t="s">
        <v>523</v>
      </c>
      <c r="F2109" s="125" t="str">
        <f t="shared" si="108"/>
        <v/>
      </c>
      <c r="G2109" s="126" t="e">
        <f>IF(A2109&lt;&gt;"",IF(AND(#REF!="Padrão",$H$4=#REF!),BDI!$B$17,IF(AND(#REF!="Padrão",$H$4=#REF!),BDI!#REF!,IF(AND(#REF!="Diferenciado",$H$4=#REF!),BDI!$E$17,IF(AND(#REF!="Diferenciado",$H$4=#REF!),BDI!#REF!,IF(#REF!="ZERO",0))))),"")</f>
        <v>#REF!</v>
      </c>
      <c r="H2109" s="127" t="str">
        <f t="shared" si="109"/>
        <v/>
      </c>
      <c r="I2109" s="125" t="str">
        <f t="shared" si="110"/>
        <v/>
      </c>
    </row>
    <row r="2110" spans="1:9" hidden="1" x14ac:dyDescent="0.25">
      <c r="A2110" s="103" t="s">
        <v>5745</v>
      </c>
      <c r="B2110" s="104" t="s">
        <v>4526</v>
      </c>
      <c r="C2110" s="105" t="s">
        <v>5022</v>
      </c>
      <c r="D2110" s="105">
        <v>0</v>
      </c>
      <c r="E2110" s="124" t="s">
        <v>523</v>
      </c>
      <c r="F2110" s="125" t="str">
        <f t="shared" si="108"/>
        <v/>
      </c>
      <c r="G2110" s="126" t="e">
        <f>IF(A2110&lt;&gt;"",IF(AND(#REF!="Padrão",$H$4=#REF!),BDI!$B$17,IF(AND(#REF!="Padrão",$H$4=#REF!),BDI!#REF!,IF(AND(#REF!="Diferenciado",$H$4=#REF!),BDI!$E$17,IF(AND(#REF!="Diferenciado",$H$4=#REF!),BDI!#REF!,IF(#REF!="ZERO",0))))),"")</f>
        <v>#REF!</v>
      </c>
      <c r="H2110" s="127" t="str">
        <f t="shared" si="109"/>
        <v/>
      </c>
      <c r="I2110" s="125" t="str">
        <f t="shared" si="110"/>
        <v/>
      </c>
    </row>
    <row r="2111" spans="1:9" hidden="1" x14ac:dyDescent="0.25">
      <c r="A2111" s="103" t="s">
        <v>5746</v>
      </c>
      <c r="B2111" s="104" t="s">
        <v>4527</v>
      </c>
      <c r="C2111" s="105" t="s">
        <v>5022</v>
      </c>
      <c r="D2111" s="105">
        <v>0</v>
      </c>
      <c r="E2111" s="124" t="s">
        <v>523</v>
      </c>
      <c r="F2111" s="125" t="str">
        <f t="shared" si="108"/>
        <v/>
      </c>
      <c r="G2111" s="126" t="e">
        <f>IF(A2111&lt;&gt;"",IF(AND(#REF!="Padrão",$H$4=#REF!),BDI!$B$17,IF(AND(#REF!="Padrão",$H$4=#REF!),BDI!#REF!,IF(AND(#REF!="Diferenciado",$H$4=#REF!),BDI!$E$17,IF(AND(#REF!="Diferenciado",$H$4=#REF!),BDI!#REF!,IF(#REF!="ZERO",0))))),"")</f>
        <v>#REF!</v>
      </c>
      <c r="H2111" s="127" t="str">
        <f t="shared" si="109"/>
        <v/>
      </c>
      <c r="I2111" s="125" t="str">
        <f t="shared" si="110"/>
        <v/>
      </c>
    </row>
    <row r="2112" spans="1:9" hidden="1" x14ac:dyDescent="0.25">
      <c r="A2112" s="103" t="s">
        <v>5747</v>
      </c>
      <c r="B2112" s="104" t="s">
        <v>4528</v>
      </c>
      <c r="C2112" s="105" t="s">
        <v>5022</v>
      </c>
      <c r="D2112" s="105">
        <v>0</v>
      </c>
      <c r="E2112" s="124" t="s">
        <v>523</v>
      </c>
      <c r="F2112" s="125" t="str">
        <f t="shared" si="108"/>
        <v/>
      </c>
      <c r="G2112" s="126" t="e">
        <f>IF(A2112&lt;&gt;"",IF(AND(#REF!="Padrão",$H$4=#REF!),BDI!$B$17,IF(AND(#REF!="Padrão",$H$4=#REF!),BDI!#REF!,IF(AND(#REF!="Diferenciado",$H$4=#REF!),BDI!$E$17,IF(AND(#REF!="Diferenciado",$H$4=#REF!),BDI!#REF!,IF(#REF!="ZERO",0))))),"")</f>
        <v>#REF!</v>
      </c>
      <c r="H2112" s="127" t="str">
        <f t="shared" si="109"/>
        <v/>
      </c>
      <c r="I2112" s="125" t="str">
        <f t="shared" si="110"/>
        <v/>
      </c>
    </row>
    <row r="2113" spans="1:9" hidden="1" x14ac:dyDescent="0.25">
      <c r="A2113" s="103" t="s">
        <v>5748</v>
      </c>
      <c r="B2113" s="104" t="s">
        <v>4529</v>
      </c>
      <c r="C2113" s="105" t="s">
        <v>5022</v>
      </c>
      <c r="D2113" s="105">
        <v>0</v>
      </c>
      <c r="E2113" s="124" t="s">
        <v>523</v>
      </c>
      <c r="F2113" s="125" t="str">
        <f t="shared" si="108"/>
        <v/>
      </c>
      <c r="G2113" s="126" t="e">
        <f>IF(A2113&lt;&gt;"",IF(AND(#REF!="Padrão",$H$4=#REF!),BDI!$B$17,IF(AND(#REF!="Padrão",$H$4=#REF!),BDI!#REF!,IF(AND(#REF!="Diferenciado",$H$4=#REF!),BDI!$E$17,IF(AND(#REF!="Diferenciado",$H$4=#REF!),BDI!#REF!,IF(#REF!="ZERO",0))))),"")</f>
        <v>#REF!</v>
      </c>
      <c r="H2113" s="127" t="str">
        <f t="shared" si="109"/>
        <v/>
      </c>
      <c r="I2113" s="125" t="str">
        <f t="shared" si="110"/>
        <v/>
      </c>
    </row>
    <row r="2114" spans="1:9" hidden="1" x14ac:dyDescent="0.25">
      <c r="A2114" s="103" t="s">
        <v>5749</v>
      </c>
      <c r="B2114" s="104" t="s">
        <v>4530</v>
      </c>
      <c r="C2114" s="105" t="s">
        <v>20</v>
      </c>
      <c r="D2114" s="105">
        <v>0</v>
      </c>
      <c r="E2114" s="124" t="s">
        <v>523</v>
      </c>
      <c r="F2114" s="125" t="str">
        <f t="shared" si="108"/>
        <v/>
      </c>
      <c r="G2114" s="126" t="e">
        <f>IF(A2114&lt;&gt;"",IF(AND(#REF!="Padrão",$H$4=#REF!),BDI!$B$17,IF(AND(#REF!="Padrão",$H$4=#REF!),BDI!#REF!,IF(AND(#REF!="Diferenciado",$H$4=#REF!),BDI!$E$17,IF(AND(#REF!="Diferenciado",$H$4=#REF!),BDI!#REF!,IF(#REF!="ZERO",0))))),"")</f>
        <v>#REF!</v>
      </c>
      <c r="H2114" s="127" t="str">
        <f t="shared" si="109"/>
        <v/>
      </c>
      <c r="I2114" s="125" t="str">
        <f t="shared" si="110"/>
        <v/>
      </c>
    </row>
    <row r="2115" spans="1:9" hidden="1" x14ac:dyDescent="0.25">
      <c r="A2115" s="103" t="s">
        <v>5750</v>
      </c>
      <c r="B2115" s="104" t="s">
        <v>4531</v>
      </c>
      <c r="C2115" s="105" t="s">
        <v>20</v>
      </c>
      <c r="D2115" s="105">
        <v>0</v>
      </c>
      <c r="E2115" s="124" t="s">
        <v>523</v>
      </c>
      <c r="F2115" s="125" t="str">
        <f t="shared" si="108"/>
        <v/>
      </c>
      <c r="G2115" s="126" t="e">
        <f>IF(A2115&lt;&gt;"",IF(AND(#REF!="Padrão",$H$4=#REF!),BDI!$B$17,IF(AND(#REF!="Padrão",$H$4=#REF!),BDI!#REF!,IF(AND(#REF!="Diferenciado",$H$4=#REF!),BDI!$E$17,IF(AND(#REF!="Diferenciado",$H$4=#REF!),BDI!#REF!,IF(#REF!="ZERO",0))))),"")</f>
        <v>#REF!</v>
      </c>
      <c r="H2115" s="127" t="str">
        <f t="shared" si="109"/>
        <v/>
      </c>
      <c r="I2115" s="125" t="str">
        <f t="shared" si="110"/>
        <v/>
      </c>
    </row>
    <row r="2116" spans="1:9" hidden="1" x14ac:dyDescent="0.25">
      <c r="A2116" s="103" t="s">
        <v>5751</v>
      </c>
      <c r="B2116" s="104" t="s">
        <v>4532</v>
      </c>
      <c r="C2116" s="105" t="s">
        <v>20</v>
      </c>
      <c r="D2116" s="105">
        <v>0</v>
      </c>
      <c r="E2116" s="124" t="s">
        <v>523</v>
      </c>
      <c r="F2116" s="125" t="str">
        <f t="shared" si="108"/>
        <v/>
      </c>
      <c r="G2116" s="126" t="e">
        <f>IF(A2116&lt;&gt;"",IF(AND(#REF!="Padrão",$H$4=#REF!),BDI!$B$17,IF(AND(#REF!="Padrão",$H$4=#REF!),BDI!#REF!,IF(AND(#REF!="Diferenciado",$H$4=#REF!),BDI!$E$17,IF(AND(#REF!="Diferenciado",$H$4=#REF!),BDI!#REF!,IF(#REF!="ZERO",0))))),"")</f>
        <v>#REF!</v>
      </c>
      <c r="H2116" s="127" t="str">
        <f t="shared" si="109"/>
        <v/>
      </c>
      <c r="I2116" s="125" t="str">
        <f t="shared" si="110"/>
        <v/>
      </c>
    </row>
    <row r="2117" spans="1:9" hidden="1" x14ac:dyDescent="0.25">
      <c r="A2117" s="103" t="s">
        <v>5752</v>
      </c>
      <c r="B2117" s="104" t="s">
        <v>4533</v>
      </c>
      <c r="C2117" s="105" t="s">
        <v>20</v>
      </c>
      <c r="D2117" s="105">
        <v>0</v>
      </c>
      <c r="E2117" s="124" t="s">
        <v>523</v>
      </c>
      <c r="F2117" s="125" t="str">
        <f t="shared" si="108"/>
        <v/>
      </c>
      <c r="G2117" s="126" t="e">
        <f>IF(A2117&lt;&gt;"",IF(AND(#REF!="Padrão",$H$4=#REF!),BDI!$B$17,IF(AND(#REF!="Padrão",$H$4=#REF!),BDI!#REF!,IF(AND(#REF!="Diferenciado",$H$4=#REF!),BDI!$E$17,IF(AND(#REF!="Diferenciado",$H$4=#REF!),BDI!#REF!,IF(#REF!="ZERO",0))))),"")</f>
        <v>#REF!</v>
      </c>
      <c r="H2117" s="127" t="str">
        <f t="shared" si="109"/>
        <v/>
      </c>
      <c r="I2117" s="125" t="str">
        <f t="shared" si="110"/>
        <v/>
      </c>
    </row>
    <row r="2118" spans="1:9" hidden="1" x14ac:dyDescent="0.25">
      <c r="A2118" s="103" t="s">
        <v>5753</v>
      </c>
      <c r="B2118" s="104" t="s">
        <v>6484</v>
      </c>
      <c r="C2118" s="105" t="s">
        <v>20</v>
      </c>
      <c r="D2118" s="105">
        <v>0</v>
      </c>
      <c r="E2118" s="124" t="s">
        <v>523</v>
      </c>
      <c r="F2118" s="125" t="str">
        <f t="shared" si="108"/>
        <v/>
      </c>
      <c r="G2118" s="126" t="e">
        <f>IF(A2118&lt;&gt;"",IF(AND(#REF!="Padrão",$H$4=#REF!),BDI!$B$17,IF(AND(#REF!="Padrão",$H$4=#REF!),BDI!#REF!,IF(AND(#REF!="Diferenciado",$H$4=#REF!),BDI!$E$17,IF(AND(#REF!="Diferenciado",$H$4=#REF!),BDI!#REF!,IF(#REF!="ZERO",0))))),"")</f>
        <v>#REF!</v>
      </c>
      <c r="H2118" s="127" t="str">
        <f t="shared" si="109"/>
        <v/>
      </c>
      <c r="I2118" s="125" t="str">
        <f t="shared" si="110"/>
        <v/>
      </c>
    </row>
    <row r="2119" spans="1:9" hidden="1" x14ac:dyDescent="0.25">
      <c r="A2119" s="103" t="s">
        <v>5754</v>
      </c>
      <c r="B2119" s="104" t="s">
        <v>6485</v>
      </c>
      <c r="C2119" s="105" t="s">
        <v>20</v>
      </c>
      <c r="D2119" s="105">
        <v>0</v>
      </c>
      <c r="E2119" s="124" t="s">
        <v>523</v>
      </c>
      <c r="F2119" s="125" t="str">
        <f t="shared" si="108"/>
        <v/>
      </c>
      <c r="G2119" s="126" t="e">
        <f>IF(A2119&lt;&gt;"",IF(AND(#REF!="Padrão",$H$4=#REF!),BDI!$B$17,IF(AND(#REF!="Padrão",$H$4=#REF!),BDI!#REF!,IF(AND(#REF!="Diferenciado",$H$4=#REF!),BDI!$E$17,IF(AND(#REF!="Diferenciado",$H$4=#REF!),BDI!#REF!,IF(#REF!="ZERO",0))))),"")</f>
        <v>#REF!</v>
      </c>
      <c r="H2119" s="127" t="str">
        <f t="shared" si="109"/>
        <v/>
      </c>
      <c r="I2119" s="125" t="str">
        <f t="shared" si="110"/>
        <v/>
      </c>
    </row>
    <row r="2120" spans="1:9" hidden="1" x14ac:dyDescent="0.25">
      <c r="A2120" s="103" t="s">
        <v>5755</v>
      </c>
      <c r="B2120" s="104" t="s">
        <v>6486</v>
      </c>
      <c r="C2120" s="105" t="s">
        <v>20</v>
      </c>
      <c r="D2120" s="105">
        <v>0</v>
      </c>
      <c r="E2120" s="124" t="s">
        <v>523</v>
      </c>
      <c r="F2120" s="125" t="str">
        <f t="shared" si="108"/>
        <v/>
      </c>
      <c r="G2120" s="126" t="e">
        <f>IF(A2120&lt;&gt;"",IF(AND(#REF!="Padrão",$H$4=#REF!),BDI!$B$17,IF(AND(#REF!="Padrão",$H$4=#REF!),BDI!#REF!,IF(AND(#REF!="Diferenciado",$H$4=#REF!),BDI!$E$17,IF(AND(#REF!="Diferenciado",$H$4=#REF!),BDI!#REF!,IF(#REF!="ZERO",0))))),"")</f>
        <v>#REF!</v>
      </c>
      <c r="H2120" s="127" t="str">
        <f t="shared" si="109"/>
        <v/>
      </c>
      <c r="I2120" s="125" t="str">
        <f t="shared" si="110"/>
        <v/>
      </c>
    </row>
    <row r="2121" spans="1:9" hidden="1" x14ac:dyDescent="0.25">
      <c r="A2121" s="103" t="s">
        <v>5756</v>
      </c>
      <c r="B2121" s="104" t="s">
        <v>4534</v>
      </c>
      <c r="C2121" s="105" t="s">
        <v>20</v>
      </c>
      <c r="D2121" s="105">
        <v>0</v>
      </c>
      <c r="E2121" s="124" t="s">
        <v>523</v>
      </c>
      <c r="F2121" s="125" t="str">
        <f t="shared" si="108"/>
        <v/>
      </c>
      <c r="G2121" s="126" t="e">
        <f>IF(A2121&lt;&gt;"",IF(AND(#REF!="Padrão",$H$4=#REF!),BDI!$B$17,IF(AND(#REF!="Padrão",$H$4=#REF!),BDI!#REF!,IF(AND(#REF!="Diferenciado",$H$4=#REF!),BDI!$E$17,IF(AND(#REF!="Diferenciado",$H$4=#REF!),BDI!#REF!,IF(#REF!="ZERO",0))))),"")</f>
        <v>#REF!</v>
      </c>
      <c r="H2121" s="127" t="str">
        <f t="shared" si="109"/>
        <v/>
      </c>
      <c r="I2121" s="125" t="str">
        <f t="shared" si="110"/>
        <v/>
      </c>
    </row>
    <row r="2122" spans="1:9" hidden="1" x14ac:dyDescent="0.25">
      <c r="A2122" s="103" t="s">
        <v>5757</v>
      </c>
      <c r="B2122" s="104" t="s">
        <v>4535</v>
      </c>
      <c r="C2122" s="105" t="s">
        <v>20</v>
      </c>
      <c r="D2122" s="105">
        <v>0</v>
      </c>
      <c r="E2122" s="124" t="s">
        <v>523</v>
      </c>
      <c r="F2122" s="125" t="str">
        <f t="shared" si="108"/>
        <v/>
      </c>
      <c r="G2122" s="126" t="e">
        <f>IF(A2122&lt;&gt;"",IF(AND(#REF!="Padrão",$H$4=#REF!),BDI!$B$17,IF(AND(#REF!="Padrão",$H$4=#REF!),BDI!#REF!,IF(AND(#REF!="Diferenciado",$H$4=#REF!),BDI!$E$17,IF(AND(#REF!="Diferenciado",$H$4=#REF!),BDI!#REF!,IF(#REF!="ZERO",0))))),"")</f>
        <v>#REF!</v>
      </c>
      <c r="H2122" s="127" t="str">
        <f t="shared" si="109"/>
        <v/>
      </c>
      <c r="I2122" s="125" t="str">
        <f t="shared" si="110"/>
        <v/>
      </c>
    </row>
    <row r="2123" spans="1:9" hidden="1" x14ac:dyDescent="0.25">
      <c r="A2123" s="103" t="s">
        <v>5758</v>
      </c>
      <c r="B2123" s="104" t="s">
        <v>6487</v>
      </c>
      <c r="C2123" s="105" t="s">
        <v>20</v>
      </c>
      <c r="D2123" s="105">
        <v>0</v>
      </c>
      <c r="E2123" s="124" t="s">
        <v>523</v>
      </c>
      <c r="F2123" s="125" t="str">
        <f t="shared" si="108"/>
        <v/>
      </c>
      <c r="G2123" s="126" t="e">
        <f>IF(A2123&lt;&gt;"",IF(AND(#REF!="Padrão",$H$4=#REF!),BDI!$B$17,IF(AND(#REF!="Padrão",$H$4=#REF!),BDI!#REF!,IF(AND(#REF!="Diferenciado",$H$4=#REF!),BDI!$E$17,IF(AND(#REF!="Diferenciado",$H$4=#REF!),BDI!#REF!,IF(#REF!="ZERO",0))))),"")</f>
        <v>#REF!</v>
      </c>
      <c r="H2123" s="127" t="str">
        <f t="shared" si="109"/>
        <v/>
      </c>
      <c r="I2123" s="125" t="str">
        <f t="shared" si="110"/>
        <v/>
      </c>
    </row>
    <row r="2124" spans="1:9" hidden="1" x14ac:dyDescent="0.25">
      <c r="A2124" s="103" t="s">
        <v>5759</v>
      </c>
      <c r="B2124" s="104" t="s">
        <v>6488</v>
      </c>
      <c r="C2124" s="105" t="s">
        <v>20</v>
      </c>
      <c r="D2124" s="105">
        <v>0</v>
      </c>
      <c r="E2124" s="124" t="s">
        <v>523</v>
      </c>
      <c r="F2124" s="125" t="str">
        <f t="shared" si="108"/>
        <v/>
      </c>
      <c r="G2124" s="126" t="e">
        <f>IF(A2124&lt;&gt;"",IF(AND(#REF!="Padrão",$H$4=#REF!),BDI!$B$17,IF(AND(#REF!="Padrão",$H$4=#REF!),BDI!#REF!,IF(AND(#REF!="Diferenciado",$H$4=#REF!),BDI!$E$17,IF(AND(#REF!="Diferenciado",$H$4=#REF!),BDI!#REF!,IF(#REF!="ZERO",0))))),"")</f>
        <v>#REF!</v>
      </c>
      <c r="H2124" s="127" t="str">
        <f t="shared" si="109"/>
        <v/>
      </c>
      <c r="I2124" s="125" t="str">
        <f t="shared" si="110"/>
        <v/>
      </c>
    </row>
    <row r="2125" spans="1:9" hidden="1" x14ac:dyDescent="0.25">
      <c r="A2125" s="103" t="s">
        <v>5760</v>
      </c>
      <c r="B2125" s="104" t="s">
        <v>6489</v>
      </c>
      <c r="C2125" s="105" t="s">
        <v>20</v>
      </c>
      <c r="D2125" s="105">
        <v>0</v>
      </c>
      <c r="E2125" s="124" t="s">
        <v>523</v>
      </c>
      <c r="F2125" s="125" t="str">
        <f t="shared" si="108"/>
        <v/>
      </c>
      <c r="G2125" s="126" t="e">
        <f>IF(A2125&lt;&gt;"",IF(AND(#REF!="Padrão",$H$4=#REF!),BDI!$B$17,IF(AND(#REF!="Padrão",$H$4=#REF!),BDI!#REF!,IF(AND(#REF!="Diferenciado",$H$4=#REF!),BDI!$E$17,IF(AND(#REF!="Diferenciado",$H$4=#REF!),BDI!#REF!,IF(#REF!="ZERO",0))))),"")</f>
        <v>#REF!</v>
      </c>
      <c r="H2125" s="127" t="str">
        <f t="shared" si="109"/>
        <v/>
      </c>
      <c r="I2125" s="125" t="str">
        <f t="shared" si="110"/>
        <v/>
      </c>
    </row>
    <row r="2126" spans="1:9" hidden="1" x14ac:dyDescent="0.25">
      <c r="A2126" s="103" t="s">
        <v>5761</v>
      </c>
      <c r="B2126" s="104" t="s">
        <v>6490</v>
      </c>
      <c r="C2126" s="105" t="s">
        <v>20</v>
      </c>
      <c r="D2126" s="105">
        <v>0</v>
      </c>
      <c r="E2126" s="124" t="s">
        <v>523</v>
      </c>
      <c r="F2126" s="125" t="str">
        <f t="shared" si="108"/>
        <v/>
      </c>
      <c r="G2126" s="126" t="e">
        <f>IF(A2126&lt;&gt;"",IF(AND(#REF!="Padrão",$H$4=#REF!),BDI!$B$17,IF(AND(#REF!="Padrão",$H$4=#REF!),BDI!#REF!,IF(AND(#REF!="Diferenciado",$H$4=#REF!),BDI!$E$17,IF(AND(#REF!="Diferenciado",$H$4=#REF!),BDI!#REF!,IF(#REF!="ZERO",0))))),"")</f>
        <v>#REF!</v>
      </c>
      <c r="H2126" s="127" t="str">
        <f t="shared" si="109"/>
        <v/>
      </c>
      <c r="I2126" s="125" t="str">
        <f t="shared" si="110"/>
        <v/>
      </c>
    </row>
    <row r="2127" spans="1:9" hidden="1" x14ac:dyDescent="0.25">
      <c r="A2127" s="103" t="s">
        <v>5762</v>
      </c>
      <c r="B2127" s="104" t="s">
        <v>6491</v>
      </c>
      <c r="C2127" s="105" t="s">
        <v>20</v>
      </c>
      <c r="D2127" s="105">
        <v>0</v>
      </c>
      <c r="E2127" s="124" t="s">
        <v>523</v>
      </c>
      <c r="F2127" s="125" t="str">
        <f t="shared" si="108"/>
        <v/>
      </c>
      <c r="G2127" s="126" t="e">
        <f>IF(A2127&lt;&gt;"",IF(AND(#REF!="Padrão",$H$4=#REF!),BDI!$B$17,IF(AND(#REF!="Padrão",$H$4=#REF!),BDI!#REF!,IF(AND(#REF!="Diferenciado",$H$4=#REF!),BDI!$E$17,IF(AND(#REF!="Diferenciado",$H$4=#REF!),BDI!#REF!,IF(#REF!="ZERO",0))))),"")</f>
        <v>#REF!</v>
      </c>
      <c r="H2127" s="127" t="str">
        <f t="shared" si="109"/>
        <v/>
      </c>
      <c r="I2127" s="125" t="str">
        <f t="shared" si="110"/>
        <v/>
      </c>
    </row>
    <row r="2128" spans="1:9" hidden="1" x14ac:dyDescent="0.25">
      <c r="A2128" s="103" t="s">
        <v>5763</v>
      </c>
      <c r="B2128" s="104" t="s">
        <v>6492</v>
      </c>
      <c r="C2128" s="105" t="s">
        <v>20</v>
      </c>
      <c r="D2128" s="105">
        <v>0</v>
      </c>
      <c r="E2128" s="124" t="s">
        <v>523</v>
      </c>
      <c r="F2128" s="125" t="str">
        <f t="shared" si="108"/>
        <v/>
      </c>
      <c r="G2128" s="126" t="e">
        <f>IF(A2128&lt;&gt;"",IF(AND(#REF!="Padrão",$H$4=#REF!),BDI!$B$17,IF(AND(#REF!="Padrão",$H$4=#REF!),BDI!#REF!,IF(AND(#REF!="Diferenciado",$H$4=#REF!),BDI!$E$17,IF(AND(#REF!="Diferenciado",$H$4=#REF!),BDI!#REF!,IF(#REF!="ZERO",0))))),"")</f>
        <v>#REF!</v>
      </c>
      <c r="H2128" s="127" t="str">
        <f t="shared" si="109"/>
        <v/>
      </c>
      <c r="I2128" s="125" t="str">
        <f t="shared" si="110"/>
        <v/>
      </c>
    </row>
    <row r="2129" spans="1:9" hidden="1" x14ac:dyDescent="0.25">
      <c r="A2129" s="103" t="s">
        <v>5764</v>
      </c>
      <c r="B2129" s="104" t="s">
        <v>4536</v>
      </c>
      <c r="C2129" s="105" t="s">
        <v>20</v>
      </c>
      <c r="D2129" s="105">
        <v>0</v>
      </c>
      <c r="E2129" s="124" t="s">
        <v>523</v>
      </c>
      <c r="F2129" s="125" t="str">
        <f t="shared" si="108"/>
        <v/>
      </c>
      <c r="G2129" s="126" t="e">
        <f>IF(A2129&lt;&gt;"",IF(AND(#REF!="Padrão",$H$4=#REF!),BDI!$B$17,IF(AND(#REF!="Padrão",$H$4=#REF!),BDI!#REF!,IF(AND(#REF!="Diferenciado",$H$4=#REF!),BDI!$E$17,IF(AND(#REF!="Diferenciado",$H$4=#REF!),BDI!#REF!,IF(#REF!="ZERO",0))))),"")</f>
        <v>#REF!</v>
      </c>
      <c r="H2129" s="127" t="str">
        <f t="shared" si="109"/>
        <v/>
      </c>
      <c r="I2129" s="125" t="str">
        <f t="shared" si="110"/>
        <v/>
      </c>
    </row>
    <row r="2130" spans="1:9" hidden="1" x14ac:dyDescent="0.25">
      <c r="A2130" s="103" t="s">
        <v>5765</v>
      </c>
      <c r="B2130" s="104" t="s">
        <v>4537</v>
      </c>
      <c r="C2130" s="105" t="s">
        <v>20</v>
      </c>
      <c r="D2130" s="105">
        <v>0</v>
      </c>
      <c r="E2130" s="124" t="s">
        <v>523</v>
      </c>
      <c r="F2130" s="125" t="str">
        <f t="shared" si="108"/>
        <v/>
      </c>
      <c r="G2130" s="126" t="e">
        <f>IF(A2130&lt;&gt;"",IF(AND(#REF!="Padrão",$H$4=#REF!),BDI!$B$17,IF(AND(#REF!="Padrão",$H$4=#REF!),BDI!#REF!,IF(AND(#REF!="Diferenciado",$H$4=#REF!),BDI!$E$17,IF(AND(#REF!="Diferenciado",$H$4=#REF!),BDI!#REF!,IF(#REF!="ZERO",0))))),"")</f>
        <v>#REF!</v>
      </c>
      <c r="H2130" s="127" t="str">
        <f t="shared" si="109"/>
        <v/>
      </c>
      <c r="I2130" s="125" t="str">
        <f t="shared" si="110"/>
        <v/>
      </c>
    </row>
    <row r="2131" spans="1:9" hidden="1" x14ac:dyDescent="0.25">
      <c r="A2131" s="103" t="s">
        <v>5766</v>
      </c>
      <c r="B2131" s="104" t="s">
        <v>4538</v>
      </c>
      <c r="C2131" s="105" t="s">
        <v>20</v>
      </c>
      <c r="D2131" s="105">
        <v>0</v>
      </c>
      <c r="E2131" s="124" t="s">
        <v>523</v>
      </c>
      <c r="F2131" s="125" t="str">
        <f t="shared" si="108"/>
        <v/>
      </c>
      <c r="G2131" s="126" t="e">
        <f>IF(A2131&lt;&gt;"",IF(AND(#REF!="Padrão",$H$4=#REF!),BDI!$B$17,IF(AND(#REF!="Padrão",$H$4=#REF!),BDI!#REF!,IF(AND(#REF!="Diferenciado",$H$4=#REF!),BDI!$E$17,IF(AND(#REF!="Diferenciado",$H$4=#REF!),BDI!#REF!,IF(#REF!="ZERO",0))))),"")</f>
        <v>#REF!</v>
      </c>
      <c r="H2131" s="127" t="str">
        <f t="shared" si="109"/>
        <v/>
      </c>
      <c r="I2131" s="125" t="str">
        <f t="shared" si="110"/>
        <v/>
      </c>
    </row>
    <row r="2132" spans="1:9" hidden="1" x14ac:dyDescent="0.25">
      <c r="A2132" s="103" t="s">
        <v>5767</v>
      </c>
      <c r="B2132" s="104" t="s">
        <v>4539</v>
      </c>
      <c r="C2132" s="105" t="s">
        <v>20</v>
      </c>
      <c r="D2132" s="105">
        <v>0</v>
      </c>
      <c r="E2132" s="124" t="s">
        <v>523</v>
      </c>
      <c r="F2132" s="125" t="str">
        <f t="shared" si="108"/>
        <v/>
      </c>
      <c r="G2132" s="126" t="e">
        <f>IF(A2132&lt;&gt;"",IF(AND(#REF!="Padrão",$H$4=#REF!),BDI!$B$17,IF(AND(#REF!="Padrão",$H$4=#REF!),BDI!#REF!,IF(AND(#REF!="Diferenciado",$H$4=#REF!),BDI!$E$17,IF(AND(#REF!="Diferenciado",$H$4=#REF!),BDI!#REF!,IF(#REF!="ZERO",0))))),"")</f>
        <v>#REF!</v>
      </c>
      <c r="H2132" s="127" t="str">
        <f t="shared" si="109"/>
        <v/>
      </c>
      <c r="I2132" s="125" t="str">
        <f t="shared" si="110"/>
        <v/>
      </c>
    </row>
    <row r="2133" spans="1:9" hidden="1" x14ac:dyDescent="0.25">
      <c r="A2133" s="103" t="s">
        <v>5768</v>
      </c>
      <c r="B2133" s="104" t="s">
        <v>6493</v>
      </c>
      <c r="C2133" s="105" t="s">
        <v>20</v>
      </c>
      <c r="D2133" s="105">
        <v>0</v>
      </c>
      <c r="E2133" s="124" t="s">
        <v>523</v>
      </c>
      <c r="F2133" s="125" t="str">
        <f t="shared" si="108"/>
        <v/>
      </c>
      <c r="G2133" s="126" t="e">
        <f>IF(A2133&lt;&gt;"",IF(AND(#REF!="Padrão",$H$4=#REF!),BDI!$B$17,IF(AND(#REF!="Padrão",$H$4=#REF!),BDI!#REF!,IF(AND(#REF!="Diferenciado",$H$4=#REF!),BDI!$E$17,IF(AND(#REF!="Diferenciado",$H$4=#REF!),BDI!#REF!,IF(#REF!="ZERO",0))))),"")</f>
        <v>#REF!</v>
      </c>
      <c r="H2133" s="127" t="str">
        <f t="shared" si="109"/>
        <v/>
      </c>
      <c r="I2133" s="125" t="str">
        <f t="shared" si="110"/>
        <v/>
      </c>
    </row>
    <row r="2134" spans="1:9" hidden="1" x14ac:dyDescent="0.25">
      <c r="A2134" s="103" t="s">
        <v>5769</v>
      </c>
      <c r="B2134" s="104" t="s">
        <v>4540</v>
      </c>
      <c r="C2134" s="105" t="s">
        <v>20</v>
      </c>
      <c r="D2134" s="105">
        <v>0</v>
      </c>
      <c r="E2134" s="124" t="s">
        <v>523</v>
      </c>
      <c r="F2134" s="125" t="str">
        <f t="shared" si="108"/>
        <v/>
      </c>
      <c r="G2134" s="126" t="e">
        <f>IF(A2134&lt;&gt;"",IF(AND(#REF!="Padrão",$H$4=#REF!),BDI!$B$17,IF(AND(#REF!="Padrão",$H$4=#REF!),BDI!#REF!,IF(AND(#REF!="Diferenciado",$H$4=#REF!),BDI!$E$17,IF(AND(#REF!="Diferenciado",$H$4=#REF!),BDI!#REF!,IF(#REF!="ZERO",0))))),"")</f>
        <v>#REF!</v>
      </c>
      <c r="H2134" s="127" t="str">
        <f t="shared" si="109"/>
        <v/>
      </c>
      <c r="I2134" s="125" t="str">
        <f t="shared" si="110"/>
        <v/>
      </c>
    </row>
    <row r="2135" spans="1:9" hidden="1" x14ac:dyDescent="0.25">
      <c r="A2135" s="103" t="s">
        <v>5770</v>
      </c>
      <c r="B2135" s="104" t="s">
        <v>4541</v>
      </c>
      <c r="C2135" s="105" t="s">
        <v>20</v>
      </c>
      <c r="D2135" s="105">
        <v>0</v>
      </c>
      <c r="E2135" s="124" t="s">
        <v>523</v>
      </c>
      <c r="F2135" s="125" t="str">
        <f t="shared" si="108"/>
        <v/>
      </c>
      <c r="G2135" s="126" t="e">
        <f>IF(A2135&lt;&gt;"",IF(AND(#REF!="Padrão",$H$4=#REF!),BDI!$B$17,IF(AND(#REF!="Padrão",$H$4=#REF!),BDI!#REF!,IF(AND(#REF!="Diferenciado",$H$4=#REF!),BDI!$E$17,IF(AND(#REF!="Diferenciado",$H$4=#REF!),BDI!#REF!,IF(#REF!="ZERO",0))))),"")</f>
        <v>#REF!</v>
      </c>
      <c r="H2135" s="127" t="str">
        <f t="shared" si="109"/>
        <v/>
      </c>
      <c r="I2135" s="125" t="str">
        <f t="shared" si="110"/>
        <v/>
      </c>
    </row>
    <row r="2136" spans="1:9" hidden="1" x14ac:dyDescent="0.25">
      <c r="A2136" s="103" t="s">
        <v>5771</v>
      </c>
      <c r="B2136" s="104" t="s">
        <v>4542</v>
      </c>
      <c r="C2136" s="105" t="s">
        <v>20</v>
      </c>
      <c r="D2136" s="105">
        <v>0</v>
      </c>
      <c r="E2136" s="124" t="s">
        <v>523</v>
      </c>
      <c r="F2136" s="125" t="str">
        <f t="shared" si="108"/>
        <v/>
      </c>
      <c r="G2136" s="126" t="e">
        <f>IF(A2136&lt;&gt;"",IF(AND(#REF!="Padrão",$H$4=#REF!),BDI!$B$17,IF(AND(#REF!="Padrão",$H$4=#REF!),BDI!#REF!,IF(AND(#REF!="Diferenciado",$H$4=#REF!),BDI!$E$17,IF(AND(#REF!="Diferenciado",$H$4=#REF!),BDI!#REF!,IF(#REF!="ZERO",0))))),"")</f>
        <v>#REF!</v>
      </c>
      <c r="H2136" s="127" t="str">
        <f t="shared" si="109"/>
        <v/>
      </c>
      <c r="I2136" s="125" t="str">
        <f t="shared" si="110"/>
        <v/>
      </c>
    </row>
    <row r="2137" spans="1:9" hidden="1" x14ac:dyDescent="0.25">
      <c r="A2137" s="103" t="s">
        <v>5772</v>
      </c>
      <c r="B2137" s="104" t="s">
        <v>4543</v>
      </c>
      <c r="C2137" s="105" t="s">
        <v>20</v>
      </c>
      <c r="D2137" s="105">
        <v>0</v>
      </c>
      <c r="E2137" s="124" t="s">
        <v>523</v>
      </c>
      <c r="F2137" s="125" t="str">
        <f t="shared" si="108"/>
        <v/>
      </c>
      <c r="G2137" s="126" t="e">
        <f>IF(A2137&lt;&gt;"",IF(AND(#REF!="Padrão",$H$4=#REF!),BDI!$B$17,IF(AND(#REF!="Padrão",$H$4=#REF!),BDI!#REF!,IF(AND(#REF!="Diferenciado",$H$4=#REF!),BDI!$E$17,IF(AND(#REF!="Diferenciado",$H$4=#REF!),BDI!#REF!,IF(#REF!="ZERO",0))))),"")</f>
        <v>#REF!</v>
      </c>
      <c r="H2137" s="127" t="str">
        <f t="shared" si="109"/>
        <v/>
      </c>
      <c r="I2137" s="125" t="str">
        <f t="shared" si="110"/>
        <v/>
      </c>
    </row>
    <row r="2138" spans="1:9" hidden="1" x14ac:dyDescent="0.25">
      <c r="A2138" s="103" t="s">
        <v>5773</v>
      </c>
      <c r="B2138" s="104" t="s">
        <v>4544</v>
      </c>
      <c r="C2138" s="105" t="s">
        <v>20</v>
      </c>
      <c r="D2138" s="105">
        <v>0</v>
      </c>
      <c r="E2138" s="124" t="s">
        <v>523</v>
      </c>
      <c r="F2138" s="125" t="str">
        <f t="shared" si="108"/>
        <v/>
      </c>
      <c r="G2138" s="126" t="e">
        <f>IF(A2138&lt;&gt;"",IF(AND(#REF!="Padrão",$H$4=#REF!),BDI!$B$17,IF(AND(#REF!="Padrão",$H$4=#REF!),BDI!#REF!,IF(AND(#REF!="Diferenciado",$H$4=#REF!),BDI!$E$17,IF(AND(#REF!="Diferenciado",$H$4=#REF!),BDI!#REF!,IF(#REF!="ZERO",0))))),"")</f>
        <v>#REF!</v>
      </c>
      <c r="H2138" s="127" t="str">
        <f t="shared" si="109"/>
        <v/>
      </c>
      <c r="I2138" s="125" t="str">
        <f t="shared" si="110"/>
        <v/>
      </c>
    </row>
    <row r="2139" spans="1:9" hidden="1" x14ac:dyDescent="0.25">
      <c r="A2139" s="103" t="s">
        <v>5774</v>
      </c>
      <c r="B2139" s="104" t="s">
        <v>4545</v>
      </c>
      <c r="C2139" s="105" t="s">
        <v>20</v>
      </c>
      <c r="D2139" s="105">
        <v>0</v>
      </c>
      <c r="E2139" s="124" t="s">
        <v>523</v>
      </c>
      <c r="F2139" s="125" t="str">
        <f t="shared" si="108"/>
        <v/>
      </c>
      <c r="G2139" s="126" t="e">
        <f>IF(A2139&lt;&gt;"",IF(AND(#REF!="Padrão",$H$4=#REF!),BDI!$B$17,IF(AND(#REF!="Padrão",$H$4=#REF!),BDI!#REF!,IF(AND(#REF!="Diferenciado",$H$4=#REF!),BDI!$E$17,IF(AND(#REF!="Diferenciado",$H$4=#REF!),BDI!#REF!,IF(#REF!="ZERO",0))))),"")</f>
        <v>#REF!</v>
      </c>
      <c r="H2139" s="127" t="str">
        <f t="shared" si="109"/>
        <v/>
      </c>
      <c r="I2139" s="125" t="str">
        <f t="shared" si="110"/>
        <v/>
      </c>
    </row>
    <row r="2140" spans="1:9" hidden="1" x14ac:dyDescent="0.25">
      <c r="A2140" s="103" t="s">
        <v>5775</v>
      </c>
      <c r="B2140" s="104" t="s">
        <v>4546</v>
      </c>
      <c r="C2140" s="105" t="s">
        <v>20</v>
      </c>
      <c r="D2140" s="105">
        <v>0</v>
      </c>
      <c r="E2140" s="124" t="s">
        <v>523</v>
      </c>
      <c r="F2140" s="125" t="str">
        <f t="shared" si="108"/>
        <v/>
      </c>
      <c r="G2140" s="126" t="e">
        <f>IF(A2140&lt;&gt;"",IF(AND(#REF!="Padrão",$H$4=#REF!),BDI!$B$17,IF(AND(#REF!="Padrão",$H$4=#REF!),BDI!#REF!,IF(AND(#REF!="Diferenciado",$H$4=#REF!),BDI!$E$17,IF(AND(#REF!="Diferenciado",$H$4=#REF!),BDI!#REF!,IF(#REF!="ZERO",0))))),"")</f>
        <v>#REF!</v>
      </c>
      <c r="H2140" s="127" t="str">
        <f t="shared" si="109"/>
        <v/>
      </c>
      <c r="I2140" s="125" t="str">
        <f t="shared" si="110"/>
        <v/>
      </c>
    </row>
    <row r="2141" spans="1:9" hidden="1" x14ac:dyDescent="0.25">
      <c r="A2141" s="103" t="s">
        <v>5776</v>
      </c>
      <c r="B2141" s="104" t="s">
        <v>4547</v>
      </c>
      <c r="C2141" s="105" t="s">
        <v>20</v>
      </c>
      <c r="D2141" s="105">
        <v>0</v>
      </c>
      <c r="E2141" s="124" t="s">
        <v>523</v>
      </c>
      <c r="F2141" s="125" t="str">
        <f t="shared" si="108"/>
        <v/>
      </c>
      <c r="G2141" s="126" t="e">
        <f>IF(A2141&lt;&gt;"",IF(AND(#REF!="Padrão",$H$4=#REF!),BDI!$B$17,IF(AND(#REF!="Padrão",$H$4=#REF!),BDI!#REF!,IF(AND(#REF!="Diferenciado",$H$4=#REF!),BDI!$E$17,IF(AND(#REF!="Diferenciado",$H$4=#REF!),BDI!#REF!,IF(#REF!="ZERO",0))))),"")</f>
        <v>#REF!</v>
      </c>
      <c r="H2141" s="127" t="str">
        <f t="shared" si="109"/>
        <v/>
      </c>
      <c r="I2141" s="125" t="str">
        <f t="shared" si="110"/>
        <v/>
      </c>
    </row>
    <row r="2142" spans="1:9" hidden="1" x14ac:dyDescent="0.25">
      <c r="A2142" s="103" t="s">
        <v>5777</v>
      </c>
      <c r="B2142" s="104" t="s">
        <v>4548</v>
      </c>
      <c r="C2142" s="105" t="s">
        <v>20</v>
      </c>
      <c r="D2142" s="105">
        <v>0</v>
      </c>
      <c r="E2142" s="124" t="s">
        <v>523</v>
      </c>
      <c r="F2142" s="125" t="str">
        <f t="shared" si="108"/>
        <v/>
      </c>
      <c r="G2142" s="126" t="e">
        <f>IF(A2142&lt;&gt;"",IF(AND(#REF!="Padrão",$H$4=#REF!),BDI!$B$17,IF(AND(#REF!="Padrão",$H$4=#REF!),BDI!#REF!,IF(AND(#REF!="Diferenciado",$H$4=#REF!),BDI!$E$17,IF(AND(#REF!="Diferenciado",$H$4=#REF!),BDI!#REF!,IF(#REF!="ZERO",0))))),"")</f>
        <v>#REF!</v>
      </c>
      <c r="H2142" s="127" t="str">
        <f t="shared" si="109"/>
        <v/>
      </c>
      <c r="I2142" s="125" t="str">
        <f t="shared" si="110"/>
        <v/>
      </c>
    </row>
    <row r="2143" spans="1:9" hidden="1" x14ac:dyDescent="0.25">
      <c r="A2143" s="103" t="s">
        <v>5778</v>
      </c>
      <c r="B2143" s="104" t="s">
        <v>4549</v>
      </c>
      <c r="C2143" s="105" t="s">
        <v>20</v>
      </c>
      <c r="D2143" s="105">
        <v>0</v>
      </c>
      <c r="E2143" s="124" t="s">
        <v>523</v>
      </c>
      <c r="F2143" s="125" t="str">
        <f t="shared" si="108"/>
        <v/>
      </c>
      <c r="G2143" s="126" t="e">
        <f>IF(A2143&lt;&gt;"",IF(AND(#REF!="Padrão",$H$4=#REF!),BDI!$B$17,IF(AND(#REF!="Padrão",$H$4=#REF!),BDI!#REF!,IF(AND(#REF!="Diferenciado",$H$4=#REF!),BDI!$E$17,IF(AND(#REF!="Diferenciado",$H$4=#REF!),BDI!#REF!,IF(#REF!="ZERO",0))))),"")</f>
        <v>#REF!</v>
      </c>
      <c r="H2143" s="127" t="str">
        <f t="shared" si="109"/>
        <v/>
      </c>
      <c r="I2143" s="125" t="str">
        <f t="shared" si="110"/>
        <v/>
      </c>
    </row>
    <row r="2144" spans="1:9" hidden="1" x14ac:dyDescent="0.25">
      <c r="A2144" s="103" t="s">
        <v>5779</v>
      </c>
      <c r="B2144" s="104" t="s">
        <v>6494</v>
      </c>
      <c r="C2144" s="105" t="s">
        <v>93</v>
      </c>
      <c r="D2144" s="105">
        <v>0</v>
      </c>
      <c r="E2144" s="124" t="s">
        <v>523</v>
      </c>
      <c r="F2144" s="125" t="str">
        <f t="shared" si="108"/>
        <v/>
      </c>
      <c r="G2144" s="126" t="e">
        <f>IF(A2144&lt;&gt;"",IF(AND(#REF!="Padrão",$H$4=#REF!),BDI!$B$17,IF(AND(#REF!="Padrão",$H$4=#REF!),BDI!#REF!,IF(AND(#REF!="Diferenciado",$H$4=#REF!),BDI!$E$17,IF(AND(#REF!="Diferenciado",$H$4=#REF!),BDI!#REF!,IF(#REF!="ZERO",0))))),"")</f>
        <v>#REF!</v>
      </c>
      <c r="H2144" s="127" t="str">
        <f t="shared" si="109"/>
        <v/>
      </c>
      <c r="I2144" s="125" t="str">
        <f t="shared" si="110"/>
        <v/>
      </c>
    </row>
    <row r="2145" spans="1:9" hidden="1" x14ac:dyDescent="0.25">
      <c r="A2145" s="103" t="s">
        <v>5780</v>
      </c>
      <c r="B2145" s="104" t="s">
        <v>6495</v>
      </c>
      <c r="C2145" s="105" t="s">
        <v>93</v>
      </c>
      <c r="D2145" s="105">
        <v>0</v>
      </c>
      <c r="E2145" s="124" t="s">
        <v>523</v>
      </c>
      <c r="F2145" s="125" t="str">
        <f t="shared" si="108"/>
        <v/>
      </c>
      <c r="G2145" s="126" t="e">
        <f>IF(A2145&lt;&gt;"",IF(AND(#REF!="Padrão",$H$4=#REF!),BDI!$B$17,IF(AND(#REF!="Padrão",$H$4=#REF!),BDI!#REF!,IF(AND(#REF!="Diferenciado",$H$4=#REF!),BDI!$E$17,IF(AND(#REF!="Diferenciado",$H$4=#REF!),BDI!#REF!,IF(#REF!="ZERO",0))))),"")</f>
        <v>#REF!</v>
      </c>
      <c r="H2145" s="127" t="str">
        <f t="shared" si="109"/>
        <v/>
      </c>
      <c r="I2145" s="125" t="str">
        <f t="shared" si="110"/>
        <v/>
      </c>
    </row>
    <row r="2146" spans="1:9" hidden="1" x14ac:dyDescent="0.25">
      <c r="A2146" s="103" t="s">
        <v>5781</v>
      </c>
      <c r="B2146" s="104" t="s">
        <v>6259</v>
      </c>
      <c r="C2146" s="105" t="s">
        <v>93</v>
      </c>
      <c r="D2146" s="105">
        <v>0</v>
      </c>
      <c r="E2146" s="124" t="s">
        <v>523</v>
      </c>
      <c r="F2146" s="125" t="str">
        <f t="shared" si="108"/>
        <v/>
      </c>
      <c r="G2146" s="126" t="e">
        <f>IF(A2146&lt;&gt;"",IF(AND(#REF!="Padrão",$H$4=#REF!),BDI!$B$17,IF(AND(#REF!="Padrão",$H$4=#REF!),BDI!#REF!,IF(AND(#REF!="Diferenciado",$H$4=#REF!),BDI!$E$17,IF(AND(#REF!="Diferenciado",$H$4=#REF!),BDI!#REF!,IF(#REF!="ZERO",0))))),"")</f>
        <v>#REF!</v>
      </c>
      <c r="H2146" s="127" t="str">
        <f t="shared" si="109"/>
        <v/>
      </c>
      <c r="I2146" s="125" t="str">
        <f t="shared" si="110"/>
        <v/>
      </c>
    </row>
    <row r="2147" spans="1:9" hidden="1" x14ac:dyDescent="0.25">
      <c r="A2147" s="103" t="s">
        <v>5782</v>
      </c>
      <c r="B2147" s="104" t="s">
        <v>4550</v>
      </c>
      <c r="C2147" s="105" t="s">
        <v>20</v>
      </c>
      <c r="D2147" s="105">
        <v>0</v>
      </c>
      <c r="E2147" s="124" t="s">
        <v>523</v>
      </c>
      <c r="F2147" s="125" t="str">
        <f t="shared" si="108"/>
        <v/>
      </c>
      <c r="G2147" s="126" t="e">
        <f>IF(A2147&lt;&gt;"",IF(AND(#REF!="Padrão",$H$4=#REF!),BDI!$B$17,IF(AND(#REF!="Padrão",$H$4=#REF!),BDI!#REF!,IF(AND(#REF!="Diferenciado",$H$4=#REF!),BDI!$E$17,IF(AND(#REF!="Diferenciado",$H$4=#REF!),BDI!#REF!,IF(#REF!="ZERO",0))))),"")</f>
        <v>#REF!</v>
      </c>
      <c r="H2147" s="127" t="str">
        <f t="shared" si="109"/>
        <v/>
      </c>
      <c r="I2147" s="125" t="str">
        <f t="shared" si="110"/>
        <v/>
      </c>
    </row>
    <row r="2148" spans="1:9" hidden="1" x14ac:dyDescent="0.25">
      <c r="A2148" s="103" t="s">
        <v>5783</v>
      </c>
      <c r="B2148" s="104" t="s">
        <v>4551</v>
      </c>
      <c r="C2148" s="105" t="s">
        <v>20</v>
      </c>
      <c r="D2148" s="105">
        <v>0</v>
      </c>
      <c r="E2148" s="124" t="s">
        <v>523</v>
      </c>
      <c r="F2148" s="125" t="str">
        <f t="shared" si="108"/>
        <v/>
      </c>
      <c r="G2148" s="126" t="e">
        <f>IF(A2148&lt;&gt;"",IF(AND(#REF!="Padrão",$H$4=#REF!),BDI!$B$17,IF(AND(#REF!="Padrão",$H$4=#REF!),BDI!#REF!,IF(AND(#REF!="Diferenciado",$H$4=#REF!),BDI!$E$17,IF(AND(#REF!="Diferenciado",$H$4=#REF!),BDI!#REF!,IF(#REF!="ZERO",0))))),"")</f>
        <v>#REF!</v>
      </c>
      <c r="H2148" s="127" t="str">
        <f t="shared" si="109"/>
        <v/>
      </c>
      <c r="I2148" s="125" t="str">
        <f t="shared" si="110"/>
        <v/>
      </c>
    </row>
    <row r="2149" spans="1:9" hidden="1" x14ac:dyDescent="0.25">
      <c r="A2149" s="103" t="s">
        <v>5784</v>
      </c>
      <c r="B2149" s="104" t="s">
        <v>4552</v>
      </c>
      <c r="C2149" s="105" t="s">
        <v>20</v>
      </c>
      <c r="D2149" s="105">
        <v>0</v>
      </c>
      <c r="E2149" s="124" t="s">
        <v>523</v>
      </c>
      <c r="F2149" s="125" t="str">
        <f t="shared" si="108"/>
        <v/>
      </c>
      <c r="G2149" s="126" t="e">
        <f>IF(A2149&lt;&gt;"",IF(AND(#REF!="Padrão",$H$4=#REF!),BDI!$B$17,IF(AND(#REF!="Padrão",$H$4=#REF!),BDI!#REF!,IF(AND(#REF!="Diferenciado",$H$4=#REF!),BDI!$E$17,IF(AND(#REF!="Diferenciado",$H$4=#REF!),BDI!#REF!,IF(#REF!="ZERO",0))))),"")</f>
        <v>#REF!</v>
      </c>
      <c r="H2149" s="127" t="str">
        <f t="shared" si="109"/>
        <v/>
      </c>
      <c r="I2149" s="125" t="str">
        <f t="shared" si="110"/>
        <v/>
      </c>
    </row>
    <row r="2150" spans="1:9" hidden="1" x14ac:dyDescent="0.25">
      <c r="A2150" s="103" t="s">
        <v>5785</v>
      </c>
      <c r="B2150" s="104" t="s">
        <v>4553</v>
      </c>
      <c r="C2150" s="105" t="s">
        <v>20</v>
      </c>
      <c r="D2150" s="105">
        <v>0</v>
      </c>
      <c r="E2150" s="124" t="s">
        <v>523</v>
      </c>
      <c r="F2150" s="125" t="str">
        <f t="shared" si="108"/>
        <v/>
      </c>
      <c r="G2150" s="126" t="e">
        <f>IF(A2150&lt;&gt;"",IF(AND(#REF!="Padrão",$H$4=#REF!),BDI!$B$17,IF(AND(#REF!="Padrão",$H$4=#REF!),BDI!#REF!,IF(AND(#REF!="Diferenciado",$H$4=#REF!),BDI!$E$17,IF(AND(#REF!="Diferenciado",$H$4=#REF!),BDI!#REF!,IF(#REF!="ZERO",0))))),"")</f>
        <v>#REF!</v>
      </c>
      <c r="H2150" s="127" t="str">
        <f t="shared" si="109"/>
        <v/>
      </c>
      <c r="I2150" s="125" t="str">
        <f t="shared" si="110"/>
        <v/>
      </c>
    </row>
    <row r="2151" spans="1:9" hidden="1" x14ac:dyDescent="0.25">
      <c r="A2151" s="103" t="s">
        <v>5786</v>
      </c>
      <c r="B2151" s="104" t="s">
        <v>4554</v>
      </c>
      <c r="C2151" s="105" t="s">
        <v>20</v>
      </c>
      <c r="D2151" s="105">
        <v>0</v>
      </c>
      <c r="E2151" s="124" t="s">
        <v>523</v>
      </c>
      <c r="F2151" s="125" t="str">
        <f t="shared" si="108"/>
        <v/>
      </c>
      <c r="G2151" s="126" t="e">
        <f>IF(A2151&lt;&gt;"",IF(AND(#REF!="Padrão",$H$4=#REF!),BDI!$B$17,IF(AND(#REF!="Padrão",$H$4=#REF!),BDI!#REF!,IF(AND(#REF!="Diferenciado",$H$4=#REF!),BDI!$E$17,IF(AND(#REF!="Diferenciado",$H$4=#REF!),BDI!#REF!,IF(#REF!="ZERO",0))))),"")</f>
        <v>#REF!</v>
      </c>
      <c r="H2151" s="127" t="str">
        <f t="shared" si="109"/>
        <v/>
      </c>
      <c r="I2151" s="125" t="str">
        <f t="shared" si="110"/>
        <v/>
      </c>
    </row>
    <row r="2152" spans="1:9" hidden="1" x14ac:dyDescent="0.25">
      <c r="A2152" s="103" t="s">
        <v>5787</v>
      </c>
      <c r="B2152" s="104" t="s">
        <v>4555</v>
      </c>
      <c r="C2152" s="105" t="s">
        <v>20</v>
      </c>
      <c r="D2152" s="105">
        <v>0</v>
      </c>
      <c r="E2152" s="124" t="s">
        <v>523</v>
      </c>
      <c r="F2152" s="125" t="str">
        <f t="shared" si="108"/>
        <v/>
      </c>
      <c r="G2152" s="126" t="e">
        <f>IF(A2152&lt;&gt;"",IF(AND(#REF!="Padrão",$H$4=#REF!),BDI!$B$17,IF(AND(#REF!="Padrão",$H$4=#REF!),BDI!#REF!,IF(AND(#REF!="Diferenciado",$H$4=#REF!),BDI!$E$17,IF(AND(#REF!="Diferenciado",$H$4=#REF!),BDI!#REF!,IF(#REF!="ZERO",0))))),"")</f>
        <v>#REF!</v>
      </c>
      <c r="H2152" s="127" t="str">
        <f t="shared" si="109"/>
        <v/>
      </c>
      <c r="I2152" s="125" t="str">
        <f t="shared" si="110"/>
        <v/>
      </c>
    </row>
    <row r="2153" spans="1:9" hidden="1" x14ac:dyDescent="0.25">
      <c r="A2153" s="103" t="s">
        <v>5788</v>
      </c>
      <c r="B2153" s="104" t="s">
        <v>4556</v>
      </c>
      <c r="C2153" s="105" t="s">
        <v>20</v>
      </c>
      <c r="D2153" s="105">
        <v>0</v>
      </c>
      <c r="E2153" s="124" t="s">
        <v>523</v>
      </c>
      <c r="F2153" s="125" t="str">
        <f t="shared" si="108"/>
        <v/>
      </c>
      <c r="G2153" s="126" t="e">
        <f>IF(A2153&lt;&gt;"",IF(AND(#REF!="Padrão",$H$4=#REF!),BDI!$B$17,IF(AND(#REF!="Padrão",$H$4=#REF!),BDI!#REF!,IF(AND(#REF!="Diferenciado",$H$4=#REF!),BDI!$E$17,IF(AND(#REF!="Diferenciado",$H$4=#REF!),BDI!#REF!,IF(#REF!="ZERO",0))))),"")</f>
        <v>#REF!</v>
      </c>
      <c r="H2153" s="127" t="str">
        <f t="shared" si="109"/>
        <v/>
      </c>
      <c r="I2153" s="125" t="str">
        <f t="shared" si="110"/>
        <v/>
      </c>
    </row>
    <row r="2154" spans="1:9" hidden="1" x14ac:dyDescent="0.25">
      <c r="A2154" s="103" t="s">
        <v>5789</v>
      </c>
      <c r="B2154" s="104" t="s">
        <v>4557</v>
      </c>
      <c r="C2154" s="105" t="s">
        <v>20</v>
      </c>
      <c r="D2154" s="105">
        <v>0</v>
      </c>
      <c r="E2154" s="124" t="s">
        <v>523</v>
      </c>
      <c r="F2154" s="125" t="str">
        <f t="shared" si="108"/>
        <v/>
      </c>
      <c r="G2154" s="126" t="e">
        <f>IF(A2154&lt;&gt;"",IF(AND(#REF!="Padrão",$H$4=#REF!),BDI!$B$17,IF(AND(#REF!="Padrão",$H$4=#REF!),BDI!#REF!,IF(AND(#REF!="Diferenciado",$H$4=#REF!),BDI!$E$17,IF(AND(#REF!="Diferenciado",$H$4=#REF!),BDI!#REF!,IF(#REF!="ZERO",0))))),"")</f>
        <v>#REF!</v>
      </c>
      <c r="H2154" s="127" t="str">
        <f t="shared" si="109"/>
        <v/>
      </c>
      <c r="I2154" s="125" t="str">
        <f t="shared" si="110"/>
        <v/>
      </c>
    </row>
    <row r="2155" spans="1:9" hidden="1" x14ac:dyDescent="0.25">
      <c r="A2155" s="103" t="s">
        <v>5790</v>
      </c>
      <c r="B2155" s="104" t="s">
        <v>4558</v>
      </c>
      <c r="C2155" s="105" t="s">
        <v>20</v>
      </c>
      <c r="D2155" s="105">
        <v>0</v>
      </c>
      <c r="E2155" s="124" t="s">
        <v>523</v>
      </c>
      <c r="F2155" s="125" t="str">
        <f t="shared" si="108"/>
        <v/>
      </c>
      <c r="G2155" s="126" t="e">
        <f>IF(A2155&lt;&gt;"",IF(AND(#REF!="Padrão",$H$4=#REF!),BDI!$B$17,IF(AND(#REF!="Padrão",$H$4=#REF!),BDI!#REF!,IF(AND(#REF!="Diferenciado",$H$4=#REF!),BDI!$E$17,IF(AND(#REF!="Diferenciado",$H$4=#REF!),BDI!#REF!,IF(#REF!="ZERO",0))))),"")</f>
        <v>#REF!</v>
      </c>
      <c r="H2155" s="127" t="str">
        <f t="shared" si="109"/>
        <v/>
      </c>
      <c r="I2155" s="125" t="str">
        <f t="shared" si="110"/>
        <v/>
      </c>
    </row>
    <row r="2156" spans="1:9" hidden="1" x14ac:dyDescent="0.25">
      <c r="A2156" s="103" t="s">
        <v>5791</v>
      </c>
      <c r="B2156" s="104" t="s">
        <v>4559</v>
      </c>
      <c r="C2156" s="105" t="s">
        <v>20</v>
      </c>
      <c r="D2156" s="105">
        <v>0</v>
      </c>
      <c r="E2156" s="124" t="s">
        <v>523</v>
      </c>
      <c r="F2156" s="125" t="str">
        <f t="shared" si="108"/>
        <v/>
      </c>
      <c r="G2156" s="126" t="e">
        <f>IF(A2156&lt;&gt;"",IF(AND(#REF!="Padrão",$H$4=#REF!),BDI!$B$17,IF(AND(#REF!="Padrão",$H$4=#REF!),BDI!#REF!,IF(AND(#REF!="Diferenciado",$H$4=#REF!),BDI!$E$17,IF(AND(#REF!="Diferenciado",$H$4=#REF!),BDI!#REF!,IF(#REF!="ZERO",0))))),"")</f>
        <v>#REF!</v>
      </c>
      <c r="H2156" s="127" t="str">
        <f t="shared" si="109"/>
        <v/>
      </c>
      <c r="I2156" s="125" t="str">
        <f t="shared" si="110"/>
        <v/>
      </c>
    </row>
    <row r="2157" spans="1:9" hidden="1" x14ac:dyDescent="0.25">
      <c r="A2157" s="103" t="s">
        <v>5792</v>
      </c>
      <c r="B2157" s="104" t="s">
        <v>4560</v>
      </c>
      <c r="C2157" s="105" t="s">
        <v>20</v>
      </c>
      <c r="D2157" s="105">
        <v>0</v>
      </c>
      <c r="E2157" s="124" t="s">
        <v>523</v>
      </c>
      <c r="F2157" s="125" t="str">
        <f t="shared" ref="F2157:F2220" si="111">IF(ISNUMBER(E2157),D2157*E2157,"")</f>
        <v/>
      </c>
      <c r="G2157" s="126" t="e">
        <f>IF(A2157&lt;&gt;"",IF(AND(#REF!="Padrão",$H$4=#REF!),BDI!$B$17,IF(AND(#REF!="Padrão",$H$4=#REF!),BDI!#REF!,IF(AND(#REF!="Diferenciado",$H$4=#REF!),BDI!$E$17,IF(AND(#REF!="Diferenciado",$H$4=#REF!),BDI!#REF!,IF(#REF!="ZERO",0))))),"")</f>
        <v>#REF!</v>
      </c>
      <c r="H2157" s="127" t="str">
        <f t="shared" ref="H2157:H2220" si="112">IF(ISNUMBER(E2157),ROUND(E2157*(1+G2157),2),"")</f>
        <v/>
      </c>
      <c r="I2157" s="125" t="str">
        <f t="shared" ref="I2157:I2220" si="113">IF(ISNUMBER(E2157),ROUND(H2157*D2157,2),"")</f>
        <v/>
      </c>
    </row>
    <row r="2158" spans="1:9" hidden="1" x14ac:dyDescent="0.25">
      <c r="A2158" s="103" t="s">
        <v>5793</v>
      </c>
      <c r="B2158" s="104" t="s">
        <v>4561</v>
      </c>
      <c r="C2158" s="105" t="s">
        <v>20</v>
      </c>
      <c r="D2158" s="105">
        <v>0</v>
      </c>
      <c r="E2158" s="124" t="s">
        <v>523</v>
      </c>
      <c r="F2158" s="125" t="str">
        <f t="shared" si="111"/>
        <v/>
      </c>
      <c r="G2158" s="126" t="e">
        <f>IF(A2158&lt;&gt;"",IF(AND(#REF!="Padrão",$H$4=#REF!),BDI!$B$17,IF(AND(#REF!="Padrão",$H$4=#REF!),BDI!#REF!,IF(AND(#REF!="Diferenciado",$H$4=#REF!),BDI!$E$17,IF(AND(#REF!="Diferenciado",$H$4=#REF!),BDI!#REF!,IF(#REF!="ZERO",0))))),"")</f>
        <v>#REF!</v>
      </c>
      <c r="H2158" s="127" t="str">
        <f t="shared" si="112"/>
        <v/>
      </c>
      <c r="I2158" s="125" t="str">
        <f t="shared" si="113"/>
        <v/>
      </c>
    </row>
    <row r="2159" spans="1:9" hidden="1" x14ac:dyDescent="0.25">
      <c r="A2159" s="103" t="s">
        <v>5794</v>
      </c>
      <c r="B2159" s="104" t="s">
        <v>4562</v>
      </c>
      <c r="C2159" s="105" t="s">
        <v>20</v>
      </c>
      <c r="D2159" s="105">
        <v>0</v>
      </c>
      <c r="E2159" s="124" t="s">
        <v>523</v>
      </c>
      <c r="F2159" s="125" t="str">
        <f t="shared" si="111"/>
        <v/>
      </c>
      <c r="G2159" s="126" t="e">
        <f>IF(A2159&lt;&gt;"",IF(AND(#REF!="Padrão",$H$4=#REF!),BDI!$B$17,IF(AND(#REF!="Padrão",$H$4=#REF!),BDI!#REF!,IF(AND(#REF!="Diferenciado",$H$4=#REF!),BDI!$E$17,IF(AND(#REF!="Diferenciado",$H$4=#REF!),BDI!#REF!,IF(#REF!="ZERO",0))))),"")</f>
        <v>#REF!</v>
      </c>
      <c r="H2159" s="127" t="str">
        <f t="shared" si="112"/>
        <v/>
      </c>
      <c r="I2159" s="125" t="str">
        <f t="shared" si="113"/>
        <v/>
      </c>
    </row>
    <row r="2160" spans="1:9" hidden="1" x14ac:dyDescent="0.25">
      <c r="A2160" s="103" t="s">
        <v>5795</v>
      </c>
      <c r="B2160" s="104" t="s">
        <v>4563</v>
      </c>
      <c r="C2160" s="105" t="s">
        <v>20</v>
      </c>
      <c r="D2160" s="105">
        <v>0</v>
      </c>
      <c r="E2160" s="124" t="s">
        <v>523</v>
      </c>
      <c r="F2160" s="125" t="str">
        <f t="shared" si="111"/>
        <v/>
      </c>
      <c r="G2160" s="126" t="e">
        <f>IF(A2160&lt;&gt;"",IF(AND(#REF!="Padrão",$H$4=#REF!),BDI!$B$17,IF(AND(#REF!="Padrão",$H$4=#REF!),BDI!#REF!,IF(AND(#REF!="Diferenciado",$H$4=#REF!),BDI!$E$17,IF(AND(#REF!="Diferenciado",$H$4=#REF!),BDI!#REF!,IF(#REF!="ZERO",0))))),"")</f>
        <v>#REF!</v>
      </c>
      <c r="H2160" s="127" t="str">
        <f t="shared" si="112"/>
        <v/>
      </c>
      <c r="I2160" s="125" t="str">
        <f t="shared" si="113"/>
        <v/>
      </c>
    </row>
    <row r="2161" spans="1:9" hidden="1" x14ac:dyDescent="0.25">
      <c r="A2161" s="103" t="s">
        <v>5796</v>
      </c>
      <c r="B2161" s="104" t="s">
        <v>4564</v>
      </c>
      <c r="C2161" s="105" t="s">
        <v>20</v>
      </c>
      <c r="D2161" s="105">
        <v>0</v>
      </c>
      <c r="E2161" s="124" t="s">
        <v>523</v>
      </c>
      <c r="F2161" s="125" t="str">
        <f t="shared" si="111"/>
        <v/>
      </c>
      <c r="G2161" s="126" t="e">
        <f>IF(A2161&lt;&gt;"",IF(AND(#REF!="Padrão",$H$4=#REF!),BDI!$B$17,IF(AND(#REF!="Padrão",$H$4=#REF!),BDI!#REF!,IF(AND(#REF!="Diferenciado",$H$4=#REF!),BDI!$E$17,IF(AND(#REF!="Diferenciado",$H$4=#REF!),BDI!#REF!,IF(#REF!="ZERO",0))))),"")</f>
        <v>#REF!</v>
      </c>
      <c r="H2161" s="127" t="str">
        <f t="shared" si="112"/>
        <v/>
      </c>
      <c r="I2161" s="125" t="str">
        <f t="shared" si="113"/>
        <v/>
      </c>
    </row>
    <row r="2162" spans="1:9" hidden="1" x14ac:dyDescent="0.25">
      <c r="A2162" s="103" t="s">
        <v>5797</v>
      </c>
      <c r="B2162" s="104" t="s">
        <v>4565</v>
      </c>
      <c r="C2162" s="105" t="s">
        <v>20</v>
      </c>
      <c r="D2162" s="105">
        <v>0</v>
      </c>
      <c r="E2162" s="124" t="s">
        <v>523</v>
      </c>
      <c r="F2162" s="125" t="str">
        <f t="shared" si="111"/>
        <v/>
      </c>
      <c r="G2162" s="126" t="e">
        <f>IF(A2162&lt;&gt;"",IF(AND(#REF!="Padrão",$H$4=#REF!),BDI!$B$17,IF(AND(#REF!="Padrão",$H$4=#REF!),BDI!#REF!,IF(AND(#REF!="Diferenciado",$H$4=#REF!),BDI!$E$17,IF(AND(#REF!="Diferenciado",$H$4=#REF!),BDI!#REF!,IF(#REF!="ZERO",0))))),"")</f>
        <v>#REF!</v>
      </c>
      <c r="H2162" s="127" t="str">
        <f t="shared" si="112"/>
        <v/>
      </c>
      <c r="I2162" s="125" t="str">
        <f t="shared" si="113"/>
        <v/>
      </c>
    </row>
    <row r="2163" spans="1:9" hidden="1" x14ac:dyDescent="0.25">
      <c r="A2163" s="103" t="s">
        <v>5798</v>
      </c>
      <c r="B2163" s="104" t="s">
        <v>4566</v>
      </c>
      <c r="C2163" s="105" t="s">
        <v>20</v>
      </c>
      <c r="D2163" s="105">
        <v>0</v>
      </c>
      <c r="E2163" s="124" t="s">
        <v>523</v>
      </c>
      <c r="F2163" s="125" t="str">
        <f t="shared" si="111"/>
        <v/>
      </c>
      <c r="G2163" s="126" t="e">
        <f>IF(A2163&lt;&gt;"",IF(AND(#REF!="Padrão",$H$4=#REF!),BDI!$B$17,IF(AND(#REF!="Padrão",$H$4=#REF!),BDI!#REF!,IF(AND(#REF!="Diferenciado",$H$4=#REF!),BDI!$E$17,IF(AND(#REF!="Diferenciado",$H$4=#REF!),BDI!#REF!,IF(#REF!="ZERO",0))))),"")</f>
        <v>#REF!</v>
      </c>
      <c r="H2163" s="127" t="str">
        <f t="shared" si="112"/>
        <v/>
      </c>
      <c r="I2163" s="125" t="str">
        <f t="shared" si="113"/>
        <v/>
      </c>
    </row>
    <row r="2164" spans="1:9" hidden="1" x14ac:dyDescent="0.25">
      <c r="A2164" s="103" t="s">
        <v>5799</v>
      </c>
      <c r="B2164" s="104" t="s">
        <v>4567</v>
      </c>
      <c r="C2164" s="105" t="s">
        <v>20</v>
      </c>
      <c r="D2164" s="105">
        <v>0</v>
      </c>
      <c r="E2164" s="124" t="s">
        <v>523</v>
      </c>
      <c r="F2164" s="125" t="str">
        <f t="shared" si="111"/>
        <v/>
      </c>
      <c r="G2164" s="126" t="e">
        <f>IF(A2164&lt;&gt;"",IF(AND(#REF!="Padrão",$H$4=#REF!),BDI!$B$17,IF(AND(#REF!="Padrão",$H$4=#REF!),BDI!#REF!,IF(AND(#REF!="Diferenciado",$H$4=#REF!),BDI!$E$17,IF(AND(#REF!="Diferenciado",$H$4=#REF!),BDI!#REF!,IF(#REF!="ZERO",0))))),"")</f>
        <v>#REF!</v>
      </c>
      <c r="H2164" s="127" t="str">
        <f t="shared" si="112"/>
        <v/>
      </c>
      <c r="I2164" s="125" t="str">
        <f t="shared" si="113"/>
        <v/>
      </c>
    </row>
    <row r="2165" spans="1:9" hidden="1" x14ac:dyDescent="0.25">
      <c r="A2165" s="103" t="s">
        <v>5800</v>
      </c>
      <c r="B2165" s="104" t="s">
        <v>4568</v>
      </c>
      <c r="C2165" s="105" t="s">
        <v>93</v>
      </c>
      <c r="D2165" s="105">
        <v>0</v>
      </c>
      <c r="E2165" s="124" t="s">
        <v>523</v>
      </c>
      <c r="F2165" s="125" t="str">
        <f t="shared" si="111"/>
        <v/>
      </c>
      <c r="G2165" s="126" t="e">
        <f>IF(A2165&lt;&gt;"",IF(AND(#REF!="Padrão",$H$4=#REF!),BDI!$B$17,IF(AND(#REF!="Padrão",$H$4=#REF!),BDI!#REF!,IF(AND(#REF!="Diferenciado",$H$4=#REF!),BDI!$E$17,IF(AND(#REF!="Diferenciado",$H$4=#REF!),BDI!#REF!,IF(#REF!="ZERO",0))))),"")</f>
        <v>#REF!</v>
      </c>
      <c r="H2165" s="127" t="str">
        <f t="shared" si="112"/>
        <v/>
      </c>
      <c r="I2165" s="125" t="str">
        <f t="shared" si="113"/>
        <v/>
      </c>
    </row>
    <row r="2166" spans="1:9" hidden="1" x14ac:dyDescent="0.25">
      <c r="A2166" s="103" t="s">
        <v>5801</v>
      </c>
      <c r="B2166" s="104" t="s">
        <v>4569</v>
      </c>
      <c r="C2166" s="105" t="s">
        <v>20</v>
      </c>
      <c r="D2166" s="105">
        <v>0</v>
      </c>
      <c r="E2166" s="124" t="s">
        <v>523</v>
      </c>
      <c r="F2166" s="125" t="str">
        <f t="shared" si="111"/>
        <v/>
      </c>
      <c r="G2166" s="126" t="e">
        <f>IF(A2166&lt;&gt;"",IF(AND(#REF!="Padrão",$H$4=#REF!),BDI!$B$17,IF(AND(#REF!="Padrão",$H$4=#REF!),BDI!#REF!,IF(AND(#REF!="Diferenciado",$H$4=#REF!),BDI!$E$17,IF(AND(#REF!="Diferenciado",$H$4=#REF!),BDI!#REF!,IF(#REF!="ZERO",0))))),"")</f>
        <v>#REF!</v>
      </c>
      <c r="H2166" s="127" t="str">
        <f t="shared" si="112"/>
        <v/>
      </c>
      <c r="I2166" s="125" t="str">
        <f t="shared" si="113"/>
        <v/>
      </c>
    </row>
    <row r="2167" spans="1:9" hidden="1" x14ac:dyDescent="0.25">
      <c r="A2167" s="103" t="s">
        <v>5802</v>
      </c>
      <c r="B2167" s="104" t="s">
        <v>4570</v>
      </c>
      <c r="C2167" s="105" t="s">
        <v>20</v>
      </c>
      <c r="D2167" s="105">
        <v>0</v>
      </c>
      <c r="E2167" s="124" t="s">
        <v>523</v>
      </c>
      <c r="F2167" s="125" t="str">
        <f t="shared" si="111"/>
        <v/>
      </c>
      <c r="G2167" s="126" t="e">
        <f>IF(A2167&lt;&gt;"",IF(AND(#REF!="Padrão",$H$4=#REF!),BDI!$B$17,IF(AND(#REF!="Padrão",$H$4=#REF!),BDI!#REF!,IF(AND(#REF!="Diferenciado",$H$4=#REF!),BDI!$E$17,IF(AND(#REF!="Diferenciado",$H$4=#REF!),BDI!#REF!,IF(#REF!="ZERO",0))))),"")</f>
        <v>#REF!</v>
      </c>
      <c r="H2167" s="127" t="str">
        <f t="shared" si="112"/>
        <v/>
      </c>
      <c r="I2167" s="125" t="str">
        <f t="shared" si="113"/>
        <v/>
      </c>
    </row>
    <row r="2168" spans="1:9" hidden="1" x14ac:dyDescent="0.25">
      <c r="A2168" s="103" t="s">
        <v>5803</v>
      </c>
      <c r="B2168" s="104" t="s">
        <v>4571</v>
      </c>
      <c r="C2168" s="105" t="s">
        <v>20</v>
      </c>
      <c r="D2168" s="105">
        <v>0</v>
      </c>
      <c r="E2168" s="124" t="s">
        <v>523</v>
      </c>
      <c r="F2168" s="125" t="str">
        <f t="shared" si="111"/>
        <v/>
      </c>
      <c r="G2168" s="126" t="e">
        <f>IF(A2168&lt;&gt;"",IF(AND(#REF!="Padrão",$H$4=#REF!),BDI!$B$17,IF(AND(#REF!="Padrão",$H$4=#REF!),BDI!#REF!,IF(AND(#REF!="Diferenciado",$H$4=#REF!),BDI!$E$17,IF(AND(#REF!="Diferenciado",$H$4=#REF!),BDI!#REF!,IF(#REF!="ZERO",0))))),"")</f>
        <v>#REF!</v>
      </c>
      <c r="H2168" s="127" t="str">
        <f t="shared" si="112"/>
        <v/>
      </c>
      <c r="I2168" s="125" t="str">
        <f t="shared" si="113"/>
        <v/>
      </c>
    </row>
    <row r="2169" spans="1:9" hidden="1" x14ac:dyDescent="0.25">
      <c r="A2169" s="103" t="s">
        <v>5804</v>
      </c>
      <c r="B2169" s="104" t="s">
        <v>4572</v>
      </c>
      <c r="C2169" s="105" t="s">
        <v>20</v>
      </c>
      <c r="D2169" s="105">
        <v>0</v>
      </c>
      <c r="E2169" s="124" t="s">
        <v>523</v>
      </c>
      <c r="F2169" s="125" t="str">
        <f t="shared" si="111"/>
        <v/>
      </c>
      <c r="G2169" s="126" t="e">
        <f>IF(A2169&lt;&gt;"",IF(AND(#REF!="Padrão",$H$4=#REF!),BDI!$B$17,IF(AND(#REF!="Padrão",$H$4=#REF!),BDI!#REF!,IF(AND(#REF!="Diferenciado",$H$4=#REF!),BDI!$E$17,IF(AND(#REF!="Diferenciado",$H$4=#REF!),BDI!#REF!,IF(#REF!="ZERO",0))))),"")</f>
        <v>#REF!</v>
      </c>
      <c r="H2169" s="127" t="str">
        <f t="shared" si="112"/>
        <v/>
      </c>
      <c r="I2169" s="125" t="str">
        <f t="shared" si="113"/>
        <v/>
      </c>
    </row>
    <row r="2170" spans="1:9" hidden="1" x14ac:dyDescent="0.25">
      <c r="A2170" s="103" t="s">
        <v>5805</v>
      </c>
      <c r="B2170" s="104" t="s">
        <v>4573</v>
      </c>
      <c r="C2170" s="105" t="s">
        <v>20</v>
      </c>
      <c r="D2170" s="105">
        <v>0</v>
      </c>
      <c r="E2170" s="124" t="s">
        <v>523</v>
      </c>
      <c r="F2170" s="125" t="str">
        <f t="shared" si="111"/>
        <v/>
      </c>
      <c r="G2170" s="126" t="e">
        <f>IF(A2170&lt;&gt;"",IF(AND(#REF!="Padrão",$H$4=#REF!),BDI!$B$17,IF(AND(#REF!="Padrão",$H$4=#REF!),BDI!#REF!,IF(AND(#REF!="Diferenciado",$H$4=#REF!),BDI!$E$17,IF(AND(#REF!="Diferenciado",$H$4=#REF!),BDI!#REF!,IF(#REF!="ZERO",0))))),"")</f>
        <v>#REF!</v>
      </c>
      <c r="H2170" s="127" t="str">
        <f t="shared" si="112"/>
        <v/>
      </c>
      <c r="I2170" s="125" t="str">
        <f t="shared" si="113"/>
        <v/>
      </c>
    </row>
    <row r="2171" spans="1:9" hidden="1" x14ac:dyDescent="0.25">
      <c r="A2171" s="103" t="s">
        <v>5806</v>
      </c>
      <c r="B2171" s="104" t="s">
        <v>4574</v>
      </c>
      <c r="C2171" s="105" t="s">
        <v>20</v>
      </c>
      <c r="D2171" s="105">
        <v>0</v>
      </c>
      <c r="E2171" s="124" t="s">
        <v>523</v>
      </c>
      <c r="F2171" s="125" t="str">
        <f t="shared" si="111"/>
        <v/>
      </c>
      <c r="G2171" s="126" t="e">
        <f>IF(A2171&lt;&gt;"",IF(AND(#REF!="Padrão",$H$4=#REF!),BDI!$B$17,IF(AND(#REF!="Padrão",$H$4=#REF!),BDI!#REF!,IF(AND(#REF!="Diferenciado",$H$4=#REF!),BDI!$E$17,IF(AND(#REF!="Diferenciado",$H$4=#REF!),BDI!#REF!,IF(#REF!="ZERO",0))))),"")</f>
        <v>#REF!</v>
      </c>
      <c r="H2171" s="127" t="str">
        <f t="shared" si="112"/>
        <v/>
      </c>
      <c r="I2171" s="125" t="str">
        <f t="shared" si="113"/>
        <v/>
      </c>
    </row>
    <row r="2172" spans="1:9" hidden="1" x14ac:dyDescent="0.25">
      <c r="A2172" s="103" t="s">
        <v>5807</v>
      </c>
      <c r="B2172" s="104" t="s">
        <v>4575</v>
      </c>
      <c r="C2172" s="105" t="s">
        <v>20</v>
      </c>
      <c r="D2172" s="105">
        <v>0</v>
      </c>
      <c r="E2172" s="124" t="s">
        <v>523</v>
      </c>
      <c r="F2172" s="125" t="str">
        <f t="shared" si="111"/>
        <v/>
      </c>
      <c r="G2172" s="126" t="e">
        <f>IF(A2172&lt;&gt;"",IF(AND(#REF!="Padrão",$H$4=#REF!),BDI!$B$17,IF(AND(#REF!="Padrão",$H$4=#REF!),BDI!#REF!,IF(AND(#REF!="Diferenciado",$H$4=#REF!),BDI!$E$17,IF(AND(#REF!="Diferenciado",$H$4=#REF!),BDI!#REF!,IF(#REF!="ZERO",0))))),"")</f>
        <v>#REF!</v>
      </c>
      <c r="H2172" s="127" t="str">
        <f t="shared" si="112"/>
        <v/>
      </c>
      <c r="I2172" s="125" t="str">
        <f t="shared" si="113"/>
        <v/>
      </c>
    </row>
    <row r="2173" spans="1:9" hidden="1" x14ac:dyDescent="0.25">
      <c r="A2173" s="103" t="s">
        <v>5808</v>
      </c>
      <c r="B2173" s="104" t="s">
        <v>4576</v>
      </c>
      <c r="C2173" s="105" t="s">
        <v>20</v>
      </c>
      <c r="D2173" s="105">
        <v>0</v>
      </c>
      <c r="E2173" s="124" t="s">
        <v>523</v>
      </c>
      <c r="F2173" s="125" t="str">
        <f t="shared" si="111"/>
        <v/>
      </c>
      <c r="G2173" s="126" t="e">
        <f>IF(A2173&lt;&gt;"",IF(AND(#REF!="Padrão",$H$4=#REF!),BDI!$B$17,IF(AND(#REF!="Padrão",$H$4=#REF!),BDI!#REF!,IF(AND(#REF!="Diferenciado",$H$4=#REF!),BDI!$E$17,IF(AND(#REF!="Diferenciado",$H$4=#REF!),BDI!#REF!,IF(#REF!="ZERO",0))))),"")</f>
        <v>#REF!</v>
      </c>
      <c r="H2173" s="127" t="str">
        <f t="shared" si="112"/>
        <v/>
      </c>
      <c r="I2173" s="125" t="str">
        <f t="shared" si="113"/>
        <v/>
      </c>
    </row>
    <row r="2174" spans="1:9" hidden="1" x14ac:dyDescent="0.25">
      <c r="A2174" s="103" t="s">
        <v>5809</v>
      </c>
      <c r="B2174" s="104" t="s">
        <v>4577</v>
      </c>
      <c r="C2174" s="105" t="s">
        <v>20</v>
      </c>
      <c r="D2174" s="105">
        <v>0</v>
      </c>
      <c r="E2174" s="124" t="s">
        <v>523</v>
      </c>
      <c r="F2174" s="125" t="str">
        <f t="shared" si="111"/>
        <v/>
      </c>
      <c r="G2174" s="126" t="e">
        <f>IF(A2174&lt;&gt;"",IF(AND(#REF!="Padrão",$H$4=#REF!),BDI!$B$17,IF(AND(#REF!="Padrão",$H$4=#REF!),BDI!#REF!,IF(AND(#REF!="Diferenciado",$H$4=#REF!),BDI!$E$17,IF(AND(#REF!="Diferenciado",$H$4=#REF!),BDI!#REF!,IF(#REF!="ZERO",0))))),"")</f>
        <v>#REF!</v>
      </c>
      <c r="H2174" s="127" t="str">
        <f t="shared" si="112"/>
        <v/>
      </c>
      <c r="I2174" s="125" t="str">
        <f t="shared" si="113"/>
        <v/>
      </c>
    </row>
    <row r="2175" spans="1:9" hidden="1" x14ac:dyDescent="0.25">
      <c r="A2175" s="103" t="s">
        <v>5810</v>
      </c>
      <c r="B2175" s="104" t="s">
        <v>4578</v>
      </c>
      <c r="C2175" s="105" t="s">
        <v>20</v>
      </c>
      <c r="D2175" s="105">
        <v>0</v>
      </c>
      <c r="E2175" s="124" t="s">
        <v>523</v>
      </c>
      <c r="F2175" s="125" t="str">
        <f t="shared" si="111"/>
        <v/>
      </c>
      <c r="G2175" s="126" t="e">
        <f>IF(A2175&lt;&gt;"",IF(AND(#REF!="Padrão",$H$4=#REF!),BDI!$B$17,IF(AND(#REF!="Padrão",$H$4=#REF!),BDI!#REF!,IF(AND(#REF!="Diferenciado",$H$4=#REF!),BDI!$E$17,IF(AND(#REF!="Diferenciado",$H$4=#REF!),BDI!#REF!,IF(#REF!="ZERO",0))))),"")</f>
        <v>#REF!</v>
      </c>
      <c r="H2175" s="127" t="str">
        <f t="shared" si="112"/>
        <v/>
      </c>
      <c r="I2175" s="125" t="str">
        <f t="shared" si="113"/>
        <v/>
      </c>
    </row>
    <row r="2176" spans="1:9" hidden="1" x14ac:dyDescent="0.25">
      <c r="A2176" s="103" t="s">
        <v>5811</v>
      </c>
      <c r="B2176" s="104" t="s">
        <v>4579</v>
      </c>
      <c r="C2176" s="105" t="s">
        <v>20</v>
      </c>
      <c r="D2176" s="105">
        <v>0</v>
      </c>
      <c r="E2176" s="124" t="s">
        <v>523</v>
      </c>
      <c r="F2176" s="125" t="str">
        <f t="shared" si="111"/>
        <v/>
      </c>
      <c r="G2176" s="126" t="e">
        <f>IF(A2176&lt;&gt;"",IF(AND(#REF!="Padrão",$H$4=#REF!),BDI!$B$17,IF(AND(#REF!="Padrão",$H$4=#REF!),BDI!#REF!,IF(AND(#REF!="Diferenciado",$H$4=#REF!),BDI!$E$17,IF(AND(#REF!="Diferenciado",$H$4=#REF!),BDI!#REF!,IF(#REF!="ZERO",0))))),"")</f>
        <v>#REF!</v>
      </c>
      <c r="H2176" s="127" t="str">
        <f t="shared" si="112"/>
        <v/>
      </c>
      <c r="I2176" s="125" t="str">
        <f t="shared" si="113"/>
        <v/>
      </c>
    </row>
    <row r="2177" spans="1:9" hidden="1" x14ac:dyDescent="0.25">
      <c r="A2177" s="103" t="s">
        <v>5812</v>
      </c>
      <c r="B2177" s="104" t="s">
        <v>4580</v>
      </c>
      <c r="C2177" s="105" t="s">
        <v>20</v>
      </c>
      <c r="D2177" s="105">
        <v>0</v>
      </c>
      <c r="E2177" s="124" t="s">
        <v>523</v>
      </c>
      <c r="F2177" s="125" t="str">
        <f t="shared" si="111"/>
        <v/>
      </c>
      <c r="G2177" s="126" t="e">
        <f>IF(A2177&lt;&gt;"",IF(AND(#REF!="Padrão",$H$4=#REF!),BDI!$B$17,IF(AND(#REF!="Padrão",$H$4=#REF!),BDI!#REF!,IF(AND(#REF!="Diferenciado",$H$4=#REF!),BDI!$E$17,IF(AND(#REF!="Diferenciado",$H$4=#REF!),BDI!#REF!,IF(#REF!="ZERO",0))))),"")</f>
        <v>#REF!</v>
      </c>
      <c r="H2177" s="127" t="str">
        <f t="shared" si="112"/>
        <v/>
      </c>
      <c r="I2177" s="125" t="str">
        <f t="shared" si="113"/>
        <v/>
      </c>
    </row>
    <row r="2178" spans="1:9" hidden="1" x14ac:dyDescent="0.25">
      <c r="A2178" s="103" t="s">
        <v>5813</v>
      </c>
      <c r="B2178" s="104" t="s">
        <v>4581</v>
      </c>
      <c r="C2178" s="105" t="s">
        <v>20</v>
      </c>
      <c r="D2178" s="105">
        <v>0</v>
      </c>
      <c r="E2178" s="124" t="s">
        <v>523</v>
      </c>
      <c r="F2178" s="125" t="str">
        <f t="shared" si="111"/>
        <v/>
      </c>
      <c r="G2178" s="126" t="e">
        <f>IF(A2178&lt;&gt;"",IF(AND(#REF!="Padrão",$H$4=#REF!),BDI!$B$17,IF(AND(#REF!="Padrão",$H$4=#REF!),BDI!#REF!,IF(AND(#REF!="Diferenciado",$H$4=#REF!),BDI!$E$17,IF(AND(#REF!="Diferenciado",$H$4=#REF!),BDI!#REF!,IF(#REF!="ZERO",0))))),"")</f>
        <v>#REF!</v>
      </c>
      <c r="H2178" s="127" t="str">
        <f t="shared" si="112"/>
        <v/>
      </c>
      <c r="I2178" s="125" t="str">
        <f t="shared" si="113"/>
        <v/>
      </c>
    </row>
    <row r="2179" spans="1:9" hidden="1" x14ac:dyDescent="0.25">
      <c r="A2179" s="103" t="s">
        <v>5814</v>
      </c>
      <c r="B2179" s="104" t="s">
        <v>4582</v>
      </c>
      <c r="C2179" s="105" t="s">
        <v>20</v>
      </c>
      <c r="D2179" s="105">
        <v>0</v>
      </c>
      <c r="E2179" s="124" t="s">
        <v>523</v>
      </c>
      <c r="F2179" s="125" t="str">
        <f t="shared" si="111"/>
        <v/>
      </c>
      <c r="G2179" s="126" t="e">
        <f>IF(A2179&lt;&gt;"",IF(AND(#REF!="Padrão",$H$4=#REF!),BDI!$B$17,IF(AND(#REF!="Padrão",$H$4=#REF!),BDI!#REF!,IF(AND(#REF!="Diferenciado",$H$4=#REF!),BDI!$E$17,IF(AND(#REF!="Diferenciado",$H$4=#REF!),BDI!#REF!,IF(#REF!="ZERO",0))))),"")</f>
        <v>#REF!</v>
      </c>
      <c r="H2179" s="127" t="str">
        <f t="shared" si="112"/>
        <v/>
      </c>
      <c r="I2179" s="125" t="str">
        <f t="shared" si="113"/>
        <v/>
      </c>
    </row>
    <row r="2180" spans="1:9" hidden="1" x14ac:dyDescent="0.25">
      <c r="A2180" s="103" t="s">
        <v>5815</v>
      </c>
      <c r="B2180" s="104" t="s">
        <v>4583</v>
      </c>
      <c r="C2180" s="105" t="s">
        <v>20</v>
      </c>
      <c r="D2180" s="105">
        <v>0</v>
      </c>
      <c r="E2180" s="124" t="s">
        <v>523</v>
      </c>
      <c r="F2180" s="125" t="str">
        <f t="shared" si="111"/>
        <v/>
      </c>
      <c r="G2180" s="126" t="e">
        <f>IF(A2180&lt;&gt;"",IF(AND(#REF!="Padrão",$H$4=#REF!),BDI!$B$17,IF(AND(#REF!="Padrão",$H$4=#REF!),BDI!#REF!,IF(AND(#REF!="Diferenciado",$H$4=#REF!),BDI!$E$17,IF(AND(#REF!="Diferenciado",$H$4=#REF!),BDI!#REF!,IF(#REF!="ZERO",0))))),"")</f>
        <v>#REF!</v>
      </c>
      <c r="H2180" s="127" t="str">
        <f t="shared" si="112"/>
        <v/>
      </c>
      <c r="I2180" s="125" t="str">
        <f t="shared" si="113"/>
        <v/>
      </c>
    </row>
    <row r="2181" spans="1:9" hidden="1" x14ac:dyDescent="0.25">
      <c r="A2181" s="103" t="s">
        <v>5816</v>
      </c>
      <c r="B2181" s="104" t="s">
        <v>4584</v>
      </c>
      <c r="C2181" s="105" t="s">
        <v>20</v>
      </c>
      <c r="D2181" s="105">
        <v>0</v>
      </c>
      <c r="E2181" s="124" t="s">
        <v>523</v>
      </c>
      <c r="F2181" s="125" t="str">
        <f t="shared" si="111"/>
        <v/>
      </c>
      <c r="G2181" s="126" t="e">
        <f>IF(A2181&lt;&gt;"",IF(AND(#REF!="Padrão",$H$4=#REF!),BDI!$B$17,IF(AND(#REF!="Padrão",$H$4=#REF!),BDI!#REF!,IF(AND(#REF!="Diferenciado",$H$4=#REF!),BDI!$E$17,IF(AND(#REF!="Diferenciado",$H$4=#REF!),BDI!#REF!,IF(#REF!="ZERO",0))))),"")</f>
        <v>#REF!</v>
      </c>
      <c r="H2181" s="127" t="str">
        <f t="shared" si="112"/>
        <v/>
      </c>
      <c r="I2181" s="125" t="str">
        <f t="shared" si="113"/>
        <v/>
      </c>
    </row>
    <row r="2182" spans="1:9" hidden="1" x14ac:dyDescent="0.25">
      <c r="A2182" s="103" t="s">
        <v>5817</v>
      </c>
      <c r="B2182" s="104" t="s">
        <v>4585</v>
      </c>
      <c r="C2182" s="105" t="s">
        <v>20</v>
      </c>
      <c r="D2182" s="105">
        <v>0</v>
      </c>
      <c r="E2182" s="124" t="s">
        <v>523</v>
      </c>
      <c r="F2182" s="125" t="str">
        <f t="shared" si="111"/>
        <v/>
      </c>
      <c r="G2182" s="126" t="e">
        <f>IF(A2182&lt;&gt;"",IF(AND(#REF!="Padrão",$H$4=#REF!),BDI!$B$17,IF(AND(#REF!="Padrão",$H$4=#REF!),BDI!#REF!,IF(AND(#REF!="Diferenciado",$H$4=#REF!),BDI!$E$17,IF(AND(#REF!="Diferenciado",$H$4=#REF!),BDI!#REF!,IF(#REF!="ZERO",0))))),"")</f>
        <v>#REF!</v>
      </c>
      <c r="H2182" s="127" t="str">
        <f t="shared" si="112"/>
        <v/>
      </c>
      <c r="I2182" s="125" t="str">
        <f t="shared" si="113"/>
        <v/>
      </c>
    </row>
    <row r="2183" spans="1:9" hidden="1" x14ac:dyDescent="0.25">
      <c r="A2183" s="103" t="s">
        <v>5818</v>
      </c>
      <c r="B2183" s="104" t="s">
        <v>4586</v>
      </c>
      <c r="C2183" s="105" t="s">
        <v>20</v>
      </c>
      <c r="D2183" s="105">
        <v>0</v>
      </c>
      <c r="E2183" s="124" t="s">
        <v>523</v>
      </c>
      <c r="F2183" s="125" t="str">
        <f t="shared" si="111"/>
        <v/>
      </c>
      <c r="G2183" s="126" t="e">
        <f>IF(A2183&lt;&gt;"",IF(AND(#REF!="Padrão",$H$4=#REF!),BDI!$B$17,IF(AND(#REF!="Padrão",$H$4=#REF!),BDI!#REF!,IF(AND(#REF!="Diferenciado",$H$4=#REF!),BDI!$E$17,IF(AND(#REF!="Diferenciado",$H$4=#REF!),BDI!#REF!,IF(#REF!="ZERO",0))))),"")</f>
        <v>#REF!</v>
      </c>
      <c r="H2183" s="127" t="str">
        <f t="shared" si="112"/>
        <v/>
      </c>
      <c r="I2183" s="125" t="str">
        <f t="shared" si="113"/>
        <v/>
      </c>
    </row>
    <row r="2184" spans="1:9" hidden="1" x14ac:dyDescent="0.25">
      <c r="A2184" s="103" t="s">
        <v>5819</v>
      </c>
      <c r="B2184" s="104" t="s">
        <v>4587</v>
      </c>
      <c r="C2184" s="105" t="s">
        <v>20</v>
      </c>
      <c r="D2184" s="105">
        <v>0</v>
      </c>
      <c r="E2184" s="124" t="s">
        <v>523</v>
      </c>
      <c r="F2184" s="125" t="str">
        <f t="shared" si="111"/>
        <v/>
      </c>
      <c r="G2184" s="126" t="e">
        <f>IF(A2184&lt;&gt;"",IF(AND(#REF!="Padrão",$H$4=#REF!),BDI!$B$17,IF(AND(#REF!="Padrão",$H$4=#REF!),BDI!#REF!,IF(AND(#REF!="Diferenciado",$H$4=#REF!),BDI!$E$17,IF(AND(#REF!="Diferenciado",$H$4=#REF!),BDI!#REF!,IF(#REF!="ZERO",0))))),"")</f>
        <v>#REF!</v>
      </c>
      <c r="H2184" s="127" t="str">
        <f t="shared" si="112"/>
        <v/>
      </c>
      <c r="I2184" s="125" t="str">
        <f t="shared" si="113"/>
        <v/>
      </c>
    </row>
    <row r="2185" spans="1:9" hidden="1" x14ac:dyDescent="0.25">
      <c r="A2185" s="103" t="s">
        <v>5820</v>
      </c>
      <c r="B2185" s="104" t="s">
        <v>4588</v>
      </c>
      <c r="C2185" s="105" t="s">
        <v>20</v>
      </c>
      <c r="D2185" s="105">
        <v>0</v>
      </c>
      <c r="E2185" s="124" t="s">
        <v>523</v>
      </c>
      <c r="F2185" s="125" t="str">
        <f t="shared" si="111"/>
        <v/>
      </c>
      <c r="G2185" s="126" t="e">
        <f>IF(A2185&lt;&gt;"",IF(AND(#REF!="Padrão",$H$4=#REF!),BDI!$B$17,IF(AND(#REF!="Padrão",$H$4=#REF!),BDI!#REF!,IF(AND(#REF!="Diferenciado",$H$4=#REF!),BDI!$E$17,IF(AND(#REF!="Diferenciado",$H$4=#REF!),BDI!#REF!,IF(#REF!="ZERO",0))))),"")</f>
        <v>#REF!</v>
      </c>
      <c r="H2185" s="127" t="str">
        <f t="shared" si="112"/>
        <v/>
      </c>
      <c r="I2185" s="125" t="str">
        <f t="shared" si="113"/>
        <v/>
      </c>
    </row>
    <row r="2186" spans="1:9" hidden="1" x14ac:dyDescent="0.25">
      <c r="A2186" s="103" t="s">
        <v>5821</v>
      </c>
      <c r="B2186" s="104" t="s">
        <v>4589</v>
      </c>
      <c r="C2186" s="105" t="s">
        <v>20</v>
      </c>
      <c r="D2186" s="105">
        <v>0</v>
      </c>
      <c r="E2186" s="124" t="s">
        <v>523</v>
      </c>
      <c r="F2186" s="125" t="str">
        <f t="shared" si="111"/>
        <v/>
      </c>
      <c r="G2186" s="126" t="e">
        <f>IF(A2186&lt;&gt;"",IF(AND(#REF!="Padrão",$H$4=#REF!),BDI!$B$17,IF(AND(#REF!="Padrão",$H$4=#REF!),BDI!#REF!,IF(AND(#REF!="Diferenciado",$H$4=#REF!),BDI!$E$17,IF(AND(#REF!="Diferenciado",$H$4=#REF!),BDI!#REF!,IF(#REF!="ZERO",0))))),"")</f>
        <v>#REF!</v>
      </c>
      <c r="H2186" s="127" t="str">
        <f t="shared" si="112"/>
        <v/>
      </c>
      <c r="I2186" s="125" t="str">
        <f t="shared" si="113"/>
        <v/>
      </c>
    </row>
    <row r="2187" spans="1:9" hidden="1" x14ac:dyDescent="0.25">
      <c r="A2187" s="103" t="s">
        <v>5822</v>
      </c>
      <c r="B2187" s="104" t="s">
        <v>4590</v>
      </c>
      <c r="C2187" s="105" t="s">
        <v>20</v>
      </c>
      <c r="D2187" s="105">
        <v>0</v>
      </c>
      <c r="E2187" s="124" t="s">
        <v>523</v>
      </c>
      <c r="F2187" s="125" t="str">
        <f t="shared" si="111"/>
        <v/>
      </c>
      <c r="G2187" s="126" t="e">
        <f>IF(A2187&lt;&gt;"",IF(AND(#REF!="Padrão",$H$4=#REF!),BDI!$B$17,IF(AND(#REF!="Padrão",$H$4=#REF!),BDI!#REF!,IF(AND(#REF!="Diferenciado",$H$4=#REF!),BDI!$E$17,IF(AND(#REF!="Diferenciado",$H$4=#REF!),BDI!#REF!,IF(#REF!="ZERO",0))))),"")</f>
        <v>#REF!</v>
      </c>
      <c r="H2187" s="127" t="str">
        <f t="shared" si="112"/>
        <v/>
      </c>
      <c r="I2187" s="125" t="str">
        <f t="shared" si="113"/>
        <v/>
      </c>
    </row>
    <row r="2188" spans="1:9" hidden="1" x14ac:dyDescent="0.25">
      <c r="A2188" s="103" t="s">
        <v>5823</v>
      </c>
      <c r="B2188" s="104" t="s">
        <v>4591</v>
      </c>
      <c r="C2188" s="105" t="s">
        <v>93</v>
      </c>
      <c r="D2188" s="105">
        <v>0</v>
      </c>
      <c r="E2188" s="124" t="s">
        <v>523</v>
      </c>
      <c r="F2188" s="125" t="str">
        <f t="shared" si="111"/>
        <v/>
      </c>
      <c r="G2188" s="126" t="e">
        <f>IF(A2188&lt;&gt;"",IF(AND(#REF!="Padrão",$H$4=#REF!),BDI!$B$17,IF(AND(#REF!="Padrão",$H$4=#REF!),BDI!#REF!,IF(AND(#REF!="Diferenciado",$H$4=#REF!),BDI!$E$17,IF(AND(#REF!="Diferenciado",$H$4=#REF!),BDI!#REF!,IF(#REF!="ZERO",0))))),"")</f>
        <v>#REF!</v>
      </c>
      <c r="H2188" s="127" t="str">
        <f t="shared" si="112"/>
        <v/>
      </c>
      <c r="I2188" s="125" t="str">
        <f t="shared" si="113"/>
        <v/>
      </c>
    </row>
    <row r="2189" spans="1:9" hidden="1" x14ac:dyDescent="0.25">
      <c r="A2189" s="103" t="s">
        <v>5824</v>
      </c>
      <c r="B2189" s="104" t="s">
        <v>4592</v>
      </c>
      <c r="C2189" s="105" t="s">
        <v>20</v>
      </c>
      <c r="D2189" s="105">
        <v>0</v>
      </c>
      <c r="E2189" s="124" t="s">
        <v>523</v>
      </c>
      <c r="F2189" s="125" t="str">
        <f t="shared" si="111"/>
        <v/>
      </c>
      <c r="G2189" s="126" t="e">
        <f>IF(A2189&lt;&gt;"",IF(AND(#REF!="Padrão",$H$4=#REF!),BDI!$B$17,IF(AND(#REF!="Padrão",$H$4=#REF!),BDI!#REF!,IF(AND(#REF!="Diferenciado",$H$4=#REF!),BDI!$E$17,IF(AND(#REF!="Diferenciado",$H$4=#REF!),BDI!#REF!,IF(#REF!="ZERO",0))))),"")</f>
        <v>#REF!</v>
      </c>
      <c r="H2189" s="127" t="str">
        <f t="shared" si="112"/>
        <v/>
      </c>
      <c r="I2189" s="125" t="str">
        <f t="shared" si="113"/>
        <v/>
      </c>
    </row>
    <row r="2190" spans="1:9" hidden="1" x14ac:dyDescent="0.25">
      <c r="A2190" s="103" t="s">
        <v>5825</v>
      </c>
      <c r="B2190" s="104" t="s">
        <v>4593</v>
      </c>
      <c r="C2190" s="105" t="s">
        <v>20</v>
      </c>
      <c r="D2190" s="105">
        <v>0</v>
      </c>
      <c r="E2190" s="124" t="s">
        <v>523</v>
      </c>
      <c r="F2190" s="125" t="str">
        <f t="shared" si="111"/>
        <v/>
      </c>
      <c r="G2190" s="126" t="e">
        <f>IF(A2190&lt;&gt;"",IF(AND(#REF!="Padrão",$H$4=#REF!),BDI!$B$17,IF(AND(#REF!="Padrão",$H$4=#REF!),BDI!#REF!,IF(AND(#REF!="Diferenciado",$H$4=#REF!),BDI!$E$17,IF(AND(#REF!="Diferenciado",$H$4=#REF!),BDI!#REF!,IF(#REF!="ZERO",0))))),"")</f>
        <v>#REF!</v>
      </c>
      <c r="H2190" s="127" t="str">
        <f t="shared" si="112"/>
        <v/>
      </c>
      <c r="I2190" s="125" t="str">
        <f t="shared" si="113"/>
        <v/>
      </c>
    </row>
    <row r="2191" spans="1:9" hidden="1" x14ac:dyDescent="0.25">
      <c r="A2191" s="103" t="s">
        <v>5826</v>
      </c>
      <c r="B2191" s="104" t="s">
        <v>4594</v>
      </c>
      <c r="C2191" s="105" t="s">
        <v>20</v>
      </c>
      <c r="D2191" s="105">
        <v>0</v>
      </c>
      <c r="E2191" s="124" t="s">
        <v>523</v>
      </c>
      <c r="F2191" s="125" t="str">
        <f t="shared" si="111"/>
        <v/>
      </c>
      <c r="G2191" s="126" t="e">
        <f>IF(A2191&lt;&gt;"",IF(AND(#REF!="Padrão",$H$4=#REF!),BDI!$B$17,IF(AND(#REF!="Padrão",$H$4=#REF!),BDI!#REF!,IF(AND(#REF!="Diferenciado",$H$4=#REF!),BDI!$E$17,IF(AND(#REF!="Diferenciado",$H$4=#REF!),BDI!#REF!,IF(#REF!="ZERO",0))))),"")</f>
        <v>#REF!</v>
      </c>
      <c r="H2191" s="127" t="str">
        <f t="shared" si="112"/>
        <v/>
      </c>
      <c r="I2191" s="125" t="str">
        <f t="shared" si="113"/>
        <v/>
      </c>
    </row>
    <row r="2192" spans="1:9" hidden="1" x14ac:dyDescent="0.25">
      <c r="A2192" s="103" t="s">
        <v>5827</v>
      </c>
      <c r="B2192" s="104" t="s">
        <v>4595</v>
      </c>
      <c r="C2192" s="105" t="s">
        <v>20</v>
      </c>
      <c r="D2192" s="105">
        <v>0</v>
      </c>
      <c r="E2192" s="124" t="s">
        <v>523</v>
      </c>
      <c r="F2192" s="125" t="str">
        <f t="shared" si="111"/>
        <v/>
      </c>
      <c r="G2192" s="126" t="e">
        <f>IF(A2192&lt;&gt;"",IF(AND(#REF!="Padrão",$H$4=#REF!),BDI!$B$17,IF(AND(#REF!="Padrão",$H$4=#REF!),BDI!#REF!,IF(AND(#REF!="Diferenciado",$H$4=#REF!),BDI!$E$17,IF(AND(#REF!="Diferenciado",$H$4=#REF!),BDI!#REF!,IF(#REF!="ZERO",0))))),"")</f>
        <v>#REF!</v>
      </c>
      <c r="H2192" s="127" t="str">
        <f t="shared" si="112"/>
        <v/>
      </c>
      <c r="I2192" s="125" t="str">
        <f t="shared" si="113"/>
        <v/>
      </c>
    </row>
    <row r="2193" spans="1:9" hidden="1" x14ac:dyDescent="0.25">
      <c r="A2193" s="103" t="s">
        <v>5828</v>
      </c>
      <c r="B2193" s="104" t="s">
        <v>4596</v>
      </c>
      <c r="C2193" s="105" t="s">
        <v>20</v>
      </c>
      <c r="D2193" s="105">
        <v>0</v>
      </c>
      <c r="E2193" s="124" t="s">
        <v>523</v>
      </c>
      <c r="F2193" s="125" t="str">
        <f t="shared" si="111"/>
        <v/>
      </c>
      <c r="G2193" s="126" t="e">
        <f>IF(A2193&lt;&gt;"",IF(AND(#REF!="Padrão",$H$4=#REF!),BDI!$B$17,IF(AND(#REF!="Padrão",$H$4=#REF!),BDI!#REF!,IF(AND(#REF!="Diferenciado",$H$4=#REF!),BDI!$E$17,IF(AND(#REF!="Diferenciado",$H$4=#REF!),BDI!#REF!,IF(#REF!="ZERO",0))))),"")</f>
        <v>#REF!</v>
      </c>
      <c r="H2193" s="127" t="str">
        <f t="shared" si="112"/>
        <v/>
      </c>
      <c r="I2193" s="125" t="str">
        <f t="shared" si="113"/>
        <v/>
      </c>
    </row>
    <row r="2194" spans="1:9" hidden="1" x14ac:dyDescent="0.25">
      <c r="A2194" s="103" t="s">
        <v>5829</v>
      </c>
      <c r="B2194" s="104" t="s">
        <v>4597</v>
      </c>
      <c r="C2194" s="105" t="s">
        <v>20</v>
      </c>
      <c r="D2194" s="105">
        <v>0</v>
      </c>
      <c r="E2194" s="124" t="s">
        <v>523</v>
      </c>
      <c r="F2194" s="125" t="str">
        <f t="shared" si="111"/>
        <v/>
      </c>
      <c r="G2194" s="126" t="e">
        <f>IF(A2194&lt;&gt;"",IF(AND(#REF!="Padrão",$H$4=#REF!),BDI!$B$17,IF(AND(#REF!="Padrão",$H$4=#REF!),BDI!#REF!,IF(AND(#REF!="Diferenciado",$H$4=#REF!),BDI!$E$17,IF(AND(#REF!="Diferenciado",$H$4=#REF!),BDI!#REF!,IF(#REF!="ZERO",0))))),"")</f>
        <v>#REF!</v>
      </c>
      <c r="H2194" s="127" t="str">
        <f t="shared" si="112"/>
        <v/>
      </c>
      <c r="I2194" s="125" t="str">
        <f t="shared" si="113"/>
        <v/>
      </c>
    </row>
    <row r="2195" spans="1:9" hidden="1" x14ac:dyDescent="0.25">
      <c r="A2195" s="103" t="s">
        <v>5830</v>
      </c>
      <c r="B2195" s="104" t="s">
        <v>4598</v>
      </c>
      <c r="C2195" s="105" t="s">
        <v>20</v>
      </c>
      <c r="D2195" s="105">
        <v>0</v>
      </c>
      <c r="E2195" s="124" t="s">
        <v>523</v>
      </c>
      <c r="F2195" s="125" t="str">
        <f t="shared" si="111"/>
        <v/>
      </c>
      <c r="G2195" s="126" t="e">
        <f>IF(A2195&lt;&gt;"",IF(AND(#REF!="Padrão",$H$4=#REF!),BDI!$B$17,IF(AND(#REF!="Padrão",$H$4=#REF!),BDI!#REF!,IF(AND(#REF!="Diferenciado",$H$4=#REF!),BDI!$E$17,IF(AND(#REF!="Diferenciado",$H$4=#REF!),BDI!#REF!,IF(#REF!="ZERO",0))))),"")</f>
        <v>#REF!</v>
      </c>
      <c r="H2195" s="127" t="str">
        <f t="shared" si="112"/>
        <v/>
      </c>
      <c r="I2195" s="125" t="str">
        <f t="shared" si="113"/>
        <v/>
      </c>
    </row>
    <row r="2196" spans="1:9" hidden="1" x14ac:dyDescent="0.25">
      <c r="A2196" s="103" t="s">
        <v>5831</v>
      </c>
      <c r="B2196" s="104" t="s">
        <v>4599</v>
      </c>
      <c r="C2196" s="105" t="s">
        <v>20</v>
      </c>
      <c r="D2196" s="105">
        <v>0</v>
      </c>
      <c r="E2196" s="124" t="s">
        <v>523</v>
      </c>
      <c r="F2196" s="125" t="str">
        <f t="shared" si="111"/>
        <v/>
      </c>
      <c r="G2196" s="126" t="e">
        <f>IF(A2196&lt;&gt;"",IF(AND(#REF!="Padrão",$H$4=#REF!),BDI!$B$17,IF(AND(#REF!="Padrão",$H$4=#REF!),BDI!#REF!,IF(AND(#REF!="Diferenciado",$H$4=#REF!),BDI!$E$17,IF(AND(#REF!="Diferenciado",$H$4=#REF!),BDI!#REF!,IF(#REF!="ZERO",0))))),"")</f>
        <v>#REF!</v>
      </c>
      <c r="H2196" s="127" t="str">
        <f t="shared" si="112"/>
        <v/>
      </c>
      <c r="I2196" s="125" t="str">
        <f t="shared" si="113"/>
        <v/>
      </c>
    </row>
    <row r="2197" spans="1:9" hidden="1" x14ac:dyDescent="0.25">
      <c r="A2197" s="103" t="s">
        <v>5832</v>
      </c>
      <c r="B2197" s="104" t="s">
        <v>4600</v>
      </c>
      <c r="C2197" s="105" t="s">
        <v>20</v>
      </c>
      <c r="D2197" s="105">
        <v>0</v>
      </c>
      <c r="E2197" s="124" t="s">
        <v>523</v>
      </c>
      <c r="F2197" s="125" t="str">
        <f t="shared" si="111"/>
        <v/>
      </c>
      <c r="G2197" s="126" t="e">
        <f>IF(A2197&lt;&gt;"",IF(AND(#REF!="Padrão",$H$4=#REF!),BDI!$B$17,IF(AND(#REF!="Padrão",$H$4=#REF!),BDI!#REF!,IF(AND(#REF!="Diferenciado",$H$4=#REF!),BDI!$E$17,IF(AND(#REF!="Diferenciado",$H$4=#REF!),BDI!#REF!,IF(#REF!="ZERO",0))))),"")</f>
        <v>#REF!</v>
      </c>
      <c r="H2197" s="127" t="str">
        <f t="shared" si="112"/>
        <v/>
      </c>
      <c r="I2197" s="125" t="str">
        <f t="shared" si="113"/>
        <v/>
      </c>
    </row>
    <row r="2198" spans="1:9" hidden="1" x14ac:dyDescent="0.25">
      <c r="A2198" s="103" t="s">
        <v>5833</v>
      </c>
      <c r="B2198" s="104" t="s">
        <v>4601</v>
      </c>
      <c r="C2198" s="105" t="s">
        <v>20</v>
      </c>
      <c r="D2198" s="105">
        <v>0</v>
      </c>
      <c r="E2198" s="124" t="s">
        <v>523</v>
      </c>
      <c r="F2198" s="125" t="str">
        <f t="shared" si="111"/>
        <v/>
      </c>
      <c r="G2198" s="126" t="e">
        <f>IF(A2198&lt;&gt;"",IF(AND(#REF!="Padrão",$H$4=#REF!),BDI!$B$17,IF(AND(#REF!="Padrão",$H$4=#REF!),BDI!#REF!,IF(AND(#REF!="Diferenciado",$H$4=#REF!),BDI!$E$17,IF(AND(#REF!="Diferenciado",$H$4=#REF!),BDI!#REF!,IF(#REF!="ZERO",0))))),"")</f>
        <v>#REF!</v>
      </c>
      <c r="H2198" s="127" t="str">
        <f t="shared" si="112"/>
        <v/>
      </c>
      <c r="I2198" s="125" t="str">
        <f t="shared" si="113"/>
        <v/>
      </c>
    </row>
    <row r="2199" spans="1:9" hidden="1" x14ac:dyDescent="0.25">
      <c r="A2199" s="103" t="s">
        <v>5834</v>
      </c>
      <c r="B2199" s="104" t="s">
        <v>4602</v>
      </c>
      <c r="C2199" s="105" t="s">
        <v>20</v>
      </c>
      <c r="D2199" s="105">
        <v>0</v>
      </c>
      <c r="E2199" s="124" t="s">
        <v>523</v>
      </c>
      <c r="F2199" s="125" t="str">
        <f t="shared" si="111"/>
        <v/>
      </c>
      <c r="G2199" s="126" t="e">
        <f>IF(A2199&lt;&gt;"",IF(AND(#REF!="Padrão",$H$4=#REF!),BDI!$B$17,IF(AND(#REF!="Padrão",$H$4=#REF!),BDI!#REF!,IF(AND(#REF!="Diferenciado",$H$4=#REF!),BDI!$E$17,IF(AND(#REF!="Diferenciado",$H$4=#REF!),BDI!#REF!,IF(#REF!="ZERO",0))))),"")</f>
        <v>#REF!</v>
      </c>
      <c r="H2199" s="127" t="str">
        <f t="shared" si="112"/>
        <v/>
      </c>
      <c r="I2199" s="125" t="str">
        <f t="shared" si="113"/>
        <v/>
      </c>
    </row>
    <row r="2200" spans="1:9" hidden="1" x14ac:dyDescent="0.25">
      <c r="A2200" s="103" t="s">
        <v>5835</v>
      </c>
      <c r="B2200" s="104" t="s">
        <v>4603</v>
      </c>
      <c r="C2200" s="105" t="s">
        <v>20</v>
      </c>
      <c r="D2200" s="105">
        <v>0</v>
      </c>
      <c r="E2200" s="124" t="s">
        <v>523</v>
      </c>
      <c r="F2200" s="125" t="str">
        <f t="shared" si="111"/>
        <v/>
      </c>
      <c r="G2200" s="126" t="e">
        <f>IF(A2200&lt;&gt;"",IF(AND(#REF!="Padrão",$H$4=#REF!),BDI!$B$17,IF(AND(#REF!="Padrão",$H$4=#REF!),BDI!#REF!,IF(AND(#REF!="Diferenciado",$H$4=#REF!),BDI!$E$17,IF(AND(#REF!="Diferenciado",$H$4=#REF!),BDI!#REF!,IF(#REF!="ZERO",0))))),"")</f>
        <v>#REF!</v>
      </c>
      <c r="H2200" s="127" t="str">
        <f t="shared" si="112"/>
        <v/>
      </c>
      <c r="I2200" s="125" t="str">
        <f t="shared" si="113"/>
        <v/>
      </c>
    </row>
    <row r="2201" spans="1:9" hidden="1" x14ac:dyDescent="0.25">
      <c r="A2201" s="103" t="s">
        <v>5836</v>
      </c>
      <c r="B2201" s="104" t="s">
        <v>4604</v>
      </c>
      <c r="C2201" s="105" t="s">
        <v>20</v>
      </c>
      <c r="D2201" s="105">
        <v>0</v>
      </c>
      <c r="E2201" s="124" t="s">
        <v>523</v>
      </c>
      <c r="F2201" s="125" t="str">
        <f t="shared" si="111"/>
        <v/>
      </c>
      <c r="G2201" s="126" t="e">
        <f>IF(A2201&lt;&gt;"",IF(AND(#REF!="Padrão",$H$4=#REF!),BDI!$B$17,IF(AND(#REF!="Padrão",$H$4=#REF!),BDI!#REF!,IF(AND(#REF!="Diferenciado",$H$4=#REF!),BDI!$E$17,IF(AND(#REF!="Diferenciado",$H$4=#REF!),BDI!#REF!,IF(#REF!="ZERO",0))))),"")</f>
        <v>#REF!</v>
      </c>
      <c r="H2201" s="127" t="str">
        <f t="shared" si="112"/>
        <v/>
      </c>
      <c r="I2201" s="125" t="str">
        <f t="shared" si="113"/>
        <v/>
      </c>
    </row>
    <row r="2202" spans="1:9" hidden="1" x14ac:dyDescent="0.25">
      <c r="A2202" s="103" t="s">
        <v>5837</v>
      </c>
      <c r="B2202" s="104" t="s">
        <v>4605</v>
      </c>
      <c r="C2202" s="105" t="s">
        <v>20</v>
      </c>
      <c r="D2202" s="105">
        <v>0</v>
      </c>
      <c r="E2202" s="124" t="s">
        <v>523</v>
      </c>
      <c r="F2202" s="125" t="str">
        <f t="shared" si="111"/>
        <v/>
      </c>
      <c r="G2202" s="126" t="e">
        <f>IF(A2202&lt;&gt;"",IF(AND(#REF!="Padrão",$H$4=#REF!),BDI!$B$17,IF(AND(#REF!="Padrão",$H$4=#REF!),BDI!#REF!,IF(AND(#REF!="Diferenciado",$H$4=#REF!),BDI!$E$17,IF(AND(#REF!="Diferenciado",$H$4=#REF!),BDI!#REF!,IF(#REF!="ZERO",0))))),"")</f>
        <v>#REF!</v>
      </c>
      <c r="H2202" s="127" t="str">
        <f t="shared" si="112"/>
        <v/>
      </c>
      <c r="I2202" s="125" t="str">
        <f t="shared" si="113"/>
        <v/>
      </c>
    </row>
    <row r="2203" spans="1:9" hidden="1" x14ac:dyDescent="0.25">
      <c r="A2203" s="103" t="s">
        <v>5838</v>
      </c>
      <c r="B2203" s="104" t="s">
        <v>4606</v>
      </c>
      <c r="C2203" s="105" t="s">
        <v>20</v>
      </c>
      <c r="D2203" s="105">
        <v>0</v>
      </c>
      <c r="E2203" s="124" t="s">
        <v>523</v>
      </c>
      <c r="F2203" s="125" t="str">
        <f t="shared" si="111"/>
        <v/>
      </c>
      <c r="G2203" s="126" t="e">
        <f>IF(A2203&lt;&gt;"",IF(AND(#REF!="Padrão",$H$4=#REF!),BDI!$B$17,IF(AND(#REF!="Padrão",$H$4=#REF!),BDI!#REF!,IF(AND(#REF!="Diferenciado",$H$4=#REF!),BDI!$E$17,IF(AND(#REF!="Diferenciado",$H$4=#REF!),BDI!#REF!,IF(#REF!="ZERO",0))))),"")</f>
        <v>#REF!</v>
      </c>
      <c r="H2203" s="127" t="str">
        <f t="shared" si="112"/>
        <v/>
      </c>
      <c r="I2203" s="125" t="str">
        <f t="shared" si="113"/>
        <v/>
      </c>
    </row>
    <row r="2204" spans="1:9" hidden="1" x14ac:dyDescent="0.25">
      <c r="A2204" s="103" t="s">
        <v>5839</v>
      </c>
      <c r="B2204" s="104" t="s">
        <v>4607</v>
      </c>
      <c r="C2204" s="105" t="s">
        <v>20</v>
      </c>
      <c r="D2204" s="105">
        <v>0</v>
      </c>
      <c r="E2204" s="124" t="s">
        <v>523</v>
      </c>
      <c r="F2204" s="125" t="str">
        <f t="shared" si="111"/>
        <v/>
      </c>
      <c r="G2204" s="126" t="e">
        <f>IF(A2204&lt;&gt;"",IF(AND(#REF!="Padrão",$H$4=#REF!),BDI!$B$17,IF(AND(#REF!="Padrão",$H$4=#REF!),BDI!#REF!,IF(AND(#REF!="Diferenciado",$H$4=#REF!),BDI!$E$17,IF(AND(#REF!="Diferenciado",$H$4=#REF!),BDI!#REF!,IF(#REF!="ZERO",0))))),"")</f>
        <v>#REF!</v>
      </c>
      <c r="H2204" s="127" t="str">
        <f t="shared" si="112"/>
        <v/>
      </c>
      <c r="I2204" s="125" t="str">
        <f t="shared" si="113"/>
        <v/>
      </c>
    </row>
    <row r="2205" spans="1:9" hidden="1" x14ac:dyDescent="0.25">
      <c r="A2205" s="103" t="s">
        <v>5840</v>
      </c>
      <c r="B2205" s="104" t="s">
        <v>4608</v>
      </c>
      <c r="C2205" s="105" t="s">
        <v>20</v>
      </c>
      <c r="D2205" s="105">
        <v>0</v>
      </c>
      <c r="E2205" s="124" t="s">
        <v>523</v>
      </c>
      <c r="F2205" s="125" t="str">
        <f t="shared" si="111"/>
        <v/>
      </c>
      <c r="G2205" s="126" t="e">
        <f>IF(A2205&lt;&gt;"",IF(AND(#REF!="Padrão",$H$4=#REF!),BDI!$B$17,IF(AND(#REF!="Padrão",$H$4=#REF!),BDI!#REF!,IF(AND(#REF!="Diferenciado",$H$4=#REF!),BDI!$E$17,IF(AND(#REF!="Diferenciado",$H$4=#REF!),BDI!#REF!,IF(#REF!="ZERO",0))))),"")</f>
        <v>#REF!</v>
      </c>
      <c r="H2205" s="127" t="str">
        <f t="shared" si="112"/>
        <v/>
      </c>
      <c r="I2205" s="125" t="str">
        <f t="shared" si="113"/>
        <v/>
      </c>
    </row>
    <row r="2206" spans="1:9" hidden="1" x14ac:dyDescent="0.25">
      <c r="A2206" s="103" t="s">
        <v>5841</v>
      </c>
      <c r="B2206" s="104" t="s">
        <v>4609</v>
      </c>
      <c r="C2206" s="105" t="s">
        <v>20</v>
      </c>
      <c r="D2206" s="105">
        <v>0</v>
      </c>
      <c r="E2206" s="124" t="s">
        <v>523</v>
      </c>
      <c r="F2206" s="125" t="str">
        <f t="shared" si="111"/>
        <v/>
      </c>
      <c r="G2206" s="126" t="e">
        <f>IF(A2206&lt;&gt;"",IF(AND(#REF!="Padrão",$H$4=#REF!),BDI!$B$17,IF(AND(#REF!="Padrão",$H$4=#REF!),BDI!#REF!,IF(AND(#REF!="Diferenciado",$H$4=#REF!),BDI!$E$17,IF(AND(#REF!="Diferenciado",$H$4=#REF!),BDI!#REF!,IF(#REF!="ZERO",0))))),"")</f>
        <v>#REF!</v>
      </c>
      <c r="H2206" s="127" t="str">
        <f t="shared" si="112"/>
        <v/>
      </c>
      <c r="I2206" s="125" t="str">
        <f t="shared" si="113"/>
        <v/>
      </c>
    </row>
    <row r="2207" spans="1:9" hidden="1" x14ac:dyDescent="0.25">
      <c r="A2207" s="103" t="s">
        <v>5842</v>
      </c>
      <c r="B2207" s="104" t="s">
        <v>4610</v>
      </c>
      <c r="C2207" s="105" t="s">
        <v>20</v>
      </c>
      <c r="D2207" s="105">
        <v>0</v>
      </c>
      <c r="E2207" s="124" t="s">
        <v>523</v>
      </c>
      <c r="F2207" s="125" t="str">
        <f t="shared" si="111"/>
        <v/>
      </c>
      <c r="G2207" s="126" t="e">
        <f>IF(A2207&lt;&gt;"",IF(AND(#REF!="Padrão",$H$4=#REF!),BDI!$B$17,IF(AND(#REF!="Padrão",$H$4=#REF!),BDI!#REF!,IF(AND(#REF!="Diferenciado",$H$4=#REF!),BDI!$E$17,IF(AND(#REF!="Diferenciado",$H$4=#REF!),BDI!#REF!,IF(#REF!="ZERO",0))))),"")</f>
        <v>#REF!</v>
      </c>
      <c r="H2207" s="127" t="str">
        <f t="shared" si="112"/>
        <v/>
      </c>
      <c r="I2207" s="125" t="str">
        <f t="shared" si="113"/>
        <v/>
      </c>
    </row>
    <row r="2208" spans="1:9" hidden="1" x14ac:dyDescent="0.25">
      <c r="A2208" s="103" t="s">
        <v>5843</v>
      </c>
      <c r="B2208" s="104" t="s">
        <v>4611</v>
      </c>
      <c r="C2208" s="105" t="s">
        <v>20</v>
      </c>
      <c r="D2208" s="105">
        <v>0</v>
      </c>
      <c r="E2208" s="124" t="s">
        <v>523</v>
      </c>
      <c r="F2208" s="125" t="str">
        <f t="shared" si="111"/>
        <v/>
      </c>
      <c r="G2208" s="126" t="e">
        <f>IF(A2208&lt;&gt;"",IF(AND(#REF!="Padrão",$H$4=#REF!),BDI!$B$17,IF(AND(#REF!="Padrão",$H$4=#REF!),BDI!#REF!,IF(AND(#REF!="Diferenciado",$H$4=#REF!),BDI!$E$17,IF(AND(#REF!="Diferenciado",$H$4=#REF!),BDI!#REF!,IF(#REF!="ZERO",0))))),"")</f>
        <v>#REF!</v>
      </c>
      <c r="H2208" s="127" t="str">
        <f t="shared" si="112"/>
        <v/>
      </c>
      <c r="I2208" s="125" t="str">
        <f t="shared" si="113"/>
        <v/>
      </c>
    </row>
    <row r="2209" spans="1:9" hidden="1" x14ac:dyDescent="0.25">
      <c r="A2209" s="103" t="s">
        <v>5844</v>
      </c>
      <c r="B2209" s="104" t="s">
        <v>4612</v>
      </c>
      <c r="C2209" s="105" t="s">
        <v>20</v>
      </c>
      <c r="D2209" s="105">
        <v>0</v>
      </c>
      <c r="E2209" s="124" t="s">
        <v>523</v>
      </c>
      <c r="F2209" s="125" t="str">
        <f t="shared" si="111"/>
        <v/>
      </c>
      <c r="G2209" s="126" t="e">
        <f>IF(A2209&lt;&gt;"",IF(AND(#REF!="Padrão",$H$4=#REF!),BDI!$B$17,IF(AND(#REF!="Padrão",$H$4=#REF!),BDI!#REF!,IF(AND(#REF!="Diferenciado",$H$4=#REF!),BDI!$E$17,IF(AND(#REF!="Diferenciado",$H$4=#REF!),BDI!#REF!,IF(#REF!="ZERO",0))))),"")</f>
        <v>#REF!</v>
      </c>
      <c r="H2209" s="127" t="str">
        <f t="shared" si="112"/>
        <v/>
      </c>
      <c r="I2209" s="125" t="str">
        <f t="shared" si="113"/>
        <v/>
      </c>
    </row>
    <row r="2210" spans="1:9" hidden="1" x14ac:dyDescent="0.25">
      <c r="A2210" s="103" t="s">
        <v>5845</v>
      </c>
      <c r="B2210" s="104" t="s">
        <v>4613</v>
      </c>
      <c r="C2210" s="105" t="s">
        <v>20</v>
      </c>
      <c r="D2210" s="105">
        <v>0</v>
      </c>
      <c r="E2210" s="124" t="s">
        <v>523</v>
      </c>
      <c r="F2210" s="125" t="str">
        <f t="shared" si="111"/>
        <v/>
      </c>
      <c r="G2210" s="126" t="e">
        <f>IF(A2210&lt;&gt;"",IF(AND(#REF!="Padrão",$H$4=#REF!),BDI!$B$17,IF(AND(#REF!="Padrão",$H$4=#REF!),BDI!#REF!,IF(AND(#REF!="Diferenciado",$H$4=#REF!),BDI!$E$17,IF(AND(#REF!="Diferenciado",$H$4=#REF!),BDI!#REF!,IF(#REF!="ZERO",0))))),"")</f>
        <v>#REF!</v>
      </c>
      <c r="H2210" s="127" t="str">
        <f t="shared" si="112"/>
        <v/>
      </c>
      <c r="I2210" s="125" t="str">
        <f t="shared" si="113"/>
        <v/>
      </c>
    </row>
    <row r="2211" spans="1:9" hidden="1" x14ac:dyDescent="0.25">
      <c r="A2211" s="103" t="s">
        <v>5846</v>
      </c>
      <c r="B2211" s="104" t="s">
        <v>4614</v>
      </c>
      <c r="C2211" s="105" t="s">
        <v>20</v>
      </c>
      <c r="D2211" s="105">
        <v>0</v>
      </c>
      <c r="E2211" s="124" t="s">
        <v>523</v>
      </c>
      <c r="F2211" s="125" t="str">
        <f t="shared" si="111"/>
        <v/>
      </c>
      <c r="G2211" s="126" t="e">
        <f>IF(A2211&lt;&gt;"",IF(AND(#REF!="Padrão",$H$4=#REF!),BDI!$B$17,IF(AND(#REF!="Padrão",$H$4=#REF!),BDI!#REF!,IF(AND(#REF!="Diferenciado",$H$4=#REF!),BDI!$E$17,IF(AND(#REF!="Diferenciado",$H$4=#REF!),BDI!#REF!,IF(#REF!="ZERO",0))))),"")</f>
        <v>#REF!</v>
      </c>
      <c r="H2211" s="127" t="str">
        <f t="shared" si="112"/>
        <v/>
      </c>
      <c r="I2211" s="125" t="str">
        <f t="shared" si="113"/>
        <v/>
      </c>
    </row>
    <row r="2212" spans="1:9" hidden="1" x14ac:dyDescent="0.25">
      <c r="A2212" s="103" t="s">
        <v>5847</v>
      </c>
      <c r="B2212" s="104" t="s">
        <v>4615</v>
      </c>
      <c r="C2212" s="105" t="s">
        <v>20</v>
      </c>
      <c r="D2212" s="105">
        <v>0</v>
      </c>
      <c r="E2212" s="124" t="s">
        <v>523</v>
      </c>
      <c r="F2212" s="125" t="str">
        <f t="shared" si="111"/>
        <v/>
      </c>
      <c r="G2212" s="126" t="e">
        <f>IF(A2212&lt;&gt;"",IF(AND(#REF!="Padrão",$H$4=#REF!),BDI!$B$17,IF(AND(#REF!="Padrão",$H$4=#REF!),BDI!#REF!,IF(AND(#REF!="Diferenciado",$H$4=#REF!),BDI!$E$17,IF(AND(#REF!="Diferenciado",$H$4=#REF!),BDI!#REF!,IF(#REF!="ZERO",0))))),"")</f>
        <v>#REF!</v>
      </c>
      <c r="H2212" s="127" t="str">
        <f t="shared" si="112"/>
        <v/>
      </c>
      <c r="I2212" s="125" t="str">
        <f t="shared" si="113"/>
        <v/>
      </c>
    </row>
    <row r="2213" spans="1:9" hidden="1" x14ac:dyDescent="0.25">
      <c r="A2213" s="103" t="s">
        <v>5848</v>
      </c>
      <c r="B2213" s="104" t="s">
        <v>4616</v>
      </c>
      <c r="C2213" s="105" t="s">
        <v>20</v>
      </c>
      <c r="D2213" s="105">
        <v>0</v>
      </c>
      <c r="E2213" s="124" t="s">
        <v>523</v>
      </c>
      <c r="F2213" s="125" t="str">
        <f t="shared" si="111"/>
        <v/>
      </c>
      <c r="G2213" s="126" t="e">
        <f>IF(A2213&lt;&gt;"",IF(AND(#REF!="Padrão",$H$4=#REF!),BDI!$B$17,IF(AND(#REF!="Padrão",$H$4=#REF!),BDI!#REF!,IF(AND(#REF!="Diferenciado",$H$4=#REF!),BDI!$E$17,IF(AND(#REF!="Diferenciado",$H$4=#REF!),BDI!#REF!,IF(#REF!="ZERO",0))))),"")</f>
        <v>#REF!</v>
      </c>
      <c r="H2213" s="127" t="str">
        <f t="shared" si="112"/>
        <v/>
      </c>
      <c r="I2213" s="125" t="str">
        <f t="shared" si="113"/>
        <v/>
      </c>
    </row>
    <row r="2214" spans="1:9" hidden="1" x14ac:dyDescent="0.25">
      <c r="A2214" s="103" t="s">
        <v>5849</v>
      </c>
      <c r="B2214" s="104" t="s">
        <v>4617</v>
      </c>
      <c r="C2214" s="105" t="s">
        <v>20</v>
      </c>
      <c r="D2214" s="105">
        <v>0</v>
      </c>
      <c r="E2214" s="124" t="s">
        <v>523</v>
      </c>
      <c r="F2214" s="125" t="str">
        <f t="shared" si="111"/>
        <v/>
      </c>
      <c r="G2214" s="126" t="e">
        <f>IF(A2214&lt;&gt;"",IF(AND(#REF!="Padrão",$H$4=#REF!),BDI!$B$17,IF(AND(#REF!="Padrão",$H$4=#REF!),BDI!#REF!,IF(AND(#REF!="Diferenciado",$H$4=#REF!),BDI!$E$17,IF(AND(#REF!="Diferenciado",$H$4=#REF!),BDI!#REF!,IF(#REF!="ZERO",0))))),"")</f>
        <v>#REF!</v>
      </c>
      <c r="H2214" s="127" t="str">
        <f t="shared" si="112"/>
        <v/>
      </c>
      <c r="I2214" s="125" t="str">
        <f t="shared" si="113"/>
        <v/>
      </c>
    </row>
    <row r="2215" spans="1:9" hidden="1" x14ac:dyDescent="0.25">
      <c r="A2215" s="103" t="s">
        <v>5850</v>
      </c>
      <c r="B2215" s="104" t="s">
        <v>4618</v>
      </c>
      <c r="C2215" s="105" t="s">
        <v>20</v>
      </c>
      <c r="D2215" s="105">
        <v>0</v>
      </c>
      <c r="E2215" s="124" t="s">
        <v>523</v>
      </c>
      <c r="F2215" s="125" t="str">
        <f t="shared" si="111"/>
        <v/>
      </c>
      <c r="G2215" s="126" t="e">
        <f>IF(A2215&lt;&gt;"",IF(AND(#REF!="Padrão",$H$4=#REF!),BDI!$B$17,IF(AND(#REF!="Padrão",$H$4=#REF!),BDI!#REF!,IF(AND(#REF!="Diferenciado",$H$4=#REF!),BDI!$E$17,IF(AND(#REF!="Diferenciado",$H$4=#REF!),BDI!#REF!,IF(#REF!="ZERO",0))))),"")</f>
        <v>#REF!</v>
      </c>
      <c r="H2215" s="127" t="str">
        <f t="shared" si="112"/>
        <v/>
      </c>
      <c r="I2215" s="125" t="str">
        <f t="shared" si="113"/>
        <v/>
      </c>
    </row>
    <row r="2216" spans="1:9" hidden="1" x14ac:dyDescent="0.25">
      <c r="A2216" s="103" t="s">
        <v>5851</v>
      </c>
      <c r="B2216" s="104" t="s">
        <v>4619</v>
      </c>
      <c r="C2216" s="105" t="s">
        <v>20</v>
      </c>
      <c r="D2216" s="105">
        <v>0</v>
      </c>
      <c r="E2216" s="124" t="s">
        <v>523</v>
      </c>
      <c r="F2216" s="125" t="str">
        <f t="shared" si="111"/>
        <v/>
      </c>
      <c r="G2216" s="126" t="e">
        <f>IF(A2216&lt;&gt;"",IF(AND(#REF!="Padrão",$H$4=#REF!),BDI!$B$17,IF(AND(#REF!="Padrão",$H$4=#REF!),BDI!#REF!,IF(AND(#REF!="Diferenciado",$H$4=#REF!),BDI!$E$17,IF(AND(#REF!="Diferenciado",$H$4=#REF!),BDI!#REF!,IF(#REF!="ZERO",0))))),"")</f>
        <v>#REF!</v>
      </c>
      <c r="H2216" s="127" t="str">
        <f t="shared" si="112"/>
        <v/>
      </c>
      <c r="I2216" s="125" t="str">
        <f t="shared" si="113"/>
        <v/>
      </c>
    </row>
    <row r="2217" spans="1:9" hidden="1" x14ac:dyDescent="0.25">
      <c r="A2217" s="103" t="s">
        <v>5852</v>
      </c>
      <c r="B2217" s="104" t="s">
        <v>4620</v>
      </c>
      <c r="C2217" s="105" t="s">
        <v>20</v>
      </c>
      <c r="D2217" s="105">
        <v>0</v>
      </c>
      <c r="E2217" s="124">
        <f ca="1">OFFSET(INDEX(Composições!A:J,MATCH(Orçamentária!A2217,Composições!A:A,0),8),2,0)</f>
        <v>157.61449999999999</v>
      </c>
      <c r="F2217" s="125">
        <f t="shared" ca="1" si="111"/>
        <v>0</v>
      </c>
      <c r="G2217" s="126" t="e">
        <f>IF(A2217&lt;&gt;"",IF(AND(#REF!="Padrão",$H$4=#REF!),BDI!$B$17,IF(AND(#REF!="Padrão",$H$4=#REF!),BDI!#REF!,IF(AND(#REF!="Diferenciado",$H$4=#REF!),BDI!$E$17,IF(AND(#REF!="Diferenciado",$H$4=#REF!),BDI!#REF!,IF(#REF!="ZERO",0))))),"")</f>
        <v>#REF!</v>
      </c>
      <c r="H2217" s="127" t="e">
        <f t="shared" ca="1" si="112"/>
        <v>#REF!</v>
      </c>
      <c r="I2217" s="125" t="e">
        <f t="shared" ca="1" si="113"/>
        <v>#REF!</v>
      </c>
    </row>
    <row r="2218" spans="1:9" hidden="1" x14ac:dyDescent="0.25">
      <c r="A2218" s="103" t="s">
        <v>5853</v>
      </c>
      <c r="B2218" s="104" t="s">
        <v>4621</v>
      </c>
      <c r="C2218" s="105" t="s">
        <v>20</v>
      </c>
      <c r="D2218" s="105">
        <v>0</v>
      </c>
      <c r="E2218" s="124">
        <f ca="1">OFFSET(INDEX(Composições!A:J,MATCH(Orçamentária!A2218,Composições!A:A,0),8),2,0)</f>
        <v>292.02049999999997</v>
      </c>
      <c r="F2218" s="125">
        <f t="shared" ca="1" si="111"/>
        <v>0</v>
      </c>
      <c r="G2218" s="126" t="e">
        <f>IF(A2218&lt;&gt;"",IF(AND(#REF!="Padrão",$H$4=#REF!),BDI!$B$17,IF(AND(#REF!="Padrão",$H$4=#REF!),BDI!#REF!,IF(AND(#REF!="Diferenciado",$H$4=#REF!),BDI!$E$17,IF(AND(#REF!="Diferenciado",$H$4=#REF!),BDI!#REF!,IF(#REF!="ZERO",0))))),"")</f>
        <v>#REF!</v>
      </c>
      <c r="H2218" s="127" t="e">
        <f t="shared" ca="1" si="112"/>
        <v>#REF!</v>
      </c>
      <c r="I2218" s="125" t="e">
        <f t="shared" ca="1" si="113"/>
        <v>#REF!</v>
      </c>
    </row>
    <row r="2219" spans="1:9" hidden="1" x14ac:dyDescent="0.25">
      <c r="A2219" s="103" t="s">
        <v>5854</v>
      </c>
      <c r="B2219" s="104" t="s">
        <v>4622</v>
      </c>
      <c r="C2219" s="105" t="s">
        <v>20</v>
      </c>
      <c r="D2219" s="105">
        <v>0</v>
      </c>
      <c r="E2219" s="124">
        <f ca="1">OFFSET(INDEX(Composições!A:J,MATCH(Orçamentária!A2219,Composições!A:A,0),8),2,0)</f>
        <v>632.87099999999987</v>
      </c>
      <c r="F2219" s="125">
        <f t="shared" ca="1" si="111"/>
        <v>0</v>
      </c>
      <c r="G2219" s="126" t="e">
        <f>IF(A2219&lt;&gt;"",IF(AND(#REF!="Padrão",$H$4=#REF!),BDI!$B$17,IF(AND(#REF!="Padrão",$H$4=#REF!),BDI!#REF!,IF(AND(#REF!="Diferenciado",$H$4=#REF!),BDI!$E$17,IF(AND(#REF!="Diferenciado",$H$4=#REF!),BDI!#REF!,IF(#REF!="ZERO",0))))),"")</f>
        <v>#REF!</v>
      </c>
      <c r="H2219" s="127" t="e">
        <f t="shared" ca="1" si="112"/>
        <v>#REF!</v>
      </c>
      <c r="I2219" s="125" t="e">
        <f t="shared" ca="1" si="113"/>
        <v>#REF!</v>
      </c>
    </row>
    <row r="2220" spans="1:9" hidden="1" x14ac:dyDescent="0.25">
      <c r="A2220" s="103" t="s">
        <v>5855</v>
      </c>
      <c r="B2220" s="104" t="s">
        <v>4623</v>
      </c>
      <c r="C2220" s="105" t="s">
        <v>20</v>
      </c>
      <c r="D2220" s="105">
        <v>0</v>
      </c>
      <c r="E2220" s="124" t="s">
        <v>523</v>
      </c>
      <c r="F2220" s="125" t="str">
        <f t="shared" si="111"/>
        <v/>
      </c>
      <c r="G2220" s="126" t="e">
        <f>IF(A2220&lt;&gt;"",IF(AND(#REF!="Padrão",$H$4=#REF!),BDI!$B$17,IF(AND(#REF!="Padrão",$H$4=#REF!),BDI!#REF!,IF(AND(#REF!="Diferenciado",$H$4=#REF!),BDI!$E$17,IF(AND(#REF!="Diferenciado",$H$4=#REF!),BDI!#REF!,IF(#REF!="ZERO",0))))),"")</f>
        <v>#REF!</v>
      </c>
      <c r="H2220" s="127" t="str">
        <f t="shared" si="112"/>
        <v/>
      </c>
      <c r="I2220" s="125" t="str">
        <f t="shared" si="113"/>
        <v/>
      </c>
    </row>
    <row r="2221" spans="1:9" hidden="1" x14ac:dyDescent="0.25">
      <c r="A2221" s="103" t="s">
        <v>5856</v>
      </c>
      <c r="B2221" s="104" t="s">
        <v>4624</v>
      </c>
      <c r="C2221" s="105" t="s">
        <v>20</v>
      </c>
      <c r="D2221" s="105">
        <v>0</v>
      </c>
      <c r="E2221" s="124" t="s">
        <v>523</v>
      </c>
      <c r="F2221" s="125" t="str">
        <f t="shared" ref="F2221:F2284" si="114">IF(ISNUMBER(E2221),D2221*E2221,"")</f>
        <v/>
      </c>
      <c r="G2221" s="126" t="e">
        <f>IF(A2221&lt;&gt;"",IF(AND(#REF!="Padrão",$H$4=#REF!),BDI!$B$17,IF(AND(#REF!="Padrão",$H$4=#REF!),BDI!#REF!,IF(AND(#REF!="Diferenciado",$H$4=#REF!),BDI!$E$17,IF(AND(#REF!="Diferenciado",$H$4=#REF!),BDI!#REF!,IF(#REF!="ZERO",0))))),"")</f>
        <v>#REF!</v>
      </c>
      <c r="H2221" s="127" t="str">
        <f t="shared" ref="H2221:H2284" si="115">IF(ISNUMBER(E2221),ROUND(E2221*(1+G2221),2),"")</f>
        <v/>
      </c>
      <c r="I2221" s="125" t="str">
        <f t="shared" ref="I2221:I2284" si="116">IF(ISNUMBER(E2221),ROUND(H2221*D2221,2),"")</f>
        <v/>
      </c>
    </row>
    <row r="2222" spans="1:9" hidden="1" x14ac:dyDescent="0.25">
      <c r="A2222" s="103" t="s">
        <v>5857</v>
      </c>
      <c r="B2222" s="104" t="s">
        <v>4625</v>
      </c>
      <c r="C2222" s="105" t="s">
        <v>20</v>
      </c>
      <c r="D2222" s="105">
        <v>0</v>
      </c>
      <c r="E2222" s="124" t="s">
        <v>523</v>
      </c>
      <c r="F2222" s="125" t="str">
        <f t="shared" si="114"/>
        <v/>
      </c>
      <c r="G2222" s="126" t="e">
        <f>IF(A2222&lt;&gt;"",IF(AND(#REF!="Padrão",$H$4=#REF!),BDI!$B$17,IF(AND(#REF!="Padrão",$H$4=#REF!),BDI!#REF!,IF(AND(#REF!="Diferenciado",$H$4=#REF!),BDI!$E$17,IF(AND(#REF!="Diferenciado",$H$4=#REF!),BDI!#REF!,IF(#REF!="ZERO",0))))),"")</f>
        <v>#REF!</v>
      </c>
      <c r="H2222" s="127" t="str">
        <f t="shared" si="115"/>
        <v/>
      </c>
      <c r="I2222" s="125" t="str">
        <f t="shared" si="116"/>
        <v/>
      </c>
    </row>
    <row r="2223" spans="1:9" hidden="1" x14ac:dyDescent="0.25">
      <c r="A2223" s="103" t="s">
        <v>5858</v>
      </c>
      <c r="B2223" s="104" t="s">
        <v>4626</v>
      </c>
      <c r="C2223" s="105" t="s">
        <v>20</v>
      </c>
      <c r="D2223" s="105">
        <v>0</v>
      </c>
      <c r="E2223" s="124" t="s">
        <v>523</v>
      </c>
      <c r="F2223" s="125" t="str">
        <f t="shared" si="114"/>
        <v/>
      </c>
      <c r="G2223" s="126" t="e">
        <f>IF(A2223&lt;&gt;"",IF(AND(#REF!="Padrão",$H$4=#REF!),BDI!$B$17,IF(AND(#REF!="Padrão",$H$4=#REF!),BDI!#REF!,IF(AND(#REF!="Diferenciado",$H$4=#REF!),BDI!$E$17,IF(AND(#REF!="Diferenciado",$H$4=#REF!),BDI!#REF!,IF(#REF!="ZERO",0))))),"")</f>
        <v>#REF!</v>
      </c>
      <c r="H2223" s="127" t="str">
        <f t="shared" si="115"/>
        <v/>
      </c>
      <c r="I2223" s="125" t="str">
        <f t="shared" si="116"/>
        <v/>
      </c>
    </row>
    <row r="2224" spans="1:9" hidden="1" x14ac:dyDescent="0.25">
      <c r="A2224" s="103" t="s">
        <v>5859</v>
      </c>
      <c r="B2224" s="104" t="s">
        <v>4627</v>
      </c>
      <c r="C2224" s="105" t="s">
        <v>20</v>
      </c>
      <c r="D2224" s="105">
        <v>0</v>
      </c>
      <c r="E2224" s="124" t="s">
        <v>523</v>
      </c>
      <c r="F2224" s="125" t="str">
        <f t="shared" si="114"/>
        <v/>
      </c>
      <c r="G2224" s="126" t="e">
        <f>IF(A2224&lt;&gt;"",IF(AND(#REF!="Padrão",$H$4=#REF!),BDI!$B$17,IF(AND(#REF!="Padrão",$H$4=#REF!),BDI!#REF!,IF(AND(#REF!="Diferenciado",$H$4=#REF!),BDI!$E$17,IF(AND(#REF!="Diferenciado",$H$4=#REF!),BDI!#REF!,IF(#REF!="ZERO",0))))),"")</f>
        <v>#REF!</v>
      </c>
      <c r="H2224" s="127" t="str">
        <f t="shared" si="115"/>
        <v/>
      </c>
      <c r="I2224" s="125" t="str">
        <f t="shared" si="116"/>
        <v/>
      </c>
    </row>
    <row r="2225" spans="1:9" hidden="1" x14ac:dyDescent="0.25">
      <c r="A2225" s="103" t="s">
        <v>5860</v>
      </c>
      <c r="B2225" s="104" t="s">
        <v>4628</v>
      </c>
      <c r="C2225" s="105" t="s">
        <v>20</v>
      </c>
      <c r="D2225" s="105">
        <v>0</v>
      </c>
      <c r="E2225" s="124" t="s">
        <v>523</v>
      </c>
      <c r="F2225" s="125" t="str">
        <f t="shared" si="114"/>
        <v/>
      </c>
      <c r="G2225" s="126" t="e">
        <f>IF(A2225&lt;&gt;"",IF(AND(#REF!="Padrão",$H$4=#REF!),BDI!$B$17,IF(AND(#REF!="Padrão",$H$4=#REF!),BDI!#REF!,IF(AND(#REF!="Diferenciado",$H$4=#REF!),BDI!$E$17,IF(AND(#REF!="Diferenciado",$H$4=#REF!),BDI!#REF!,IF(#REF!="ZERO",0))))),"")</f>
        <v>#REF!</v>
      </c>
      <c r="H2225" s="127" t="str">
        <f t="shared" si="115"/>
        <v/>
      </c>
      <c r="I2225" s="125" t="str">
        <f t="shared" si="116"/>
        <v/>
      </c>
    </row>
    <row r="2226" spans="1:9" hidden="1" x14ac:dyDescent="0.25">
      <c r="A2226" s="103" t="s">
        <v>5861</v>
      </c>
      <c r="B2226" s="104" t="s">
        <v>4629</v>
      </c>
      <c r="C2226" s="105" t="s">
        <v>20</v>
      </c>
      <c r="D2226" s="105">
        <v>0</v>
      </c>
      <c r="E2226" s="124" t="s">
        <v>523</v>
      </c>
      <c r="F2226" s="125" t="str">
        <f t="shared" si="114"/>
        <v/>
      </c>
      <c r="G2226" s="126" t="e">
        <f>IF(A2226&lt;&gt;"",IF(AND(#REF!="Padrão",$H$4=#REF!),BDI!$B$17,IF(AND(#REF!="Padrão",$H$4=#REF!),BDI!#REF!,IF(AND(#REF!="Diferenciado",$H$4=#REF!),BDI!$E$17,IF(AND(#REF!="Diferenciado",$H$4=#REF!),BDI!#REF!,IF(#REF!="ZERO",0))))),"")</f>
        <v>#REF!</v>
      </c>
      <c r="H2226" s="127" t="str">
        <f t="shared" si="115"/>
        <v/>
      </c>
      <c r="I2226" s="125" t="str">
        <f t="shared" si="116"/>
        <v/>
      </c>
    </row>
    <row r="2227" spans="1:9" hidden="1" x14ac:dyDescent="0.25">
      <c r="A2227" s="103" t="s">
        <v>5862</v>
      </c>
      <c r="B2227" s="104" t="s">
        <v>4630</v>
      </c>
      <c r="C2227" s="105" t="s">
        <v>20</v>
      </c>
      <c r="D2227" s="105">
        <v>0</v>
      </c>
      <c r="E2227" s="124" t="s">
        <v>523</v>
      </c>
      <c r="F2227" s="125" t="str">
        <f t="shared" si="114"/>
        <v/>
      </c>
      <c r="G2227" s="126" t="e">
        <f>IF(A2227&lt;&gt;"",IF(AND(#REF!="Padrão",$H$4=#REF!),BDI!$B$17,IF(AND(#REF!="Padrão",$H$4=#REF!),BDI!#REF!,IF(AND(#REF!="Diferenciado",$H$4=#REF!),BDI!$E$17,IF(AND(#REF!="Diferenciado",$H$4=#REF!),BDI!#REF!,IF(#REF!="ZERO",0))))),"")</f>
        <v>#REF!</v>
      </c>
      <c r="H2227" s="127" t="str">
        <f t="shared" si="115"/>
        <v/>
      </c>
      <c r="I2227" s="125" t="str">
        <f t="shared" si="116"/>
        <v/>
      </c>
    </row>
    <row r="2228" spans="1:9" hidden="1" x14ac:dyDescent="0.25">
      <c r="A2228" s="103" t="s">
        <v>5863</v>
      </c>
      <c r="B2228" s="104" t="s">
        <v>4631</v>
      </c>
      <c r="C2228" s="105" t="s">
        <v>20</v>
      </c>
      <c r="D2228" s="105">
        <v>0</v>
      </c>
      <c r="E2228" s="124" t="s">
        <v>523</v>
      </c>
      <c r="F2228" s="125" t="str">
        <f t="shared" si="114"/>
        <v/>
      </c>
      <c r="G2228" s="126" t="e">
        <f>IF(A2228&lt;&gt;"",IF(AND(#REF!="Padrão",$H$4=#REF!),BDI!$B$17,IF(AND(#REF!="Padrão",$H$4=#REF!),BDI!#REF!,IF(AND(#REF!="Diferenciado",$H$4=#REF!),BDI!$E$17,IF(AND(#REF!="Diferenciado",$H$4=#REF!),BDI!#REF!,IF(#REF!="ZERO",0))))),"")</f>
        <v>#REF!</v>
      </c>
      <c r="H2228" s="127" t="str">
        <f t="shared" si="115"/>
        <v/>
      </c>
      <c r="I2228" s="125" t="str">
        <f t="shared" si="116"/>
        <v/>
      </c>
    </row>
    <row r="2229" spans="1:9" hidden="1" x14ac:dyDescent="0.25">
      <c r="A2229" s="103" t="s">
        <v>5864</v>
      </c>
      <c r="B2229" s="104" t="s">
        <v>4632</v>
      </c>
      <c r="C2229" s="105" t="s">
        <v>20</v>
      </c>
      <c r="D2229" s="105">
        <v>0</v>
      </c>
      <c r="E2229" s="124" t="s">
        <v>523</v>
      </c>
      <c r="F2229" s="125" t="str">
        <f t="shared" si="114"/>
        <v/>
      </c>
      <c r="G2229" s="126" t="e">
        <f>IF(A2229&lt;&gt;"",IF(AND(#REF!="Padrão",$H$4=#REF!),BDI!$B$17,IF(AND(#REF!="Padrão",$H$4=#REF!),BDI!#REF!,IF(AND(#REF!="Diferenciado",$H$4=#REF!),BDI!$E$17,IF(AND(#REF!="Diferenciado",$H$4=#REF!),BDI!#REF!,IF(#REF!="ZERO",0))))),"")</f>
        <v>#REF!</v>
      </c>
      <c r="H2229" s="127" t="str">
        <f t="shared" si="115"/>
        <v/>
      </c>
      <c r="I2229" s="125" t="str">
        <f t="shared" si="116"/>
        <v/>
      </c>
    </row>
    <row r="2230" spans="1:9" hidden="1" x14ac:dyDescent="0.25">
      <c r="A2230" s="103" t="s">
        <v>5865</v>
      </c>
      <c r="B2230" s="104" t="s">
        <v>4633</v>
      </c>
      <c r="C2230" s="105" t="s">
        <v>20</v>
      </c>
      <c r="D2230" s="105">
        <v>0</v>
      </c>
      <c r="E2230" s="124" t="s">
        <v>523</v>
      </c>
      <c r="F2230" s="125" t="str">
        <f t="shared" si="114"/>
        <v/>
      </c>
      <c r="G2230" s="126" t="e">
        <f>IF(A2230&lt;&gt;"",IF(AND(#REF!="Padrão",$H$4=#REF!),BDI!$B$17,IF(AND(#REF!="Padrão",$H$4=#REF!),BDI!#REF!,IF(AND(#REF!="Diferenciado",$H$4=#REF!),BDI!$E$17,IF(AND(#REF!="Diferenciado",$H$4=#REF!),BDI!#REF!,IF(#REF!="ZERO",0))))),"")</f>
        <v>#REF!</v>
      </c>
      <c r="H2230" s="127" t="str">
        <f t="shared" si="115"/>
        <v/>
      </c>
      <c r="I2230" s="125" t="str">
        <f t="shared" si="116"/>
        <v/>
      </c>
    </row>
    <row r="2231" spans="1:9" hidden="1" x14ac:dyDescent="0.25">
      <c r="A2231" s="103" t="s">
        <v>5866</v>
      </c>
      <c r="B2231" s="104" t="s">
        <v>4634</v>
      </c>
      <c r="C2231" s="105" t="s">
        <v>20</v>
      </c>
      <c r="D2231" s="105">
        <v>0</v>
      </c>
      <c r="E2231" s="124" t="s">
        <v>523</v>
      </c>
      <c r="F2231" s="125" t="str">
        <f t="shared" si="114"/>
        <v/>
      </c>
      <c r="G2231" s="126" t="e">
        <f>IF(A2231&lt;&gt;"",IF(AND(#REF!="Padrão",$H$4=#REF!),BDI!$B$17,IF(AND(#REF!="Padrão",$H$4=#REF!),BDI!#REF!,IF(AND(#REF!="Diferenciado",$H$4=#REF!),BDI!$E$17,IF(AND(#REF!="Diferenciado",$H$4=#REF!),BDI!#REF!,IF(#REF!="ZERO",0))))),"")</f>
        <v>#REF!</v>
      </c>
      <c r="H2231" s="127" t="str">
        <f t="shared" si="115"/>
        <v/>
      </c>
      <c r="I2231" s="125" t="str">
        <f t="shared" si="116"/>
        <v/>
      </c>
    </row>
    <row r="2232" spans="1:9" hidden="1" x14ac:dyDescent="0.25">
      <c r="A2232" s="103" t="s">
        <v>5867</v>
      </c>
      <c r="B2232" s="104" t="s">
        <v>4635</v>
      </c>
      <c r="C2232" s="105" t="s">
        <v>20</v>
      </c>
      <c r="D2232" s="105">
        <v>0</v>
      </c>
      <c r="E2232" s="124" t="s">
        <v>523</v>
      </c>
      <c r="F2232" s="125" t="str">
        <f t="shared" si="114"/>
        <v/>
      </c>
      <c r="G2232" s="126" t="e">
        <f>IF(A2232&lt;&gt;"",IF(AND(#REF!="Padrão",$H$4=#REF!),BDI!$B$17,IF(AND(#REF!="Padrão",$H$4=#REF!),BDI!#REF!,IF(AND(#REF!="Diferenciado",$H$4=#REF!),BDI!$E$17,IF(AND(#REF!="Diferenciado",$H$4=#REF!),BDI!#REF!,IF(#REF!="ZERO",0))))),"")</f>
        <v>#REF!</v>
      </c>
      <c r="H2232" s="127" t="str">
        <f t="shared" si="115"/>
        <v/>
      </c>
      <c r="I2232" s="125" t="str">
        <f t="shared" si="116"/>
        <v/>
      </c>
    </row>
    <row r="2233" spans="1:9" hidden="1" x14ac:dyDescent="0.25">
      <c r="A2233" s="103" t="s">
        <v>5868</v>
      </c>
      <c r="B2233" s="104" t="s">
        <v>4636</v>
      </c>
      <c r="C2233" s="105" t="s">
        <v>20</v>
      </c>
      <c r="D2233" s="105">
        <v>0</v>
      </c>
      <c r="E2233" s="124" t="s">
        <v>523</v>
      </c>
      <c r="F2233" s="125" t="str">
        <f t="shared" si="114"/>
        <v/>
      </c>
      <c r="G2233" s="126" t="e">
        <f>IF(A2233&lt;&gt;"",IF(AND(#REF!="Padrão",$H$4=#REF!),BDI!$B$17,IF(AND(#REF!="Padrão",$H$4=#REF!),BDI!#REF!,IF(AND(#REF!="Diferenciado",$H$4=#REF!),BDI!$E$17,IF(AND(#REF!="Diferenciado",$H$4=#REF!),BDI!#REF!,IF(#REF!="ZERO",0))))),"")</f>
        <v>#REF!</v>
      </c>
      <c r="H2233" s="127" t="str">
        <f t="shared" si="115"/>
        <v/>
      </c>
      <c r="I2233" s="125" t="str">
        <f t="shared" si="116"/>
        <v/>
      </c>
    </row>
    <row r="2234" spans="1:9" hidden="1" x14ac:dyDescent="0.25">
      <c r="A2234" s="103" t="s">
        <v>5869</v>
      </c>
      <c r="B2234" s="104" t="s">
        <v>4637</v>
      </c>
      <c r="C2234" s="105" t="s">
        <v>20</v>
      </c>
      <c r="D2234" s="105">
        <v>0</v>
      </c>
      <c r="E2234" s="124" t="s">
        <v>523</v>
      </c>
      <c r="F2234" s="125" t="str">
        <f t="shared" si="114"/>
        <v/>
      </c>
      <c r="G2234" s="126" t="e">
        <f>IF(A2234&lt;&gt;"",IF(AND(#REF!="Padrão",$H$4=#REF!),BDI!$B$17,IF(AND(#REF!="Padrão",$H$4=#REF!),BDI!#REF!,IF(AND(#REF!="Diferenciado",$H$4=#REF!),BDI!$E$17,IF(AND(#REF!="Diferenciado",$H$4=#REF!),BDI!#REF!,IF(#REF!="ZERO",0))))),"")</f>
        <v>#REF!</v>
      </c>
      <c r="H2234" s="127" t="str">
        <f t="shared" si="115"/>
        <v/>
      </c>
      <c r="I2234" s="125" t="str">
        <f t="shared" si="116"/>
        <v/>
      </c>
    </row>
    <row r="2235" spans="1:9" hidden="1" x14ac:dyDescent="0.25">
      <c r="A2235" s="103" t="s">
        <v>5870</v>
      </c>
      <c r="B2235" s="104" t="s">
        <v>4638</v>
      </c>
      <c r="C2235" s="105" t="s">
        <v>20</v>
      </c>
      <c r="D2235" s="105">
        <v>0</v>
      </c>
      <c r="E2235" s="124" t="s">
        <v>523</v>
      </c>
      <c r="F2235" s="125" t="str">
        <f t="shared" si="114"/>
        <v/>
      </c>
      <c r="G2235" s="126" t="e">
        <f>IF(A2235&lt;&gt;"",IF(AND(#REF!="Padrão",$H$4=#REF!),BDI!$B$17,IF(AND(#REF!="Padrão",$H$4=#REF!),BDI!#REF!,IF(AND(#REF!="Diferenciado",$H$4=#REF!),BDI!$E$17,IF(AND(#REF!="Diferenciado",$H$4=#REF!),BDI!#REF!,IF(#REF!="ZERO",0))))),"")</f>
        <v>#REF!</v>
      </c>
      <c r="H2235" s="127" t="str">
        <f t="shared" si="115"/>
        <v/>
      </c>
      <c r="I2235" s="125" t="str">
        <f t="shared" si="116"/>
        <v/>
      </c>
    </row>
    <row r="2236" spans="1:9" hidden="1" x14ac:dyDescent="0.25">
      <c r="A2236" s="103" t="s">
        <v>5871</v>
      </c>
      <c r="B2236" s="104" t="s">
        <v>4639</v>
      </c>
      <c r="C2236" s="105" t="s">
        <v>20</v>
      </c>
      <c r="D2236" s="105">
        <v>0</v>
      </c>
      <c r="E2236" s="124" t="s">
        <v>523</v>
      </c>
      <c r="F2236" s="125" t="str">
        <f t="shared" si="114"/>
        <v/>
      </c>
      <c r="G2236" s="126" t="e">
        <f>IF(A2236&lt;&gt;"",IF(AND(#REF!="Padrão",$H$4=#REF!),BDI!$B$17,IF(AND(#REF!="Padrão",$H$4=#REF!),BDI!#REF!,IF(AND(#REF!="Diferenciado",$H$4=#REF!),BDI!$E$17,IF(AND(#REF!="Diferenciado",$H$4=#REF!),BDI!#REF!,IF(#REF!="ZERO",0))))),"")</f>
        <v>#REF!</v>
      </c>
      <c r="H2236" s="127" t="str">
        <f t="shared" si="115"/>
        <v/>
      </c>
      <c r="I2236" s="125" t="str">
        <f t="shared" si="116"/>
        <v/>
      </c>
    </row>
    <row r="2237" spans="1:9" hidden="1" x14ac:dyDescent="0.25">
      <c r="A2237" s="103" t="s">
        <v>5872</v>
      </c>
      <c r="B2237" s="104" t="s">
        <v>4640</v>
      </c>
      <c r="C2237" s="105" t="s">
        <v>20</v>
      </c>
      <c r="D2237" s="105">
        <v>0</v>
      </c>
      <c r="E2237" s="124" t="s">
        <v>523</v>
      </c>
      <c r="F2237" s="125" t="str">
        <f t="shared" si="114"/>
        <v/>
      </c>
      <c r="G2237" s="126" t="e">
        <f>IF(A2237&lt;&gt;"",IF(AND(#REF!="Padrão",$H$4=#REF!),BDI!$B$17,IF(AND(#REF!="Padrão",$H$4=#REF!),BDI!#REF!,IF(AND(#REF!="Diferenciado",$H$4=#REF!),BDI!$E$17,IF(AND(#REF!="Diferenciado",$H$4=#REF!),BDI!#REF!,IF(#REF!="ZERO",0))))),"")</f>
        <v>#REF!</v>
      </c>
      <c r="H2237" s="127" t="str">
        <f t="shared" si="115"/>
        <v/>
      </c>
      <c r="I2237" s="125" t="str">
        <f t="shared" si="116"/>
        <v/>
      </c>
    </row>
    <row r="2238" spans="1:9" hidden="1" x14ac:dyDescent="0.25">
      <c r="A2238" s="103" t="s">
        <v>5873</v>
      </c>
      <c r="B2238" s="104" t="s">
        <v>4641</v>
      </c>
      <c r="C2238" s="105" t="s">
        <v>20</v>
      </c>
      <c r="D2238" s="105">
        <v>0</v>
      </c>
      <c r="E2238" s="124" t="s">
        <v>523</v>
      </c>
      <c r="F2238" s="125" t="str">
        <f t="shared" si="114"/>
        <v/>
      </c>
      <c r="G2238" s="126" t="e">
        <f>IF(A2238&lt;&gt;"",IF(AND(#REF!="Padrão",$H$4=#REF!),BDI!$B$17,IF(AND(#REF!="Padrão",$H$4=#REF!),BDI!#REF!,IF(AND(#REF!="Diferenciado",$H$4=#REF!),BDI!$E$17,IF(AND(#REF!="Diferenciado",$H$4=#REF!),BDI!#REF!,IF(#REF!="ZERO",0))))),"")</f>
        <v>#REF!</v>
      </c>
      <c r="H2238" s="127" t="str">
        <f t="shared" si="115"/>
        <v/>
      </c>
      <c r="I2238" s="125" t="str">
        <f t="shared" si="116"/>
        <v/>
      </c>
    </row>
    <row r="2239" spans="1:9" hidden="1" x14ac:dyDescent="0.25">
      <c r="A2239" s="103" t="s">
        <v>5874</v>
      </c>
      <c r="B2239" s="104" t="s">
        <v>4642</v>
      </c>
      <c r="C2239" s="105" t="s">
        <v>20</v>
      </c>
      <c r="D2239" s="105">
        <v>0</v>
      </c>
      <c r="E2239" s="124" t="s">
        <v>523</v>
      </c>
      <c r="F2239" s="125" t="str">
        <f t="shared" si="114"/>
        <v/>
      </c>
      <c r="G2239" s="126" t="e">
        <f>IF(A2239&lt;&gt;"",IF(AND(#REF!="Padrão",$H$4=#REF!),BDI!$B$17,IF(AND(#REF!="Padrão",$H$4=#REF!),BDI!#REF!,IF(AND(#REF!="Diferenciado",$H$4=#REF!),BDI!$E$17,IF(AND(#REF!="Diferenciado",$H$4=#REF!),BDI!#REF!,IF(#REF!="ZERO",0))))),"")</f>
        <v>#REF!</v>
      </c>
      <c r="H2239" s="127" t="str">
        <f t="shared" si="115"/>
        <v/>
      </c>
      <c r="I2239" s="125" t="str">
        <f t="shared" si="116"/>
        <v/>
      </c>
    </row>
    <row r="2240" spans="1:9" hidden="1" x14ac:dyDescent="0.25">
      <c r="A2240" s="103" t="s">
        <v>5875</v>
      </c>
      <c r="B2240" s="104" t="s">
        <v>4643</v>
      </c>
      <c r="C2240" s="105" t="s">
        <v>20</v>
      </c>
      <c r="D2240" s="105">
        <v>0</v>
      </c>
      <c r="E2240" s="124" t="s">
        <v>523</v>
      </c>
      <c r="F2240" s="125" t="str">
        <f t="shared" si="114"/>
        <v/>
      </c>
      <c r="G2240" s="126" t="e">
        <f>IF(A2240&lt;&gt;"",IF(AND(#REF!="Padrão",$H$4=#REF!),BDI!$B$17,IF(AND(#REF!="Padrão",$H$4=#REF!),BDI!#REF!,IF(AND(#REF!="Diferenciado",$H$4=#REF!),BDI!$E$17,IF(AND(#REF!="Diferenciado",$H$4=#REF!),BDI!#REF!,IF(#REF!="ZERO",0))))),"")</f>
        <v>#REF!</v>
      </c>
      <c r="H2240" s="127" t="str">
        <f t="shared" si="115"/>
        <v/>
      </c>
      <c r="I2240" s="125" t="str">
        <f t="shared" si="116"/>
        <v/>
      </c>
    </row>
    <row r="2241" spans="1:9" hidden="1" x14ac:dyDescent="0.25">
      <c r="A2241" s="103" t="s">
        <v>5876</v>
      </c>
      <c r="B2241" s="104" t="s">
        <v>4644</v>
      </c>
      <c r="C2241" s="105" t="s">
        <v>20</v>
      </c>
      <c r="D2241" s="105">
        <v>0</v>
      </c>
      <c r="E2241" s="124" t="s">
        <v>523</v>
      </c>
      <c r="F2241" s="125" t="str">
        <f t="shared" si="114"/>
        <v/>
      </c>
      <c r="G2241" s="126" t="e">
        <f>IF(A2241&lt;&gt;"",IF(AND(#REF!="Padrão",$H$4=#REF!),BDI!$B$17,IF(AND(#REF!="Padrão",$H$4=#REF!),BDI!#REF!,IF(AND(#REF!="Diferenciado",$H$4=#REF!),BDI!$E$17,IF(AND(#REF!="Diferenciado",$H$4=#REF!),BDI!#REF!,IF(#REF!="ZERO",0))))),"")</f>
        <v>#REF!</v>
      </c>
      <c r="H2241" s="127" t="str">
        <f t="shared" si="115"/>
        <v/>
      </c>
      <c r="I2241" s="125" t="str">
        <f t="shared" si="116"/>
        <v/>
      </c>
    </row>
    <row r="2242" spans="1:9" hidden="1" x14ac:dyDescent="0.25">
      <c r="A2242" s="103" t="s">
        <v>5877</v>
      </c>
      <c r="B2242" s="104" t="s">
        <v>4645</v>
      </c>
      <c r="C2242" s="105" t="s">
        <v>20</v>
      </c>
      <c r="D2242" s="105">
        <v>0</v>
      </c>
      <c r="E2242" s="124" t="s">
        <v>523</v>
      </c>
      <c r="F2242" s="125" t="str">
        <f t="shared" si="114"/>
        <v/>
      </c>
      <c r="G2242" s="126" t="e">
        <f>IF(A2242&lt;&gt;"",IF(AND(#REF!="Padrão",$H$4=#REF!),BDI!$B$17,IF(AND(#REF!="Padrão",$H$4=#REF!),BDI!#REF!,IF(AND(#REF!="Diferenciado",$H$4=#REF!),BDI!$E$17,IF(AND(#REF!="Diferenciado",$H$4=#REF!),BDI!#REF!,IF(#REF!="ZERO",0))))),"")</f>
        <v>#REF!</v>
      </c>
      <c r="H2242" s="127" t="str">
        <f t="shared" si="115"/>
        <v/>
      </c>
      <c r="I2242" s="125" t="str">
        <f t="shared" si="116"/>
        <v/>
      </c>
    </row>
    <row r="2243" spans="1:9" hidden="1" x14ac:dyDescent="0.25">
      <c r="A2243" s="103" t="s">
        <v>5878</v>
      </c>
      <c r="B2243" s="104" t="s">
        <v>4646</v>
      </c>
      <c r="C2243" s="105" t="s">
        <v>20</v>
      </c>
      <c r="D2243" s="105">
        <v>0</v>
      </c>
      <c r="E2243" s="124" t="s">
        <v>523</v>
      </c>
      <c r="F2243" s="125" t="str">
        <f t="shared" si="114"/>
        <v/>
      </c>
      <c r="G2243" s="126" t="e">
        <f>IF(A2243&lt;&gt;"",IF(AND(#REF!="Padrão",$H$4=#REF!),BDI!$B$17,IF(AND(#REF!="Padrão",$H$4=#REF!),BDI!#REF!,IF(AND(#REF!="Diferenciado",$H$4=#REF!),BDI!$E$17,IF(AND(#REF!="Diferenciado",$H$4=#REF!),BDI!#REF!,IF(#REF!="ZERO",0))))),"")</f>
        <v>#REF!</v>
      </c>
      <c r="H2243" s="127" t="str">
        <f t="shared" si="115"/>
        <v/>
      </c>
      <c r="I2243" s="125" t="str">
        <f t="shared" si="116"/>
        <v/>
      </c>
    </row>
    <row r="2244" spans="1:9" hidden="1" x14ac:dyDescent="0.25">
      <c r="A2244" s="103" t="s">
        <v>5879</v>
      </c>
      <c r="B2244" s="104" t="s">
        <v>4647</v>
      </c>
      <c r="C2244" s="105" t="s">
        <v>20</v>
      </c>
      <c r="D2244" s="105">
        <v>0</v>
      </c>
      <c r="E2244" s="124" t="s">
        <v>523</v>
      </c>
      <c r="F2244" s="125" t="str">
        <f t="shared" si="114"/>
        <v/>
      </c>
      <c r="G2244" s="126" t="e">
        <f>IF(A2244&lt;&gt;"",IF(AND(#REF!="Padrão",$H$4=#REF!),BDI!$B$17,IF(AND(#REF!="Padrão",$H$4=#REF!),BDI!#REF!,IF(AND(#REF!="Diferenciado",$H$4=#REF!),BDI!$E$17,IF(AND(#REF!="Diferenciado",$H$4=#REF!),BDI!#REF!,IF(#REF!="ZERO",0))))),"")</f>
        <v>#REF!</v>
      </c>
      <c r="H2244" s="127" t="str">
        <f t="shared" si="115"/>
        <v/>
      </c>
      <c r="I2244" s="125" t="str">
        <f t="shared" si="116"/>
        <v/>
      </c>
    </row>
    <row r="2245" spans="1:9" hidden="1" x14ac:dyDescent="0.25">
      <c r="A2245" s="103" t="s">
        <v>5880</v>
      </c>
      <c r="B2245" s="104" t="s">
        <v>4648</v>
      </c>
      <c r="C2245" s="105" t="s">
        <v>20</v>
      </c>
      <c r="D2245" s="105">
        <v>0</v>
      </c>
      <c r="E2245" s="124" t="s">
        <v>523</v>
      </c>
      <c r="F2245" s="125" t="str">
        <f t="shared" si="114"/>
        <v/>
      </c>
      <c r="G2245" s="126" t="e">
        <f>IF(A2245&lt;&gt;"",IF(AND(#REF!="Padrão",$H$4=#REF!),BDI!$B$17,IF(AND(#REF!="Padrão",$H$4=#REF!),BDI!#REF!,IF(AND(#REF!="Diferenciado",$H$4=#REF!),BDI!$E$17,IF(AND(#REF!="Diferenciado",$H$4=#REF!),BDI!#REF!,IF(#REF!="ZERO",0))))),"")</f>
        <v>#REF!</v>
      </c>
      <c r="H2245" s="127" t="str">
        <f t="shared" si="115"/>
        <v/>
      </c>
      <c r="I2245" s="125" t="str">
        <f t="shared" si="116"/>
        <v/>
      </c>
    </row>
    <row r="2246" spans="1:9" hidden="1" x14ac:dyDescent="0.25">
      <c r="A2246" s="103" t="s">
        <v>5881</v>
      </c>
      <c r="B2246" s="104" t="s">
        <v>4649</v>
      </c>
      <c r="C2246" s="105" t="s">
        <v>20</v>
      </c>
      <c r="D2246" s="105">
        <v>0</v>
      </c>
      <c r="E2246" s="124" t="s">
        <v>523</v>
      </c>
      <c r="F2246" s="125" t="str">
        <f t="shared" si="114"/>
        <v/>
      </c>
      <c r="G2246" s="126" t="e">
        <f>IF(A2246&lt;&gt;"",IF(AND(#REF!="Padrão",$H$4=#REF!),BDI!$B$17,IF(AND(#REF!="Padrão",$H$4=#REF!),BDI!#REF!,IF(AND(#REF!="Diferenciado",$H$4=#REF!),BDI!$E$17,IF(AND(#REF!="Diferenciado",$H$4=#REF!),BDI!#REF!,IF(#REF!="ZERO",0))))),"")</f>
        <v>#REF!</v>
      </c>
      <c r="H2246" s="127" t="str">
        <f t="shared" si="115"/>
        <v/>
      </c>
      <c r="I2246" s="125" t="str">
        <f t="shared" si="116"/>
        <v/>
      </c>
    </row>
    <row r="2247" spans="1:9" hidden="1" x14ac:dyDescent="0.25">
      <c r="A2247" s="103" t="s">
        <v>5882</v>
      </c>
      <c r="B2247" s="104" t="s">
        <v>4650</v>
      </c>
      <c r="C2247" s="105" t="s">
        <v>95</v>
      </c>
      <c r="D2247" s="105">
        <v>0</v>
      </c>
      <c r="E2247" s="124" t="s">
        <v>523</v>
      </c>
      <c r="F2247" s="125" t="str">
        <f t="shared" si="114"/>
        <v/>
      </c>
      <c r="G2247" s="126" t="e">
        <f>IF(A2247&lt;&gt;"",IF(AND(#REF!="Padrão",$H$4=#REF!),BDI!$B$17,IF(AND(#REF!="Padrão",$H$4=#REF!),BDI!#REF!,IF(AND(#REF!="Diferenciado",$H$4=#REF!),BDI!$E$17,IF(AND(#REF!="Diferenciado",$H$4=#REF!),BDI!#REF!,IF(#REF!="ZERO",0))))),"")</f>
        <v>#REF!</v>
      </c>
      <c r="H2247" s="127" t="str">
        <f t="shared" si="115"/>
        <v/>
      </c>
      <c r="I2247" s="125" t="str">
        <f t="shared" si="116"/>
        <v/>
      </c>
    </row>
    <row r="2248" spans="1:9" hidden="1" x14ac:dyDescent="0.25">
      <c r="A2248" s="103" t="s">
        <v>5883</v>
      </c>
      <c r="B2248" s="104" t="s">
        <v>4651</v>
      </c>
      <c r="C2248" s="105" t="s">
        <v>95</v>
      </c>
      <c r="D2248" s="105">
        <v>0</v>
      </c>
      <c r="E2248" s="124" t="s">
        <v>523</v>
      </c>
      <c r="F2248" s="125" t="str">
        <f t="shared" si="114"/>
        <v/>
      </c>
      <c r="G2248" s="126" t="e">
        <f>IF(A2248&lt;&gt;"",IF(AND(#REF!="Padrão",$H$4=#REF!),BDI!$B$17,IF(AND(#REF!="Padrão",$H$4=#REF!),BDI!#REF!,IF(AND(#REF!="Diferenciado",$H$4=#REF!),BDI!$E$17,IF(AND(#REF!="Diferenciado",$H$4=#REF!),BDI!#REF!,IF(#REF!="ZERO",0))))),"")</f>
        <v>#REF!</v>
      </c>
      <c r="H2248" s="127" t="str">
        <f t="shared" si="115"/>
        <v/>
      </c>
      <c r="I2248" s="125" t="str">
        <f t="shared" si="116"/>
        <v/>
      </c>
    </row>
    <row r="2249" spans="1:9" hidden="1" x14ac:dyDescent="0.25">
      <c r="A2249" s="103" t="s">
        <v>5884</v>
      </c>
      <c r="B2249" s="104" t="s">
        <v>4652</v>
      </c>
      <c r="C2249" s="105" t="s">
        <v>20</v>
      </c>
      <c r="D2249" s="105">
        <v>0</v>
      </c>
      <c r="E2249" s="124" t="s">
        <v>523</v>
      </c>
      <c r="F2249" s="125" t="str">
        <f t="shared" si="114"/>
        <v/>
      </c>
      <c r="G2249" s="126" t="e">
        <f>IF(A2249&lt;&gt;"",IF(AND(#REF!="Padrão",$H$4=#REF!),BDI!$B$17,IF(AND(#REF!="Padrão",$H$4=#REF!),BDI!#REF!,IF(AND(#REF!="Diferenciado",$H$4=#REF!),BDI!$E$17,IF(AND(#REF!="Diferenciado",$H$4=#REF!),BDI!#REF!,IF(#REF!="ZERO",0))))),"")</f>
        <v>#REF!</v>
      </c>
      <c r="H2249" s="127" t="str">
        <f t="shared" si="115"/>
        <v/>
      </c>
      <c r="I2249" s="125" t="str">
        <f t="shared" si="116"/>
        <v/>
      </c>
    </row>
    <row r="2250" spans="1:9" hidden="1" x14ac:dyDescent="0.25">
      <c r="A2250" s="103" t="s">
        <v>5885</v>
      </c>
      <c r="B2250" s="104" t="s">
        <v>4653</v>
      </c>
      <c r="C2250" s="105" t="s">
        <v>20</v>
      </c>
      <c r="D2250" s="105">
        <v>0</v>
      </c>
      <c r="E2250" s="124" t="s">
        <v>523</v>
      </c>
      <c r="F2250" s="125" t="str">
        <f t="shared" si="114"/>
        <v/>
      </c>
      <c r="G2250" s="126" t="e">
        <f>IF(A2250&lt;&gt;"",IF(AND(#REF!="Padrão",$H$4=#REF!),BDI!$B$17,IF(AND(#REF!="Padrão",$H$4=#REF!),BDI!#REF!,IF(AND(#REF!="Diferenciado",$H$4=#REF!),BDI!$E$17,IF(AND(#REF!="Diferenciado",$H$4=#REF!),BDI!#REF!,IF(#REF!="ZERO",0))))),"")</f>
        <v>#REF!</v>
      </c>
      <c r="H2250" s="127" t="str">
        <f t="shared" si="115"/>
        <v/>
      </c>
      <c r="I2250" s="125" t="str">
        <f t="shared" si="116"/>
        <v/>
      </c>
    </row>
    <row r="2251" spans="1:9" hidden="1" x14ac:dyDescent="0.25">
      <c r="A2251" s="103" t="s">
        <v>5886</v>
      </c>
      <c r="B2251" s="104" t="s">
        <v>4654</v>
      </c>
      <c r="C2251" s="105" t="s">
        <v>20</v>
      </c>
      <c r="D2251" s="105">
        <v>0</v>
      </c>
      <c r="E2251" s="124" t="s">
        <v>523</v>
      </c>
      <c r="F2251" s="125" t="str">
        <f t="shared" si="114"/>
        <v/>
      </c>
      <c r="G2251" s="126" t="e">
        <f>IF(A2251&lt;&gt;"",IF(AND(#REF!="Padrão",$H$4=#REF!),BDI!$B$17,IF(AND(#REF!="Padrão",$H$4=#REF!),BDI!#REF!,IF(AND(#REF!="Diferenciado",$H$4=#REF!),BDI!$E$17,IF(AND(#REF!="Diferenciado",$H$4=#REF!),BDI!#REF!,IF(#REF!="ZERO",0))))),"")</f>
        <v>#REF!</v>
      </c>
      <c r="H2251" s="127" t="str">
        <f t="shared" si="115"/>
        <v/>
      </c>
      <c r="I2251" s="125" t="str">
        <f t="shared" si="116"/>
        <v/>
      </c>
    </row>
    <row r="2252" spans="1:9" hidden="1" x14ac:dyDescent="0.25">
      <c r="A2252" s="103" t="s">
        <v>5887</v>
      </c>
      <c r="B2252" s="104" t="s">
        <v>4655</v>
      </c>
      <c r="C2252" s="105" t="s">
        <v>20</v>
      </c>
      <c r="D2252" s="105">
        <v>0</v>
      </c>
      <c r="E2252" s="124" t="s">
        <v>523</v>
      </c>
      <c r="F2252" s="125" t="str">
        <f t="shared" si="114"/>
        <v/>
      </c>
      <c r="G2252" s="126" t="e">
        <f>IF(A2252&lt;&gt;"",IF(AND(#REF!="Padrão",$H$4=#REF!),BDI!$B$17,IF(AND(#REF!="Padrão",$H$4=#REF!),BDI!#REF!,IF(AND(#REF!="Diferenciado",$H$4=#REF!),BDI!$E$17,IF(AND(#REF!="Diferenciado",$H$4=#REF!),BDI!#REF!,IF(#REF!="ZERO",0))))),"")</f>
        <v>#REF!</v>
      </c>
      <c r="H2252" s="127" t="str">
        <f t="shared" si="115"/>
        <v/>
      </c>
      <c r="I2252" s="125" t="str">
        <f t="shared" si="116"/>
        <v/>
      </c>
    </row>
    <row r="2253" spans="1:9" hidden="1" x14ac:dyDescent="0.25">
      <c r="A2253" s="103" t="s">
        <v>5888</v>
      </c>
      <c r="B2253" s="104" t="s">
        <v>4656</v>
      </c>
      <c r="C2253" s="105" t="s">
        <v>20</v>
      </c>
      <c r="D2253" s="105">
        <v>0</v>
      </c>
      <c r="E2253" s="124" t="s">
        <v>523</v>
      </c>
      <c r="F2253" s="125" t="str">
        <f t="shared" si="114"/>
        <v/>
      </c>
      <c r="G2253" s="126" t="e">
        <f>IF(A2253&lt;&gt;"",IF(AND(#REF!="Padrão",$H$4=#REF!),BDI!$B$17,IF(AND(#REF!="Padrão",$H$4=#REF!),BDI!#REF!,IF(AND(#REF!="Diferenciado",$H$4=#REF!),BDI!$E$17,IF(AND(#REF!="Diferenciado",$H$4=#REF!),BDI!#REF!,IF(#REF!="ZERO",0))))),"")</f>
        <v>#REF!</v>
      </c>
      <c r="H2253" s="127" t="str">
        <f t="shared" si="115"/>
        <v/>
      </c>
      <c r="I2253" s="125" t="str">
        <f t="shared" si="116"/>
        <v/>
      </c>
    </row>
    <row r="2254" spans="1:9" hidden="1" x14ac:dyDescent="0.25">
      <c r="A2254" s="103" t="s">
        <v>5889</v>
      </c>
      <c r="B2254" s="104" t="s">
        <v>4657</v>
      </c>
      <c r="C2254" s="105" t="s">
        <v>20</v>
      </c>
      <c r="D2254" s="105">
        <v>0</v>
      </c>
      <c r="E2254" s="124" t="s">
        <v>523</v>
      </c>
      <c r="F2254" s="125" t="str">
        <f t="shared" si="114"/>
        <v/>
      </c>
      <c r="G2254" s="126" t="e">
        <f>IF(A2254&lt;&gt;"",IF(AND(#REF!="Padrão",$H$4=#REF!),BDI!$B$17,IF(AND(#REF!="Padrão",$H$4=#REF!),BDI!#REF!,IF(AND(#REF!="Diferenciado",$H$4=#REF!),BDI!$E$17,IF(AND(#REF!="Diferenciado",$H$4=#REF!),BDI!#REF!,IF(#REF!="ZERO",0))))),"")</f>
        <v>#REF!</v>
      </c>
      <c r="H2254" s="127" t="str">
        <f t="shared" si="115"/>
        <v/>
      </c>
      <c r="I2254" s="125" t="str">
        <f t="shared" si="116"/>
        <v/>
      </c>
    </row>
    <row r="2255" spans="1:9" hidden="1" x14ac:dyDescent="0.25">
      <c r="A2255" s="103" t="s">
        <v>5890</v>
      </c>
      <c r="B2255" s="104" t="s">
        <v>4658</v>
      </c>
      <c r="C2255" s="105" t="s">
        <v>20</v>
      </c>
      <c r="D2255" s="105">
        <v>0</v>
      </c>
      <c r="E2255" s="124">
        <f ca="1">OFFSET(INDEX(Composições!A:J,MATCH(Orçamentária!A2255,Composições!A:A,0),8),2,0)</f>
        <v>42.294000000000004</v>
      </c>
      <c r="F2255" s="125">
        <f t="shared" ca="1" si="114"/>
        <v>0</v>
      </c>
      <c r="G2255" s="126" t="e">
        <f>IF(A2255&lt;&gt;"",IF(AND(#REF!="Padrão",$H$4=#REF!),BDI!$B$17,IF(AND(#REF!="Padrão",$H$4=#REF!),BDI!#REF!,IF(AND(#REF!="Diferenciado",$H$4=#REF!),BDI!$E$17,IF(AND(#REF!="Diferenciado",$H$4=#REF!),BDI!#REF!,IF(#REF!="ZERO",0))))),"")</f>
        <v>#REF!</v>
      </c>
      <c r="H2255" s="127" t="e">
        <f t="shared" ca="1" si="115"/>
        <v>#REF!</v>
      </c>
      <c r="I2255" s="125" t="e">
        <f t="shared" ca="1" si="116"/>
        <v>#REF!</v>
      </c>
    </row>
    <row r="2256" spans="1:9" hidden="1" x14ac:dyDescent="0.25">
      <c r="A2256" s="103" t="s">
        <v>5891</v>
      </c>
      <c r="B2256" s="104" t="s">
        <v>4659</v>
      </c>
      <c r="C2256" s="105" t="s">
        <v>20</v>
      </c>
      <c r="D2256" s="105">
        <v>0</v>
      </c>
      <c r="E2256" s="124" t="s">
        <v>523</v>
      </c>
      <c r="F2256" s="125" t="str">
        <f t="shared" si="114"/>
        <v/>
      </c>
      <c r="G2256" s="126" t="e">
        <f>IF(A2256&lt;&gt;"",IF(AND(#REF!="Padrão",$H$4=#REF!),BDI!$B$17,IF(AND(#REF!="Padrão",$H$4=#REF!),BDI!#REF!,IF(AND(#REF!="Diferenciado",$H$4=#REF!),BDI!$E$17,IF(AND(#REF!="Diferenciado",$H$4=#REF!),BDI!#REF!,IF(#REF!="ZERO",0))))),"")</f>
        <v>#REF!</v>
      </c>
      <c r="H2256" s="127" t="str">
        <f t="shared" si="115"/>
        <v/>
      </c>
      <c r="I2256" s="125" t="str">
        <f t="shared" si="116"/>
        <v/>
      </c>
    </row>
    <row r="2257" spans="1:9" hidden="1" x14ac:dyDescent="0.25">
      <c r="A2257" s="103" t="s">
        <v>5892</v>
      </c>
      <c r="B2257" s="104" t="s">
        <v>4660</v>
      </c>
      <c r="C2257" s="105" t="s">
        <v>20</v>
      </c>
      <c r="D2257" s="105">
        <v>0</v>
      </c>
      <c r="E2257" s="124" t="s">
        <v>523</v>
      </c>
      <c r="F2257" s="125" t="str">
        <f t="shared" si="114"/>
        <v/>
      </c>
      <c r="G2257" s="126" t="e">
        <f>IF(A2257&lt;&gt;"",IF(AND(#REF!="Padrão",$H$4=#REF!),BDI!$B$17,IF(AND(#REF!="Padrão",$H$4=#REF!),BDI!#REF!,IF(AND(#REF!="Diferenciado",$H$4=#REF!),BDI!$E$17,IF(AND(#REF!="Diferenciado",$H$4=#REF!),BDI!#REF!,IF(#REF!="ZERO",0))))),"")</f>
        <v>#REF!</v>
      </c>
      <c r="H2257" s="127" t="str">
        <f t="shared" si="115"/>
        <v/>
      </c>
      <c r="I2257" s="125" t="str">
        <f t="shared" si="116"/>
        <v/>
      </c>
    </row>
    <row r="2258" spans="1:9" hidden="1" x14ac:dyDescent="0.25">
      <c r="A2258" s="103" t="s">
        <v>5893</v>
      </c>
      <c r="B2258" s="104" t="s">
        <v>4661</v>
      </c>
      <c r="C2258" s="105" t="s">
        <v>20</v>
      </c>
      <c r="D2258" s="105">
        <v>0</v>
      </c>
      <c r="E2258" s="124" t="s">
        <v>523</v>
      </c>
      <c r="F2258" s="125" t="str">
        <f t="shared" si="114"/>
        <v/>
      </c>
      <c r="G2258" s="126" t="e">
        <f>IF(A2258&lt;&gt;"",IF(AND(#REF!="Padrão",$H$4=#REF!),BDI!$B$17,IF(AND(#REF!="Padrão",$H$4=#REF!),BDI!#REF!,IF(AND(#REF!="Diferenciado",$H$4=#REF!),BDI!$E$17,IF(AND(#REF!="Diferenciado",$H$4=#REF!),BDI!#REF!,IF(#REF!="ZERO",0))))),"")</f>
        <v>#REF!</v>
      </c>
      <c r="H2258" s="127" t="str">
        <f t="shared" si="115"/>
        <v/>
      </c>
      <c r="I2258" s="125" t="str">
        <f t="shared" si="116"/>
        <v/>
      </c>
    </row>
    <row r="2259" spans="1:9" hidden="1" x14ac:dyDescent="0.25">
      <c r="A2259" s="103" t="s">
        <v>5894</v>
      </c>
      <c r="B2259" s="104" t="s">
        <v>4662</v>
      </c>
      <c r="C2259" s="105" t="s">
        <v>20</v>
      </c>
      <c r="D2259" s="105">
        <v>0</v>
      </c>
      <c r="E2259" s="124" t="s">
        <v>523</v>
      </c>
      <c r="F2259" s="125" t="str">
        <f t="shared" si="114"/>
        <v/>
      </c>
      <c r="G2259" s="126" t="e">
        <f>IF(A2259&lt;&gt;"",IF(AND(#REF!="Padrão",$H$4=#REF!),BDI!$B$17,IF(AND(#REF!="Padrão",$H$4=#REF!),BDI!#REF!,IF(AND(#REF!="Diferenciado",$H$4=#REF!),BDI!$E$17,IF(AND(#REF!="Diferenciado",$H$4=#REF!),BDI!#REF!,IF(#REF!="ZERO",0))))),"")</f>
        <v>#REF!</v>
      </c>
      <c r="H2259" s="127" t="str">
        <f t="shared" si="115"/>
        <v/>
      </c>
      <c r="I2259" s="125" t="str">
        <f t="shared" si="116"/>
        <v/>
      </c>
    </row>
    <row r="2260" spans="1:9" hidden="1" x14ac:dyDescent="0.25">
      <c r="A2260" s="103" t="s">
        <v>5895</v>
      </c>
      <c r="B2260" s="104" t="s">
        <v>4663</v>
      </c>
      <c r="C2260" s="105" t="s">
        <v>20</v>
      </c>
      <c r="D2260" s="105">
        <v>0</v>
      </c>
      <c r="E2260" s="124" t="s">
        <v>523</v>
      </c>
      <c r="F2260" s="125" t="str">
        <f t="shared" si="114"/>
        <v/>
      </c>
      <c r="G2260" s="126" t="e">
        <f>IF(A2260&lt;&gt;"",IF(AND(#REF!="Padrão",$H$4=#REF!),BDI!$B$17,IF(AND(#REF!="Padrão",$H$4=#REF!),BDI!#REF!,IF(AND(#REF!="Diferenciado",$H$4=#REF!),BDI!$E$17,IF(AND(#REF!="Diferenciado",$H$4=#REF!),BDI!#REF!,IF(#REF!="ZERO",0))))),"")</f>
        <v>#REF!</v>
      </c>
      <c r="H2260" s="127" t="str">
        <f t="shared" si="115"/>
        <v/>
      </c>
      <c r="I2260" s="125" t="str">
        <f t="shared" si="116"/>
        <v/>
      </c>
    </row>
    <row r="2261" spans="1:9" hidden="1" x14ac:dyDescent="0.25">
      <c r="A2261" s="103" t="s">
        <v>5896</v>
      </c>
      <c r="B2261" s="104" t="s">
        <v>4664</v>
      </c>
      <c r="C2261" s="105" t="s">
        <v>20</v>
      </c>
      <c r="D2261" s="105">
        <v>0</v>
      </c>
      <c r="E2261" s="124" t="s">
        <v>523</v>
      </c>
      <c r="F2261" s="125" t="str">
        <f t="shared" si="114"/>
        <v/>
      </c>
      <c r="G2261" s="126" t="e">
        <f>IF(A2261&lt;&gt;"",IF(AND(#REF!="Padrão",$H$4=#REF!),BDI!$B$17,IF(AND(#REF!="Padrão",$H$4=#REF!),BDI!#REF!,IF(AND(#REF!="Diferenciado",$H$4=#REF!),BDI!$E$17,IF(AND(#REF!="Diferenciado",$H$4=#REF!),BDI!#REF!,IF(#REF!="ZERO",0))))),"")</f>
        <v>#REF!</v>
      </c>
      <c r="H2261" s="127" t="str">
        <f t="shared" si="115"/>
        <v/>
      </c>
      <c r="I2261" s="125" t="str">
        <f t="shared" si="116"/>
        <v/>
      </c>
    </row>
    <row r="2262" spans="1:9" hidden="1" x14ac:dyDescent="0.25">
      <c r="A2262" s="103" t="s">
        <v>5897</v>
      </c>
      <c r="B2262" s="104" t="s">
        <v>4665</v>
      </c>
      <c r="C2262" s="105" t="s">
        <v>20</v>
      </c>
      <c r="D2262" s="105">
        <v>0</v>
      </c>
      <c r="E2262" s="124" t="s">
        <v>523</v>
      </c>
      <c r="F2262" s="125" t="str">
        <f t="shared" si="114"/>
        <v/>
      </c>
      <c r="G2262" s="126" t="e">
        <f>IF(A2262&lt;&gt;"",IF(AND(#REF!="Padrão",$H$4=#REF!),BDI!$B$17,IF(AND(#REF!="Padrão",$H$4=#REF!),BDI!#REF!,IF(AND(#REF!="Diferenciado",$H$4=#REF!),BDI!$E$17,IF(AND(#REF!="Diferenciado",$H$4=#REF!),BDI!#REF!,IF(#REF!="ZERO",0))))),"")</f>
        <v>#REF!</v>
      </c>
      <c r="H2262" s="127" t="str">
        <f t="shared" si="115"/>
        <v/>
      </c>
      <c r="I2262" s="125" t="str">
        <f t="shared" si="116"/>
        <v/>
      </c>
    </row>
    <row r="2263" spans="1:9" hidden="1" x14ac:dyDescent="0.25">
      <c r="A2263" s="103" t="s">
        <v>5898</v>
      </c>
      <c r="B2263" s="104" t="s">
        <v>4666</v>
      </c>
      <c r="C2263" s="105" t="s">
        <v>20</v>
      </c>
      <c r="D2263" s="105">
        <v>0</v>
      </c>
      <c r="E2263" s="124" t="s">
        <v>523</v>
      </c>
      <c r="F2263" s="125" t="str">
        <f t="shared" si="114"/>
        <v/>
      </c>
      <c r="G2263" s="126" t="e">
        <f>IF(A2263&lt;&gt;"",IF(AND(#REF!="Padrão",$H$4=#REF!),BDI!$B$17,IF(AND(#REF!="Padrão",$H$4=#REF!),BDI!#REF!,IF(AND(#REF!="Diferenciado",$H$4=#REF!),BDI!$E$17,IF(AND(#REF!="Diferenciado",$H$4=#REF!),BDI!#REF!,IF(#REF!="ZERO",0))))),"")</f>
        <v>#REF!</v>
      </c>
      <c r="H2263" s="127" t="str">
        <f t="shared" si="115"/>
        <v/>
      </c>
      <c r="I2263" s="125" t="str">
        <f t="shared" si="116"/>
        <v/>
      </c>
    </row>
    <row r="2264" spans="1:9" hidden="1" x14ac:dyDescent="0.25">
      <c r="A2264" s="103" t="s">
        <v>5899</v>
      </c>
      <c r="B2264" s="104" t="s">
        <v>4667</v>
      </c>
      <c r="C2264" s="105" t="s">
        <v>20</v>
      </c>
      <c r="D2264" s="105">
        <v>0</v>
      </c>
      <c r="E2264" s="124" t="s">
        <v>523</v>
      </c>
      <c r="F2264" s="125" t="str">
        <f t="shared" si="114"/>
        <v/>
      </c>
      <c r="G2264" s="126" t="e">
        <f>IF(A2264&lt;&gt;"",IF(AND(#REF!="Padrão",$H$4=#REF!),BDI!$B$17,IF(AND(#REF!="Padrão",$H$4=#REF!),BDI!#REF!,IF(AND(#REF!="Diferenciado",$H$4=#REF!),BDI!$E$17,IF(AND(#REF!="Diferenciado",$H$4=#REF!),BDI!#REF!,IF(#REF!="ZERO",0))))),"")</f>
        <v>#REF!</v>
      </c>
      <c r="H2264" s="127" t="str">
        <f t="shared" si="115"/>
        <v/>
      </c>
      <c r="I2264" s="125" t="str">
        <f t="shared" si="116"/>
        <v/>
      </c>
    </row>
    <row r="2265" spans="1:9" hidden="1" x14ac:dyDescent="0.25">
      <c r="A2265" s="103" t="s">
        <v>5900</v>
      </c>
      <c r="B2265" s="104" t="s">
        <v>4668</v>
      </c>
      <c r="C2265" s="105" t="s">
        <v>20</v>
      </c>
      <c r="D2265" s="105">
        <v>0</v>
      </c>
      <c r="E2265" s="124" t="s">
        <v>523</v>
      </c>
      <c r="F2265" s="125" t="str">
        <f t="shared" si="114"/>
        <v/>
      </c>
      <c r="G2265" s="126" t="e">
        <f>IF(A2265&lt;&gt;"",IF(AND(#REF!="Padrão",$H$4=#REF!),BDI!$B$17,IF(AND(#REF!="Padrão",$H$4=#REF!),BDI!#REF!,IF(AND(#REF!="Diferenciado",$H$4=#REF!),BDI!$E$17,IF(AND(#REF!="Diferenciado",$H$4=#REF!),BDI!#REF!,IF(#REF!="ZERO",0))))),"")</f>
        <v>#REF!</v>
      </c>
      <c r="H2265" s="127" t="str">
        <f t="shared" si="115"/>
        <v/>
      </c>
      <c r="I2265" s="125" t="str">
        <f t="shared" si="116"/>
        <v/>
      </c>
    </row>
    <row r="2266" spans="1:9" hidden="1" x14ac:dyDescent="0.25">
      <c r="A2266" s="103" t="s">
        <v>5901</v>
      </c>
      <c r="B2266" s="104" t="s">
        <v>4669</v>
      </c>
      <c r="C2266" s="105" t="s">
        <v>20</v>
      </c>
      <c r="D2266" s="105">
        <v>0</v>
      </c>
      <c r="E2266" s="124" t="s">
        <v>523</v>
      </c>
      <c r="F2266" s="125" t="str">
        <f t="shared" si="114"/>
        <v/>
      </c>
      <c r="G2266" s="126" t="e">
        <f>IF(A2266&lt;&gt;"",IF(AND(#REF!="Padrão",$H$4=#REF!),BDI!$B$17,IF(AND(#REF!="Padrão",$H$4=#REF!),BDI!#REF!,IF(AND(#REF!="Diferenciado",$H$4=#REF!),BDI!$E$17,IF(AND(#REF!="Diferenciado",$H$4=#REF!),BDI!#REF!,IF(#REF!="ZERO",0))))),"")</f>
        <v>#REF!</v>
      </c>
      <c r="H2266" s="127" t="str">
        <f t="shared" si="115"/>
        <v/>
      </c>
      <c r="I2266" s="125" t="str">
        <f t="shared" si="116"/>
        <v/>
      </c>
    </row>
    <row r="2267" spans="1:9" hidden="1" x14ac:dyDescent="0.25">
      <c r="A2267" s="103" t="s">
        <v>5902</v>
      </c>
      <c r="B2267" s="104" t="s">
        <v>4670</v>
      </c>
      <c r="C2267" s="105" t="s">
        <v>20</v>
      </c>
      <c r="D2267" s="105">
        <v>0</v>
      </c>
      <c r="E2267" s="124" t="s">
        <v>523</v>
      </c>
      <c r="F2267" s="125" t="str">
        <f t="shared" si="114"/>
        <v/>
      </c>
      <c r="G2267" s="126" t="e">
        <f>IF(A2267&lt;&gt;"",IF(AND(#REF!="Padrão",$H$4=#REF!),BDI!$B$17,IF(AND(#REF!="Padrão",$H$4=#REF!),BDI!#REF!,IF(AND(#REF!="Diferenciado",$H$4=#REF!),BDI!$E$17,IF(AND(#REF!="Diferenciado",$H$4=#REF!),BDI!#REF!,IF(#REF!="ZERO",0))))),"")</f>
        <v>#REF!</v>
      </c>
      <c r="H2267" s="127" t="str">
        <f t="shared" si="115"/>
        <v/>
      </c>
      <c r="I2267" s="125" t="str">
        <f t="shared" si="116"/>
        <v/>
      </c>
    </row>
    <row r="2268" spans="1:9" hidden="1" x14ac:dyDescent="0.25">
      <c r="A2268" s="103" t="s">
        <v>5903</v>
      </c>
      <c r="B2268" s="104" t="s">
        <v>4671</v>
      </c>
      <c r="C2268" s="105" t="s">
        <v>20</v>
      </c>
      <c r="D2268" s="105">
        <v>0</v>
      </c>
      <c r="E2268" s="124" t="s">
        <v>523</v>
      </c>
      <c r="F2268" s="125" t="str">
        <f t="shared" si="114"/>
        <v/>
      </c>
      <c r="G2268" s="126" t="e">
        <f>IF(A2268&lt;&gt;"",IF(AND(#REF!="Padrão",$H$4=#REF!),BDI!$B$17,IF(AND(#REF!="Padrão",$H$4=#REF!),BDI!#REF!,IF(AND(#REF!="Diferenciado",$H$4=#REF!),BDI!$E$17,IF(AND(#REF!="Diferenciado",$H$4=#REF!),BDI!#REF!,IF(#REF!="ZERO",0))))),"")</f>
        <v>#REF!</v>
      </c>
      <c r="H2268" s="127" t="str">
        <f t="shared" si="115"/>
        <v/>
      </c>
      <c r="I2268" s="125" t="str">
        <f t="shared" si="116"/>
        <v/>
      </c>
    </row>
    <row r="2269" spans="1:9" hidden="1" x14ac:dyDescent="0.25">
      <c r="A2269" s="103" t="s">
        <v>5904</v>
      </c>
      <c r="B2269" s="104" t="s">
        <v>4672</v>
      </c>
      <c r="C2269" s="105" t="s">
        <v>20</v>
      </c>
      <c r="D2269" s="105">
        <v>0</v>
      </c>
      <c r="E2269" s="124" t="s">
        <v>523</v>
      </c>
      <c r="F2269" s="125" t="str">
        <f t="shared" si="114"/>
        <v/>
      </c>
      <c r="G2269" s="126" t="e">
        <f>IF(A2269&lt;&gt;"",IF(AND(#REF!="Padrão",$H$4=#REF!),BDI!$B$17,IF(AND(#REF!="Padrão",$H$4=#REF!),BDI!#REF!,IF(AND(#REF!="Diferenciado",$H$4=#REF!),BDI!$E$17,IF(AND(#REF!="Diferenciado",$H$4=#REF!),BDI!#REF!,IF(#REF!="ZERO",0))))),"")</f>
        <v>#REF!</v>
      </c>
      <c r="H2269" s="127" t="str">
        <f t="shared" si="115"/>
        <v/>
      </c>
      <c r="I2269" s="125" t="str">
        <f t="shared" si="116"/>
        <v/>
      </c>
    </row>
    <row r="2270" spans="1:9" hidden="1" x14ac:dyDescent="0.25">
      <c r="A2270" s="103" t="s">
        <v>5905</v>
      </c>
      <c r="B2270" s="104" t="s">
        <v>4673</v>
      </c>
      <c r="C2270" s="105" t="s">
        <v>20</v>
      </c>
      <c r="D2270" s="105">
        <v>0</v>
      </c>
      <c r="E2270" s="124" t="s">
        <v>523</v>
      </c>
      <c r="F2270" s="125" t="str">
        <f t="shared" si="114"/>
        <v/>
      </c>
      <c r="G2270" s="126" t="e">
        <f>IF(A2270&lt;&gt;"",IF(AND(#REF!="Padrão",$H$4=#REF!),BDI!$B$17,IF(AND(#REF!="Padrão",$H$4=#REF!),BDI!#REF!,IF(AND(#REF!="Diferenciado",$H$4=#REF!),BDI!$E$17,IF(AND(#REF!="Diferenciado",$H$4=#REF!),BDI!#REF!,IF(#REF!="ZERO",0))))),"")</f>
        <v>#REF!</v>
      </c>
      <c r="H2270" s="127" t="str">
        <f t="shared" si="115"/>
        <v/>
      </c>
      <c r="I2270" s="125" t="str">
        <f t="shared" si="116"/>
        <v/>
      </c>
    </row>
    <row r="2271" spans="1:9" hidden="1" x14ac:dyDescent="0.25">
      <c r="A2271" s="103" t="s">
        <v>5906</v>
      </c>
      <c r="B2271" s="104" t="s">
        <v>4674</v>
      </c>
      <c r="C2271" s="105" t="s">
        <v>20</v>
      </c>
      <c r="D2271" s="105">
        <v>0</v>
      </c>
      <c r="E2271" s="124" t="s">
        <v>523</v>
      </c>
      <c r="F2271" s="125" t="str">
        <f t="shared" si="114"/>
        <v/>
      </c>
      <c r="G2271" s="126" t="e">
        <f>IF(A2271&lt;&gt;"",IF(AND(#REF!="Padrão",$H$4=#REF!),BDI!$B$17,IF(AND(#REF!="Padrão",$H$4=#REF!),BDI!#REF!,IF(AND(#REF!="Diferenciado",$H$4=#REF!),BDI!$E$17,IF(AND(#REF!="Diferenciado",$H$4=#REF!),BDI!#REF!,IF(#REF!="ZERO",0))))),"")</f>
        <v>#REF!</v>
      </c>
      <c r="H2271" s="127" t="str">
        <f t="shared" si="115"/>
        <v/>
      </c>
      <c r="I2271" s="125" t="str">
        <f t="shared" si="116"/>
        <v/>
      </c>
    </row>
    <row r="2272" spans="1:9" hidden="1" x14ac:dyDescent="0.25">
      <c r="A2272" s="103" t="s">
        <v>5907</v>
      </c>
      <c r="B2272" s="104" t="s">
        <v>4675</v>
      </c>
      <c r="C2272" s="105" t="s">
        <v>20</v>
      </c>
      <c r="D2272" s="105">
        <v>0</v>
      </c>
      <c r="E2272" s="124" t="s">
        <v>523</v>
      </c>
      <c r="F2272" s="125" t="str">
        <f t="shared" si="114"/>
        <v/>
      </c>
      <c r="G2272" s="126" t="e">
        <f>IF(A2272&lt;&gt;"",IF(AND(#REF!="Padrão",$H$4=#REF!),BDI!$B$17,IF(AND(#REF!="Padrão",$H$4=#REF!),BDI!#REF!,IF(AND(#REF!="Diferenciado",$H$4=#REF!),BDI!$E$17,IF(AND(#REF!="Diferenciado",$H$4=#REF!),BDI!#REF!,IF(#REF!="ZERO",0))))),"")</f>
        <v>#REF!</v>
      </c>
      <c r="H2272" s="127" t="str">
        <f t="shared" si="115"/>
        <v/>
      </c>
      <c r="I2272" s="125" t="str">
        <f t="shared" si="116"/>
        <v/>
      </c>
    </row>
    <row r="2273" spans="1:9" hidden="1" x14ac:dyDescent="0.25">
      <c r="A2273" s="103" t="s">
        <v>5908</v>
      </c>
      <c r="B2273" s="104" t="s">
        <v>4676</v>
      </c>
      <c r="C2273" s="105" t="s">
        <v>20</v>
      </c>
      <c r="D2273" s="105">
        <v>0</v>
      </c>
      <c r="E2273" s="124" t="s">
        <v>523</v>
      </c>
      <c r="F2273" s="125" t="str">
        <f t="shared" si="114"/>
        <v/>
      </c>
      <c r="G2273" s="126" t="e">
        <f>IF(A2273&lt;&gt;"",IF(AND(#REF!="Padrão",$H$4=#REF!),BDI!$B$17,IF(AND(#REF!="Padrão",$H$4=#REF!),BDI!#REF!,IF(AND(#REF!="Diferenciado",$H$4=#REF!),BDI!$E$17,IF(AND(#REF!="Diferenciado",$H$4=#REF!),BDI!#REF!,IF(#REF!="ZERO",0))))),"")</f>
        <v>#REF!</v>
      </c>
      <c r="H2273" s="127" t="str">
        <f t="shared" si="115"/>
        <v/>
      </c>
      <c r="I2273" s="125" t="str">
        <f t="shared" si="116"/>
        <v/>
      </c>
    </row>
    <row r="2274" spans="1:9" hidden="1" x14ac:dyDescent="0.25">
      <c r="A2274" s="103" t="s">
        <v>5909</v>
      </c>
      <c r="B2274" s="104" t="s">
        <v>4677</v>
      </c>
      <c r="C2274" s="105" t="s">
        <v>20</v>
      </c>
      <c r="D2274" s="105">
        <v>0</v>
      </c>
      <c r="E2274" s="124" t="s">
        <v>523</v>
      </c>
      <c r="F2274" s="125" t="str">
        <f t="shared" si="114"/>
        <v/>
      </c>
      <c r="G2274" s="126" t="e">
        <f>IF(A2274&lt;&gt;"",IF(AND(#REF!="Padrão",$H$4=#REF!),BDI!$B$17,IF(AND(#REF!="Padrão",$H$4=#REF!),BDI!#REF!,IF(AND(#REF!="Diferenciado",$H$4=#REF!),BDI!$E$17,IF(AND(#REF!="Diferenciado",$H$4=#REF!),BDI!#REF!,IF(#REF!="ZERO",0))))),"")</f>
        <v>#REF!</v>
      </c>
      <c r="H2274" s="127" t="str">
        <f t="shared" si="115"/>
        <v/>
      </c>
      <c r="I2274" s="125" t="str">
        <f t="shared" si="116"/>
        <v/>
      </c>
    </row>
    <row r="2275" spans="1:9" hidden="1" x14ac:dyDescent="0.25">
      <c r="A2275" s="103" t="s">
        <v>5910</v>
      </c>
      <c r="B2275" s="104" t="s">
        <v>4678</v>
      </c>
      <c r="C2275" s="105" t="s">
        <v>20</v>
      </c>
      <c r="D2275" s="105">
        <v>0</v>
      </c>
      <c r="E2275" s="124" t="s">
        <v>523</v>
      </c>
      <c r="F2275" s="125" t="str">
        <f t="shared" si="114"/>
        <v/>
      </c>
      <c r="G2275" s="126" t="e">
        <f>IF(A2275&lt;&gt;"",IF(AND(#REF!="Padrão",$H$4=#REF!),BDI!$B$17,IF(AND(#REF!="Padrão",$H$4=#REF!),BDI!#REF!,IF(AND(#REF!="Diferenciado",$H$4=#REF!),BDI!$E$17,IF(AND(#REF!="Diferenciado",$H$4=#REF!),BDI!#REF!,IF(#REF!="ZERO",0))))),"")</f>
        <v>#REF!</v>
      </c>
      <c r="H2275" s="127" t="str">
        <f t="shared" si="115"/>
        <v/>
      </c>
      <c r="I2275" s="125" t="str">
        <f t="shared" si="116"/>
        <v/>
      </c>
    </row>
    <row r="2276" spans="1:9" hidden="1" x14ac:dyDescent="0.25">
      <c r="A2276" s="103" t="s">
        <v>5911</v>
      </c>
      <c r="B2276" s="104" t="s">
        <v>4679</v>
      </c>
      <c r="C2276" s="105" t="s">
        <v>20</v>
      </c>
      <c r="D2276" s="105">
        <v>0</v>
      </c>
      <c r="E2276" s="124" t="s">
        <v>523</v>
      </c>
      <c r="F2276" s="125" t="str">
        <f t="shared" si="114"/>
        <v/>
      </c>
      <c r="G2276" s="126" t="e">
        <f>IF(A2276&lt;&gt;"",IF(AND(#REF!="Padrão",$H$4=#REF!),BDI!$B$17,IF(AND(#REF!="Padrão",$H$4=#REF!),BDI!#REF!,IF(AND(#REF!="Diferenciado",$H$4=#REF!),BDI!$E$17,IF(AND(#REF!="Diferenciado",$H$4=#REF!),BDI!#REF!,IF(#REF!="ZERO",0))))),"")</f>
        <v>#REF!</v>
      </c>
      <c r="H2276" s="127" t="str">
        <f t="shared" si="115"/>
        <v/>
      </c>
      <c r="I2276" s="125" t="str">
        <f t="shared" si="116"/>
        <v/>
      </c>
    </row>
    <row r="2277" spans="1:9" hidden="1" x14ac:dyDescent="0.25">
      <c r="A2277" s="103" t="s">
        <v>5912</v>
      </c>
      <c r="B2277" s="104" t="s">
        <v>4680</v>
      </c>
      <c r="C2277" s="105" t="s">
        <v>20</v>
      </c>
      <c r="D2277" s="105">
        <v>0</v>
      </c>
      <c r="E2277" s="124" t="s">
        <v>523</v>
      </c>
      <c r="F2277" s="125" t="str">
        <f t="shared" si="114"/>
        <v/>
      </c>
      <c r="G2277" s="126" t="e">
        <f>IF(A2277&lt;&gt;"",IF(AND(#REF!="Padrão",$H$4=#REF!),BDI!$B$17,IF(AND(#REF!="Padrão",$H$4=#REF!),BDI!#REF!,IF(AND(#REF!="Diferenciado",$H$4=#REF!),BDI!$E$17,IF(AND(#REF!="Diferenciado",$H$4=#REF!),BDI!#REF!,IF(#REF!="ZERO",0))))),"")</f>
        <v>#REF!</v>
      </c>
      <c r="H2277" s="127" t="str">
        <f t="shared" si="115"/>
        <v/>
      </c>
      <c r="I2277" s="125" t="str">
        <f t="shared" si="116"/>
        <v/>
      </c>
    </row>
    <row r="2278" spans="1:9" hidden="1" x14ac:dyDescent="0.25">
      <c r="A2278" s="103" t="s">
        <v>5913</v>
      </c>
      <c r="B2278" s="104" t="s">
        <v>4681</v>
      </c>
      <c r="C2278" s="105" t="s">
        <v>20</v>
      </c>
      <c r="D2278" s="105">
        <v>0</v>
      </c>
      <c r="E2278" s="124" t="s">
        <v>523</v>
      </c>
      <c r="F2278" s="125" t="str">
        <f t="shared" si="114"/>
        <v/>
      </c>
      <c r="G2278" s="126" t="e">
        <f>IF(A2278&lt;&gt;"",IF(AND(#REF!="Padrão",$H$4=#REF!),BDI!$B$17,IF(AND(#REF!="Padrão",$H$4=#REF!),BDI!#REF!,IF(AND(#REF!="Diferenciado",$H$4=#REF!),BDI!$E$17,IF(AND(#REF!="Diferenciado",$H$4=#REF!),BDI!#REF!,IF(#REF!="ZERO",0))))),"")</f>
        <v>#REF!</v>
      </c>
      <c r="H2278" s="127" t="str">
        <f t="shared" si="115"/>
        <v/>
      </c>
      <c r="I2278" s="125" t="str">
        <f t="shared" si="116"/>
        <v/>
      </c>
    </row>
    <row r="2279" spans="1:9" hidden="1" x14ac:dyDescent="0.25">
      <c r="A2279" s="103" t="s">
        <v>5914</v>
      </c>
      <c r="B2279" s="104" t="s">
        <v>4682</v>
      </c>
      <c r="C2279" s="105" t="s">
        <v>20</v>
      </c>
      <c r="D2279" s="105">
        <v>0</v>
      </c>
      <c r="E2279" s="124" t="s">
        <v>523</v>
      </c>
      <c r="F2279" s="125" t="str">
        <f t="shared" si="114"/>
        <v/>
      </c>
      <c r="G2279" s="126" t="e">
        <f>IF(A2279&lt;&gt;"",IF(AND(#REF!="Padrão",$H$4=#REF!),BDI!$B$17,IF(AND(#REF!="Padrão",$H$4=#REF!),BDI!#REF!,IF(AND(#REF!="Diferenciado",$H$4=#REF!),BDI!$E$17,IF(AND(#REF!="Diferenciado",$H$4=#REF!),BDI!#REF!,IF(#REF!="ZERO",0))))),"")</f>
        <v>#REF!</v>
      </c>
      <c r="H2279" s="127" t="str">
        <f t="shared" si="115"/>
        <v/>
      </c>
      <c r="I2279" s="125" t="str">
        <f t="shared" si="116"/>
        <v/>
      </c>
    </row>
    <row r="2280" spans="1:9" hidden="1" x14ac:dyDescent="0.25">
      <c r="A2280" s="103" t="s">
        <v>5915</v>
      </c>
      <c r="B2280" s="104" t="s">
        <v>4683</v>
      </c>
      <c r="C2280" s="105" t="s">
        <v>20</v>
      </c>
      <c r="D2280" s="105">
        <v>0</v>
      </c>
      <c r="E2280" s="124" t="s">
        <v>523</v>
      </c>
      <c r="F2280" s="125" t="str">
        <f t="shared" si="114"/>
        <v/>
      </c>
      <c r="G2280" s="126" t="e">
        <f>IF(A2280&lt;&gt;"",IF(AND(#REF!="Padrão",$H$4=#REF!),BDI!$B$17,IF(AND(#REF!="Padrão",$H$4=#REF!),BDI!#REF!,IF(AND(#REF!="Diferenciado",$H$4=#REF!),BDI!$E$17,IF(AND(#REF!="Diferenciado",$H$4=#REF!),BDI!#REF!,IF(#REF!="ZERO",0))))),"")</f>
        <v>#REF!</v>
      </c>
      <c r="H2280" s="127" t="str">
        <f t="shared" si="115"/>
        <v/>
      </c>
      <c r="I2280" s="125" t="str">
        <f t="shared" si="116"/>
        <v/>
      </c>
    </row>
    <row r="2281" spans="1:9" hidden="1" x14ac:dyDescent="0.25">
      <c r="A2281" s="103" t="s">
        <v>5916</v>
      </c>
      <c r="B2281" s="104" t="s">
        <v>4684</v>
      </c>
      <c r="C2281" s="105" t="s">
        <v>20</v>
      </c>
      <c r="D2281" s="105">
        <v>0</v>
      </c>
      <c r="E2281" s="124" t="s">
        <v>523</v>
      </c>
      <c r="F2281" s="125" t="str">
        <f t="shared" si="114"/>
        <v/>
      </c>
      <c r="G2281" s="126" t="e">
        <f>IF(A2281&lt;&gt;"",IF(AND(#REF!="Padrão",$H$4=#REF!),BDI!$B$17,IF(AND(#REF!="Padrão",$H$4=#REF!),BDI!#REF!,IF(AND(#REF!="Diferenciado",$H$4=#REF!),BDI!$E$17,IF(AND(#REF!="Diferenciado",$H$4=#REF!),BDI!#REF!,IF(#REF!="ZERO",0))))),"")</f>
        <v>#REF!</v>
      </c>
      <c r="H2281" s="127" t="str">
        <f t="shared" si="115"/>
        <v/>
      </c>
      <c r="I2281" s="125" t="str">
        <f t="shared" si="116"/>
        <v/>
      </c>
    </row>
    <row r="2282" spans="1:9" hidden="1" x14ac:dyDescent="0.25">
      <c r="A2282" s="103" t="s">
        <v>5917</v>
      </c>
      <c r="B2282" s="104" t="s">
        <v>4685</v>
      </c>
      <c r="C2282" s="105" t="s">
        <v>20</v>
      </c>
      <c r="D2282" s="105">
        <v>0</v>
      </c>
      <c r="E2282" s="124" t="s">
        <v>523</v>
      </c>
      <c r="F2282" s="125" t="str">
        <f t="shared" si="114"/>
        <v/>
      </c>
      <c r="G2282" s="126" t="e">
        <f>IF(A2282&lt;&gt;"",IF(AND(#REF!="Padrão",$H$4=#REF!),BDI!$B$17,IF(AND(#REF!="Padrão",$H$4=#REF!),BDI!#REF!,IF(AND(#REF!="Diferenciado",$H$4=#REF!),BDI!$E$17,IF(AND(#REF!="Diferenciado",$H$4=#REF!),BDI!#REF!,IF(#REF!="ZERO",0))))),"")</f>
        <v>#REF!</v>
      </c>
      <c r="H2282" s="127" t="str">
        <f t="shared" si="115"/>
        <v/>
      </c>
      <c r="I2282" s="125" t="str">
        <f t="shared" si="116"/>
        <v/>
      </c>
    </row>
    <row r="2283" spans="1:9" hidden="1" x14ac:dyDescent="0.25">
      <c r="A2283" s="103" t="s">
        <v>5918</v>
      </c>
      <c r="B2283" s="104" t="s">
        <v>4686</v>
      </c>
      <c r="C2283" s="105" t="s">
        <v>20</v>
      </c>
      <c r="D2283" s="105">
        <v>0</v>
      </c>
      <c r="E2283" s="124" t="s">
        <v>523</v>
      </c>
      <c r="F2283" s="125" t="str">
        <f t="shared" si="114"/>
        <v/>
      </c>
      <c r="G2283" s="126" t="e">
        <f>IF(A2283&lt;&gt;"",IF(AND(#REF!="Padrão",$H$4=#REF!),BDI!$B$17,IF(AND(#REF!="Padrão",$H$4=#REF!),BDI!#REF!,IF(AND(#REF!="Diferenciado",$H$4=#REF!),BDI!$E$17,IF(AND(#REF!="Diferenciado",$H$4=#REF!),BDI!#REF!,IF(#REF!="ZERO",0))))),"")</f>
        <v>#REF!</v>
      </c>
      <c r="H2283" s="127" t="str">
        <f t="shared" si="115"/>
        <v/>
      </c>
      <c r="I2283" s="125" t="str">
        <f t="shared" si="116"/>
        <v/>
      </c>
    </row>
    <row r="2284" spans="1:9" hidden="1" x14ac:dyDescent="0.25">
      <c r="A2284" s="103" t="s">
        <v>5919</v>
      </c>
      <c r="B2284" s="104" t="s">
        <v>4687</v>
      </c>
      <c r="C2284" s="105" t="s">
        <v>6268</v>
      </c>
      <c r="D2284" s="105">
        <v>0</v>
      </c>
      <c r="E2284" s="124" t="s">
        <v>523</v>
      </c>
      <c r="F2284" s="125" t="str">
        <f t="shared" si="114"/>
        <v/>
      </c>
      <c r="G2284" s="126" t="e">
        <f>IF(A2284&lt;&gt;"",IF(AND(#REF!="Padrão",$H$4=#REF!),BDI!$B$17,IF(AND(#REF!="Padrão",$H$4=#REF!),BDI!#REF!,IF(AND(#REF!="Diferenciado",$H$4=#REF!),BDI!$E$17,IF(AND(#REF!="Diferenciado",$H$4=#REF!),BDI!#REF!,IF(#REF!="ZERO",0))))),"")</f>
        <v>#REF!</v>
      </c>
      <c r="H2284" s="127" t="str">
        <f t="shared" si="115"/>
        <v/>
      </c>
      <c r="I2284" s="125" t="str">
        <f t="shared" si="116"/>
        <v/>
      </c>
    </row>
    <row r="2285" spans="1:9" hidden="1" x14ac:dyDescent="0.25">
      <c r="A2285" s="103" t="s">
        <v>5920</v>
      </c>
      <c r="B2285" s="104" t="s">
        <v>4688</v>
      </c>
      <c r="C2285" s="105" t="s">
        <v>20</v>
      </c>
      <c r="D2285" s="105">
        <v>0</v>
      </c>
      <c r="E2285" s="124" t="s">
        <v>523</v>
      </c>
      <c r="F2285" s="125" t="str">
        <f t="shared" ref="F2285:F2348" si="117">IF(ISNUMBER(E2285),D2285*E2285,"")</f>
        <v/>
      </c>
      <c r="G2285" s="126" t="e">
        <f>IF(A2285&lt;&gt;"",IF(AND(#REF!="Padrão",$H$4=#REF!),BDI!$B$17,IF(AND(#REF!="Padrão",$H$4=#REF!),BDI!#REF!,IF(AND(#REF!="Diferenciado",$H$4=#REF!),BDI!$E$17,IF(AND(#REF!="Diferenciado",$H$4=#REF!),BDI!#REF!,IF(#REF!="ZERO",0))))),"")</f>
        <v>#REF!</v>
      </c>
      <c r="H2285" s="127" t="str">
        <f t="shared" ref="H2285:H2348" si="118">IF(ISNUMBER(E2285),ROUND(E2285*(1+G2285),2),"")</f>
        <v/>
      </c>
      <c r="I2285" s="125" t="str">
        <f t="shared" ref="I2285:I2348" si="119">IF(ISNUMBER(E2285),ROUND(H2285*D2285,2),"")</f>
        <v/>
      </c>
    </row>
    <row r="2286" spans="1:9" hidden="1" x14ac:dyDescent="0.25">
      <c r="A2286" s="103" t="s">
        <v>5921</v>
      </c>
      <c r="B2286" s="104" t="s">
        <v>4689</v>
      </c>
      <c r="C2286" s="105" t="s">
        <v>20</v>
      </c>
      <c r="D2286" s="105">
        <v>0</v>
      </c>
      <c r="E2286" s="124" t="s">
        <v>523</v>
      </c>
      <c r="F2286" s="125" t="str">
        <f t="shared" si="117"/>
        <v/>
      </c>
      <c r="G2286" s="126" t="e">
        <f>IF(A2286&lt;&gt;"",IF(AND(#REF!="Padrão",$H$4=#REF!),BDI!$B$17,IF(AND(#REF!="Padrão",$H$4=#REF!),BDI!#REF!,IF(AND(#REF!="Diferenciado",$H$4=#REF!),BDI!$E$17,IF(AND(#REF!="Diferenciado",$H$4=#REF!),BDI!#REF!,IF(#REF!="ZERO",0))))),"")</f>
        <v>#REF!</v>
      </c>
      <c r="H2286" s="127" t="str">
        <f t="shared" si="118"/>
        <v/>
      </c>
      <c r="I2286" s="125" t="str">
        <f t="shared" si="119"/>
        <v/>
      </c>
    </row>
    <row r="2287" spans="1:9" hidden="1" x14ac:dyDescent="0.25">
      <c r="A2287" s="103" t="s">
        <v>5922</v>
      </c>
      <c r="B2287" s="104" t="s">
        <v>4690</v>
      </c>
      <c r="C2287" s="105" t="s">
        <v>20</v>
      </c>
      <c r="D2287" s="105">
        <v>0</v>
      </c>
      <c r="E2287" s="124" t="s">
        <v>523</v>
      </c>
      <c r="F2287" s="125" t="str">
        <f t="shared" si="117"/>
        <v/>
      </c>
      <c r="G2287" s="126" t="e">
        <f>IF(A2287&lt;&gt;"",IF(AND(#REF!="Padrão",$H$4=#REF!),BDI!$B$17,IF(AND(#REF!="Padrão",$H$4=#REF!),BDI!#REF!,IF(AND(#REF!="Diferenciado",$H$4=#REF!),BDI!$E$17,IF(AND(#REF!="Diferenciado",$H$4=#REF!),BDI!#REF!,IF(#REF!="ZERO",0))))),"")</f>
        <v>#REF!</v>
      </c>
      <c r="H2287" s="127" t="str">
        <f t="shared" si="118"/>
        <v/>
      </c>
      <c r="I2287" s="125" t="str">
        <f t="shared" si="119"/>
        <v/>
      </c>
    </row>
    <row r="2288" spans="1:9" hidden="1" x14ac:dyDescent="0.25">
      <c r="A2288" s="103" t="s">
        <v>5923</v>
      </c>
      <c r="B2288" s="104" t="s">
        <v>4691</v>
      </c>
      <c r="C2288" s="105" t="s">
        <v>20</v>
      </c>
      <c r="D2288" s="105">
        <v>0</v>
      </c>
      <c r="E2288" s="124" t="s">
        <v>523</v>
      </c>
      <c r="F2288" s="125" t="str">
        <f t="shared" si="117"/>
        <v/>
      </c>
      <c r="G2288" s="126" t="e">
        <f>IF(A2288&lt;&gt;"",IF(AND(#REF!="Padrão",$H$4=#REF!),BDI!$B$17,IF(AND(#REF!="Padrão",$H$4=#REF!),BDI!#REF!,IF(AND(#REF!="Diferenciado",$H$4=#REF!),BDI!$E$17,IF(AND(#REF!="Diferenciado",$H$4=#REF!),BDI!#REF!,IF(#REF!="ZERO",0))))),"")</f>
        <v>#REF!</v>
      </c>
      <c r="H2288" s="127" t="str">
        <f t="shared" si="118"/>
        <v/>
      </c>
      <c r="I2288" s="125" t="str">
        <f t="shared" si="119"/>
        <v/>
      </c>
    </row>
    <row r="2289" spans="1:9" hidden="1" x14ac:dyDescent="0.25">
      <c r="A2289" s="103" t="s">
        <v>5924</v>
      </c>
      <c r="B2289" s="104" t="s">
        <v>4692</v>
      </c>
      <c r="C2289" s="105" t="s">
        <v>20</v>
      </c>
      <c r="D2289" s="105">
        <v>0</v>
      </c>
      <c r="E2289" s="124" t="s">
        <v>523</v>
      </c>
      <c r="F2289" s="125" t="str">
        <f t="shared" si="117"/>
        <v/>
      </c>
      <c r="G2289" s="126" t="e">
        <f>IF(A2289&lt;&gt;"",IF(AND(#REF!="Padrão",$H$4=#REF!),BDI!$B$17,IF(AND(#REF!="Padrão",$H$4=#REF!),BDI!#REF!,IF(AND(#REF!="Diferenciado",$H$4=#REF!),BDI!$E$17,IF(AND(#REF!="Diferenciado",$H$4=#REF!),BDI!#REF!,IF(#REF!="ZERO",0))))),"")</f>
        <v>#REF!</v>
      </c>
      <c r="H2289" s="127" t="str">
        <f t="shared" si="118"/>
        <v/>
      </c>
      <c r="I2289" s="125" t="str">
        <f t="shared" si="119"/>
        <v/>
      </c>
    </row>
    <row r="2290" spans="1:9" hidden="1" x14ac:dyDescent="0.25">
      <c r="A2290" s="103" t="s">
        <v>5925</v>
      </c>
      <c r="B2290" s="104" t="s">
        <v>4693</v>
      </c>
      <c r="C2290" s="105" t="s">
        <v>20</v>
      </c>
      <c r="D2290" s="105">
        <v>0</v>
      </c>
      <c r="E2290" s="124">
        <f ca="1">OFFSET(INDEX(Composições!A:J,MATCH(Orçamentária!A2290,Composições!A:A,0),8),2,0)</f>
        <v>50.2455</v>
      </c>
      <c r="F2290" s="125">
        <f t="shared" ca="1" si="117"/>
        <v>0</v>
      </c>
      <c r="G2290" s="126" t="e">
        <f>IF(A2290&lt;&gt;"",IF(AND(#REF!="Padrão",$H$4=#REF!),BDI!$B$17,IF(AND(#REF!="Padrão",$H$4=#REF!),BDI!#REF!,IF(AND(#REF!="Diferenciado",$H$4=#REF!),BDI!$E$17,IF(AND(#REF!="Diferenciado",$H$4=#REF!),BDI!#REF!,IF(#REF!="ZERO",0))))),"")</f>
        <v>#REF!</v>
      </c>
      <c r="H2290" s="127" t="e">
        <f t="shared" ca="1" si="118"/>
        <v>#REF!</v>
      </c>
      <c r="I2290" s="125" t="e">
        <f t="shared" ca="1" si="119"/>
        <v>#REF!</v>
      </c>
    </row>
    <row r="2291" spans="1:9" hidden="1" x14ac:dyDescent="0.25">
      <c r="A2291" s="103" t="s">
        <v>5926</v>
      </c>
      <c r="B2291" s="104" t="s">
        <v>4694</v>
      </c>
      <c r="C2291" s="105" t="s">
        <v>20</v>
      </c>
      <c r="D2291" s="105">
        <v>0</v>
      </c>
      <c r="E2291" s="124" t="s">
        <v>523</v>
      </c>
      <c r="F2291" s="125" t="str">
        <f t="shared" si="117"/>
        <v/>
      </c>
      <c r="G2291" s="126" t="e">
        <f>IF(A2291&lt;&gt;"",IF(AND(#REF!="Padrão",$H$4=#REF!),BDI!$B$17,IF(AND(#REF!="Padrão",$H$4=#REF!),BDI!#REF!,IF(AND(#REF!="Diferenciado",$H$4=#REF!),BDI!$E$17,IF(AND(#REF!="Diferenciado",$H$4=#REF!),BDI!#REF!,IF(#REF!="ZERO",0))))),"")</f>
        <v>#REF!</v>
      </c>
      <c r="H2291" s="127" t="str">
        <f t="shared" si="118"/>
        <v/>
      </c>
      <c r="I2291" s="125" t="str">
        <f t="shared" si="119"/>
        <v/>
      </c>
    </row>
    <row r="2292" spans="1:9" hidden="1" x14ac:dyDescent="0.25">
      <c r="A2292" s="103" t="s">
        <v>5927</v>
      </c>
      <c r="B2292" s="104" t="s">
        <v>4695</v>
      </c>
      <c r="C2292" s="105" t="s">
        <v>20</v>
      </c>
      <c r="D2292" s="105">
        <v>0</v>
      </c>
      <c r="E2292" s="124" t="s">
        <v>523</v>
      </c>
      <c r="F2292" s="125" t="str">
        <f t="shared" si="117"/>
        <v/>
      </c>
      <c r="G2292" s="126" t="e">
        <f>IF(A2292&lt;&gt;"",IF(AND(#REF!="Padrão",$H$4=#REF!),BDI!$B$17,IF(AND(#REF!="Padrão",$H$4=#REF!),BDI!#REF!,IF(AND(#REF!="Diferenciado",$H$4=#REF!),BDI!$E$17,IF(AND(#REF!="Diferenciado",$H$4=#REF!),BDI!#REF!,IF(#REF!="ZERO",0))))),"")</f>
        <v>#REF!</v>
      </c>
      <c r="H2292" s="127" t="str">
        <f t="shared" si="118"/>
        <v/>
      </c>
      <c r="I2292" s="125" t="str">
        <f t="shared" si="119"/>
        <v/>
      </c>
    </row>
    <row r="2293" spans="1:9" hidden="1" x14ac:dyDescent="0.25">
      <c r="A2293" s="103" t="s">
        <v>5928</v>
      </c>
      <c r="B2293" s="104" t="s">
        <v>4696</v>
      </c>
      <c r="C2293" s="105" t="s">
        <v>20</v>
      </c>
      <c r="D2293" s="105">
        <v>0</v>
      </c>
      <c r="E2293" s="124" t="s">
        <v>523</v>
      </c>
      <c r="F2293" s="125" t="str">
        <f t="shared" si="117"/>
        <v/>
      </c>
      <c r="G2293" s="126" t="e">
        <f>IF(A2293&lt;&gt;"",IF(AND(#REF!="Padrão",$H$4=#REF!),BDI!$B$17,IF(AND(#REF!="Padrão",$H$4=#REF!),BDI!#REF!,IF(AND(#REF!="Diferenciado",$H$4=#REF!),BDI!$E$17,IF(AND(#REF!="Diferenciado",$H$4=#REF!),BDI!#REF!,IF(#REF!="ZERO",0))))),"")</f>
        <v>#REF!</v>
      </c>
      <c r="H2293" s="127" t="str">
        <f t="shared" si="118"/>
        <v/>
      </c>
      <c r="I2293" s="125" t="str">
        <f t="shared" si="119"/>
        <v/>
      </c>
    </row>
    <row r="2294" spans="1:9" hidden="1" x14ac:dyDescent="0.25">
      <c r="A2294" s="103" t="s">
        <v>5929</v>
      </c>
      <c r="B2294" s="104" t="s">
        <v>4697</v>
      </c>
      <c r="C2294" s="105" t="s">
        <v>93</v>
      </c>
      <c r="D2294" s="105">
        <v>0</v>
      </c>
      <c r="E2294" s="124" t="s">
        <v>523</v>
      </c>
      <c r="F2294" s="125" t="str">
        <f t="shared" si="117"/>
        <v/>
      </c>
      <c r="G2294" s="126" t="e">
        <f>IF(A2294&lt;&gt;"",IF(AND(#REF!="Padrão",$H$4=#REF!),BDI!$B$17,IF(AND(#REF!="Padrão",$H$4=#REF!),BDI!#REF!,IF(AND(#REF!="Diferenciado",$H$4=#REF!),BDI!$E$17,IF(AND(#REF!="Diferenciado",$H$4=#REF!),BDI!#REF!,IF(#REF!="ZERO",0))))),"")</f>
        <v>#REF!</v>
      </c>
      <c r="H2294" s="127" t="str">
        <f t="shared" si="118"/>
        <v/>
      </c>
      <c r="I2294" s="125" t="str">
        <f t="shared" si="119"/>
        <v/>
      </c>
    </row>
    <row r="2295" spans="1:9" hidden="1" x14ac:dyDescent="0.25">
      <c r="A2295" s="103" t="s">
        <v>5930</v>
      </c>
      <c r="B2295" s="104" t="s">
        <v>4698</v>
      </c>
      <c r="C2295" s="105" t="s">
        <v>20</v>
      </c>
      <c r="D2295" s="105">
        <v>0</v>
      </c>
      <c r="E2295" s="124">
        <f ca="1">OFFSET(INDEX(Composições!A:J,MATCH(Orçamentária!A2295,Composições!A:A,0),8),2,0)</f>
        <v>97.678999999999988</v>
      </c>
      <c r="F2295" s="125">
        <f t="shared" ca="1" si="117"/>
        <v>0</v>
      </c>
      <c r="G2295" s="126" t="e">
        <f>IF(A2295&lt;&gt;"",IF(AND(#REF!="Padrão",$H$4=#REF!),BDI!$B$17,IF(AND(#REF!="Padrão",$H$4=#REF!),BDI!#REF!,IF(AND(#REF!="Diferenciado",$H$4=#REF!),BDI!$E$17,IF(AND(#REF!="Diferenciado",$H$4=#REF!),BDI!#REF!,IF(#REF!="ZERO",0))))),"")</f>
        <v>#REF!</v>
      </c>
      <c r="H2295" s="127" t="e">
        <f t="shared" ca="1" si="118"/>
        <v>#REF!</v>
      </c>
      <c r="I2295" s="125" t="e">
        <f t="shared" ca="1" si="119"/>
        <v>#REF!</v>
      </c>
    </row>
    <row r="2296" spans="1:9" hidden="1" x14ac:dyDescent="0.25">
      <c r="A2296" s="103" t="s">
        <v>5931</v>
      </c>
      <c r="B2296" s="104" t="s">
        <v>4699</v>
      </c>
      <c r="C2296" s="105" t="s">
        <v>20</v>
      </c>
      <c r="D2296" s="105">
        <v>0</v>
      </c>
      <c r="E2296" s="124" t="s">
        <v>523</v>
      </c>
      <c r="F2296" s="125" t="str">
        <f t="shared" si="117"/>
        <v/>
      </c>
      <c r="G2296" s="126" t="e">
        <f>IF(A2296&lt;&gt;"",IF(AND(#REF!="Padrão",$H$4=#REF!),BDI!$B$17,IF(AND(#REF!="Padrão",$H$4=#REF!),BDI!#REF!,IF(AND(#REF!="Diferenciado",$H$4=#REF!),BDI!$E$17,IF(AND(#REF!="Diferenciado",$H$4=#REF!),BDI!#REF!,IF(#REF!="ZERO",0))))),"")</f>
        <v>#REF!</v>
      </c>
      <c r="H2296" s="127" t="str">
        <f t="shared" si="118"/>
        <v/>
      </c>
      <c r="I2296" s="125" t="str">
        <f t="shared" si="119"/>
        <v/>
      </c>
    </row>
    <row r="2297" spans="1:9" hidden="1" x14ac:dyDescent="0.25">
      <c r="A2297" s="103" t="s">
        <v>5932</v>
      </c>
      <c r="B2297" s="104" t="s">
        <v>4700</v>
      </c>
      <c r="C2297" s="105" t="s">
        <v>20</v>
      </c>
      <c r="D2297" s="105">
        <v>0</v>
      </c>
      <c r="E2297" s="124" t="s">
        <v>523</v>
      </c>
      <c r="F2297" s="125" t="str">
        <f t="shared" si="117"/>
        <v/>
      </c>
      <c r="G2297" s="126" t="e">
        <f>IF(A2297&lt;&gt;"",IF(AND(#REF!="Padrão",$H$4=#REF!),BDI!$B$17,IF(AND(#REF!="Padrão",$H$4=#REF!),BDI!#REF!,IF(AND(#REF!="Diferenciado",$H$4=#REF!),BDI!$E$17,IF(AND(#REF!="Diferenciado",$H$4=#REF!),BDI!#REF!,IF(#REF!="ZERO",0))))),"")</f>
        <v>#REF!</v>
      </c>
      <c r="H2297" s="127" t="str">
        <f t="shared" si="118"/>
        <v/>
      </c>
      <c r="I2297" s="125" t="str">
        <f t="shared" si="119"/>
        <v/>
      </c>
    </row>
    <row r="2298" spans="1:9" hidden="1" x14ac:dyDescent="0.25">
      <c r="A2298" s="103" t="s">
        <v>5933</v>
      </c>
      <c r="B2298" s="104" t="s">
        <v>4701</v>
      </c>
      <c r="C2298" s="105" t="s">
        <v>20</v>
      </c>
      <c r="D2298" s="105">
        <v>0</v>
      </c>
      <c r="E2298" s="124" t="s">
        <v>523</v>
      </c>
      <c r="F2298" s="125" t="str">
        <f t="shared" si="117"/>
        <v/>
      </c>
      <c r="G2298" s="126" t="e">
        <f>IF(A2298&lt;&gt;"",IF(AND(#REF!="Padrão",$H$4=#REF!),BDI!$B$17,IF(AND(#REF!="Padrão",$H$4=#REF!),BDI!#REF!,IF(AND(#REF!="Diferenciado",$H$4=#REF!),BDI!$E$17,IF(AND(#REF!="Diferenciado",$H$4=#REF!),BDI!#REF!,IF(#REF!="ZERO",0))))),"")</f>
        <v>#REF!</v>
      </c>
      <c r="H2298" s="127" t="str">
        <f t="shared" si="118"/>
        <v/>
      </c>
      <c r="I2298" s="125" t="str">
        <f t="shared" si="119"/>
        <v/>
      </c>
    </row>
    <row r="2299" spans="1:9" hidden="1" x14ac:dyDescent="0.25">
      <c r="A2299" s="103" t="s">
        <v>5934</v>
      </c>
      <c r="B2299" s="104" t="s">
        <v>4702</v>
      </c>
      <c r="C2299" s="105" t="s">
        <v>20</v>
      </c>
      <c r="D2299" s="105">
        <v>0</v>
      </c>
      <c r="E2299" s="124">
        <f ca="1">OFFSET(INDEX(Composições!A:J,MATCH(Orçamentária!A2299,Composições!A:A,0),8),2,0)</f>
        <v>139.7355</v>
      </c>
      <c r="F2299" s="125">
        <f t="shared" ca="1" si="117"/>
        <v>0</v>
      </c>
      <c r="G2299" s="126" t="e">
        <f>IF(A2299&lt;&gt;"",IF(AND(#REF!="Padrão",$H$4=#REF!),BDI!$B$17,IF(AND(#REF!="Padrão",$H$4=#REF!),BDI!#REF!,IF(AND(#REF!="Diferenciado",$H$4=#REF!),BDI!$E$17,IF(AND(#REF!="Diferenciado",$H$4=#REF!),BDI!#REF!,IF(#REF!="ZERO",0))))),"")</f>
        <v>#REF!</v>
      </c>
      <c r="H2299" s="127" t="e">
        <f t="shared" ca="1" si="118"/>
        <v>#REF!</v>
      </c>
      <c r="I2299" s="125" t="e">
        <f t="shared" ca="1" si="119"/>
        <v>#REF!</v>
      </c>
    </row>
    <row r="2300" spans="1:9" hidden="1" x14ac:dyDescent="0.25">
      <c r="A2300" s="103" t="s">
        <v>5935</v>
      </c>
      <c r="B2300" s="104" t="s">
        <v>4703</v>
      </c>
      <c r="C2300" s="105" t="s">
        <v>20</v>
      </c>
      <c r="D2300" s="105">
        <v>0</v>
      </c>
      <c r="E2300" s="124" t="s">
        <v>523</v>
      </c>
      <c r="F2300" s="125" t="str">
        <f t="shared" si="117"/>
        <v/>
      </c>
      <c r="G2300" s="126" t="e">
        <f>IF(A2300&lt;&gt;"",IF(AND(#REF!="Padrão",$H$4=#REF!),BDI!$B$17,IF(AND(#REF!="Padrão",$H$4=#REF!),BDI!#REF!,IF(AND(#REF!="Diferenciado",$H$4=#REF!),BDI!$E$17,IF(AND(#REF!="Diferenciado",$H$4=#REF!),BDI!#REF!,IF(#REF!="ZERO",0))))),"")</f>
        <v>#REF!</v>
      </c>
      <c r="H2300" s="127" t="str">
        <f t="shared" si="118"/>
        <v/>
      </c>
      <c r="I2300" s="125" t="str">
        <f t="shared" si="119"/>
        <v/>
      </c>
    </row>
    <row r="2301" spans="1:9" hidden="1" x14ac:dyDescent="0.25">
      <c r="A2301" s="103" t="s">
        <v>5936</v>
      </c>
      <c r="B2301" s="104" t="s">
        <v>4704</v>
      </c>
      <c r="C2301" s="105" t="s">
        <v>20</v>
      </c>
      <c r="D2301" s="105">
        <v>0</v>
      </c>
      <c r="E2301" s="124" t="s">
        <v>523</v>
      </c>
      <c r="F2301" s="125" t="str">
        <f t="shared" si="117"/>
        <v/>
      </c>
      <c r="G2301" s="126" t="e">
        <f>IF(A2301&lt;&gt;"",IF(AND(#REF!="Padrão",$H$4=#REF!),BDI!$B$17,IF(AND(#REF!="Padrão",$H$4=#REF!),BDI!#REF!,IF(AND(#REF!="Diferenciado",$H$4=#REF!),BDI!$E$17,IF(AND(#REF!="Diferenciado",$H$4=#REF!),BDI!#REF!,IF(#REF!="ZERO",0))))),"")</f>
        <v>#REF!</v>
      </c>
      <c r="H2301" s="127" t="str">
        <f t="shared" si="118"/>
        <v/>
      </c>
      <c r="I2301" s="125" t="str">
        <f t="shared" si="119"/>
        <v/>
      </c>
    </row>
    <row r="2302" spans="1:9" hidden="1" x14ac:dyDescent="0.25">
      <c r="A2302" s="103" t="s">
        <v>5937</v>
      </c>
      <c r="B2302" s="104" t="s">
        <v>4705</v>
      </c>
      <c r="C2302" s="105" t="s">
        <v>20</v>
      </c>
      <c r="D2302" s="105">
        <v>0</v>
      </c>
      <c r="E2302" s="124" t="s">
        <v>523</v>
      </c>
      <c r="F2302" s="125" t="str">
        <f t="shared" si="117"/>
        <v/>
      </c>
      <c r="G2302" s="126" t="e">
        <f>IF(A2302&lt;&gt;"",IF(AND(#REF!="Padrão",$H$4=#REF!),BDI!$B$17,IF(AND(#REF!="Padrão",$H$4=#REF!),BDI!#REF!,IF(AND(#REF!="Diferenciado",$H$4=#REF!),BDI!$E$17,IF(AND(#REF!="Diferenciado",$H$4=#REF!),BDI!#REF!,IF(#REF!="ZERO",0))))),"")</f>
        <v>#REF!</v>
      </c>
      <c r="H2302" s="127" t="str">
        <f t="shared" si="118"/>
        <v/>
      </c>
      <c r="I2302" s="125" t="str">
        <f t="shared" si="119"/>
        <v/>
      </c>
    </row>
    <row r="2303" spans="1:9" hidden="1" x14ac:dyDescent="0.25">
      <c r="A2303" s="103" t="s">
        <v>5938</v>
      </c>
      <c r="B2303" s="104" t="s">
        <v>4706</v>
      </c>
      <c r="C2303" s="105" t="s">
        <v>20</v>
      </c>
      <c r="D2303" s="105">
        <v>0</v>
      </c>
      <c r="E2303" s="124" t="s">
        <v>523</v>
      </c>
      <c r="F2303" s="125" t="str">
        <f t="shared" si="117"/>
        <v/>
      </c>
      <c r="G2303" s="126" t="e">
        <f>IF(A2303&lt;&gt;"",IF(AND(#REF!="Padrão",$H$4=#REF!),BDI!$B$17,IF(AND(#REF!="Padrão",$H$4=#REF!),BDI!#REF!,IF(AND(#REF!="Diferenciado",$H$4=#REF!),BDI!$E$17,IF(AND(#REF!="Diferenciado",$H$4=#REF!),BDI!#REF!,IF(#REF!="ZERO",0))))),"")</f>
        <v>#REF!</v>
      </c>
      <c r="H2303" s="127" t="str">
        <f t="shared" si="118"/>
        <v/>
      </c>
      <c r="I2303" s="125" t="str">
        <f t="shared" si="119"/>
        <v/>
      </c>
    </row>
    <row r="2304" spans="1:9" hidden="1" x14ac:dyDescent="0.25">
      <c r="A2304" s="103" t="s">
        <v>5939</v>
      </c>
      <c r="B2304" s="104" t="s">
        <v>4707</v>
      </c>
      <c r="C2304" s="105" t="s">
        <v>20</v>
      </c>
      <c r="D2304" s="105">
        <v>0</v>
      </c>
      <c r="E2304" s="124" t="s">
        <v>523</v>
      </c>
      <c r="F2304" s="125" t="str">
        <f t="shared" si="117"/>
        <v/>
      </c>
      <c r="G2304" s="126" t="e">
        <f>IF(A2304&lt;&gt;"",IF(AND(#REF!="Padrão",$H$4=#REF!),BDI!$B$17,IF(AND(#REF!="Padrão",$H$4=#REF!),BDI!#REF!,IF(AND(#REF!="Diferenciado",$H$4=#REF!),BDI!$E$17,IF(AND(#REF!="Diferenciado",$H$4=#REF!),BDI!#REF!,IF(#REF!="ZERO",0))))),"")</f>
        <v>#REF!</v>
      </c>
      <c r="H2304" s="127" t="str">
        <f t="shared" si="118"/>
        <v/>
      </c>
      <c r="I2304" s="125" t="str">
        <f t="shared" si="119"/>
        <v/>
      </c>
    </row>
    <row r="2305" spans="1:9" hidden="1" x14ac:dyDescent="0.25">
      <c r="A2305" s="103" t="s">
        <v>5940</v>
      </c>
      <c r="B2305" s="104" t="s">
        <v>4708</v>
      </c>
      <c r="C2305" s="105" t="s">
        <v>20</v>
      </c>
      <c r="D2305" s="105">
        <v>0</v>
      </c>
      <c r="E2305" s="124" t="s">
        <v>523</v>
      </c>
      <c r="F2305" s="125" t="str">
        <f t="shared" si="117"/>
        <v/>
      </c>
      <c r="G2305" s="126" t="e">
        <f>IF(A2305&lt;&gt;"",IF(AND(#REF!="Padrão",$H$4=#REF!),BDI!$B$17,IF(AND(#REF!="Padrão",$H$4=#REF!),BDI!#REF!,IF(AND(#REF!="Diferenciado",$H$4=#REF!),BDI!$E$17,IF(AND(#REF!="Diferenciado",$H$4=#REF!),BDI!#REF!,IF(#REF!="ZERO",0))))),"")</f>
        <v>#REF!</v>
      </c>
      <c r="H2305" s="127" t="str">
        <f t="shared" si="118"/>
        <v/>
      </c>
      <c r="I2305" s="125" t="str">
        <f t="shared" si="119"/>
        <v/>
      </c>
    </row>
    <row r="2306" spans="1:9" hidden="1" x14ac:dyDescent="0.25">
      <c r="A2306" s="103" t="s">
        <v>5941</v>
      </c>
      <c r="B2306" s="104" t="s">
        <v>4709</v>
      </c>
      <c r="C2306" s="105" t="s">
        <v>20</v>
      </c>
      <c r="D2306" s="105">
        <v>0</v>
      </c>
      <c r="E2306" s="124" t="s">
        <v>523</v>
      </c>
      <c r="F2306" s="125" t="str">
        <f t="shared" si="117"/>
        <v/>
      </c>
      <c r="G2306" s="126" t="e">
        <f>IF(A2306&lt;&gt;"",IF(AND(#REF!="Padrão",$H$4=#REF!),BDI!$B$17,IF(AND(#REF!="Padrão",$H$4=#REF!),BDI!#REF!,IF(AND(#REF!="Diferenciado",$H$4=#REF!),BDI!$E$17,IF(AND(#REF!="Diferenciado",$H$4=#REF!),BDI!#REF!,IF(#REF!="ZERO",0))))),"")</f>
        <v>#REF!</v>
      </c>
      <c r="H2306" s="127" t="str">
        <f t="shared" si="118"/>
        <v/>
      </c>
      <c r="I2306" s="125" t="str">
        <f t="shared" si="119"/>
        <v/>
      </c>
    </row>
    <row r="2307" spans="1:9" hidden="1" x14ac:dyDescent="0.25">
      <c r="A2307" s="103" t="s">
        <v>5942</v>
      </c>
      <c r="B2307" s="104" t="s">
        <v>4710</v>
      </c>
      <c r="C2307" s="105" t="s">
        <v>20</v>
      </c>
      <c r="D2307" s="105">
        <v>0</v>
      </c>
      <c r="E2307" s="124" t="s">
        <v>523</v>
      </c>
      <c r="F2307" s="125" t="str">
        <f t="shared" si="117"/>
        <v/>
      </c>
      <c r="G2307" s="126" t="e">
        <f>IF(A2307&lt;&gt;"",IF(AND(#REF!="Padrão",$H$4=#REF!),BDI!$B$17,IF(AND(#REF!="Padrão",$H$4=#REF!),BDI!#REF!,IF(AND(#REF!="Diferenciado",$H$4=#REF!),BDI!$E$17,IF(AND(#REF!="Diferenciado",$H$4=#REF!),BDI!#REF!,IF(#REF!="ZERO",0))))),"")</f>
        <v>#REF!</v>
      </c>
      <c r="H2307" s="127" t="str">
        <f t="shared" si="118"/>
        <v/>
      </c>
      <c r="I2307" s="125" t="str">
        <f t="shared" si="119"/>
        <v/>
      </c>
    </row>
    <row r="2308" spans="1:9" hidden="1" x14ac:dyDescent="0.25">
      <c r="A2308" s="103" t="s">
        <v>5943</v>
      </c>
      <c r="B2308" s="104" t="s">
        <v>4711</v>
      </c>
      <c r="C2308" s="105" t="s">
        <v>20</v>
      </c>
      <c r="D2308" s="105">
        <v>0</v>
      </c>
      <c r="E2308" s="124" t="s">
        <v>523</v>
      </c>
      <c r="F2308" s="125" t="str">
        <f t="shared" si="117"/>
        <v/>
      </c>
      <c r="G2308" s="126" t="e">
        <f>IF(A2308&lt;&gt;"",IF(AND(#REF!="Padrão",$H$4=#REF!),BDI!$B$17,IF(AND(#REF!="Padrão",$H$4=#REF!),BDI!#REF!,IF(AND(#REF!="Diferenciado",$H$4=#REF!),BDI!$E$17,IF(AND(#REF!="Diferenciado",$H$4=#REF!),BDI!#REF!,IF(#REF!="ZERO",0))))),"")</f>
        <v>#REF!</v>
      </c>
      <c r="H2308" s="127" t="str">
        <f t="shared" si="118"/>
        <v/>
      </c>
      <c r="I2308" s="125" t="str">
        <f t="shared" si="119"/>
        <v/>
      </c>
    </row>
    <row r="2309" spans="1:9" hidden="1" x14ac:dyDescent="0.25">
      <c r="A2309" s="103" t="s">
        <v>5944</v>
      </c>
      <c r="B2309" s="104" t="s">
        <v>4712</v>
      </c>
      <c r="C2309" s="105" t="s">
        <v>20</v>
      </c>
      <c r="D2309" s="105">
        <v>0</v>
      </c>
      <c r="E2309" s="124" t="s">
        <v>523</v>
      </c>
      <c r="F2309" s="125" t="str">
        <f t="shared" si="117"/>
        <v/>
      </c>
      <c r="G2309" s="126" t="e">
        <f>IF(A2309&lt;&gt;"",IF(AND(#REF!="Padrão",$H$4=#REF!),BDI!$B$17,IF(AND(#REF!="Padrão",$H$4=#REF!),BDI!#REF!,IF(AND(#REF!="Diferenciado",$H$4=#REF!),BDI!$E$17,IF(AND(#REF!="Diferenciado",$H$4=#REF!),BDI!#REF!,IF(#REF!="ZERO",0))))),"")</f>
        <v>#REF!</v>
      </c>
      <c r="H2309" s="127" t="str">
        <f t="shared" si="118"/>
        <v/>
      </c>
      <c r="I2309" s="125" t="str">
        <f t="shared" si="119"/>
        <v/>
      </c>
    </row>
    <row r="2310" spans="1:9" hidden="1" x14ac:dyDescent="0.25">
      <c r="A2310" s="103" t="s">
        <v>5945</v>
      </c>
      <c r="B2310" s="104" t="s">
        <v>4713</v>
      </c>
      <c r="C2310" s="105" t="s">
        <v>20</v>
      </c>
      <c r="D2310" s="105">
        <v>0</v>
      </c>
      <c r="E2310" s="124" t="s">
        <v>523</v>
      </c>
      <c r="F2310" s="125" t="str">
        <f t="shared" si="117"/>
        <v/>
      </c>
      <c r="G2310" s="126" t="e">
        <f>IF(A2310&lt;&gt;"",IF(AND(#REF!="Padrão",$H$4=#REF!),BDI!$B$17,IF(AND(#REF!="Padrão",$H$4=#REF!),BDI!#REF!,IF(AND(#REF!="Diferenciado",$H$4=#REF!),BDI!$E$17,IF(AND(#REF!="Diferenciado",$H$4=#REF!),BDI!#REF!,IF(#REF!="ZERO",0))))),"")</f>
        <v>#REF!</v>
      </c>
      <c r="H2310" s="127" t="str">
        <f t="shared" si="118"/>
        <v/>
      </c>
      <c r="I2310" s="125" t="str">
        <f t="shared" si="119"/>
        <v/>
      </c>
    </row>
    <row r="2311" spans="1:9" hidden="1" x14ac:dyDescent="0.25">
      <c r="A2311" s="103" t="s">
        <v>5946</v>
      </c>
      <c r="B2311" s="104" t="s">
        <v>4714</v>
      </c>
      <c r="C2311" s="105" t="s">
        <v>20</v>
      </c>
      <c r="D2311" s="105">
        <v>0</v>
      </c>
      <c r="E2311" s="124" t="s">
        <v>523</v>
      </c>
      <c r="F2311" s="125" t="str">
        <f t="shared" si="117"/>
        <v/>
      </c>
      <c r="G2311" s="126" t="e">
        <f>IF(A2311&lt;&gt;"",IF(AND(#REF!="Padrão",$H$4=#REF!),BDI!$B$17,IF(AND(#REF!="Padrão",$H$4=#REF!),BDI!#REF!,IF(AND(#REF!="Diferenciado",$H$4=#REF!),BDI!$E$17,IF(AND(#REF!="Diferenciado",$H$4=#REF!),BDI!#REF!,IF(#REF!="ZERO",0))))),"")</f>
        <v>#REF!</v>
      </c>
      <c r="H2311" s="127" t="str">
        <f t="shared" si="118"/>
        <v/>
      </c>
      <c r="I2311" s="125" t="str">
        <f t="shared" si="119"/>
        <v/>
      </c>
    </row>
    <row r="2312" spans="1:9" hidden="1" x14ac:dyDescent="0.25">
      <c r="A2312" s="103" t="s">
        <v>5947</v>
      </c>
      <c r="B2312" s="104" t="s">
        <v>4715</v>
      </c>
      <c r="C2312" s="105" t="s">
        <v>20</v>
      </c>
      <c r="D2312" s="105">
        <v>0</v>
      </c>
      <c r="E2312" s="124" t="s">
        <v>523</v>
      </c>
      <c r="F2312" s="125" t="str">
        <f t="shared" si="117"/>
        <v/>
      </c>
      <c r="G2312" s="126" t="e">
        <f>IF(A2312&lt;&gt;"",IF(AND(#REF!="Padrão",$H$4=#REF!),BDI!$B$17,IF(AND(#REF!="Padrão",$H$4=#REF!),BDI!#REF!,IF(AND(#REF!="Diferenciado",$H$4=#REF!),BDI!$E$17,IF(AND(#REF!="Diferenciado",$H$4=#REF!),BDI!#REF!,IF(#REF!="ZERO",0))))),"")</f>
        <v>#REF!</v>
      </c>
      <c r="H2312" s="127" t="str">
        <f t="shared" si="118"/>
        <v/>
      </c>
      <c r="I2312" s="125" t="str">
        <f t="shared" si="119"/>
        <v/>
      </c>
    </row>
    <row r="2313" spans="1:9" hidden="1" x14ac:dyDescent="0.25">
      <c r="A2313" s="103" t="s">
        <v>5948</v>
      </c>
      <c r="B2313" s="104" t="s">
        <v>4716</v>
      </c>
      <c r="C2313" s="105" t="s">
        <v>20</v>
      </c>
      <c r="D2313" s="105">
        <v>0</v>
      </c>
      <c r="E2313" s="124" t="s">
        <v>523</v>
      </c>
      <c r="F2313" s="125" t="str">
        <f t="shared" si="117"/>
        <v/>
      </c>
      <c r="G2313" s="126" t="e">
        <f>IF(A2313&lt;&gt;"",IF(AND(#REF!="Padrão",$H$4=#REF!),BDI!$B$17,IF(AND(#REF!="Padrão",$H$4=#REF!),BDI!#REF!,IF(AND(#REF!="Diferenciado",$H$4=#REF!),BDI!$E$17,IF(AND(#REF!="Diferenciado",$H$4=#REF!),BDI!#REF!,IF(#REF!="ZERO",0))))),"")</f>
        <v>#REF!</v>
      </c>
      <c r="H2313" s="127" t="str">
        <f t="shared" si="118"/>
        <v/>
      </c>
      <c r="I2313" s="125" t="str">
        <f t="shared" si="119"/>
        <v/>
      </c>
    </row>
    <row r="2314" spans="1:9" hidden="1" x14ac:dyDescent="0.25">
      <c r="A2314" s="103" t="s">
        <v>5949</v>
      </c>
      <c r="B2314" s="104" t="s">
        <v>4717</v>
      </c>
      <c r="C2314" s="105" t="s">
        <v>20</v>
      </c>
      <c r="D2314" s="105">
        <v>0</v>
      </c>
      <c r="E2314" s="124" t="s">
        <v>523</v>
      </c>
      <c r="F2314" s="125" t="str">
        <f t="shared" si="117"/>
        <v/>
      </c>
      <c r="G2314" s="126" t="e">
        <f>IF(A2314&lt;&gt;"",IF(AND(#REF!="Padrão",$H$4=#REF!),BDI!$B$17,IF(AND(#REF!="Padrão",$H$4=#REF!),BDI!#REF!,IF(AND(#REF!="Diferenciado",$H$4=#REF!),BDI!$E$17,IF(AND(#REF!="Diferenciado",$H$4=#REF!),BDI!#REF!,IF(#REF!="ZERO",0))))),"")</f>
        <v>#REF!</v>
      </c>
      <c r="H2314" s="127" t="str">
        <f t="shared" si="118"/>
        <v/>
      </c>
      <c r="I2314" s="125" t="str">
        <f t="shared" si="119"/>
        <v/>
      </c>
    </row>
    <row r="2315" spans="1:9" hidden="1" x14ac:dyDescent="0.25">
      <c r="A2315" s="103" t="s">
        <v>5950</v>
      </c>
      <c r="B2315" s="104" t="s">
        <v>4718</v>
      </c>
      <c r="C2315" s="105" t="s">
        <v>5022</v>
      </c>
      <c r="D2315" s="105">
        <v>0</v>
      </c>
      <c r="E2315" s="124">
        <f ca="1">OFFSET(INDEX(Composições!A:J,MATCH(Orçamentária!A2315,Composições!A:A,0),8),2,0)</f>
        <v>47.386000000000003</v>
      </c>
      <c r="F2315" s="125">
        <f t="shared" ca="1" si="117"/>
        <v>0</v>
      </c>
      <c r="G2315" s="126" t="e">
        <f>IF(A2315&lt;&gt;"",IF(AND(#REF!="Padrão",$H$4=#REF!),BDI!$B$17,IF(AND(#REF!="Padrão",$H$4=#REF!),BDI!#REF!,IF(AND(#REF!="Diferenciado",$H$4=#REF!),BDI!$E$17,IF(AND(#REF!="Diferenciado",$H$4=#REF!),BDI!#REF!,IF(#REF!="ZERO",0))))),"")</f>
        <v>#REF!</v>
      </c>
      <c r="H2315" s="127" t="e">
        <f t="shared" ca="1" si="118"/>
        <v>#REF!</v>
      </c>
      <c r="I2315" s="125" t="e">
        <f t="shared" ca="1" si="119"/>
        <v>#REF!</v>
      </c>
    </row>
    <row r="2316" spans="1:9" hidden="1" x14ac:dyDescent="0.25">
      <c r="A2316" s="103" t="s">
        <v>5951</v>
      </c>
      <c r="B2316" s="104" t="s">
        <v>4719</v>
      </c>
      <c r="C2316" s="105" t="s">
        <v>20</v>
      </c>
      <c r="D2316" s="105">
        <v>0</v>
      </c>
      <c r="E2316" s="124" t="s">
        <v>523</v>
      </c>
      <c r="F2316" s="125" t="str">
        <f t="shared" si="117"/>
        <v/>
      </c>
      <c r="G2316" s="126" t="e">
        <f>IF(A2316&lt;&gt;"",IF(AND(#REF!="Padrão",$H$4=#REF!),BDI!$B$17,IF(AND(#REF!="Padrão",$H$4=#REF!),BDI!#REF!,IF(AND(#REF!="Diferenciado",$H$4=#REF!),BDI!$E$17,IF(AND(#REF!="Diferenciado",$H$4=#REF!),BDI!#REF!,IF(#REF!="ZERO",0))))),"")</f>
        <v>#REF!</v>
      </c>
      <c r="H2316" s="127" t="str">
        <f t="shared" si="118"/>
        <v/>
      </c>
      <c r="I2316" s="125" t="str">
        <f t="shared" si="119"/>
        <v/>
      </c>
    </row>
    <row r="2317" spans="1:9" hidden="1" x14ac:dyDescent="0.25">
      <c r="A2317" s="103" t="s">
        <v>5952</v>
      </c>
      <c r="B2317" s="104" t="s">
        <v>4720</v>
      </c>
      <c r="C2317" s="105" t="s">
        <v>20</v>
      </c>
      <c r="D2317" s="105">
        <v>0</v>
      </c>
      <c r="E2317" s="124" t="s">
        <v>523</v>
      </c>
      <c r="F2317" s="125" t="str">
        <f t="shared" si="117"/>
        <v/>
      </c>
      <c r="G2317" s="126" t="e">
        <f>IF(A2317&lt;&gt;"",IF(AND(#REF!="Padrão",$H$4=#REF!),BDI!$B$17,IF(AND(#REF!="Padrão",$H$4=#REF!),BDI!#REF!,IF(AND(#REF!="Diferenciado",$H$4=#REF!),BDI!$E$17,IF(AND(#REF!="Diferenciado",$H$4=#REF!),BDI!#REF!,IF(#REF!="ZERO",0))))),"")</f>
        <v>#REF!</v>
      </c>
      <c r="H2317" s="127" t="str">
        <f t="shared" si="118"/>
        <v/>
      </c>
      <c r="I2317" s="125" t="str">
        <f t="shared" si="119"/>
        <v/>
      </c>
    </row>
    <row r="2318" spans="1:9" hidden="1" x14ac:dyDescent="0.25">
      <c r="A2318" s="103" t="s">
        <v>5953</v>
      </c>
      <c r="B2318" s="104" t="s">
        <v>4721</v>
      </c>
      <c r="C2318" s="105" t="s">
        <v>20</v>
      </c>
      <c r="D2318" s="105">
        <v>0</v>
      </c>
      <c r="E2318" s="124" t="s">
        <v>523</v>
      </c>
      <c r="F2318" s="125" t="str">
        <f t="shared" si="117"/>
        <v/>
      </c>
      <c r="G2318" s="126" t="e">
        <f>IF(A2318&lt;&gt;"",IF(AND(#REF!="Padrão",$H$4=#REF!),BDI!$B$17,IF(AND(#REF!="Padrão",$H$4=#REF!),BDI!#REF!,IF(AND(#REF!="Diferenciado",$H$4=#REF!),BDI!$E$17,IF(AND(#REF!="Diferenciado",$H$4=#REF!),BDI!#REF!,IF(#REF!="ZERO",0))))),"")</f>
        <v>#REF!</v>
      </c>
      <c r="H2318" s="127" t="str">
        <f t="shared" si="118"/>
        <v/>
      </c>
      <c r="I2318" s="125" t="str">
        <f t="shared" si="119"/>
        <v/>
      </c>
    </row>
    <row r="2319" spans="1:9" hidden="1" x14ac:dyDescent="0.25">
      <c r="A2319" s="103" t="s">
        <v>5954</v>
      </c>
      <c r="B2319" s="104" t="s">
        <v>4722</v>
      </c>
      <c r="C2319" s="105" t="s">
        <v>20</v>
      </c>
      <c r="D2319" s="105">
        <v>0</v>
      </c>
      <c r="E2319" s="124" t="s">
        <v>523</v>
      </c>
      <c r="F2319" s="125" t="str">
        <f t="shared" si="117"/>
        <v/>
      </c>
      <c r="G2319" s="126" t="e">
        <f>IF(A2319&lt;&gt;"",IF(AND(#REF!="Padrão",$H$4=#REF!),BDI!$B$17,IF(AND(#REF!="Padrão",$H$4=#REF!),BDI!#REF!,IF(AND(#REF!="Diferenciado",$H$4=#REF!),BDI!$E$17,IF(AND(#REF!="Diferenciado",$H$4=#REF!),BDI!#REF!,IF(#REF!="ZERO",0))))),"")</f>
        <v>#REF!</v>
      </c>
      <c r="H2319" s="127" t="str">
        <f t="shared" si="118"/>
        <v/>
      </c>
      <c r="I2319" s="125" t="str">
        <f t="shared" si="119"/>
        <v/>
      </c>
    </row>
    <row r="2320" spans="1:9" hidden="1" x14ac:dyDescent="0.25">
      <c r="A2320" s="103" t="s">
        <v>5955</v>
      </c>
      <c r="B2320" s="104" t="s">
        <v>4723</v>
      </c>
      <c r="C2320" s="105" t="s">
        <v>20</v>
      </c>
      <c r="D2320" s="105">
        <v>0</v>
      </c>
      <c r="E2320" s="124" t="s">
        <v>523</v>
      </c>
      <c r="F2320" s="125" t="str">
        <f t="shared" si="117"/>
        <v/>
      </c>
      <c r="G2320" s="126" t="e">
        <f>IF(A2320&lt;&gt;"",IF(AND(#REF!="Padrão",$H$4=#REF!),BDI!$B$17,IF(AND(#REF!="Padrão",$H$4=#REF!),BDI!#REF!,IF(AND(#REF!="Diferenciado",$H$4=#REF!),BDI!$E$17,IF(AND(#REF!="Diferenciado",$H$4=#REF!),BDI!#REF!,IF(#REF!="ZERO",0))))),"")</f>
        <v>#REF!</v>
      </c>
      <c r="H2320" s="127" t="str">
        <f t="shared" si="118"/>
        <v/>
      </c>
      <c r="I2320" s="125" t="str">
        <f t="shared" si="119"/>
        <v/>
      </c>
    </row>
    <row r="2321" spans="1:9" hidden="1" x14ac:dyDescent="0.25">
      <c r="A2321" s="103" t="s">
        <v>5956</v>
      </c>
      <c r="B2321" s="104" t="s">
        <v>4724</v>
      </c>
      <c r="C2321" s="105" t="s">
        <v>20</v>
      </c>
      <c r="D2321" s="105">
        <v>0</v>
      </c>
      <c r="E2321" s="124" t="s">
        <v>523</v>
      </c>
      <c r="F2321" s="125" t="str">
        <f t="shared" si="117"/>
        <v/>
      </c>
      <c r="G2321" s="126" t="e">
        <f>IF(A2321&lt;&gt;"",IF(AND(#REF!="Padrão",$H$4=#REF!),BDI!$B$17,IF(AND(#REF!="Padrão",$H$4=#REF!),BDI!#REF!,IF(AND(#REF!="Diferenciado",$H$4=#REF!),BDI!$E$17,IF(AND(#REF!="Diferenciado",$H$4=#REF!),BDI!#REF!,IF(#REF!="ZERO",0))))),"")</f>
        <v>#REF!</v>
      </c>
      <c r="H2321" s="127" t="str">
        <f t="shared" si="118"/>
        <v/>
      </c>
      <c r="I2321" s="125" t="str">
        <f t="shared" si="119"/>
        <v/>
      </c>
    </row>
    <row r="2322" spans="1:9" hidden="1" x14ac:dyDescent="0.25">
      <c r="A2322" s="103" t="s">
        <v>5957</v>
      </c>
      <c r="B2322" s="104" t="s">
        <v>4725</v>
      </c>
      <c r="C2322" s="105" t="s">
        <v>20</v>
      </c>
      <c r="D2322" s="105">
        <v>0</v>
      </c>
      <c r="E2322" s="124" t="s">
        <v>523</v>
      </c>
      <c r="F2322" s="125" t="str">
        <f t="shared" si="117"/>
        <v/>
      </c>
      <c r="G2322" s="126" t="e">
        <f>IF(A2322&lt;&gt;"",IF(AND(#REF!="Padrão",$H$4=#REF!),BDI!$B$17,IF(AND(#REF!="Padrão",$H$4=#REF!),BDI!#REF!,IF(AND(#REF!="Diferenciado",$H$4=#REF!),BDI!$E$17,IF(AND(#REF!="Diferenciado",$H$4=#REF!),BDI!#REF!,IF(#REF!="ZERO",0))))),"")</f>
        <v>#REF!</v>
      </c>
      <c r="H2322" s="127" t="str">
        <f t="shared" si="118"/>
        <v/>
      </c>
      <c r="I2322" s="125" t="str">
        <f t="shared" si="119"/>
        <v/>
      </c>
    </row>
    <row r="2323" spans="1:9" hidden="1" x14ac:dyDescent="0.25">
      <c r="A2323" s="103" t="s">
        <v>5958</v>
      </c>
      <c r="B2323" s="104" t="s">
        <v>4726</v>
      </c>
      <c r="C2323" s="105" t="s">
        <v>20</v>
      </c>
      <c r="D2323" s="105">
        <v>0</v>
      </c>
      <c r="E2323" s="124" t="s">
        <v>523</v>
      </c>
      <c r="F2323" s="125" t="str">
        <f t="shared" si="117"/>
        <v/>
      </c>
      <c r="G2323" s="126" t="e">
        <f>IF(A2323&lt;&gt;"",IF(AND(#REF!="Padrão",$H$4=#REF!),BDI!$B$17,IF(AND(#REF!="Padrão",$H$4=#REF!),BDI!#REF!,IF(AND(#REF!="Diferenciado",$H$4=#REF!),BDI!$E$17,IF(AND(#REF!="Diferenciado",$H$4=#REF!),BDI!#REF!,IF(#REF!="ZERO",0))))),"")</f>
        <v>#REF!</v>
      </c>
      <c r="H2323" s="127" t="str">
        <f t="shared" si="118"/>
        <v/>
      </c>
      <c r="I2323" s="125" t="str">
        <f t="shared" si="119"/>
        <v/>
      </c>
    </row>
    <row r="2324" spans="1:9" hidden="1" x14ac:dyDescent="0.25">
      <c r="A2324" s="103" t="s">
        <v>5959</v>
      </c>
      <c r="B2324" s="104" t="s">
        <v>4727</v>
      </c>
      <c r="C2324" s="105" t="s">
        <v>20</v>
      </c>
      <c r="D2324" s="105">
        <v>0</v>
      </c>
      <c r="E2324" s="124" t="s">
        <v>523</v>
      </c>
      <c r="F2324" s="125" t="str">
        <f t="shared" si="117"/>
        <v/>
      </c>
      <c r="G2324" s="126" t="e">
        <f>IF(A2324&lt;&gt;"",IF(AND(#REF!="Padrão",$H$4=#REF!),BDI!$B$17,IF(AND(#REF!="Padrão",$H$4=#REF!),BDI!#REF!,IF(AND(#REF!="Diferenciado",$H$4=#REF!),BDI!$E$17,IF(AND(#REF!="Diferenciado",$H$4=#REF!),BDI!#REF!,IF(#REF!="ZERO",0))))),"")</f>
        <v>#REF!</v>
      </c>
      <c r="H2324" s="127" t="str">
        <f t="shared" si="118"/>
        <v/>
      </c>
      <c r="I2324" s="125" t="str">
        <f t="shared" si="119"/>
        <v/>
      </c>
    </row>
    <row r="2325" spans="1:9" hidden="1" x14ac:dyDescent="0.25">
      <c r="A2325" s="103" t="s">
        <v>5960</v>
      </c>
      <c r="B2325" s="104" t="s">
        <v>4728</v>
      </c>
      <c r="C2325" s="105" t="s">
        <v>93</v>
      </c>
      <c r="D2325" s="105">
        <v>0</v>
      </c>
      <c r="E2325" s="124" t="s">
        <v>523</v>
      </c>
      <c r="F2325" s="125" t="str">
        <f t="shared" si="117"/>
        <v/>
      </c>
      <c r="G2325" s="126" t="e">
        <f>IF(A2325&lt;&gt;"",IF(AND(#REF!="Padrão",$H$4=#REF!),BDI!$B$17,IF(AND(#REF!="Padrão",$H$4=#REF!),BDI!#REF!,IF(AND(#REF!="Diferenciado",$H$4=#REF!),BDI!$E$17,IF(AND(#REF!="Diferenciado",$H$4=#REF!),BDI!#REF!,IF(#REF!="ZERO",0))))),"")</f>
        <v>#REF!</v>
      </c>
      <c r="H2325" s="127" t="str">
        <f t="shared" si="118"/>
        <v/>
      </c>
      <c r="I2325" s="125" t="str">
        <f t="shared" si="119"/>
        <v/>
      </c>
    </row>
    <row r="2326" spans="1:9" hidden="1" x14ac:dyDescent="0.25">
      <c r="A2326" s="103" t="s">
        <v>5961</v>
      </c>
      <c r="B2326" s="104" t="s">
        <v>4729</v>
      </c>
      <c r="C2326" s="105" t="s">
        <v>20</v>
      </c>
      <c r="D2326" s="105">
        <v>0</v>
      </c>
      <c r="E2326" s="124" t="s">
        <v>523</v>
      </c>
      <c r="F2326" s="125" t="str">
        <f t="shared" si="117"/>
        <v/>
      </c>
      <c r="G2326" s="126" t="e">
        <f>IF(A2326&lt;&gt;"",IF(AND(#REF!="Padrão",$H$4=#REF!),BDI!$B$17,IF(AND(#REF!="Padrão",$H$4=#REF!),BDI!#REF!,IF(AND(#REF!="Diferenciado",$H$4=#REF!),BDI!$E$17,IF(AND(#REF!="Diferenciado",$H$4=#REF!),BDI!#REF!,IF(#REF!="ZERO",0))))),"")</f>
        <v>#REF!</v>
      </c>
      <c r="H2326" s="127" t="str">
        <f t="shared" si="118"/>
        <v/>
      </c>
      <c r="I2326" s="125" t="str">
        <f t="shared" si="119"/>
        <v/>
      </c>
    </row>
    <row r="2327" spans="1:9" hidden="1" x14ac:dyDescent="0.25">
      <c r="A2327" s="103" t="s">
        <v>5962</v>
      </c>
      <c r="B2327" s="104" t="s">
        <v>4730</v>
      </c>
      <c r="C2327" s="105" t="s">
        <v>20</v>
      </c>
      <c r="D2327" s="105">
        <v>0</v>
      </c>
      <c r="E2327" s="124" t="s">
        <v>523</v>
      </c>
      <c r="F2327" s="125" t="str">
        <f t="shared" si="117"/>
        <v/>
      </c>
      <c r="G2327" s="126" t="e">
        <f>IF(A2327&lt;&gt;"",IF(AND(#REF!="Padrão",$H$4=#REF!),BDI!$B$17,IF(AND(#REF!="Padrão",$H$4=#REF!),BDI!#REF!,IF(AND(#REF!="Diferenciado",$H$4=#REF!),BDI!$E$17,IF(AND(#REF!="Diferenciado",$H$4=#REF!),BDI!#REF!,IF(#REF!="ZERO",0))))),"")</f>
        <v>#REF!</v>
      </c>
      <c r="H2327" s="127" t="str">
        <f t="shared" si="118"/>
        <v/>
      </c>
      <c r="I2327" s="125" t="str">
        <f t="shared" si="119"/>
        <v/>
      </c>
    </row>
    <row r="2328" spans="1:9" hidden="1" x14ac:dyDescent="0.25">
      <c r="A2328" s="103" t="s">
        <v>5963</v>
      </c>
      <c r="B2328" s="104" t="s">
        <v>4731</v>
      </c>
      <c r="C2328" s="105" t="s">
        <v>20</v>
      </c>
      <c r="D2328" s="105">
        <v>0</v>
      </c>
      <c r="E2328" s="124" t="s">
        <v>523</v>
      </c>
      <c r="F2328" s="125" t="str">
        <f t="shared" si="117"/>
        <v/>
      </c>
      <c r="G2328" s="126" t="e">
        <f>IF(A2328&lt;&gt;"",IF(AND(#REF!="Padrão",$H$4=#REF!),BDI!$B$17,IF(AND(#REF!="Padrão",$H$4=#REF!),BDI!#REF!,IF(AND(#REF!="Diferenciado",$H$4=#REF!),BDI!$E$17,IF(AND(#REF!="Diferenciado",$H$4=#REF!),BDI!#REF!,IF(#REF!="ZERO",0))))),"")</f>
        <v>#REF!</v>
      </c>
      <c r="H2328" s="127" t="str">
        <f t="shared" si="118"/>
        <v/>
      </c>
      <c r="I2328" s="125" t="str">
        <f t="shared" si="119"/>
        <v/>
      </c>
    </row>
    <row r="2329" spans="1:9" hidden="1" x14ac:dyDescent="0.25">
      <c r="A2329" s="103" t="s">
        <v>5964</v>
      </c>
      <c r="B2329" s="104" t="s">
        <v>4732</v>
      </c>
      <c r="C2329" s="105" t="s">
        <v>20</v>
      </c>
      <c r="D2329" s="105">
        <v>0</v>
      </c>
      <c r="E2329" s="124" t="s">
        <v>523</v>
      </c>
      <c r="F2329" s="125" t="str">
        <f t="shared" si="117"/>
        <v/>
      </c>
      <c r="G2329" s="126" t="e">
        <f>IF(A2329&lt;&gt;"",IF(AND(#REF!="Padrão",$H$4=#REF!),BDI!$B$17,IF(AND(#REF!="Padrão",$H$4=#REF!),BDI!#REF!,IF(AND(#REF!="Diferenciado",$H$4=#REF!),BDI!$E$17,IF(AND(#REF!="Diferenciado",$H$4=#REF!),BDI!#REF!,IF(#REF!="ZERO",0))))),"")</f>
        <v>#REF!</v>
      </c>
      <c r="H2329" s="127" t="str">
        <f t="shared" si="118"/>
        <v/>
      </c>
      <c r="I2329" s="125" t="str">
        <f t="shared" si="119"/>
        <v/>
      </c>
    </row>
    <row r="2330" spans="1:9" hidden="1" x14ac:dyDescent="0.25">
      <c r="A2330" s="103" t="s">
        <v>5965</v>
      </c>
      <c r="B2330" s="104" t="s">
        <v>4733</v>
      </c>
      <c r="C2330" s="105" t="s">
        <v>20</v>
      </c>
      <c r="D2330" s="105">
        <v>0</v>
      </c>
      <c r="E2330" s="124" t="s">
        <v>523</v>
      </c>
      <c r="F2330" s="125" t="str">
        <f t="shared" si="117"/>
        <v/>
      </c>
      <c r="G2330" s="126" t="e">
        <f>IF(A2330&lt;&gt;"",IF(AND(#REF!="Padrão",$H$4=#REF!),BDI!$B$17,IF(AND(#REF!="Padrão",$H$4=#REF!),BDI!#REF!,IF(AND(#REF!="Diferenciado",$H$4=#REF!),BDI!$E$17,IF(AND(#REF!="Diferenciado",$H$4=#REF!),BDI!#REF!,IF(#REF!="ZERO",0))))),"")</f>
        <v>#REF!</v>
      </c>
      <c r="H2330" s="127" t="str">
        <f t="shared" si="118"/>
        <v/>
      </c>
      <c r="I2330" s="125" t="str">
        <f t="shared" si="119"/>
        <v/>
      </c>
    </row>
    <row r="2331" spans="1:9" hidden="1" x14ac:dyDescent="0.25">
      <c r="A2331" s="103" t="s">
        <v>5966</v>
      </c>
      <c r="B2331" s="104" t="s">
        <v>4734</v>
      </c>
      <c r="C2331" s="105" t="s">
        <v>20</v>
      </c>
      <c r="D2331" s="105">
        <v>0</v>
      </c>
      <c r="E2331" s="124" t="s">
        <v>523</v>
      </c>
      <c r="F2331" s="125" t="str">
        <f t="shared" si="117"/>
        <v/>
      </c>
      <c r="G2331" s="126" t="e">
        <f>IF(A2331&lt;&gt;"",IF(AND(#REF!="Padrão",$H$4=#REF!),BDI!$B$17,IF(AND(#REF!="Padrão",$H$4=#REF!),BDI!#REF!,IF(AND(#REF!="Diferenciado",$H$4=#REF!),BDI!$E$17,IF(AND(#REF!="Diferenciado",$H$4=#REF!),BDI!#REF!,IF(#REF!="ZERO",0))))),"")</f>
        <v>#REF!</v>
      </c>
      <c r="H2331" s="127" t="str">
        <f t="shared" si="118"/>
        <v/>
      </c>
      <c r="I2331" s="125" t="str">
        <f t="shared" si="119"/>
        <v/>
      </c>
    </row>
    <row r="2332" spans="1:9" hidden="1" x14ac:dyDescent="0.25">
      <c r="A2332" s="103" t="s">
        <v>5967</v>
      </c>
      <c r="B2332" s="104" t="s">
        <v>4735</v>
      </c>
      <c r="C2332" s="105" t="s">
        <v>20</v>
      </c>
      <c r="D2332" s="105">
        <v>0</v>
      </c>
      <c r="E2332" s="124" t="s">
        <v>523</v>
      </c>
      <c r="F2332" s="125" t="str">
        <f t="shared" si="117"/>
        <v/>
      </c>
      <c r="G2332" s="126" t="e">
        <f>IF(A2332&lt;&gt;"",IF(AND(#REF!="Padrão",$H$4=#REF!),BDI!$B$17,IF(AND(#REF!="Padrão",$H$4=#REF!),BDI!#REF!,IF(AND(#REF!="Diferenciado",$H$4=#REF!),BDI!$E$17,IF(AND(#REF!="Diferenciado",$H$4=#REF!),BDI!#REF!,IF(#REF!="ZERO",0))))),"")</f>
        <v>#REF!</v>
      </c>
      <c r="H2332" s="127" t="str">
        <f t="shared" si="118"/>
        <v/>
      </c>
      <c r="I2332" s="125" t="str">
        <f t="shared" si="119"/>
        <v/>
      </c>
    </row>
    <row r="2333" spans="1:9" hidden="1" x14ac:dyDescent="0.25">
      <c r="A2333" s="103" t="s">
        <v>5968</v>
      </c>
      <c r="B2333" s="104" t="s">
        <v>4736</v>
      </c>
      <c r="C2333" s="105" t="s">
        <v>20</v>
      </c>
      <c r="D2333" s="105">
        <v>0</v>
      </c>
      <c r="E2333" s="124">
        <f ca="1">OFFSET(INDEX(Composições!A:J,MATCH(Orçamentária!A2333,Composições!A:A,0),8),2,0)</f>
        <v>640.68949999999995</v>
      </c>
      <c r="F2333" s="125">
        <f t="shared" ca="1" si="117"/>
        <v>0</v>
      </c>
      <c r="G2333" s="126" t="e">
        <f>IF(A2333&lt;&gt;"",IF(AND(#REF!="Padrão",$H$4=#REF!),BDI!$B$17,IF(AND(#REF!="Padrão",$H$4=#REF!),BDI!#REF!,IF(AND(#REF!="Diferenciado",$H$4=#REF!),BDI!$E$17,IF(AND(#REF!="Diferenciado",$H$4=#REF!),BDI!#REF!,IF(#REF!="ZERO",0))))),"")</f>
        <v>#REF!</v>
      </c>
      <c r="H2333" s="127" t="e">
        <f t="shared" ca="1" si="118"/>
        <v>#REF!</v>
      </c>
      <c r="I2333" s="125" t="e">
        <f t="shared" ca="1" si="119"/>
        <v>#REF!</v>
      </c>
    </row>
    <row r="2334" spans="1:9" hidden="1" x14ac:dyDescent="0.25">
      <c r="A2334" s="103" t="s">
        <v>5969</v>
      </c>
      <c r="B2334" s="104" t="s">
        <v>4737</v>
      </c>
      <c r="C2334" s="105" t="s">
        <v>20</v>
      </c>
      <c r="D2334" s="105">
        <v>0</v>
      </c>
      <c r="E2334" s="124">
        <f ca="1">OFFSET(INDEX(Composições!A:J,MATCH(Orçamentária!A2334,Composições!A:A,0),8),2,0)</f>
        <v>522.86099999999999</v>
      </c>
      <c r="F2334" s="125">
        <f t="shared" ca="1" si="117"/>
        <v>0</v>
      </c>
      <c r="G2334" s="126" t="e">
        <f>IF(A2334&lt;&gt;"",IF(AND(#REF!="Padrão",$H$4=#REF!),BDI!$B$17,IF(AND(#REF!="Padrão",$H$4=#REF!),BDI!#REF!,IF(AND(#REF!="Diferenciado",$H$4=#REF!),BDI!$E$17,IF(AND(#REF!="Diferenciado",$H$4=#REF!),BDI!#REF!,IF(#REF!="ZERO",0))))),"")</f>
        <v>#REF!</v>
      </c>
      <c r="H2334" s="127" t="e">
        <f t="shared" ca="1" si="118"/>
        <v>#REF!</v>
      </c>
      <c r="I2334" s="125" t="e">
        <f t="shared" ca="1" si="119"/>
        <v>#REF!</v>
      </c>
    </row>
    <row r="2335" spans="1:9" hidden="1" x14ac:dyDescent="0.25">
      <c r="A2335" s="103" t="s">
        <v>5970</v>
      </c>
      <c r="B2335" s="104" t="s">
        <v>4738</v>
      </c>
      <c r="C2335" s="105" t="s">
        <v>20</v>
      </c>
      <c r="D2335" s="105">
        <v>0</v>
      </c>
      <c r="E2335" s="124">
        <f ca="1">OFFSET(INDEX(Composições!A:J,MATCH(Orçamentária!A2335,Composições!A:A,0),8),2,0)</f>
        <v>267.32049999999998</v>
      </c>
      <c r="F2335" s="125">
        <f t="shared" ca="1" si="117"/>
        <v>0</v>
      </c>
      <c r="G2335" s="126" t="e">
        <f>IF(A2335&lt;&gt;"",IF(AND(#REF!="Padrão",$H$4=#REF!),BDI!$B$17,IF(AND(#REF!="Padrão",$H$4=#REF!),BDI!#REF!,IF(AND(#REF!="Diferenciado",$H$4=#REF!),BDI!$E$17,IF(AND(#REF!="Diferenciado",$H$4=#REF!),BDI!#REF!,IF(#REF!="ZERO",0))))),"")</f>
        <v>#REF!</v>
      </c>
      <c r="H2335" s="127" t="e">
        <f t="shared" ca="1" si="118"/>
        <v>#REF!</v>
      </c>
      <c r="I2335" s="125" t="e">
        <f t="shared" ca="1" si="119"/>
        <v>#REF!</v>
      </c>
    </row>
    <row r="2336" spans="1:9" hidden="1" x14ac:dyDescent="0.25">
      <c r="A2336" s="103" t="s">
        <v>5971</v>
      </c>
      <c r="B2336" s="104" t="s">
        <v>4739</v>
      </c>
      <c r="C2336" s="105" t="s">
        <v>20</v>
      </c>
      <c r="D2336" s="105">
        <v>0</v>
      </c>
      <c r="E2336" s="124" t="s">
        <v>523</v>
      </c>
      <c r="F2336" s="125" t="str">
        <f t="shared" si="117"/>
        <v/>
      </c>
      <c r="G2336" s="126" t="e">
        <f>IF(A2336&lt;&gt;"",IF(AND(#REF!="Padrão",$H$4=#REF!),BDI!$B$17,IF(AND(#REF!="Padrão",$H$4=#REF!),BDI!#REF!,IF(AND(#REF!="Diferenciado",$H$4=#REF!),BDI!$E$17,IF(AND(#REF!="Diferenciado",$H$4=#REF!),BDI!#REF!,IF(#REF!="ZERO",0))))),"")</f>
        <v>#REF!</v>
      </c>
      <c r="H2336" s="127" t="str">
        <f t="shared" si="118"/>
        <v/>
      </c>
      <c r="I2336" s="125" t="str">
        <f t="shared" si="119"/>
        <v/>
      </c>
    </row>
    <row r="2337" spans="1:9" hidden="1" x14ac:dyDescent="0.25">
      <c r="A2337" s="103" t="s">
        <v>5972</v>
      </c>
      <c r="B2337" s="104" t="s">
        <v>4740</v>
      </c>
      <c r="C2337" s="105" t="s">
        <v>20</v>
      </c>
      <c r="D2337" s="105">
        <v>0</v>
      </c>
      <c r="E2337" s="124" t="s">
        <v>523</v>
      </c>
      <c r="F2337" s="125" t="str">
        <f t="shared" si="117"/>
        <v/>
      </c>
      <c r="G2337" s="126" t="e">
        <f>IF(A2337&lt;&gt;"",IF(AND(#REF!="Padrão",$H$4=#REF!),BDI!$B$17,IF(AND(#REF!="Padrão",$H$4=#REF!),BDI!#REF!,IF(AND(#REF!="Diferenciado",$H$4=#REF!),BDI!$E$17,IF(AND(#REF!="Diferenciado",$H$4=#REF!),BDI!#REF!,IF(#REF!="ZERO",0))))),"")</f>
        <v>#REF!</v>
      </c>
      <c r="H2337" s="127" t="str">
        <f t="shared" si="118"/>
        <v/>
      </c>
      <c r="I2337" s="125" t="str">
        <f t="shared" si="119"/>
        <v/>
      </c>
    </row>
    <row r="2338" spans="1:9" hidden="1" x14ac:dyDescent="0.25">
      <c r="A2338" s="103" t="s">
        <v>5973</v>
      </c>
      <c r="B2338" s="104" t="s">
        <v>4741</v>
      </c>
      <c r="C2338" s="105" t="s">
        <v>20</v>
      </c>
      <c r="D2338" s="105">
        <v>0</v>
      </c>
      <c r="E2338" s="124" t="s">
        <v>523</v>
      </c>
      <c r="F2338" s="125" t="str">
        <f t="shared" si="117"/>
        <v/>
      </c>
      <c r="G2338" s="126" t="e">
        <f>IF(A2338&lt;&gt;"",IF(AND(#REF!="Padrão",$H$4=#REF!),BDI!$B$17,IF(AND(#REF!="Padrão",$H$4=#REF!),BDI!#REF!,IF(AND(#REF!="Diferenciado",$H$4=#REF!),BDI!$E$17,IF(AND(#REF!="Diferenciado",$H$4=#REF!),BDI!#REF!,IF(#REF!="ZERO",0))))),"")</f>
        <v>#REF!</v>
      </c>
      <c r="H2338" s="127" t="str">
        <f t="shared" si="118"/>
        <v/>
      </c>
      <c r="I2338" s="125" t="str">
        <f t="shared" si="119"/>
        <v/>
      </c>
    </row>
    <row r="2339" spans="1:9" s="184" customFormat="1" x14ac:dyDescent="0.25">
      <c r="A2339" s="185" t="s">
        <v>5974</v>
      </c>
      <c r="B2339" s="186" t="s">
        <v>4742</v>
      </c>
      <c r="C2339" s="187" t="s">
        <v>20</v>
      </c>
      <c r="D2339" s="187">
        <v>179</v>
      </c>
      <c r="E2339" s="202">
        <v>78.900000000000006</v>
      </c>
      <c r="F2339" s="125">
        <f t="shared" si="117"/>
        <v>14123.1</v>
      </c>
      <c r="G2339" s="126">
        <f>BDI!$B$17</f>
        <v>0.191</v>
      </c>
      <c r="H2339" s="127">
        <f t="shared" si="118"/>
        <v>93.97</v>
      </c>
      <c r="I2339" s="204">
        <f t="shared" si="119"/>
        <v>16820.63</v>
      </c>
    </row>
    <row r="2340" spans="1:9" hidden="1" x14ac:dyDescent="0.25">
      <c r="A2340" s="103" t="s">
        <v>5975</v>
      </c>
      <c r="B2340" s="104" t="s">
        <v>4743</v>
      </c>
      <c r="C2340" s="105" t="s">
        <v>20</v>
      </c>
      <c r="D2340" s="105">
        <v>0</v>
      </c>
      <c r="E2340" s="124" t="s">
        <v>523</v>
      </c>
      <c r="F2340" s="125" t="str">
        <f t="shared" si="117"/>
        <v/>
      </c>
      <c r="G2340" s="126" t="e">
        <f>IF(A2340&lt;&gt;"",IF(AND(#REF!="Padrão",$H$4=#REF!),BDI!$B$17,IF(AND(#REF!="Padrão",$H$4=#REF!),BDI!#REF!,IF(AND(#REF!="Diferenciado",$H$4=#REF!),BDI!$E$17,IF(AND(#REF!="Diferenciado",$H$4=#REF!),BDI!#REF!,IF(#REF!="ZERO",0))))),"")</f>
        <v>#REF!</v>
      </c>
      <c r="H2340" s="127" t="str">
        <f t="shared" si="118"/>
        <v/>
      </c>
      <c r="I2340" s="125" t="str">
        <f t="shared" si="119"/>
        <v/>
      </c>
    </row>
    <row r="2341" spans="1:9" hidden="1" x14ac:dyDescent="0.25">
      <c r="A2341" s="103" t="s">
        <v>5976</v>
      </c>
      <c r="B2341" s="104" t="s">
        <v>4744</v>
      </c>
      <c r="C2341" s="105" t="s">
        <v>20</v>
      </c>
      <c r="D2341" s="105">
        <v>0</v>
      </c>
      <c r="E2341" s="124" t="s">
        <v>523</v>
      </c>
      <c r="F2341" s="125" t="str">
        <f t="shared" si="117"/>
        <v/>
      </c>
      <c r="G2341" s="126" t="e">
        <f>IF(A2341&lt;&gt;"",IF(AND(#REF!="Padrão",$H$4=#REF!),BDI!$B$17,IF(AND(#REF!="Padrão",$H$4=#REF!),BDI!#REF!,IF(AND(#REF!="Diferenciado",$H$4=#REF!),BDI!$E$17,IF(AND(#REF!="Diferenciado",$H$4=#REF!),BDI!#REF!,IF(#REF!="ZERO",0))))),"")</f>
        <v>#REF!</v>
      </c>
      <c r="H2341" s="127" t="str">
        <f t="shared" si="118"/>
        <v/>
      </c>
      <c r="I2341" s="125" t="str">
        <f t="shared" si="119"/>
        <v/>
      </c>
    </row>
    <row r="2342" spans="1:9" hidden="1" x14ac:dyDescent="0.25">
      <c r="A2342" s="103" t="s">
        <v>5977</v>
      </c>
      <c r="B2342" s="104" t="s">
        <v>4745</v>
      </c>
      <c r="C2342" s="105" t="s">
        <v>20</v>
      </c>
      <c r="D2342" s="105">
        <v>0</v>
      </c>
      <c r="E2342" s="124" t="s">
        <v>523</v>
      </c>
      <c r="F2342" s="125" t="str">
        <f t="shared" si="117"/>
        <v/>
      </c>
      <c r="G2342" s="126" t="e">
        <f>IF(A2342&lt;&gt;"",IF(AND(#REF!="Padrão",$H$4=#REF!),BDI!$B$17,IF(AND(#REF!="Padrão",$H$4=#REF!),BDI!#REF!,IF(AND(#REF!="Diferenciado",$H$4=#REF!),BDI!$E$17,IF(AND(#REF!="Diferenciado",$H$4=#REF!),BDI!#REF!,IF(#REF!="ZERO",0))))),"")</f>
        <v>#REF!</v>
      </c>
      <c r="H2342" s="127" t="str">
        <f t="shared" si="118"/>
        <v/>
      </c>
      <c r="I2342" s="125" t="str">
        <f t="shared" si="119"/>
        <v/>
      </c>
    </row>
    <row r="2343" spans="1:9" hidden="1" x14ac:dyDescent="0.25">
      <c r="A2343" s="103" t="s">
        <v>5978</v>
      </c>
      <c r="B2343" s="104" t="s">
        <v>4746</v>
      </c>
      <c r="C2343" s="105" t="s">
        <v>20</v>
      </c>
      <c r="D2343" s="105">
        <v>0</v>
      </c>
      <c r="E2343" s="124" t="s">
        <v>523</v>
      </c>
      <c r="F2343" s="125" t="str">
        <f t="shared" si="117"/>
        <v/>
      </c>
      <c r="G2343" s="126" t="e">
        <f>IF(A2343&lt;&gt;"",IF(AND(#REF!="Padrão",$H$4=#REF!),BDI!$B$17,IF(AND(#REF!="Padrão",$H$4=#REF!),BDI!#REF!,IF(AND(#REF!="Diferenciado",$H$4=#REF!),BDI!$E$17,IF(AND(#REF!="Diferenciado",$H$4=#REF!),BDI!#REF!,IF(#REF!="ZERO",0))))),"")</f>
        <v>#REF!</v>
      </c>
      <c r="H2343" s="127" t="str">
        <f t="shared" si="118"/>
        <v/>
      </c>
      <c r="I2343" s="125" t="str">
        <f t="shared" si="119"/>
        <v/>
      </c>
    </row>
    <row r="2344" spans="1:9" hidden="1" x14ac:dyDescent="0.25">
      <c r="A2344" s="103" t="s">
        <v>5979</v>
      </c>
      <c r="B2344" s="104" t="s">
        <v>4747</v>
      </c>
      <c r="C2344" s="105" t="s">
        <v>20</v>
      </c>
      <c r="D2344" s="105">
        <v>0</v>
      </c>
      <c r="E2344" s="124" t="s">
        <v>523</v>
      </c>
      <c r="F2344" s="125" t="str">
        <f t="shared" si="117"/>
        <v/>
      </c>
      <c r="G2344" s="126" t="e">
        <f>IF(A2344&lt;&gt;"",IF(AND(#REF!="Padrão",$H$4=#REF!),BDI!$B$17,IF(AND(#REF!="Padrão",$H$4=#REF!),BDI!#REF!,IF(AND(#REF!="Diferenciado",$H$4=#REF!),BDI!$E$17,IF(AND(#REF!="Diferenciado",$H$4=#REF!),BDI!#REF!,IF(#REF!="ZERO",0))))),"")</f>
        <v>#REF!</v>
      </c>
      <c r="H2344" s="127" t="str">
        <f t="shared" si="118"/>
        <v/>
      </c>
      <c r="I2344" s="125" t="str">
        <f t="shared" si="119"/>
        <v/>
      </c>
    </row>
    <row r="2345" spans="1:9" hidden="1" x14ac:dyDescent="0.25">
      <c r="A2345" s="103" t="s">
        <v>5980</v>
      </c>
      <c r="B2345" s="104" t="s">
        <v>4748</v>
      </c>
      <c r="C2345" s="105" t="s">
        <v>20</v>
      </c>
      <c r="D2345" s="105">
        <v>0</v>
      </c>
      <c r="E2345" s="124" t="s">
        <v>523</v>
      </c>
      <c r="F2345" s="125" t="str">
        <f t="shared" si="117"/>
        <v/>
      </c>
      <c r="G2345" s="126" t="e">
        <f>IF(A2345&lt;&gt;"",IF(AND(#REF!="Padrão",$H$4=#REF!),BDI!$B$17,IF(AND(#REF!="Padrão",$H$4=#REF!),BDI!#REF!,IF(AND(#REF!="Diferenciado",$H$4=#REF!),BDI!$E$17,IF(AND(#REF!="Diferenciado",$H$4=#REF!),BDI!#REF!,IF(#REF!="ZERO",0))))),"")</f>
        <v>#REF!</v>
      </c>
      <c r="H2345" s="127" t="str">
        <f t="shared" si="118"/>
        <v/>
      </c>
      <c r="I2345" s="125" t="str">
        <f t="shared" si="119"/>
        <v/>
      </c>
    </row>
    <row r="2346" spans="1:9" hidden="1" x14ac:dyDescent="0.25">
      <c r="A2346" s="103" t="s">
        <v>5981</v>
      </c>
      <c r="B2346" s="104" t="s">
        <v>4749</v>
      </c>
      <c r="C2346" s="105" t="s">
        <v>20</v>
      </c>
      <c r="D2346" s="105">
        <v>0</v>
      </c>
      <c r="E2346" s="124" t="s">
        <v>523</v>
      </c>
      <c r="F2346" s="125" t="str">
        <f t="shared" si="117"/>
        <v/>
      </c>
      <c r="G2346" s="126" t="e">
        <f>IF(A2346&lt;&gt;"",IF(AND(#REF!="Padrão",$H$4=#REF!),BDI!$B$17,IF(AND(#REF!="Padrão",$H$4=#REF!),BDI!#REF!,IF(AND(#REF!="Diferenciado",$H$4=#REF!),BDI!$E$17,IF(AND(#REF!="Diferenciado",$H$4=#REF!),BDI!#REF!,IF(#REF!="ZERO",0))))),"")</f>
        <v>#REF!</v>
      </c>
      <c r="H2346" s="127" t="str">
        <f t="shared" si="118"/>
        <v/>
      </c>
      <c r="I2346" s="125" t="str">
        <f t="shared" si="119"/>
        <v/>
      </c>
    </row>
    <row r="2347" spans="1:9" hidden="1" x14ac:dyDescent="0.25">
      <c r="A2347" s="103" t="s">
        <v>5982</v>
      </c>
      <c r="B2347" s="104" t="s">
        <v>4750</v>
      </c>
      <c r="C2347" s="105" t="s">
        <v>20</v>
      </c>
      <c r="D2347" s="105">
        <v>0</v>
      </c>
      <c r="E2347" s="124" t="s">
        <v>523</v>
      </c>
      <c r="F2347" s="125" t="str">
        <f t="shared" si="117"/>
        <v/>
      </c>
      <c r="G2347" s="126" t="e">
        <f>IF(A2347&lt;&gt;"",IF(AND(#REF!="Padrão",$H$4=#REF!),BDI!$B$17,IF(AND(#REF!="Padrão",$H$4=#REF!),BDI!#REF!,IF(AND(#REF!="Diferenciado",$H$4=#REF!),BDI!$E$17,IF(AND(#REF!="Diferenciado",$H$4=#REF!),BDI!#REF!,IF(#REF!="ZERO",0))))),"")</f>
        <v>#REF!</v>
      </c>
      <c r="H2347" s="127" t="str">
        <f t="shared" si="118"/>
        <v/>
      </c>
      <c r="I2347" s="125" t="str">
        <f t="shared" si="119"/>
        <v/>
      </c>
    </row>
    <row r="2348" spans="1:9" hidden="1" x14ac:dyDescent="0.25">
      <c r="A2348" s="103" t="s">
        <v>5983</v>
      </c>
      <c r="B2348" s="104" t="s">
        <v>4751</v>
      </c>
      <c r="C2348" s="105" t="s">
        <v>20</v>
      </c>
      <c r="D2348" s="105">
        <v>0</v>
      </c>
      <c r="E2348" s="124" t="s">
        <v>523</v>
      </c>
      <c r="F2348" s="125" t="str">
        <f t="shared" si="117"/>
        <v/>
      </c>
      <c r="G2348" s="126" t="e">
        <f>IF(A2348&lt;&gt;"",IF(AND(#REF!="Padrão",$H$4=#REF!),BDI!$B$17,IF(AND(#REF!="Padrão",$H$4=#REF!),BDI!#REF!,IF(AND(#REF!="Diferenciado",$H$4=#REF!),BDI!$E$17,IF(AND(#REF!="Diferenciado",$H$4=#REF!),BDI!#REF!,IF(#REF!="ZERO",0))))),"")</f>
        <v>#REF!</v>
      </c>
      <c r="H2348" s="127" t="str">
        <f t="shared" si="118"/>
        <v/>
      </c>
      <c r="I2348" s="125" t="str">
        <f t="shared" si="119"/>
        <v/>
      </c>
    </row>
    <row r="2349" spans="1:9" hidden="1" x14ac:dyDescent="0.25">
      <c r="A2349" s="103" t="s">
        <v>5984</v>
      </c>
      <c r="B2349" s="104" t="s">
        <v>4752</v>
      </c>
      <c r="C2349" s="105" t="s">
        <v>20</v>
      </c>
      <c r="D2349" s="105">
        <v>0</v>
      </c>
      <c r="E2349" s="124" t="s">
        <v>523</v>
      </c>
      <c r="F2349" s="125" t="str">
        <f t="shared" ref="F2349:F2412" si="120">IF(ISNUMBER(E2349),D2349*E2349,"")</f>
        <v/>
      </c>
      <c r="G2349" s="126" t="e">
        <f>IF(A2349&lt;&gt;"",IF(AND(#REF!="Padrão",$H$4=#REF!),BDI!$B$17,IF(AND(#REF!="Padrão",$H$4=#REF!),BDI!#REF!,IF(AND(#REF!="Diferenciado",$H$4=#REF!),BDI!$E$17,IF(AND(#REF!="Diferenciado",$H$4=#REF!),BDI!#REF!,IF(#REF!="ZERO",0))))),"")</f>
        <v>#REF!</v>
      </c>
      <c r="H2349" s="127" t="str">
        <f t="shared" ref="H2349:H2412" si="121">IF(ISNUMBER(E2349),ROUND(E2349*(1+G2349),2),"")</f>
        <v/>
      </c>
      <c r="I2349" s="125" t="str">
        <f t="shared" ref="I2349:I2412" si="122">IF(ISNUMBER(E2349),ROUND(H2349*D2349,2),"")</f>
        <v/>
      </c>
    </row>
    <row r="2350" spans="1:9" hidden="1" x14ac:dyDescent="0.25">
      <c r="A2350" s="103" t="s">
        <v>5985</v>
      </c>
      <c r="B2350" s="104" t="s">
        <v>4753</v>
      </c>
      <c r="C2350" s="105" t="s">
        <v>20</v>
      </c>
      <c r="D2350" s="105">
        <v>0</v>
      </c>
      <c r="E2350" s="124" t="s">
        <v>523</v>
      </c>
      <c r="F2350" s="125" t="str">
        <f t="shared" si="120"/>
        <v/>
      </c>
      <c r="G2350" s="126" t="e">
        <f>IF(A2350&lt;&gt;"",IF(AND(#REF!="Padrão",$H$4=#REF!),BDI!$B$17,IF(AND(#REF!="Padrão",$H$4=#REF!),BDI!#REF!,IF(AND(#REF!="Diferenciado",$H$4=#REF!),BDI!$E$17,IF(AND(#REF!="Diferenciado",$H$4=#REF!),BDI!#REF!,IF(#REF!="ZERO",0))))),"")</f>
        <v>#REF!</v>
      </c>
      <c r="H2350" s="127" t="str">
        <f t="shared" si="121"/>
        <v/>
      </c>
      <c r="I2350" s="125" t="str">
        <f t="shared" si="122"/>
        <v/>
      </c>
    </row>
    <row r="2351" spans="1:9" hidden="1" x14ac:dyDescent="0.25">
      <c r="A2351" s="103" t="s">
        <v>5986</v>
      </c>
      <c r="B2351" s="104" t="s">
        <v>4754</v>
      </c>
      <c r="C2351" s="105" t="s">
        <v>20</v>
      </c>
      <c r="D2351" s="105">
        <v>0</v>
      </c>
      <c r="E2351" s="124" t="s">
        <v>523</v>
      </c>
      <c r="F2351" s="125" t="str">
        <f t="shared" si="120"/>
        <v/>
      </c>
      <c r="G2351" s="126" t="e">
        <f>IF(A2351&lt;&gt;"",IF(AND(#REF!="Padrão",$H$4=#REF!),BDI!$B$17,IF(AND(#REF!="Padrão",$H$4=#REF!),BDI!#REF!,IF(AND(#REF!="Diferenciado",$H$4=#REF!),BDI!$E$17,IF(AND(#REF!="Diferenciado",$H$4=#REF!),BDI!#REF!,IF(#REF!="ZERO",0))))),"")</f>
        <v>#REF!</v>
      </c>
      <c r="H2351" s="127" t="str">
        <f t="shared" si="121"/>
        <v/>
      </c>
      <c r="I2351" s="125" t="str">
        <f t="shared" si="122"/>
        <v/>
      </c>
    </row>
    <row r="2352" spans="1:9" hidden="1" x14ac:dyDescent="0.25">
      <c r="A2352" s="103" t="s">
        <v>5987</v>
      </c>
      <c r="B2352" s="104" t="s">
        <v>4755</v>
      </c>
      <c r="C2352" s="105" t="s">
        <v>20</v>
      </c>
      <c r="D2352" s="105">
        <v>0</v>
      </c>
      <c r="E2352" s="124" t="s">
        <v>523</v>
      </c>
      <c r="F2352" s="125" t="str">
        <f t="shared" si="120"/>
        <v/>
      </c>
      <c r="G2352" s="126" t="e">
        <f>IF(A2352&lt;&gt;"",IF(AND(#REF!="Padrão",$H$4=#REF!),BDI!$B$17,IF(AND(#REF!="Padrão",$H$4=#REF!),BDI!#REF!,IF(AND(#REF!="Diferenciado",$H$4=#REF!),BDI!$E$17,IF(AND(#REF!="Diferenciado",$H$4=#REF!),BDI!#REF!,IF(#REF!="ZERO",0))))),"")</f>
        <v>#REF!</v>
      </c>
      <c r="H2352" s="127" t="str">
        <f t="shared" si="121"/>
        <v/>
      </c>
      <c r="I2352" s="125" t="str">
        <f t="shared" si="122"/>
        <v/>
      </c>
    </row>
    <row r="2353" spans="1:9" hidden="1" x14ac:dyDescent="0.25">
      <c r="A2353" s="103" t="s">
        <v>5988</v>
      </c>
      <c r="B2353" s="104" t="s">
        <v>4756</v>
      </c>
      <c r="C2353" s="105" t="s">
        <v>20</v>
      </c>
      <c r="D2353" s="105">
        <v>0</v>
      </c>
      <c r="E2353" s="124" t="s">
        <v>523</v>
      </c>
      <c r="F2353" s="125" t="str">
        <f t="shared" si="120"/>
        <v/>
      </c>
      <c r="G2353" s="126" t="e">
        <f>IF(A2353&lt;&gt;"",IF(AND(#REF!="Padrão",$H$4=#REF!),BDI!$B$17,IF(AND(#REF!="Padrão",$H$4=#REF!),BDI!#REF!,IF(AND(#REF!="Diferenciado",$H$4=#REF!),BDI!$E$17,IF(AND(#REF!="Diferenciado",$H$4=#REF!),BDI!#REF!,IF(#REF!="ZERO",0))))),"")</f>
        <v>#REF!</v>
      </c>
      <c r="H2353" s="127" t="str">
        <f t="shared" si="121"/>
        <v/>
      </c>
      <c r="I2353" s="125" t="str">
        <f t="shared" si="122"/>
        <v/>
      </c>
    </row>
    <row r="2354" spans="1:9" hidden="1" x14ac:dyDescent="0.25">
      <c r="A2354" s="103" t="s">
        <v>5989</v>
      </c>
      <c r="B2354" s="104" t="s">
        <v>4757</v>
      </c>
      <c r="C2354" s="105" t="s">
        <v>20</v>
      </c>
      <c r="D2354" s="105">
        <v>0</v>
      </c>
      <c r="E2354" s="124" t="s">
        <v>523</v>
      </c>
      <c r="F2354" s="125" t="str">
        <f t="shared" si="120"/>
        <v/>
      </c>
      <c r="G2354" s="126" t="e">
        <f>IF(A2354&lt;&gt;"",IF(AND(#REF!="Padrão",$H$4=#REF!),BDI!$B$17,IF(AND(#REF!="Padrão",$H$4=#REF!),BDI!#REF!,IF(AND(#REF!="Diferenciado",$H$4=#REF!),BDI!$E$17,IF(AND(#REF!="Diferenciado",$H$4=#REF!),BDI!#REF!,IF(#REF!="ZERO",0))))),"")</f>
        <v>#REF!</v>
      </c>
      <c r="H2354" s="127" t="str">
        <f t="shared" si="121"/>
        <v/>
      </c>
      <c r="I2354" s="125" t="str">
        <f t="shared" si="122"/>
        <v/>
      </c>
    </row>
    <row r="2355" spans="1:9" hidden="1" x14ac:dyDescent="0.25">
      <c r="A2355" s="103" t="s">
        <v>5990</v>
      </c>
      <c r="B2355" s="104" t="s">
        <v>4758</v>
      </c>
      <c r="C2355" s="105" t="s">
        <v>20</v>
      </c>
      <c r="D2355" s="105">
        <v>0</v>
      </c>
      <c r="E2355" s="124" t="s">
        <v>523</v>
      </c>
      <c r="F2355" s="125" t="str">
        <f t="shared" si="120"/>
        <v/>
      </c>
      <c r="G2355" s="126" t="e">
        <f>IF(A2355&lt;&gt;"",IF(AND(#REF!="Padrão",$H$4=#REF!),BDI!$B$17,IF(AND(#REF!="Padrão",$H$4=#REF!),BDI!#REF!,IF(AND(#REF!="Diferenciado",$H$4=#REF!),BDI!$E$17,IF(AND(#REF!="Diferenciado",$H$4=#REF!),BDI!#REF!,IF(#REF!="ZERO",0))))),"")</f>
        <v>#REF!</v>
      </c>
      <c r="H2355" s="127" t="str">
        <f t="shared" si="121"/>
        <v/>
      </c>
      <c r="I2355" s="125" t="str">
        <f t="shared" si="122"/>
        <v/>
      </c>
    </row>
    <row r="2356" spans="1:9" hidden="1" x14ac:dyDescent="0.25">
      <c r="A2356" s="103" t="s">
        <v>5991</v>
      </c>
      <c r="B2356" s="104" t="s">
        <v>4759</v>
      </c>
      <c r="C2356" s="105" t="s">
        <v>20</v>
      </c>
      <c r="D2356" s="105">
        <v>0</v>
      </c>
      <c r="E2356" s="124" t="s">
        <v>523</v>
      </c>
      <c r="F2356" s="125" t="str">
        <f t="shared" si="120"/>
        <v/>
      </c>
      <c r="G2356" s="126" t="e">
        <f>IF(A2356&lt;&gt;"",IF(AND(#REF!="Padrão",$H$4=#REF!),BDI!$B$17,IF(AND(#REF!="Padrão",$H$4=#REF!),BDI!#REF!,IF(AND(#REF!="Diferenciado",$H$4=#REF!),BDI!$E$17,IF(AND(#REF!="Diferenciado",$H$4=#REF!),BDI!#REF!,IF(#REF!="ZERO",0))))),"")</f>
        <v>#REF!</v>
      </c>
      <c r="H2356" s="127" t="str">
        <f t="shared" si="121"/>
        <v/>
      </c>
      <c r="I2356" s="125" t="str">
        <f t="shared" si="122"/>
        <v/>
      </c>
    </row>
    <row r="2357" spans="1:9" hidden="1" x14ac:dyDescent="0.25">
      <c r="A2357" s="103" t="s">
        <v>5992</v>
      </c>
      <c r="B2357" s="104" t="s">
        <v>4760</v>
      </c>
      <c r="C2357" s="105" t="s">
        <v>20</v>
      </c>
      <c r="D2357" s="105">
        <v>0</v>
      </c>
      <c r="E2357" s="124" t="s">
        <v>523</v>
      </c>
      <c r="F2357" s="125" t="str">
        <f t="shared" si="120"/>
        <v/>
      </c>
      <c r="G2357" s="126" t="e">
        <f>IF(A2357&lt;&gt;"",IF(AND(#REF!="Padrão",$H$4=#REF!),BDI!$B$17,IF(AND(#REF!="Padrão",$H$4=#REF!),BDI!#REF!,IF(AND(#REF!="Diferenciado",$H$4=#REF!),BDI!$E$17,IF(AND(#REF!="Diferenciado",$H$4=#REF!),BDI!#REF!,IF(#REF!="ZERO",0))))),"")</f>
        <v>#REF!</v>
      </c>
      <c r="H2357" s="127" t="str">
        <f t="shared" si="121"/>
        <v/>
      </c>
      <c r="I2357" s="125" t="str">
        <f t="shared" si="122"/>
        <v/>
      </c>
    </row>
    <row r="2358" spans="1:9" hidden="1" x14ac:dyDescent="0.25">
      <c r="A2358" s="103" t="s">
        <v>5993</v>
      </c>
      <c r="B2358" s="104" t="s">
        <v>4761</v>
      </c>
      <c r="C2358" s="105" t="s">
        <v>20</v>
      </c>
      <c r="D2358" s="105">
        <v>0</v>
      </c>
      <c r="E2358" s="124" t="s">
        <v>523</v>
      </c>
      <c r="F2358" s="125" t="str">
        <f t="shared" si="120"/>
        <v/>
      </c>
      <c r="G2358" s="126" t="e">
        <f>IF(A2358&lt;&gt;"",IF(AND(#REF!="Padrão",$H$4=#REF!),BDI!$B$17,IF(AND(#REF!="Padrão",$H$4=#REF!),BDI!#REF!,IF(AND(#REF!="Diferenciado",$H$4=#REF!),BDI!$E$17,IF(AND(#REF!="Diferenciado",$H$4=#REF!),BDI!#REF!,IF(#REF!="ZERO",0))))),"")</f>
        <v>#REF!</v>
      </c>
      <c r="H2358" s="127" t="str">
        <f t="shared" si="121"/>
        <v/>
      </c>
      <c r="I2358" s="125" t="str">
        <f t="shared" si="122"/>
        <v/>
      </c>
    </row>
    <row r="2359" spans="1:9" hidden="1" x14ac:dyDescent="0.25">
      <c r="A2359" s="103" t="s">
        <v>5994</v>
      </c>
      <c r="B2359" s="104" t="s">
        <v>4762</v>
      </c>
      <c r="C2359" s="105" t="s">
        <v>20</v>
      </c>
      <c r="D2359" s="105">
        <v>0</v>
      </c>
      <c r="E2359" s="124" t="s">
        <v>523</v>
      </c>
      <c r="F2359" s="125" t="str">
        <f t="shared" si="120"/>
        <v/>
      </c>
      <c r="G2359" s="126" t="e">
        <f>IF(A2359&lt;&gt;"",IF(AND(#REF!="Padrão",$H$4=#REF!),BDI!$B$17,IF(AND(#REF!="Padrão",$H$4=#REF!),BDI!#REF!,IF(AND(#REF!="Diferenciado",$H$4=#REF!),BDI!$E$17,IF(AND(#REF!="Diferenciado",$H$4=#REF!),BDI!#REF!,IF(#REF!="ZERO",0))))),"")</f>
        <v>#REF!</v>
      </c>
      <c r="H2359" s="127" t="str">
        <f t="shared" si="121"/>
        <v/>
      </c>
      <c r="I2359" s="125" t="str">
        <f t="shared" si="122"/>
        <v/>
      </c>
    </row>
    <row r="2360" spans="1:9" hidden="1" x14ac:dyDescent="0.25">
      <c r="A2360" s="103" t="s">
        <v>5995</v>
      </c>
      <c r="B2360" s="104" t="s">
        <v>4763</v>
      </c>
      <c r="C2360" s="105" t="s">
        <v>20</v>
      </c>
      <c r="D2360" s="105">
        <v>0</v>
      </c>
      <c r="E2360" s="124" t="s">
        <v>523</v>
      </c>
      <c r="F2360" s="125" t="str">
        <f t="shared" si="120"/>
        <v/>
      </c>
      <c r="G2360" s="126" t="e">
        <f>IF(A2360&lt;&gt;"",IF(AND(#REF!="Padrão",$H$4=#REF!),BDI!$B$17,IF(AND(#REF!="Padrão",$H$4=#REF!),BDI!#REF!,IF(AND(#REF!="Diferenciado",$H$4=#REF!),BDI!$E$17,IF(AND(#REF!="Diferenciado",$H$4=#REF!),BDI!#REF!,IF(#REF!="ZERO",0))))),"")</f>
        <v>#REF!</v>
      </c>
      <c r="H2360" s="127" t="str">
        <f t="shared" si="121"/>
        <v/>
      </c>
      <c r="I2360" s="125" t="str">
        <f t="shared" si="122"/>
        <v/>
      </c>
    </row>
    <row r="2361" spans="1:9" hidden="1" x14ac:dyDescent="0.25">
      <c r="A2361" s="103" t="s">
        <v>5996</v>
      </c>
      <c r="B2361" s="104" t="s">
        <v>4764</v>
      </c>
      <c r="C2361" s="105" t="s">
        <v>20</v>
      </c>
      <c r="D2361" s="105">
        <v>0</v>
      </c>
      <c r="E2361" s="124" t="s">
        <v>523</v>
      </c>
      <c r="F2361" s="125" t="str">
        <f t="shared" si="120"/>
        <v/>
      </c>
      <c r="G2361" s="126" t="e">
        <f>IF(A2361&lt;&gt;"",IF(AND(#REF!="Padrão",$H$4=#REF!),BDI!$B$17,IF(AND(#REF!="Padrão",$H$4=#REF!),BDI!#REF!,IF(AND(#REF!="Diferenciado",$H$4=#REF!),BDI!$E$17,IF(AND(#REF!="Diferenciado",$H$4=#REF!),BDI!#REF!,IF(#REF!="ZERO",0))))),"")</f>
        <v>#REF!</v>
      </c>
      <c r="H2361" s="127" t="str">
        <f t="shared" si="121"/>
        <v/>
      </c>
      <c r="I2361" s="125" t="str">
        <f t="shared" si="122"/>
        <v/>
      </c>
    </row>
    <row r="2362" spans="1:9" hidden="1" x14ac:dyDescent="0.25">
      <c r="A2362" s="103" t="s">
        <v>5997</v>
      </c>
      <c r="B2362" s="104" t="s">
        <v>4765</v>
      </c>
      <c r="C2362" s="105" t="s">
        <v>20</v>
      </c>
      <c r="D2362" s="105">
        <v>0</v>
      </c>
      <c r="E2362" s="124" t="s">
        <v>523</v>
      </c>
      <c r="F2362" s="125" t="str">
        <f t="shared" si="120"/>
        <v/>
      </c>
      <c r="G2362" s="126" t="e">
        <f>IF(A2362&lt;&gt;"",IF(AND(#REF!="Padrão",$H$4=#REF!),BDI!$B$17,IF(AND(#REF!="Padrão",$H$4=#REF!),BDI!#REF!,IF(AND(#REF!="Diferenciado",$H$4=#REF!),BDI!$E$17,IF(AND(#REF!="Diferenciado",$H$4=#REF!),BDI!#REF!,IF(#REF!="ZERO",0))))),"")</f>
        <v>#REF!</v>
      </c>
      <c r="H2362" s="127" t="str">
        <f t="shared" si="121"/>
        <v/>
      </c>
      <c r="I2362" s="125" t="str">
        <f t="shared" si="122"/>
        <v/>
      </c>
    </row>
    <row r="2363" spans="1:9" hidden="1" x14ac:dyDescent="0.25">
      <c r="A2363" s="103" t="s">
        <v>5998</v>
      </c>
      <c r="B2363" s="104" t="s">
        <v>4766</v>
      </c>
      <c r="C2363" s="105" t="s">
        <v>20</v>
      </c>
      <c r="D2363" s="105">
        <v>0</v>
      </c>
      <c r="E2363" s="124" t="s">
        <v>523</v>
      </c>
      <c r="F2363" s="125" t="str">
        <f t="shared" si="120"/>
        <v/>
      </c>
      <c r="G2363" s="126" t="e">
        <f>IF(A2363&lt;&gt;"",IF(AND(#REF!="Padrão",$H$4=#REF!),BDI!$B$17,IF(AND(#REF!="Padrão",$H$4=#REF!),BDI!#REF!,IF(AND(#REF!="Diferenciado",$H$4=#REF!),BDI!$E$17,IF(AND(#REF!="Diferenciado",$H$4=#REF!),BDI!#REF!,IF(#REF!="ZERO",0))))),"")</f>
        <v>#REF!</v>
      </c>
      <c r="H2363" s="127" t="str">
        <f t="shared" si="121"/>
        <v/>
      </c>
      <c r="I2363" s="125" t="str">
        <f t="shared" si="122"/>
        <v/>
      </c>
    </row>
    <row r="2364" spans="1:9" hidden="1" x14ac:dyDescent="0.25">
      <c r="A2364" s="103" t="s">
        <v>5999</v>
      </c>
      <c r="B2364" s="104" t="s">
        <v>4767</v>
      </c>
      <c r="C2364" s="105" t="s">
        <v>20</v>
      </c>
      <c r="D2364" s="105">
        <v>0</v>
      </c>
      <c r="E2364" s="124" t="s">
        <v>523</v>
      </c>
      <c r="F2364" s="125" t="str">
        <f t="shared" si="120"/>
        <v/>
      </c>
      <c r="G2364" s="126" t="e">
        <f>IF(A2364&lt;&gt;"",IF(AND(#REF!="Padrão",$H$4=#REF!),BDI!$B$17,IF(AND(#REF!="Padrão",$H$4=#REF!),BDI!#REF!,IF(AND(#REF!="Diferenciado",$H$4=#REF!),BDI!$E$17,IF(AND(#REF!="Diferenciado",$H$4=#REF!),BDI!#REF!,IF(#REF!="ZERO",0))))),"")</f>
        <v>#REF!</v>
      </c>
      <c r="H2364" s="127" t="str">
        <f t="shared" si="121"/>
        <v/>
      </c>
      <c r="I2364" s="125" t="str">
        <f t="shared" si="122"/>
        <v/>
      </c>
    </row>
    <row r="2365" spans="1:9" hidden="1" x14ac:dyDescent="0.25">
      <c r="A2365" s="103" t="s">
        <v>6000</v>
      </c>
      <c r="B2365" s="104" t="s">
        <v>4768</v>
      </c>
      <c r="C2365" s="105" t="s">
        <v>20</v>
      </c>
      <c r="D2365" s="105">
        <v>0</v>
      </c>
      <c r="E2365" s="124" t="s">
        <v>523</v>
      </c>
      <c r="F2365" s="125" t="str">
        <f t="shared" si="120"/>
        <v/>
      </c>
      <c r="G2365" s="126" t="e">
        <f>IF(A2365&lt;&gt;"",IF(AND(#REF!="Padrão",$H$4=#REF!),BDI!$B$17,IF(AND(#REF!="Padrão",$H$4=#REF!),BDI!#REF!,IF(AND(#REF!="Diferenciado",$H$4=#REF!),BDI!$E$17,IF(AND(#REF!="Diferenciado",$H$4=#REF!),BDI!#REF!,IF(#REF!="ZERO",0))))),"")</f>
        <v>#REF!</v>
      </c>
      <c r="H2365" s="127" t="str">
        <f t="shared" si="121"/>
        <v/>
      </c>
      <c r="I2365" s="125" t="str">
        <f t="shared" si="122"/>
        <v/>
      </c>
    </row>
    <row r="2366" spans="1:9" hidden="1" x14ac:dyDescent="0.25">
      <c r="A2366" s="103" t="s">
        <v>6001</v>
      </c>
      <c r="B2366" s="104" t="s">
        <v>4769</v>
      </c>
      <c r="C2366" s="105" t="s">
        <v>20</v>
      </c>
      <c r="D2366" s="105">
        <v>0</v>
      </c>
      <c r="E2366" s="124" t="s">
        <v>523</v>
      </c>
      <c r="F2366" s="125" t="str">
        <f t="shared" si="120"/>
        <v/>
      </c>
      <c r="G2366" s="126" t="e">
        <f>IF(A2366&lt;&gt;"",IF(AND(#REF!="Padrão",$H$4=#REF!),BDI!$B$17,IF(AND(#REF!="Padrão",$H$4=#REF!),BDI!#REF!,IF(AND(#REF!="Diferenciado",$H$4=#REF!),BDI!$E$17,IF(AND(#REF!="Diferenciado",$H$4=#REF!),BDI!#REF!,IF(#REF!="ZERO",0))))),"")</f>
        <v>#REF!</v>
      </c>
      <c r="H2366" s="127" t="str">
        <f t="shared" si="121"/>
        <v/>
      </c>
      <c r="I2366" s="125" t="str">
        <f t="shared" si="122"/>
        <v/>
      </c>
    </row>
    <row r="2367" spans="1:9" hidden="1" x14ac:dyDescent="0.25">
      <c r="A2367" s="103" t="s">
        <v>6002</v>
      </c>
      <c r="B2367" s="104" t="s">
        <v>4770</v>
      </c>
      <c r="C2367" s="105" t="s">
        <v>20</v>
      </c>
      <c r="D2367" s="105">
        <v>0</v>
      </c>
      <c r="E2367" s="124" t="s">
        <v>523</v>
      </c>
      <c r="F2367" s="125" t="str">
        <f t="shared" si="120"/>
        <v/>
      </c>
      <c r="G2367" s="126" t="e">
        <f>IF(A2367&lt;&gt;"",IF(AND(#REF!="Padrão",$H$4=#REF!),BDI!$B$17,IF(AND(#REF!="Padrão",$H$4=#REF!),BDI!#REF!,IF(AND(#REF!="Diferenciado",$H$4=#REF!),BDI!$E$17,IF(AND(#REF!="Diferenciado",$H$4=#REF!),BDI!#REF!,IF(#REF!="ZERO",0))))),"")</f>
        <v>#REF!</v>
      </c>
      <c r="H2367" s="127" t="str">
        <f t="shared" si="121"/>
        <v/>
      </c>
      <c r="I2367" s="125" t="str">
        <f t="shared" si="122"/>
        <v/>
      </c>
    </row>
    <row r="2368" spans="1:9" hidden="1" x14ac:dyDescent="0.25">
      <c r="A2368" s="103" t="s">
        <v>6003</v>
      </c>
      <c r="B2368" s="104" t="s">
        <v>4771</v>
      </c>
      <c r="C2368" s="105" t="s">
        <v>95</v>
      </c>
      <c r="D2368" s="105">
        <v>0</v>
      </c>
      <c r="E2368" s="124">
        <f ca="1">OFFSET(INDEX(Composições!A:J,MATCH(Orçamentária!A2368,Composições!A:A,0),8),2,0)</f>
        <v>562.13017751479288</v>
      </c>
      <c r="F2368" s="125">
        <f t="shared" ca="1" si="120"/>
        <v>0</v>
      </c>
      <c r="G2368" s="126" t="e">
        <f>IF(A2368&lt;&gt;"",IF(AND(#REF!="Padrão",$H$4=#REF!),BDI!$B$17,IF(AND(#REF!="Padrão",$H$4=#REF!),BDI!#REF!,IF(AND(#REF!="Diferenciado",$H$4=#REF!),BDI!$E$17,IF(AND(#REF!="Diferenciado",$H$4=#REF!),BDI!#REF!,IF(#REF!="ZERO",0))))),"")</f>
        <v>#REF!</v>
      </c>
      <c r="H2368" s="127" t="e">
        <f t="shared" ca="1" si="121"/>
        <v>#REF!</v>
      </c>
      <c r="I2368" s="125" t="e">
        <f t="shared" ca="1" si="122"/>
        <v>#REF!</v>
      </c>
    </row>
    <row r="2369" spans="1:9" hidden="1" x14ac:dyDescent="0.25">
      <c r="A2369" s="103" t="s">
        <v>6004</v>
      </c>
      <c r="B2369" s="104" t="s">
        <v>4772</v>
      </c>
      <c r="C2369" s="105" t="s">
        <v>20</v>
      </c>
      <c r="D2369" s="105">
        <v>0</v>
      </c>
      <c r="E2369" s="124" t="s">
        <v>523</v>
      </c>
      <c r="F2369" s="125" t="str">
        <f t="shared" si="120"/>
        <v/>
      </c>
      <c r="G2369" s="126" t="e">
        <f>IF(A2369&lt;&gt;"",IF(AND(#REF!="Padrão",$H$4=#REF!),BDI!$B$17,IF(AND(#REF!="Padrão",$H$4=#REF!),BDI!#REF!,IF(AND(#REF!="Diferenciado",$H$4=#REF!),BDI!$E$17,IF(AND(#REF!="Diferenciado",$H$4=#REF!),BDI!#REF!,IF(#REF!="ZERO",0))))),"")</f>
        <v>#REF!</v>
      </c>
      <c r="H2369" s="127" t="str">
        <f t="shared" si="121"/>
        <v/>
      </c>
      <c r="I2369" s="125" t="str">
        <f t="shared" si="122"/>
        <v/>
      </c>
    </row>
    <row r="2370" spans="1:9" hidden="1" x14ac:dyDescent="0.25">
      <c r="A2370" s="103" t="s">
        <v>6005</v>
      </c>
      <c r="B2370" s="104" t="s">
        <v>4773</v>
      </c>
      <c r="C2370" s="105" t="s">
        <v>20</v>
      </c>
      <c r="D2370" s="105">
        <v>0</v>
      </c>
      <c r="E2370" s="124" t="s">
        <v>523</v>
      </c>
      <c r="F2370" s="125" t="str">
        <f t="shared" si="120"/>
        <v/>
      </c>
      <c r="G2370" s="126" t="e">
        <f>IF(A2370&lt;&gt;"",IF(AND(#REF!="Padrão",$H$4=#REF!),BDI!$B$17,IF(AND(#REF!="Padrão",$H$4=#REF!),BDI!#REF!,IF(AND(#REF!="Diferenciado",$H$4=#REF!),BDI!$E$17,IF(AND(#REF!="Diferenciado",$H$4=#REF!),BDI!#REF!,IF(#REF!="ZERO",0))))),"")</f>
        <v>#REF!</v>
      </c>
      <c r="H2370" s="127" t="str">
        <f t="shared" si="121"/>
        <v/>
      </c>
      <c r="I2370" s="125" t="str">
        <f t="shared" si="122"/>
        <v/>
      </c>
    </row>
    <row r="2371" spans="1:9" hidden="1" x14ac:dyDescent="0.25">
      <c r="A2371" s="103" t="s">
        <v>6006</v>
      </c>
      <c r="B2371" s="104" t="s">
        <v>4774</v>
      </c>
      <c r="C2371" s="105" t="s">
        <v>20</v>
      </c>
      <c r="D2371" s="105">
        <v>0</v>
      </c>
      <c r="E2371" s="124" t="s">
        <v>523</v>
      </c>
      <c r="F2371" s="125" t="str">
        <f t="shared" si="120"/>
        <v/>
      </c>
      <c r="G2371" s="126" t="e">
        <f>IF(A2371&lt;&gt;"",IF(AND(#REF!="Padrão",$H$4=#REF!),BDI!$B$17,IF(AND(#REF!="Padrão",$H$4=#REF!),BDI!#REF!,IF(AND(#REF!="Diferenciado",$H$4=#REF!),BDI!$E$17,IF(AND(#REF!="Diferenciado",$H$4=#REF!),BDI!#REF!,IF(#REF!="ZERO",0))))),"")</f>
        <v>#REF!</v>
      </c>
      <c r="H2371" s="127" t="str">
        <f t="shared" si="121"/>
        <v/>
      </c>
      <c r="I2371" s="125" t="str">
        <f t="shared" si="122"/>
        <v/>
      </c>
    </row>
    <row r="2372" spans="1:9" hidden="1" x14ac:dyDescent="0.25">
      <c r="A2372" s="103" t="s">
        <v>6007</v>
      </c>
      <c r="B2372" s="104" t="s">
        <v>4775</v>
      </c>
      <c r="C2372" s="105" t="s">
        <v>20</v>
      </c>
      <c r="D2372" s="105">
        <v>0</v>
      </c>
      <c r="E2372" s="124" t="s">
        <v>523</v>
      </c>
      <c r="F2372" s="125" t="str">
        <f t="shared" si="120"/>
        <v/>
      </c>
      <c r="G2372" s="126" t="e">
        <f>IF(A2372&lt;&gt;"",IF(AND(#REF!="Padrão",$H$4=#REF!),BDI!$B$17,IF(AND(#REF!="Padrão",$H$4=#REF!),BDI!#REF!,IF(AND(#REF!="Diferenciado",$H$4=#REF!),BDI!$E$17,IF(AND(#REF!="Diferenciado",$H$4=#REF!),BDI!#REF!,IF(#REF!="ZERO",0))))),"")</f>
        <v>#REF!</v>
      </c>
      <c r="H2372" s="127" t="str">
        <f t="shared" si="121"/>
        <v/>
      </c>
      <c r="I2372" s="125" t="str">
        <f t="shared" si="122"/>
        <v/>
      </c>
    </row>
    <row r="2373" spans="1:9" hidden="1" x14ac:dyDescent="0.25">
      <c r="A2373" s="103" t="s">
        <v>6008</v>
      </c>
      <c r="B2373" s="104" t="s">
        <v>4776</v>
      </c>
      <c r="C2373" s="105" t="s">
        <v>20</v>
      </c>
      <c r="D2373" s="105">
        <v>0</v>
      </c>
      <c r="E2373" s="124" t="s">
        <v>523</v>
      </c>
      <c r="F2373" s="125" t="str">
        <f t="shared" si="120"/>
        <v/>
      </c>
      <c r="G2373" s="126" t="e">
        <f>IF(A2373&lt;&gt;"",IF(AND(#REF!="Padrão",$H$4=#REF!),BDI!$B$17,IF(AND(#REF!="Padrão",$H$4=#REF!),BDI!#REF!,IF(AND(#REF!="Diferenciado",$H$4=#REF!),BDI!$E$17,IF(AND(#REF!="Diferenciado",$H$4=#REF!),BDI!#REF!,IF(#REF!="ZERO",0))))),"")</f>
        <v>#REF!</v>
      </c>
      <c r="H2373" s="127" t="str">
        <f t="shared" si="121"/>
        <v/>
      </c>
      <c r="I2373" s="125" t="str">
        <f t="shared" si="122"/>
        <v/>
      </c>
    </row>
    <row r="2374" spans="1:9" hidden="1" x14ac:dyDescent="0.25">
      <c r="A2374" s="103" t="s">
        <v>6009</v>
      </c>
      <c r="B2374" s="104" t="s">
        <v>4777</v>
      </c>
      <c r="C2374" s="105" t="s">
        <v>20</v>
      </c>
      <c r="D2374" s="105">
        <v>0</v>
      </c>
      <c r="E2374" s="124" t="s">
        <v>523</v>
      </c>
      <c r="F2374" s="125" t="str">
        <f t="shared" si="120"/>
        <v/>
      </c>
      <c r="G2374" s="126" t="e">
        <f>IF(A2374&lt;&gt;"",IF(AND(#REF!="Padrão",$H$4=#REF!),BDI!$B$17,IF(AND(#REF!="Padrão",$H$4=#REF!),BDI!#REF!,IF(AND(#REF!="Diferenciado",$H$4=#REF!),BDI!$E$17,IF(AND(#REF!="Diferenciado",$H$4=#REF!),BDI!#REF!,IF(#REF!="ZERO",0))))),"")</f>
        <v>#REF!</v>
      </c>
      <c r="H2374" s="127" t="str">
        <f t="shared" si="121"/>
        <v/>
      </c>
      <c r="I2374" s="125" t="str">
        <f t="shared" si="122"/>
        <v/>
      </c>
    </row>
    <row r="2375" spans="1:9" hidden="1" x14ac:dyDescent="0.25">
      <c r="A2375" s="103" t="s">
        <v>6010</v>
      </c>
      <c r="B2375" s="104" t="s">
        <v>4778</v>
      </c>
      <c r="C2375" s="105" t="s">
        <v>20</v>
      </c>
      <c r="D2375" s="105">
        <v>0</v>
      </c>
      <c r="E2375" s="124" t="s">
        <v>523</v>
      </c>
      <c r="F2375" s="125" t="str">
        <f t="shared" si="120"/>
        <v/>
      </c>
      <c r="G2375" s="126" t="e">
        <f>IF(A2375&lt;&gt;"",IF(AND(#REF!="Padrão",$H$4=#REF!),BDI!$B$17,IF(AND(#REF!="Padrão",$H$4=#REF!),BDI!#REF!,IF(AND(#REF!="Diferenciado",$H$4=#REF!),BDI!$E$17,IF(AND(#REF!="Diferenciado",$H$4=#REF!),BDI!#REF!,IF(#REF!="ZERO",0))))),"")</f>
        <v>#REF!</v>
      </c>
      <c r="H2375" s="127" t="str">
        <f t="shared" si="121"/>
        <v/>
      </c>
      <c r="I2375" s="125" t="str">
        <f t="shared" si="122"/>
        <v/>
      </c>
    </row>
    <row r="2376" spans="1:9" hidden="1" x14ac:dyDescent="0.25">
      <c r="A2376" s="103" t="s">
        <v>6011</v>
      </c>
      <c r="B2376" s="104" t="s">
        <v>4779</v>
      </c>
      <c r="C2376" s="105" t="s">
        <v>20</v>
      </c>
      <c r="D2376" s="105">
        <v>0</v>
      </c>
      <c r="E2376" s="124" t="s">
        <v>523</v>
      </c>
      <c r="F2376" s="125" t="str">
        <f t="shared" si="120"/>
        <v/>
      </c>
      <c r="G2376" s="126" t="e">
        <f>IF(A2376&lt;&gt;"",IF(AND(#REF!="Padrão",$H$4=#REF!),BDI!$B$17,IF(AND(#REF!="Padrão",$H$4=#REF!),BDI!#REF!,IF(AND(#REF!="Diferenciado",$H$4=#REF!),BDI!$E$17,IF(AND(#REF!="Diferenciado",$H$4=#REF!),BDI!#REF!,IF(#REF!="ZERO",0))))),"")</f>
        <v>#REF!</v>
      </c>
      <c r="H2376" s="127" t="str">
        <f t="shared" si="121"/>
        <v/>
      </c>
      <c r="I2376" s="125" t="str">
        <f t="shared" si="122"/>
        <v/>
      </c>
    </row>
    <row r="2377" spans="1:9" hidden="1" x14ac:dyDescent="0.25">
      <c r="A2377" s="103" t="s">
        <v>6012</v>
      </c>
      <c r="B2377" s="104" t="s">
        <v>4780</v>
      </c>
      <c r="C2377" s="105" t="s">
        <v>42</v>
      </c>
      <c r="D2377" s="105">
        <v>0</v>
      </c>
      <c r="E2377" s="124" t="s">
        <v>523</v>
      </c>
      <c r="F2377" s="125" t="str">
        <f t="shared" si="120"/>
        <v/>
      </c>
      <c r="G2377" s="126" t="e">
        <f>IF(A2377&lt;&gt;"",IF(AND(#REF!="Padrão",$H$4=#REF!),BDI!$B$17,IF(AND(#REF!="Padrão",$H$4=#REF!),BDI!#REF!,IF(AND(#REF!="Diferenciado",$H$4=#REF!),BDI!$E$17,IF(AND(#REF!="Diferenciado",$H$4=#REF!),BDI!#REF!,IF(#REF!="ZERO",0))))),"")</f>
        <v>#REF!</v>
      </c>
      <c r="H2377" s="127" t="str">
        <f t="shared" si="121"/>
        <v/>
      </c>
      <c r="I2377" s="125" t="str">
        <f t="shared" si="122"/>
        <v/>
      </c>
    </row>
    <row r="2378" spans="1:9" hidden="1" x14ac:dyDescent="0.25">
      <c r="A2378" s="103" t="s">
        <v>6013</v>
      </c>
      <c r="B2378" s="104" t="s">
        <v>4781</v>
      </c>
      <c r="C2378" s="105" t="s">
        <v>2670</v>
      </c>
      <c r="D2378" s="105">
        <v>0</v>
      </c>
      <c r="E2378" s="124" t="s">
        <v>523</v>
      </c>
      <c r="F2378" s="125" t="str">
        <f t="shared" si="120"/>
        <v/>
      </c>
      <c r="G2378" s="126" t="e">
        <f>IF(A2378&lt;&gt;"",IF(AND(#REF!="Padrão",$H$4=#REF!),BDI!$B$17,IF(AND(#REF!="Padrão",$H$4=#REF!),BDI!#REF!,IF(AND(#REF!="Diferenciado",$H$4=#REF!),BDI!$E$17,IF(AND(#REF!="Diferenciado",$H$4=#REF!),BDI!#REF!,IF(#REF!="ZERO",0))))),"")</f>
        <v>#REF!</v>
      </c>
      <c r="H2378" s="127" t="str">
        <f t="shared" si="121"/>
        <v/>
      </c>
      <c r="I2378" s="125" t="str">
        <f t="shared" si="122"/>
        <v/>
      </c>
    </row>
    <row r="2379" spans="1:9" hidden="1" x14ac:dyDescent="0.25">
      <c r="A2379" s="103" t="s">
        <v>6014</v>
      </c>
      <c r="B2379" s="104" t="s">
        <v>4782</v>
      </c>
      <c r="C2379" s="105" t="s">
        <v>2670</v>
      </c>
      <c r="D2379" s="105">
        <v>0</v>
      </c>
      <c r="E2379" s="124" t="s">
        <v>523</v>
      </c>
      <c r="F2379" s="125" t="str">
        <f t="shared" si="120"/>
        <v/>
      </c>
      <c r="G2379" s="126" t="e">
        <f>IF(A2379&lt;&gt;"",IF(AND(#REF!="Padrão",$H$4=#REF!),BDI!$B$17,IF(AND(#REF!="Padrão",$H$4=#REF!),BDI!#REF!,IF(AND(#REF!="Diferenciado",$H$4=#REF!),BDI!$E$17,IF(AND(#REF!="Diferenciado",$H$4=#REF!),BDI!#REF!,IF(#REF!="ZERO",0))))),"")</f>
        <v>#REF!</v>
      </c>
      <c r="H2379" s="127" t="str">
        <f t="shared" si="121"/>
        <v/>
      </c>
      <c r="I2379" s="125" t="str">
        <f t="shared" si="122"/>
        <v/>
      </c>
    </row>
    <row r="2380" spans="1:9" hidden="1" x14ac:dyDescent="0.25">
      <c r="A2380" s="103" t="s">
        <v>6015</v>
      </c>
      <c r="B2380" s="104" t="s">
        <v>4783</v>
      </c>
      <c r="C2380" s="105" t="s">
        <v>2670</v>
      </c>
      <c r="D2380" s="105">
        <v>0</v>
      </c>
      <c r="E2380" s="124" t="s">
        <v>523</v>
      </c>
      <c r="F2380" s="125" t="str">
        <f t="shared" si="120"/>
        <v/>
      </c>
      <c r="G2380" s="126" t="e">
        <f>IF(A2380&lt;&gt;"",IF(AND(#REF!="Padrão",$H$4=#REF!),BDI!$B$17,IF(AND(#REF!="Padrão",$H$4=#REF!),BDI!#REF!,IF(AND(#REF!="Diferenciado",$H$4=#REF!),BDI!$E$17,IF(AND(#REF!="Diferenciado",$H$4=#REF!),BDI!#REF!,IF(#REF!="ZERO",0))))),"")</f>
        <v>#REF!</v>
      </c>
      <c r="H2380" s="127" t="str">
        <f t="shared" si="121"/>
        <v/>
      </c>
      <c r="I2380" s="125" t="str">
        <f t="shared" si="122"/>
        <v/>
      </c>
    </row>
    <row r="2381" spans="1:9" hidden="1" x14ac:dyDescent="0.25">
      <c r="A2381" s="103" t="s">
        <v>6016</v>
      </c>
      <c r="B2381" s="104" t="s">
        <v>4784</v>
      </c>
      <c r="C2381" s="105" t="s">
        <v>2670</v>
      </c>
      <c r="D2381" s="105">
        <v>0</v>
      </c>
      <c r="E2381" s="124" t="s">
        <v>523</v>
      </c>
      <c r="F2381" s="125" t="str">
        <f t="shared" si="120"/>
        <v/>
      </c>
      <c r="G2381" s="126" t="e">
        <f>IF(A2381&lt;&gt;"",IF(AND(#REF!="Padrão",$H$4=#REF!),BDI!$B$17,IF(AND(#REF!="Padrão",$H$4=#REF!),BDI!#REF!,IF(AND(#REF!="Diferenciado",$H$4=#REF!),BDI!$E$17,IF(AND(#REF!="Diferenciado",$H$4=#REF!),BDI!#REF!,IF(#REF!="ZERO",0))))),"")</f>
        <v>#REF!</v>
      </c>
      <c r="H2381" s="127" t="str">
        <f t="shared" si="121"/>
        <v/>
      </c>
      <c r="I2381" s="125" t="str">
        <f t="shared" si="122"/>
        <v/>
      </c>
    </row>
    <row r="2382" spans="1:9" hidden="1" x14ac:dyDescent="0.25">
      <c r="A2382" s="103" t="s">
        <v>6017</v>
      </c>
      <c r="B2382" s="104" t="s">
        <v>4785</v>
      </c>
      <c r="C2382" s="105" t="s">
        <v>2670</v>
      </c>
      <c r="D2382" s="105">
        <v>0</v>
      </c>
      <c r="E2382" s="124" t="s">
        <v>523</v>
      </c>
      <c r="F2382" s="125" t="str">
        <f t="shared" si="120"/>
        <v/>
      </c>
      <c r="G2382" s="126" t="e">
        <f>IF(A2382&lt;&gt;"",IF(AND(#REF!="Padrão",$H$4=#REF!),BDI!$B$17,IF(AND(#REF!="Padrão",$H$4=#REF!),BDI!#REF!,IF(AND(#REF!="Diferenciado",$H$4=#REF!),BDI!$E$17,IF(AND(#REF!="Diferenciado",$H$4=#REF!),BDI!#REF!,IF(#REF!="ZERO",0))))),"")</f>
        <v>#REF!</v>
      </c>
      <c r="H2382" s="127" t="str">
        <f t="shared" si="121"/>
        <v/>
      </c>
      <c r="I2382" s="125" t="str">
        <f t="shared" si="122"/>
        <v/>
      </c>
    </row>
    <row r="2383" spans="1:9" hidden="1" x14ac:dyDescent="0.25">
      <c r="A2383" s="103" t="s">
        <v>6018</v>
      </c>
      <c r="B2383" s="104" t="s">
        <v>4786</v>
      </c>
      <c r="C2383" s="105" t="s">
        <v>12</v>
      </c>
      <c r="D2383" s="105">
        <v>0</v>
      </c>
      <c r="E2383" s="124" t="s">
        <v>523</v>
      </c>
      <c r="F2383" s="125" t="str">
        <f t="shared" si="120"/>
        <v/>
      </c>
      <c r="G2383" s="126" t="e">
        <f>IF(A2383&lt;&gt;"",IF(AND(#REF!="Padrão",$H$4=#REF!),BDI!$B$17,IF(AND(#REF!="Padrão",$H$4=#REF!),BDI!#REF!,IF(AND(#REF!="Diferenciado",$H$4=#REF!),BDI!$E$17,IF(AND(#REF!="Diferenciado",$H$4=#REF!),BDI!#REF!,IF(#REF!="ZERO",0))))),"")</f>
        <v>#REF!</v>
      </c>
      <c r="H2383" s="127" t="str">
        <f t="shared" si="121"/>
        <v/>
      </c>
      <c r="I2383" s="125" t="str">
        <f t="shared" si="122"/>
        <v/>
      </c>
    </row>
    <row r="2384" spans="1:9" hidden="1" x14ac:dyDescent="0.25">
      <c r="A2384" s="103" t="s">
        <v>6019</v>
      </c>
      <c r="B2384" s="104" t="s">
        <v>4787</v>
      </c>
      <c r="C2384" s="105" t="s">
        <v>20</v>
      </c>
      <c r="D2384" s="105">
        <v>0</v>
      </c>
      <c r="E2384" s="124">
        <f ca="1">OFFSET(INDEX(Composições!A:J,MATCH(Orçamentária!A2384,Composições!A:A,0),8),2,0)</f>
        <v>3.4853599999999996</v>
      </c>
      <c r="F2384" s="125">
        <f t="shared" ca="1" si="120"/>
        <v>0</v>
      </c>
      <c r="G2384" s="126" t="e">
        <f>IF(A2384&lt;&gt;"",IF(AND(#REF!="Padrão",$H$4=#REF!),BDI!$B$17,IF(AND(#REF!="Padrão",$H$4=#REF!),BDI!#REF!,IF(AND(#REF!="Diferenciado",$H$4=#REF!),BDI!$E$17,IF(AND(#REF!="Diferenciado",$H$4=#REF!),BDI!#REF!,IF(#REF!="ZERO",0))))),"")</f>
        <v>#REF!</v>
      </c>
      <c r="H2384" s="127" t="e">
        <f t="shared" ca="1" si="121"/>
        <v>#REF!</v>
      </c>
      <c r="I2384" s="125" t="e">
        <f t="shared" ca="1" si="122"/>
        <v>#REF!</v>
      </c>
    </row>
    <row r="2385" spans="1:9" hidden="1" x14ac:dyDescent="0.25">
      <c r="A2385" s="103" t="s">
        <v>6020</v>
      </c>
      <c r="B2385" s="104" t="s">
        <v>4788</v>
      </c>
      <c r="C2385" s="105" t="s">
        <v>20</v>
      </c>
      <c r="D2385" s="105">
        <v>0</v>
      </c>
      <c r="E2385" s="124" t="s">
        <v>523</v>
      </c>
      <c r="F2385" s="125" t="str">
        <f t="shared" si="120"/>
        <v/>
      </c>
      <c r="G2385" s="126" t="e">
        <f>IF(A2385&lt;&gt;"",IF(AND(#REF!="Padrão",$H$4=#REF!),BDI!$B$17,IF(AND(#REF!="Padrão",$H$4=#REF!),BDI!#REF!,IF(AND(#REF!="Diferenciado",$H$4=#REF!),BDI!$E$17,IF(AND(#REF!="Diferenciado",$H$4=#REF!),BDI!#REF!,IF(#REF!="ZERO",0))))),"")</f>
        <v>#REF!</v>
      </c>
      <c r="H2385" s="127" t="str">
        <f t="shared" si="121"/>
        <v/>
      </c>
      <c r="I2385" s="125" t="str">
        <f t="shared" si="122"/>
        <v/>
      </c>
    </row>
    <row r="2386" spans="1:9" hidden="1" x14ac:dyDescent="0.25">
      <c r="A2386" s="103" t="s">
        <v>6021</v>
      </c>
      <c r="B2386" s="104" t="s">
        <v>4789</v>
      </c>
      <c r="C2386" s="105" t="s">
        <v>20</v>
      </c>
      <c r="D2386" s="105">
        <v>0</v>
      </c>
      <c r="E2386" s="124" t="s">
        <v>523</v>
      </c>
      <c r="F2386" s="125" t="str">
        <f t="shared" si="120"/>
        <v/>
      </c>
      <c r="G2386" s="126" t="e">
        <f>IF(A2386&lt;&gt;"",IF(AND(#REF!="Padrão",$H$4=#REF!),BDI!$B$17,IF(AND(#REF!="Padrão",$H$4=#REF!),BDI!#REF!,IF(AND(#REF!="Diferenciado",$H$4=#REF!),BDI!$E$17,IF(AND(#REF!="Diferenciado",$H$4=#REF!),BDI!#REF!,IF(#REF!="ZERO",0))))),"")</f>
        <v>#REF!</v>
      </c>
      <c r="H2386" s="127" t="str">
        <f t="shared" si="121"/>
        <v/>
      </c>
      <c r="I2386" s="125" t="str">
        <f t="shared" si="122"/>
        <v/>
      </c>
    </row>
    <row r="2387" spans="1:9" hidden="1" x14ac:dyDescent="0.25">
      <c r="A2387" s="103" t="s">
        <v>6022</v>
      </c>
      <c r="B2387" s="104" t="s">
        <v>4790</v>
      </c>
      <c r="C2387" s="105" t="s">
        <v>20</v>
      </c>
      <c r="D2387" s="105">
        <v>0</v>
      </c>
      <c r="E2387" s="124" t="s">
        <v>523</v>
      </c>
      <c r="F2387" s="125" t="str">
        <f t="shared" si="120"/>
        <v/>
      </c>
      <c r="G2387" s="126" t="e">
        <f>IF(A2387&lt;&gt;"",IF(AND(#REF!="Padrão",$H$4=#REF!),BDI!$B$17,IF(AND(#REF!="Padrão",$H$4=#REF!),BDI!#REF!,IF(AND(#REF!="Diferenciado",$H$4=#REF!),BDI!$E$17,IF(AND(#REF!="Diferenciado",$H$4=#REF!),BDI!#REF!,IF(#REF!="ZERO",0))))),"")</f>
        <v>#REF!</v>
      </c>
      <c r="H2387" s="127" t="str">
        <f t="shared" si="121"/>
        <v/>
      </c>
      <c r="I2387" s="125" t="str">
        <f t="shared" si="122"/>
        <v/>
      </c>
    </row>
    <row r="2388" spans="1:9" hidden="1" x14ac:dyDescent="0.25">
      <c r="A2388" s="103" t="s">
        <v>6023</v>
      </c>
      <c r="B2388" s="104" t="s">
        <v>4791</v>
      </c>
      <c r="C2388" s="105" t="s">
        <v>20</v>
      </c>
      <c r="D2388" s="105">
        <v>0</v>
      </c>
      <c r="E2388" s="124" t="s">
        <v>523</v>
      </c>
      <c r="F2388" s="125" t="str">
        <f t="shared" si="120"/>
        <v/>
      </c>
      <c r="G2388" s="126" t="e">
        <f>IF(A2388&lt;&gt;"",IF(AND(#REF!="Padrão",$H$4=#REF!),BDI!$B$17,IF(AND(#REF!="Padrão",$H$4=#REF!),BDI!#REF!,IF(AND(#REF!="Diferenciado",$H$4=#REF!),BDI!$E$17,IF(AND(#REF!="Diferenciado",$H$4=#REF!),BDI!#REF!,IF(#REF!="ZERO",0))))),"")</f>
        <v>#REF!</v>
      </c>
      <c r="H2388" s="127" t="str">
        <f t="shared" si="121"/>
        <v/>
      </c>
      <c r="I2388" s="125" t="str">
        <f t="shared" si="122"/>
        <v/>
      </c>
    </row>
    <row r="2389" spans="1:9" hidden="1" x14ac:dyDescent="0.25">
      <c r="A2389" s="103" t="s">
        <v>6024</v>
      </c>
      <c r="B2389" s="104" t="s">
        <v>4792</v>
      </c>
      <c r="C2389" s="105" t="s">
        <v>20</v>
      </c>
      <c r="D2389" s="105">
        <v>0</v>
      </c>
      <c r="E2389" s="124" t="s">
        <v>523</v>
      </c>
      <c r="F2389" s="125" t="str">
        <f t="shared" si="120"/>
        <v/>
      </c>
      <c r="G2389" s="126" t="e">
        <f>IF(A2389&lt;&gt;"",IF(AND(#REF!="Padrão",$H$4=#REF!),BDI!$B$17,IF(AND(#REF!="Padrão",$H$4=#REF!),BDI!#REF!,IF(AND(#REF!="Diferenciado",$H$4=#REF!),BDI!$E$17,IF(AND(#REF!="Diferenciado",$H$4=#REF!),BDI!#REF!,IF(#REF!="ZERO",0))))),"")</f>
        <v>#REF!</v>
      </c>
      <c r="H2389" s="127" t="str">
        <f t="shared" si="121"/>
        <v/>
      </c>
      <c r="I2389" s="125" t="str">
        <f t="shared" si="122"/>
        <v/>
      </c>
    </row>
    <row r="2390" spans="1:9" hidden="1" x14ac:dyDescent="0.25">
      <c r="A2390" s="103" t="s">
        <v>6025</v>
      </c>
      <c r="B2390" s="104" t="s">
        <v>4793</v>
      </c>
      <c r="C2390" s="105" t="s">
        <v>20</v>
      </c>
      <c r="D2390" s="105">
        <v>0</v>
      </c>
      <c r="E2390" s="124" t="s">
        <v>523</v>
      </c>
      <c r="F2390" s="125" t="str">
        <f t="shared" si="120"/>
        <v/>
      </c>
      <c r="G2390" s="126" t="e">
        <f>IF(A2390&lt;&gt;"",IF(AND(#REF!="Padrão",$H$4=#REF!),BDI!$B$17,IF(AND(#REF!="Padrão",$H$4=#REF!),BDI!#REF!,IF(AND(#REF!="Diferenciado",$H$4=#REF!),BDI!$E$17,IF(AND(#REF!="Diferenciado",$H$4=#REF!),BDI!#REF!,IF(#REF!="ZERO",0))))),"")</f>
        <v>#REF!</v>
      </c>
      <c r="H2390" s="127" t="str">
        <f t="shared" si="121"/>
        <v/>
      </c>
      <c r="I2390" s="125" t="str">
        <f t="shared" si="122"/>
        <v/>
      </c>
    </row>
    <row r="2391" spans="1:9" hidden="1" x14ac:dyDescent="0.25">
      <c r="A2391" s="103" t="s">
        <v>6026</v>
      </c>
      <c r="B2391" s="104" t="s">
        <v>4794</v>
      </c>
      <c r="C2391" s="105" t="s">
        <v>20</v>
      </c>
      <c r="D2391" s="105">
        <v>0</v>
      </c>
      <c r="E2391" s="124" t="s">
        <v>523</v>
      </c>
      <c r="F2391" s="125" t="str">
        <f t="shared" si="120"/>
        <v/>
      </c>
      <c r="G2391" s="126" t="e">
        <f>IF(A2391&lt;&gt;"",IF(AND(#REF!="Padrão",$H$4=#REF!),BDI!$B$17,IF(AND(#REF!="Padrão",$H$4=#REF!),BDI!#REF!,IF(AND(#REF!="Diferenciado",$H$4=#REF!),BDI!$E$17,IF(AND(#REF!="Diferenciado",$H$4=#REF!),BDI!#REF!,IF(#REF!="ZERO",0))))),"")</f>
        <v>#REF!</v>
      </c>
      <c r="H2391" s="127" t="str">
        <f t="shared" si="121"/>
        <v/>
      </c>
      <c r="I2391" s="125" t="str">
        <f t="shared" si="122"/>
        <v/>
      </c>
    </row>
    <row r="2392" spans="1:9" hidden="1" x14ac:dyDescent="0.25">
      <c r="A2392" s="103" t="s">
        <v>6027</v>
      </c>
      <c r="B2392" s="104" t="s">
        <v>4795</v>
      </c>
      <c r="C2392" s="105" t="s">
        <v>20</v>
      </c>
      <c r="D2392" s="105">
        <v>0</v>
      </c>
      <c r="E2392" s="124" t="s">
        <v>523</v>
      </c>
      <c r="F2392" s="125" t="str">
        <f t="shared" si="120"/>
        <v/>
      </c>
      <c r="G2392" s="126" t="e">
        <f>IF(A2392&lt;&gt;"",IF(AND(#REF!="Padrão",$H$4=#REF!),BDI!$B$17,IF(AND(#REF!="Padrão",$H$4=#REF!),BDI!#REF!,IF(AND(#REF!="Diferenciado",$H$4=#REF!),BDI!$E$17,IF(AND(#REF!="Diferenciado",$H$4=#REF!),BDI!#REF!,IF(#REF!="ZERO",0))))),"")</f>
        <v>#REF!</v>
      </c>
      <c r="H2392" s="127" t="str">
        <f t="shared" si="121"/>
        <v/>
      </c>
      <c r="I2392" s="125" t="str">
        <f t="shared" si="122"/>
        <v/>
      </c>
    </row>
    <row r="2393" spans="1:9" hidden="1" x14ac:dyDescent="0.25">
      <c r="A2393" s="103" t="s">
        <v>6028</v>
      </c>
      <c r="B2393" s="104" t="s">
        <v>4796</v>
      </c>
      <c r="C2393" s="105" t="s">
        <v>20</v>
      </c>
      <c r="D2393" s="105">
        <v>0</v>
      </c>
      <c r="E2393" s="124" t="s">
        <v>523</v>
      </c>
      <c r="F2393" s="125" t="str">
        <f t="shared" si="120"/>
        <v/>
      </c>
      <c r="G2393" s="126" t="e">
        <f>IF(A2393&lt;&gt;"",IF(AND(#REF!="Padrão",$H$4=#REF!),BDI!$B$17,IF(AND(#REF!="Padrão",$H$4=#REF!),BDI!#REF!,IF(AND(#REF!="Diferenciado",$H$4=#REF!),BDI!$E$17,IF(AND(#REF!="Diferenciado",$H$4=#REF!),BDI!#REF!,IF(#REF!="ZERO",0))))),"")</f>
        <v>#REF!</v>
      </c>
      <c r="H2393" s="127" t="str">
        <f t="shared" si="121"/>
        <v/>
      </c>
      <c r="I2393" s="125" t="str">
        <f t="shared" si="122"/>
        <v/>
      </c>
    </row>
    <row r="2394" spans="1:9" hidden="1" x14ac:dyDescent="0.25">
      <c r="A2394" s="103" t="s">
        <v>6029</v>
      </c>
      <c r="B2394" s="104" t="s">
        <v>4797</v>
      </c>
      <c r="C2394" s="105" t="s">
        <v>20</v>
      </c>
      <c r="D2394" s="105">
        <v>0</v>
      </c>
      <c r="E2394" s="124">
        <f ca="1">OFFSET(INDEX(Composições!A:J,MATCH(Orçamentária!A2394,Composições!A:A,0),8),2,0)</f>
        <v>39.273000000000003</v>
      </c>
      <c r="F2394" s="125">
        <f t="shared" ca="1" si="120"/>
        <v>0</v>
      </c>
      <c r="G2394" s="126" t="e">
        <f>IF(A2394&lt;&gt;"",IF(AND(#REF!="Padrão",$H$4=#REF!),BDI!$B$17,IF(AND(#REF!="Padrão",$H$4=#REF!),BDI!#REF!,IF(AND(#REF!="Diferenciado",$H$4=#REF!),BDI!$E$17,IF(AND(#REF!="Diferenciado",$H$4=#REF!),BDI!#REF!,IF(#REF!="ZERO",0))))),"")</f>
        <v>#REF!</v>
      </c>
      <c r="H2394" s="127" t="e">
        <f t="shared" ca="1" si="121"/>
        <v>#REF!</v>
      </c>
      <c r="I2394" s="125" t="e">
        <f t="shared" ca="1" si="122"/>
        <v>#REF!</v>
      </c>
    </row>
    <row r="2395" spans="1:9" hidden="1" x14ac:dyDescent="0.25">
      <c r="A2395" s="103" t="s">
        <v>6030</v>
      </c>
      <c r="B2395" s="104" t="s">
        <v>4798</v>
      </c>
      <c r="C2395" s="105" t="s">
        <v>20</v>
      </c>
      <c r="D2395" s="105">
        <v>0</v>
      </c>
      <c r="E2395" s="124" t="s">
        <v>523</v>
      </c>
      <c r="F2395" s="125" t="str">
        <f t="shared" si="120"/>
        <v/>
      </c>
      <c r="G2395" s="126" t="e">
        <f>IF(A2395&lt;&gt;"",IF(AND(#REF!="Padrão",$H$4=#REF!),BDI!$B$17,IF(AND(#REF!="Padrão",$H$4=#REF!),BDI!#REF!,IF(AND(#REF!="Diferenciado",$H$4=#REF!),BDI!$E$17,IF(AND(#REF!="Diferenciado",$H$4=#REF!),BDI!#REF!,IF(#REF!="ZERO",0))))),"")</f>
        <v>#REF!</v>
      </c>
      <c r="H2395" s="127" t="str">
        <f t="shared" si="121"/>
        <v/>
      </c>
      <c r="I2395" s="125" t="str">
        <f t="shared" si="122"/>
        <v/>
      </c>
    </row>
    <row r="2396" spans="1:9" hidden="1" x14ac:dyDescent="0.25">
      <c r="A2396" s="103" t="s">
        <v>6031</v>
      </c>
      <c r="B2396" s="104" t="s">
        <v>4799</v>
      </c>
      <c r="C2396" s="105" t="s">
        <v>20</v>
      </c>
      <c r="D2396" s="105">
        <v>0</v>
      </c>
      <c r="E2396" s="124" t="s">
        <v>523</v>
      </c>
      <c r="F2396" s="125" t="str">
        <f t="shared" si="120"/>
        <v/>
      </c>
      <c r="G2396" s="126" t="e">
        <f>IF(A2396&lt;&gt;"",IF(AND(#REF!="Padrão",$H$4=#REF!),BDI!$B$17,IF(AND(#REF!="Padrão",$H$4=#REF!),BDI!#REF!,IF(AND(#REF!="Diferenciado",$H$4=#REF!),BDI!$E$17,IF(AND(#REF!="Diferenciado",$H$4=#REF!),BDI!#REF!,IF(#REF!="ZERO",0))))),"")</f>
        <v>#REF!</v>
      </c>
      <c r="H2396" s="127" t="str">
        <f t="shared" si="121"/>
        <v/>
      </c>
      <c r="I2396" s="125" t="str">
        <f t="shared" si="122"/>
        <v/>
      </c>
    </row>
    <row r="2397" spans="1:9" hidden="1" x14ac:dyDescent="0.25">
      <c r="A2397" s="103" t="s">
        <v>6032</v>
      </c>
      <c r="B2397" s="104" t="s">
        <v>4800</v>
      </c>
      <c r="C2397" s="105" t="s">
        <v>20</v>
      </c>
      <c r="D2397" s="105">
        <v>0</v>
      </c>
      <c r="E2397" s="124" t="s">
        <v>523</v>
      </c>
      <c r="F2397" s="125" t="str">
        <f t="shared" si="120"/>
        <v/>
      </c>
      <c r="G2397" s="126" t="e">
        <f>IF(A2397&lt;&gt;"",IF(AND(#REF!="Padrão",$H$4=#REF!),BDI!$B$17,IF(AND(#REF!="Padrão",$H$4=#REF!),BDI!#REF!,IF(AND(#REF!="Diferenciado",$H$4=#REF!),BDI!$E$17,IF(AND(#REF!="Diferenciado",$H$4=#REF!),BDI!#REF!,IF(#REF!="ZERO",0))))),"")</f>
        <v>#REF!</v>
      </c>
      <c r="H2397" s="127" t="str">
        <f t="shared" si="121"/>
        <v/>
      </c>
      <c r="I2397" s="125" t="str">
        <f t="shared" si="122"/>
        <v/>
      </c>
    </row>
    <row r="2398" spans="1:9" hidden="1" x14ac:dyDescent="0.25">
      <c r="A2398" s="103" t="s">
        <v>6033</v>
      </c>
      <c r="B2398" s="104" t="s">
        <v>4801</v>
      </c>
      <c r="C2398" s="105" t="s">
        <v>20</v>
      </c>
      <c r="D2398" s="105">
        <v>0</v>
      </c>
      <c r="E2398" s="124" t="s">
        <v>523</v>
      </c>
      <c r="F2398" s="125" t="str">
        <f t="shared" si="120"/>
        <v/>
      </c>
      <c r="G2398" s="126" t="e">
        <f>IF(A2398&lt;&gt;"",IF(AND(#REF!="Padrão",$H$4=#REF!),BDI!$B$17,IF(AND(#REF!="Padrão",$H$4=#REF!),BDI!#REF!,IF(AND(#REF!="Diferenciado",$H$4=#REF!),BDI!$E$17,IF(AND(#REF!="Diferenciado",$H$4=#REF!),BDI!#REF!,IF(#REF!="ZERO",0))))),"")</f>
        <v>#REF!</v>
      </c>
      <c r="H2398" s="127" t="str">
        <f t="shared" si="121"/>
        <v/>
      </c>
      <c r="I2398" s="125" t="str">
        <f t="shared" si="122"/>
        <v/>
      </c>
    </row>
    <row r="2399" spans="1:9" hidden="1" x14ac:dyDescent="0.25">
      <c r="A2399" s="103" t="s">
        <v>6034</v>
      </c>
      <c r="B2399" s="104" t="s">
        <v>4802</v>
      </c>
      <c r="C2399" s="105" t="s">
        <v>20</v>
      </c>
      <c r="D2399" s="105">
        <v>0</v>
      </c>
      <c r="E2399" s="124" t="s">
        <v>523</v>
      </c>
      <c r="F2399" s="125" t="str">
        <f t="shared" si="120"/>
        <v/>
      </c>
      <c r="G2399" s="126" t="e">
        <f>IF(A2399&lt;&gt;"",IF(AND(#REF!="Padrão",$H$4=#REF!),BDI!$B$17,IF(AND(#REF!="Padrão",$H$4=#REF!),BDI!#REF!,IF(AND(#REF!="Diferenciado",$H$4=#REF!),BDI!$E$17,IF(AND(#REF!="Diferenciado",$H$4=#REF!),BDI!#REF!,IF(#REF!="ZERO",0))))),"")</f>
        <v>#REF!</v>
      </c>
      <c r="H2399" s="127" t="str">
        <f t="shared" si="121"/>
        <v/>
      </c>
      <c r="I2399" s="125" t="str">
        <f t="shared" si="122"/>
        <v/>
      </c>
    </row>
    <row r="2400" spans="1:9" hidden="1" x14ac:dyDescent="0.25">
      <c r="A2400" s="103" t="s">
        <v>6035</v>
      </c>
      <c r="B2400" s="104" t="s">
        <v>4803</v>
      </c>
      <c r="C2400" s="105" t="s">
        <v>20</v>
      </c>
      <c r="D2400" s="105">
        <v>0</v>
      </c>
      <c r="E2400" s="124" t="s">
        <v>523</v>
      </c>
      <c r="F2400" s="125" t="str">
        <f t="shared" si="120"/>
        <v/>
      </c>
      <c r="G2400" s="126" t="e">
        <f>IF(A2400&lt;&gt;"",IF(AND(#REF!="Padrão",$H$4=#REF!),BDI!$B$17,IF(AND(#REF!="Padrão",$H$4=#REF!),BDI!#REF!,IF(AND(#REF!="Diferenciado",$H$4=#REF!),BDI!$E$17,IF(AND(#REF!="Diferenciado",$H$4=#REF!),BDI!#REF!,IF(#REF!="ZERO",0))))),"")</f>
        <v>#REF!</v>
      </c>
      <c r="H2400" s="127" t="str">
        <f t="shared" si="121"/>
        <v/>
      </c>
      <c r="I2400" s="125" t="str">
        <f t="shared" si="122"/>
        <v/>
      </c>
    </row>
    <row r="2401" spans="1:9" hidden="1" x14ac:dyDescent="0.25">
      <c r="A2401" s="103" t="s">
        <v>6036</v>
      </c>
      <c r="B2401" s="104" t="s">
        <v>6260</v>
      </c>
      <c r="C2401" s="105" t="s">
        <v>20</v>
      </c>
      <c r="D2401" s="105">
        <v>0</v>
      </c>
      <c r="E2401" s="124" t="s">
        <v>523</v>
      </c>
      <c r="F2401" s="125" t="str">
        <f t="shared" si="120"/>
        <v/>
      </c>
      <c r="G2401" s="126" t="e">
        <f>IF(A2401&lt;&gt;"",IF(AND(#REF!="Padrão",$H$4=#REF!),BDI!$B$17,IF(AND(#REF!="Padrão",$H$4=#REF!),BDI!#REF!,IF(AND(#REF!="Diferenciado",$H$4=#REF!),BDI!$E$17,IF(AND(#REF!="Diferenciado",$H$4=#REF!),BDI!#REF!,IF(#REF!="ZERO",0))))),"")</f>
        <v>#REF!</v>
      </c>
      <c r="H2401" s="127" t="str">
        <f t="shared" si="121"/>
        <v/>
      </c>
      <c r="I2401" s="125" t="str">
        <f t="shared" si="122"/>
        <v/>
      </c>
    </row>
    <row r="2402" spans="1:9" hidden="1" x14ac:dyDescent="0.25">
      <c r="A2402" s="103" t="s">
        <v>6037</v>
      </c>
      <c r="B2402" s="104" t="s">
        <v>4804</v>
      </c>
      <c r="C2402" s="105" t="s">
        <v>20</v>
      </c>
      <c r="D2402" s="105">
        <v>0</v>
      </c>
      <c r="E2402" s="124" t="s">
        <v>523</v>
      </c>
      <c r="F2402" s="125" t="str">
        <f t="shared" si="120"/>
        <v/>
      </c>
      <c r="G2402" s="126" t="e">
        <f>IF(A2402&lt;&gt;"",IF(AND(#REF!="Padrão",$H$4=#REF!),BDI!$B$17,IF(AND(#REF!="Padrão",$H$4=#REF!),BDI!#REF!,IF(AND(#REF!="Diferenciado",$H$4=#REF!),BDI!$E$17,IF(AND(#REF!="Diferenciado",$H$4=#REF!),BDI!#REF!,IF(#REF!="ZERO",0))))),"")</f>
        <v>#REF!</v>
      </c>
      <c r="H2402" s="127" t="str">
        <f t="shared" si="121"/>
        <v/>
      </c>
      <c r="I2402" s="125" t="str">
        <f t="shared" si="122"/>
        <v/>
      </c>
    </row>
    <row r="2403" spans="1:9" hidden="1" x14ac:dyDescent="0.25">
      <c r="A2403" s="103" t="s">
        <v>6038</v>
      </c>
      <c r="B2403" s="104" t="s">
        <v>6261</v>
      </c>
      <c r="C2403" s="105" t="s">
        <v>20</v>
      </c>
      <c r="D2403" s="105">
        <v>0</v>
      </c>
      <c r="E2403" s="124" t="s">
        <v>523</v>
      </c>
      <c r="F2403" s="125" t="str">
        <f t="shared" si="120"/>
        <v/>
      </c>
      <c r="G2403" s="126" t="e">
        <f>IF(A2403&lt;&gt;"",IF(AND(#REF!="Padrão",$H$4=#REF!),BDI!$B$17,IF(AND(#REF!="Padrão",$H$4=#REF!),BDI!#REF!,IF(AND(#REF!="Diferenciado",$H$4=#REF!),BDI!$E$17,IF(AND(#REF!="Diferenciado",$H$4=#REF!),BDI!#REF!,IF(#REF!="ZERO",0))))),"")</f>
        <v>#REF!</v>
      </c>
      <c r="H2403" s="127" t="str">
        <f t="shared" si="121"/>
        <v/>
      </c>
      <c r="I2403" s="125" t="str">
        <f t="shared" si="122"/>
        <v/>
      </c>
    </row>
    <row r="2404" spans="1:9" hidden="1" x14ac:dyDescent="0.25">
      <c r="A2404" s="103" t="s">
        <v>6039</v>
      </c>
      <c r="B2404" s="104" t="s">
        <v>6262</v>
      </c>
      <c r="C2404" s="105" t="s">
        <v>20</v>
      </c>
      <c r="D2404" s="105">
        <v>0</v>
      </c>
      <c r="E2404" s="124" t="s">
        <v>523</v>
      </c>
      <c r="F2404" s="125" t="str">
        <f t="shared" si="120"/>
        <v/>
      </c>
      <c r="G2404" s="126" t="e">
        <f>IF(A2404&lt;&gt;"",IF(AND(#REF!="Padrão",$H$4=#REF!),BDI!$B$17,IF(AND(#REF!="Padrão",$H$4=#REF!),BDI!#REF!,IF(AND(#REF!="Diferenciado",$H$4=#REF!),BDI!$E$17,IF(AND(#REF!="Diferenciado",$H$4=#REF!),BDI!#REF!,IF(#REF!="ZERO",0))))),"")</f>
        <v>#REF!</v>
      </c>
      <c r="H2404" s="127" t="str">
        <f t="shared" si="121"/>
        <v/>
      </c>
      <c r="I2404" s="125" t="str">
        <f t="shared" si="122"/>
        <v/>
      </c>
    </row>
    <row r="2405" spans="1:9" hidden="1" x14ac:dyDescent="0.25">
      <c r="A2405" s="103" t="s">
        <v>6040</v>
      </c>
      <c r="B2405" s="104" t="s">
        <v>4805</v>
      </c>
      <c r="C2405" s="105" t="s">
        <v>20</v>
      </c>
      <c r="D2405" s="105">
        <v>0</v>
      </c>
      <c r="E2405" s="124" t="s">
        <v>523</v>
      </c>
      <c r="F2405" s="125" t="str">
        <f t="shared" si="120"/>
        <v/>
      </c>
      <c r="G2405" s="126" t="e">
        <f>IF(A2405&lt;&gt;"",IF(AND(#REF!="Padrão",$H$4=#REF!),BDI!$B$17,IF(AND(#REF!="Padrão",$H$4=#REF!),BDI!#REF!,IF(AND(#REF!="Diferenciado",$H$4=#REF!),BDI!$E$17,IF(AND(#REF!="Diferenciado",$H$4=#REF!),BDI!#REF!,IF(#REF!="ZERO",0))))),"")</f>
        <v>#REF!</v>
      </c>
      <c r="H2405" s="127" t="str">
        <f t="shared" si="121"/>
        <v/>
      </c>
      <c r="I2405" s="125" t="str">
        <f t="shared" si="122"/>
        <v/>
      </c>
    </row>
    <row r="2406" spans="1:9" hidden="1" x14ac:dyDescent="0.25">
      <c r="A2406" s="103" t="s">
        <v>6041</v>
      </c>
      <c r="B2406" s="104" t="s">
        <v>4806</v>
      </c>
      <c r="C2406" s="105" t="s">
        <v>20</v>
      </c>
      <c r="D2406" s="105">
        <v>0</v>
      </c>
      <c r="E2406" s="124" t="s">
        <v>523</v>
      </c>
      <c r="F2406" s="125" t="str">
        <f t="shared" si="120"/>
        <v/>
      </c>
      <c r="G2406" s="126" t="e">
        <f>IF(A2406&lt;&gt;"",IF(AND(#REF!="Padrão",$H$4=#REF!),BDI!$B$17,IF(AND(#REF!="Padrão",$H$4=#REF!),BDI!#REF!,IF(AND(#REF!="Diferenciado",$H$4=#REF!),BDI!$E$17,IF(AND(#REF!="Diferenciado",$H$4=#REF!),BDI!#REF!,IF(#REF!="ZERO",0))))),"")</f>
        <v>#REF!</v>
      </c>
      <c r="H2406" s="127" t="str">
        <f t="shared" si="121"/>
        <v/>
      </c>
      <c r="I2406" s="125" t="str">
        <f t="shared" si="122"/>
        <v/>
      </c>
    </row>
    <row r="2407" spans="1:9" hidden="1" x14ac:dyDescent="0.25">
      <c r="A2407" s="103" t="s">
        <v>6042</v>
      </c>
      <c r="B2407" s="104" t="s">
        <v>4807</v>
      </c>
      <c r="C2407" s="105" t="s">
        <v>20</v>
      </c>
      <c r="D2407" s="105">
        <v>0</v>
      </c>
      <c r="E2407" s="124" t="s">
        <v>523</v>
      </c>
      <c r="F2407" s="125" t="str">
        <f t="shared" si="120"/>
        <v/>
      </c>
      <c r="G2407" s="126" t="e">
        <f>IF(A2407&lt;&gt;"",IF(AND(#REF!="Padrão",$H$4=#REF!),BDI!$B$17,IF(AND(#REF!="Padrão",$H$4=#REF!),BDI!#REF!,IF(AND(#REF!="Diferenciado",$H$4=#REF!),BDI!$E$17,IF(AND(#REF!="Diferenciado",$H$4=#REF!),BDI!#REF!,IF(#REF!="ZERO",0))))),"")</f>
        <v>#REF!</v>
      </c>
      <c r="H2407" s="127" t="str">
        <f t="shared" si="121"/>
        <v/>
      </c>
      <c r="I2407" s="125" t="str">
        <f t="shared" si="122"/>
        <v/>
      </c>
    </row>
    <row r="2408" spans="1:9" hidden="1" x14ac:dyDescent="0.25">
      <c r="A2408" s="103" t="s">
        <v>6043</v>
      </c>
      <c r="B2408" s="104" t="s">
        <v>4808</v>
      </c>
      <c r="C2408" s="105" t="s">
        <v>20</v>
      </c>
      <c r="D2408" s="105">
        <v>0</v>
      </c>
      <c r="E2408" s="124" t="s">
        <v>523</v>
      </c>
      <c r="F2408" s="125" t="str">
        <f t="shared" si="120"/>
        <v/>
      </c>
      <c r="G2408" s="126" t="e">
        <f>IF(A2408&lt;&gt;"",IF(AND(#REF!="Padrão",$H$4=#REF!),BDI!$B$17,IF(AND(#REF!="Padrão",$H$4=#REF!),BDI!#REF!,IF(AND(#REF!="Diferenciado",$H$4=#REF!),BDI!$E$17,IF(AND(#REF!="Diferenciado",$H$4=#REF!),BDI!#REF!,IF(#REF!="ZERO",0))))),"")</f>
        <v>#REF!</v>
      </c>
      <c r="H2408" s="127" t="str">
        <f t="shared" si="121"/>
        <v/>
      </c>
      <c r="I2408" s="125" t="str">
        <f t="shared" si="122"/>
        <v/>
      </c>
    </row>
    <row r="2409" spans="1:9" hidden="1" x14ac:dyDescent="0.25">
      <c r="A2409" s="103" t="s">
        <v>6044</v>
      </c>
      <c r="B2409" s="104" t="s">
        <v>4809</v>
      </c>
      <c r="C2409" s="105" t="s">
        <v>20</v>
      </c>
      <c r="D2409" s="105">
        <v>0</v>
      </c>
      <c r="E2409" s="124" t="s">
        <v>523</v>
      </c>
      <c r="F2409" s="125" t="str">
        <f t="shared" si="120"/>
        <v/>
      </c>
      <c r="G2409" s="126" t="e">
        <f>IF(A2409&lt;&gt;"",IF(AND(#REF!="Padrão",$H$4=#REF!),BDI!$B$17,IF(AND(#REF!="Padrão",$H$4=#REF!),BDI!#REF!,IF(AND(#REF!="Diferenciado",$H$4=#REF!),BDI!$E$17,IF(AND(#REF!="Diferenciado",$H$4=#REF!),BDI!#REF!,IF(#REF!="ZERO",0))))),"")</f>
        <v>#REF!</v>
      </c>
      <c r="H2409" s="127" t="str">
        <f t="shared" si="121"/>
        <v/>
      </c>
      <c r="I2409" s="125" t="str">
        <f t="shared" si="122"/>
        <v/>
      </c>
    </row>
    <row r="2410" spans="1:9" hidden="1" x14ac:dyDescent="0.25">
      <c r="A2410" s="103" t="s">
        <v>6045</v>
      </c>
      <c r="B2410" s="104" t="s">
        <v>4810</v>
      </c>
      <c r="C2410" s="105" t="s">
        <v>20</v>
      </c>
      <c r="D2410" s="105">
        <v>0</v>
      </c>
      <c r="E2410" s="124" t="s">
        <v>523</v>
      </c>
      <c r="F2410" s="125" t="str">
        <f t="shared" si="120"/>
        <v/>
      </c>
      <c r="G2410" s="126" t="e">
        <f>IF(A2410&lt;&gt;"",IF(AND(#REF!="Padrão",$H$4=#REF!),BDI!$B$17,IF(AND(#REF!="Padrão",$H$4=#REF!),BDI!#REF!,IF(AND(#REF!="Diferenciado",$H$4=#REF!),BDI!$E$17,IF(AND(#REF!="Diferenciado",$H$4=#REF!),BDI!#REF!,IF(#REF!="ZERO",0))))),"")</f>
        <v>#REF!</v>
      </c>
      <c r="H2410" s="127" t="str">
        <f t="shared" si="121"/>
        <v/>
      </c>
      <c r="I2410" s="125" t="str">
        <f t="shared" si="122"/>
        <v/>
      </c>
    </row>
    <row r="2411" spans="1:9" hidden="1" x14ac:dyDescent="0.25">
      <c r="A2411" s="103" t="s">
        <v>6046</v>
      </c>
      <c r="B2411" s="104" t="s">
        <v>4811</v>
      </c>
      <c r="C2411" s="105" t="s">
        <v>20</v>
      </c>
      <c r="D2411" s="105">
        <v>0</v>
      </c>
      <c r="E2411" s="124" t="s">
        <v>523</v>
      </c>
      <c r="F2411" s="125" t="str">
        <f t="shared" si="120"/>
        <v/>
      </c>
      <c r="G2411" s="126" t="e">
        <f>IF(A2411&lt;&gt;"",IF(AND(#REF!="Padrão",$H$4=#REF!),BDI!$B$17,IF(AND(#REF!="Padrão",$H$4=#REF!),BDI!#REF!,IF(AND(#REF!="Diferenciado",$H$4=#REF!),BDI!$E$17,IF(AND(#REF!="Diferenciado",$H$4=#REF!),BDI!#REF!,IF(#REF!="ZERO",0))))),"")</f>
        <v>#REF!</v>
      </c>
      <c r="H2411" s="127" t="str">
        <f t="shared" si="121"/>
        <v/>
      </c>
      <c r="I2411" s="125" t="str">
        <f t="shared" si="122"/>
        <v/>
      </c>
    </row>
    <row r="2412" spans="1:9" hidden="1" x14ac:dyDescent="0.25">
      <c r="A2412" s="103" t="s">
        <v>6047</v>
      </c>
      <c r="B2412" s="104" t="s">
        <v>4812</v>
      </c>
      <c r="C2412" s="105" t="s">
        <v>20</v>
      </c>
      <c r="D2412" s="105">
        <v>0</v>
      </c>
      <c r="E2412" s="124" t="s">
        <v>523</v>
      </c>
      <c r="F2412" s="125" t="str">
        <f t="shared" si="120"/>
        <v/>
      </c>
      <c r="G2412" s="126" t="e">
        <f>IF(A2412&lt;&gt;"",IF(AND(#REF!="Padrão",$H$4=#REF!),BDI!$B$17,IF(AND(#REF!="Padrão",$H$4=#REF!),BDI!#REF!,IF(AND(#REF!="Diferenciado",$H$4=#REF!),BDI!$E$17,IF(AND(#REF!="Diferenciado",$H$4=#REF!),BDI!#REF!,IF(#REF!="ZERO",0))))),"")</f>
        <v>#REF!</v>
      </c>
      <c r="H2412" s="127" t="str">
        <f t="shared" si="121"/>
        <v/>
      </c>
      <c r="I2412" s="125" t="str">
        <f t="shared" si="122"/>
        <v/>
      </c>
    </row>
    <row r="2413" spans="1:9" hidden="1" x14ac:dyDescent="0.25">
      <c r="A2413" s="103" t="s">
        <v>6048</v>
      </c>
      <c r="B2413" s="104" t="s">
        <v>4813</v>
      </c>
      <c r="C2413" s="105" t="s">
        <v>20</v>
      </c>
      <c r="D2413" s="105">
        <v>0</v>
      </c>
      <c r="E2413" s="124" t="s">
        <v>523</v>
      </c>
      <c r="F2413" s="125" t="str">
        <f t="shared" ref="F2413:F2476" si="123">IF(ISNUMBER(E2413),D2413*E2413,"")</f>
        <v/>
      </c>
      <c r="G2413" s="126" t="e">
        <f>IF(A2413&lt;&gt;"",IF(AND(#REF!="Padrão",$H$4=#REF!),BDI!$B$17,IF(AND(#REF!="Padrão",$H$4=#REF!),BDI!#REF!,IF(AND(#REF!="Diferenciado",$H$4=#REF!),BDI!$E$17,IF(AND(#REF!="Diferenciado",$H$4=#REF!),BDI!#REF!,IF(#REF!="ZERO",0))))),"")</f>
        <v>#REF!</v>
      </c>
      <c r="H2413" s="127" t="str">
        <f t="shared" ref="H2413:H2476" si="124">IF(ISNUMBER(E2413),ROUND(E2413*(1+G2413),2),"")</f>
        <v/>
      </c>
      <c r="I2413" s="125" t="str">
        <f t="shared" ref="I2413:I2476" si="125">IF(ISNUMBER(E2413),ROUND(H2413*D2413,2),"")</f>
        <v/>
      </c>
    </row>
    <row r="2414" spans="1:9" hidden="1" x14ac:dyDescent="0.25">
      <c r="A2414" s="103" t="s">
        <v>6049</v>
      </c>
      <c r="B2414" s="104" t="s">
        <v>4814</v>
      </c>
      <c r="C2414" s="105" t="s">
        <v>20</v>
      </c>
      <c r="D2414" s="105">
        <v>0</v>
      </c>
      <c r="E2414" s="124" t="s">
        <v>523</v>
      </c>
      <c r="F2414" s="125" t="str">
        <f t="shared" si="123"/>
        <v/>
      </c>
      <c r="G2414" s="126" t="e">
        <f>IF(A2414&lt;&gt;"",IF(AND(#REF!="Padrão",$H$4=#REF!),BDI!$B$17,IF(AND(#REF!="Padrão",$H$4=#REF!),BDI!#REF!,IF(AND(#REF!="Diferenciado",$H$4=#REF!),BDI!$E$17,IF(AND(#REF!="Diferenciado",$H$4=#REF!),BDI!#REF!,IF(#REF!="ZERO",0))))),"")</f>
        <v>#REF!</v>
      </c>
      <c r="H2414" s="127" t="str">
        <f t="shared" si="124"/>
        <v/>
      </c>
      <c r="I2414" s="125" t="str">
        <f t="shared" si="125"/>
        <v/>
      </c>
    </row>
    <row r="2415" spans="1:9" hidden="1" x14ac:dyDescent="0.25">
      <c r="A2415" s="103" t="s">
        <v>6050</v>
      </c>
      <c r="B2415" s="104" t="s">
        <v>4815</v>
      </c>
      <c r="C2415" s="105" t="s">
        <v>20</v>
      </c>
      <c r="D2415" s="105">
        <v>0</v>
      </c>
      <c r="E2415" s="124" t="s">
        <v>523</v>
      </c>
      <c r="F2415" s="125" t="str">
        <f t="shared" si="123"/>
        <v/>
      </c>
      <c r="G2415" s="126" t="e">
        <f>IF(A2415&lt;&gt;"",IF(AND(#REF!="Padrão",$H$4=#REF!),BDI!$B$17,IF(AND(#REF!="Padrão",$H$4=#REF!),BDI!#REF!,IF(AND(#REF!="Diferenciado",$H$4=#REF!),BDI!$E$17,IF(AND(#REF!="Diferenciado",$H$4=#REF!),BDI!#REF!,IF(#REF!="ZERO",0))))),"")</f>
        <v>#REF!</v>
      </c>
      <c r="H2415" s="127" t="str">
        <f t="shared" si="124"/>
        <v/>
      </c>
      <c r="I2415" s="125" t="str">
        <f t="shared" si="125"/>
        <v/>
      </c>
    </row>
    <row r="2416" spans="1:9" hidden="1" x14ac:dyDescent="0.25">
      <c r="A2416" s="103" t="s">
        <v>6051</v>
      </c>
      <c r="B2416" s="104" t="s">
        <v>4816</v>
      </c>
      <c r="C2416" s="105" t="s">
        <v>93</v>
      </c>
      <c r="D2416" s="105">
        <v>0</v>
      </c>
      <c r="E2416" s="124" t="s">
        <v>523</v>
      </c>
      <c r="F2416" s="125" t="str">
        <f t="shared" si="123"/>
        <v/>
      </c>
      <c r="G2416" s="126" t="e">
        <f>IF(A2416&lt;&gt;"",IF(AND(#REF!="Padrão",$H$4=#REF!),BDI!$B$17,IF(AND(#REF!="Padrão",$H$4=#REF!),BDI!#REF!,IF(AND(#REF!="Diferenciado",$H$4=#REF!),BDI!$E$17,IF(AND(#REF!="Diferenciado",$H$4=#REF!),BDI!#REF!,IF(#REF!="ZERO",0))))),"")</f>
        <v>#REF!</v>
      </c>
      <c r="H2416" s="127" t="str">
        <f t="shared" si="124"/>
        <v/>
      </c>
      <c r="I2416" s="125" t="str">
        <f t="shared" si="125"/>
        <v/>
      </c>
    </row>
    <row r="2417" spans="1:9" hidden="1" x14ac:dyDescent="0.25">
      <c r="A2417" s="103" t="s">
        <v>6052</v>
      </c>
      <c r="B2417" s="104" t="s">
        <v>4817</v>
      </c>
      <c r="C2417" s="105" t="s">
        <v>20</v>
      </c>
      <c r="D2417" s="105">
        <v>0</v>
      </c>
      <c r="E2417" s="124" t="s">
        <v>523</v>
      </c>
      <c r="F2417" s="125" t="str">
        <f t="shared" si="123"/>
        <v/>
      </c>
      <c r="G2417" s="126" t="e">
        <f>IF(A2417&lt;&gt;"",IF(AND(#REF!="Padrão",$H$4=#REF!),BDI!$B$17,IF(AND(#REF!="Padrão",$H$4=#REF!),BDI!#REF!,IF(AND(#REF!="Diferenciado",$H$4=#REF!),BDI!$E$17,IF(AND(#REF!="Diferenciado",$H$4=#REF!),BDI!#REF!,IF(#REF!="ZERO",0))))),"")</f>
        <v>#REF!</v>
      </c>
      <c r="H2417" s="127" t="str">
        <f t="shared" si="124"/>
        <v/>
      </c>
      <c r="I2417" s="125" t="str">
        <f t="shared" si="125"/>
        <v/>
      </c>
    </row>
    <row r="2418" spans="1:9" hidden="1" x14ac:dyDescent="0.25">
      <c r="A2418" s="103" t="s">
        <v>6053</v>
      </c>
      <c r="B2418" s="104" t="s">
        <v>4818</v>
      </c>
      <c r="C2418" s="105" t="s">
        <v>20</v>
      </c>
      <c r="D2418" s="105">
        <v>0</v>
      </c>
      <c r="E2418" s="124" t="s">
        <v>523</v>
      </c>
      <c r="F2418" s="125" t="str">
        <f t="shared" si="123"/>
        <v/>
      </c>
      <c r="G2418" s="126" t="e">
        <f>IF(A2418&lt;&gt;"",IF(AND(#REF!="Padrão",$H$4=#REF!),BDI!$B$17,IF(AND(#REF!="Padrão",$H$4=#REF!),BDI!#REF!,IF(AND(#REF!="Diferenciado",$H$4=#REF!),BDI!$E$17,IF(AND(#REF!="Diferenciado",$H$4=#REF!),BDI!#REF!,IF(#REF!="ZERO",0))))),"")</f>
        <v>#REF!</v>
      </c>
      <c r="H2418" s="127" t="str">
        <f t="shared" si="124"/>
        <v/>
      </c>
      <c r="I2418" s="125" t="str">
        <f t="shared" si="125"/>
        <v/>
      </c>
    </row>
    <row r="2419" spans="1:9" hidden="1" x14ac:dyDescent="0.25">
      <c r="A2419" s="103" t="s">
        <v>6054</v>
      </c>
      <c r="B2419" s="104" t="s">
        <v>4819</v>
      </c>
      <c r="C2419" s="105" t="s">
        <v>20</v>
      </c>
      <c r="D2419" s="105">
        <v>0</v>
      </c>
      <c r="E2419" s="124" t="s">
        <v>523</v>
      </c>
      <c r="F2419" s="125" t="str">
        <f t="shared" si="123"/>
        <v/>
      </c>
      <c r="G2419" s="126" t="e">
        <f>IF(A2419&lt;&gt;"",IF(AND(#REF!="Padrão",$H$4=#REF!),BDI!$B$17,IF(AND(#REF!="Padrão",$H$4=#REF!),BDI!#REF!,IF(AND(#REF!="Diferenciado",$H$4=#REF!),BDI!$E$17,IF(AND(#REF!="Diferenciado",$H$4=#REF!),BDI!#REF!,IF(#REF!="ZERO",0))))),"")</f>
        <v>#REF!</v>
      </c>
      <c r="H2419" s="127" t="str">
        <f t="shared" si="124"/>
        <v/>
      </c>
      <c r="I2419" s="125" t="str">
        <f t="shared" si="125"/>
        <v/>
      </c>
    </row>
    <row r="2420" spans="1:9" hidden="1" x14ac:dyDescent="0.25">
      <c r="A2420" s="103" t="s">
        <v>6055</v>
      </c>
      <c r="B2420" s="104" t="s">
        <v>4820</v>
      </c>
      <c r="C2420" s="105" t="s">
        <v>20</v>
      </c>
      <c r="D2420" s="105">
        <v>0</v>
      </c>
      <c r="E2420" s="124" t="s">
        <v>523</v>
      </c>
      <c r="F2420" s="125" t="str">
        <f t="shared" si="123"/>
        <v/>
      </c>
      <c r="G2420" s="126" t="e">
        <f>IF(A2420&lt;&gt;"",IF(AND(#REF!="Padrão",$H$4=#REF!),BDI!$B$17,IF(AND(#REF!="Padrão",$H$4=#REF!),BDI!#REF!,IF(AND(#REF!="Diferenciado",$H$4=#REF!),BDI!$E$17,IF(AND(#REF!="Diferenciado",$H$4=#REF!),BDI!#REF!,IF(#REF!="ZERO",0))))),"")</f>
        <v>#REF!</v>
      </c>
      <c r="H2420" s="127" t="str">
        <f t="shared" si="124"/>
        <v/>
      </c>
      <c r="I2420" s="125" t="str">
        <f t="shared" si="125"/>
        <v/>
      </c>
    </row>
    <row r="2421" spans="1:9" hidden="1" x14ac:dyDescent="0.25">
      <c r="A2421" s="103" t="s">
        <v>6056</v>
      </c>
      <c r="B2421" s="104" t="s">
        <v>4821</v>
      </c>
      <c r="C2421" s="105" t="s">
        <v>20</v>
      </c>
      <c r="D2421" s="105">
        <v>0</v>
      </c>
      <c r="E2421" s="124" t="s">
        <v>523</v>
      </c>
      <c r="F2421" s="125" t="str">
        <f t="shared" si="123"/>
        <v/>
      </c>
      <c r="G2421" s="126" t="e">
        <f>IF(A2421&lt;&gt;"",IF(AND(#REF!="Padrão",$H$4=#REF!),BDI!$B$17,IF(AND(#REF!="Padrão",$H$4=#REF!),BDI!#REF!,IF(AND(#REF!="Diferenciado",$H$4=#REF!),BDI!$E$17,IF(AND(#REF!="Diferenciado",$H$4=#REF!),BDI!#REF!,IF(#REF!="ZERO",0))))),"")</f>
        <v>#REF!</v>
      </c>
      <c r="H2421" s="127" t="str">
        <f t="shared" si="124"/>
        <v/>
      </c>
      <c r="I2421" s="125" t="str">
        <f t="shared" si="125"/>
        <v/>
      </c>
    </row>
    <row r="2422" spans="1:9" hidden="1" x14ac:dyDescent="0.25">
      <c r="A2422" s="103" t="s">
        <v>6057</v>
      </c>
      <c r="B2422" s="104" t="s">
        <v>4822</v>
      </c>
      <c r="C2422" s="105" t="s">
        <v>20</v>
      </c>
      <c r="D2422" s="105">
        <v>0</v>
      </c>
      <c r="E2422" s="124" t="s">
        <v>523</v>
      </c>
      <c r="F2422" s="125" t="str">
        <f t="shared" si="123"/>
        <v/>
      </c>
      <c r="G2422" s="126" t="e">
        <f>IF(A2422&lt;&gt;"",IF(AND(#REF!="Padrão",$H$4=#REF!),BDI!$B$17,IF(AND(#REF!="Padrão",$H$4=#REF!),BDI!#REF!,IF(AND(#REF!="Diferenciado",$H$4=#REF!),BDI!$E$17,IF(AND(#REF!="Diferenciado",$H$4=#REF!),BDI!#REF!,IF(#REF!="ZERO",0))))),"")</f>
        <v>#REF!</v>
      </c>
      <c r="H2422" s="127" t="str">
        <f t="shared" si="124"/>
        <v/>
      </c>
      <c r="I2422" s="125" t="str">
        <f t="shared" si="125"/>
        <v/>
      </c>
    </row>
    <row r="2423" spans="1:9" hidden="1" x14ac:dyDescent="0.25">
      <c r="A2423" s="103" t="s">
        <v>6058</v>
      </c>
      <c r="B2423" s="104" t="s">
        <v>4823</v>
      </c>
      <c r="C2423" s="105" t="s">
        <v>20</v>
      </c>
      <c r="D2423" s="105">
        <v>0</v>
      </c>
      <c r="E2423" s="124" t="s">
        <v>523</v>
      </c>
      <c r="F2423" s="125" t="str">
        <f t="shared" si="123"/>
        <v/>
      </c>
      <c r="G2423" s="126" t="e">
        <f>IF(A2423&lt;&gt;"",IF(AND(#REF!="Padrão",$H$4=#REF!),BDI!$B$17,IF(AND(#REF!="Padrão",$H$4=#REF!),BDI!#REF!,IF(AND(#REF!="Diferenciado",$H$4=#REF!),BDI!$E$17,IF(AND(#REF!="Diferenciado",$H$4=#REF!),BDI!#REF!,IF(#REF!="ZERO",0))))),"")</f>
        <v>#REF!</v>
      </c>
      <c r="H2423" s="127" t="str">
        <f t="shared" si="124"/>
        <v/>
      </c>
      <c r="I2423" s="125" t="str">
        <f t="shared" si="125"/>
        <v/>
      </c>
    </row>
    <row r="2424" spans="1:9" hidden="1" x14ac:dyDescent="0.25">
      <c r="A2424" s="103" t="s">
        <v>6059</v>
      </c>
      <c r="B2424" s="104" t="s">
        <v>4824</v>
      </c>
      <c r="C2424" s="105" t="s">
        <v>20</v>
      </c>
      <c r="D2424" s="105">
        <v>0</v>
      </c>
      <c r="E2424" s="124" t="s">
        <v>523</v>
      </c>
      <c r="F2424" s="125" t="str">
        <f t="shared" si="123"/>
        <v/>
      </c>
      <c r="G2424" s="126" t="e">
        <f>IF(A2424&lt;&gt;"",IF(AND(#REF!="Padrão",$H$4=#REF!),BDI!$B$17,IF(AND(#REF!="Padrão",$H$4=#REF!),BDI!#REF!,IF(AND(#REF!="Diferenciado",$H$4=#REF!),BDI!$E$17,IF(AND(#REF!="Diferenciado",$H$4=#REF!),BDI!#REF!,IF(#REF!="ZERO",0))))),"")</f>
        <v>#REF!</v>
      </c>
      <c r="H2424" s="127" t="str">
        <f t="shared" si="124"/>
        <v/>
      </c>
      <c r="I2424" s="125" t="str">
        <f t="shared" si="125"/>
        <v/>
      </c>
    </row>
    <row r="2425" spans="1:9" hidden="1" x14ac:dyDescent="0.25">
      <c r="A2425" s="103" t="s">
        <v>6060</v>
      </c>
      <c r="B2425" s="104" t="s">
        <v>4825</v>
      </c>
      <c r="C2425" s="105" t="s">
        <v>20</v>
      </c>
      <c r="D2425" s="105">
        <v>0</v>
      </c>
      <c r="E2425" s="124" t="s">
        <v>523</v>
      </c>
      <c r="F2425" s="125" t="str">
        <f t="shared" si="123"/>
        <v/>
      </c>
      <c r="G2425" s="126" t="e">
        <f>IF(A2425&lt;&gt;"",IF(AND(#REF!="Padrão",$H$4=#REF!),BDI!$B$17,IF(AND(#REF!="Padrão",$H$4=#REF!),BDI!#REF!,IF(AND(#REF!="Diferenciado",$H$4=#REF!),BDI!$E$17,IF(AND(#REF!="Diferenciado",$H$4=#REF!),BDI!#REF!,IF(#REF!="ZERO",0))))),"")</f>
        <v>#REF!</v>
      </c>
      <c r="H2425" s="127" t="str">
        <f t="shared" si="124"/>
        <v/>
      </c>
      <c r="I2425" s="125" t="str">
        <f t="shared" si="125"/>
        <v/>
      </c>
    </row>
    <row r="2426" spans="1:9" hidden="1" x14ac:dyDescent="0.25">
      <c r="A2426" s="103" t="s">
        <v>6061</v>
      </c>
      <c r="B2426" s="104" t="s">
        <v>4826</v>
      </c>
      <c r="C2426" s="105" t="s">
        <v>20</v>
      </c>
      <c r="D2426" s="105">
        <v>0</v>
      </c>
      <c r="E2426" s="124" t="s">
        <v>523</v>
      </c>
      <c r="F2426" s="125" t="str">
        <f t="shared" si="123"/>
        <v/>
      </c>
      <c r="G2426" s="126" t="e">
        <f>IF(A2426&lt;&gt;"",IF(AND(#REF!="Padrão",$H$4=#REF!),BDI!$B$17,IF(AND(#REF!="Padrão",$H$4=#REF!),BDI!#REF!,IF(AND(#REF!="Diferenciado",$H$4=#REF!),BDI!$E$17,IF(AND(#REF!="Diferenciado",$H$4=#REF!),BDI!#REF!,IF(#REF!="ZERO",0))))),"")</f>
        <v>#REF!</v>
      </c>
      <c r="H2426" s="127" t="str">
        <f t="shared" si="124"/>
        <v/>
      </c>
      <c r="I2426" s="125" t="str">
        <f t="shared" si="125"/>
        <v/>
      </c>
    </row>
    <row r="2427" spans="1:9" hidden="1" x14ac:dyDescent="0.25">
      <c r="A2427" s="103" t="s">
        <v>6062</v>
      </c>
      <c r="B2427" s="104" t="s">
        <v>4827</v>
      </c>
      <c r="C2427" s="105" t="s">
        <v>20</v>
      </c>
      <c r="D2427" s="105">
        <v>0</v>
      </c>
      <c r="E2427" s="124" t="s">
        <v>523</v>
      </c>
      <c r="F2427" s="125" t="str">
        <f t="shared" si="123"/>
        <v/>
      </c>
      <c r="G2427" s="126" t="e">
        <f>IF(A2427&lt;&gt;"",IF(AND(#REF!="Padrão",$H$4=#REF!),BDI!$B$17,IF(AND(#REF!="Padrão",$H$4=#REF!),BDI!#REF!,IF(AND(#REF!="Diferenciado",$H$4=#REF!),BDI!$E$17,IF(AND(#REF!="Diferenciado",$H$4=#REF!),BDI!#REF!,IF(#REF!="ZERO",0))))),"")</f>
        <v>#REF!</v>
      </c>
      <c r="H2427" s="127" t="str">
        <f t="shared" si="124"/>
        <v/>
      </c>
      <c r="I2427" s="125" t="str">
        <f t="shared" si="125"/>
        <v/>
      </c>
    </row>
    <row r="2428" spans="1:9" hidden="1" x14ac:dyDescent="0.25">
      <c r="A2428" s="103" t="s">
        <v>6063</v>
      </c>
      <c r="B2428" s="104" t="s">
        <v>4828</v>
      </c>
      <c r="C2428" s="105" t="s">
        <v>20</v>
      </c>
      <c r="D2428" s="105">
        <v>0</v>
      </c>
      <c r="E2428" s="124" t="s">
        <v>523</v>
      </c>
      <c r="F2428" s="125" t="str">
        <f t="shared" si="123"/>
        <v/>
      </c>
      <c r="G2428" s="126" t="e">
        <f>IF(A2428&lt;&gt;"",IF(AND(#REF!="Padrão",$H$4=#REF!),BDI!$B$17,IF(AND(#REF!="Padrão",$H$4=#REF!),BDI!#REF!,IF(AND(#REF!="Diferenciado",$H$4=#REF!),BDI!$E$17,IF(AND(#REF!="Diferenciado",$H$4=#REF!),BDI!#REF!,IF(#REF!="ZERO",0))))),"")</f>
        <v>#REF!</v>
      </c>
      <c r="H2428" s="127" t="str">
        <f t="shared" si="124"/>
        <v/>
      </c>
      <c r="I2428" s="125" t="str">
        <f t="shared" si="125"/>
        <v/>
      </c>
    </row>
    <row r="2429" spans="1:9" hidden="1" x14ac:dyDescent="0.25">
      <c r="A2429" s="103" t="s">
        <v>6064</v>
      </c>
      <c r="B2429" s="104" t="s">
        <v>4829</v>
      </c>
      <c r="C2429" s="105" t="s">
        <v>20</v>
      </c>
      <c r="D2429" s="105">
        <v>0</v>
      </c>
      <c r="E2429" s="124" t="s">
        <v>523</v>
      </c>
      <c r="F2429" s="125" t="str">
        <f t="shared" si="123"/>
        <v/>
      </c>
      <c r="G2429" s="126" t="e">
        <f>IF(A2429&lt;&gt;"",IF(AND(#REF!="Padrão",$H$4=#REF!),BDI!$B$17,IF(AND(#REF!="Padrão",$H$4=#REF!),BDI!#REF!,IF(AND(#REF!="Diferenciado",$H$4=#REF!),BDI!$E$17,IF(AND(#REF!="Diferenciado",$H$4=#REF!),BDI!#REF!,IF(#REF!="ZERO",0))))),"")</f>
        <v>#REF!</v>
      </c>
      <c r="H2429" s="127" t="str">
        <f t="shared" si="124"/>
        <v/>
      </c>
      <c r="I2429" s="125" t="str">
        <f t="shared" si="125"/>
        <v/>
      </c>
    </row>
    <row r="2430" spans="1:9" hidden="1" x14ac:dyDescent="0.25">
      <c r="A2430" s="103" t="s">
        <v>6065</v>
      </c>
      <c r="B2430" s="104" t="s">
        <v>4830</v>
      </c>
      <c r="C2430" s="105" t="s">
        <v>20</v>
      </c>
      <c r="D2430" s="105">
        <v>0</v>
      </c>
      <c r="E2430" s="124" t="s">
        <v>523</v>
      </c>
      <c r="F2430" s="125" t="str">
        <f t="shared" si="123"/>
        <v/>
      </c>
      <c r="G2430" s="126" t="e">
        <f>IF(A2430&lt;&gt;"",IF(AND(#REF!="Padrão",$H$4=#REF!),BDI!$B$17,IF(AND(#REF!="Padrão",$H$4=#REF!),BDI!#REF!,IF(AND(#REF!="Diferenciado",$H$4=#REF!),BDI!$E$17,IF(AND(#REF!="Diferenciado",$H$4=#REF!),BDI!#REF!,IF(#REF!="ZERO",0))))),"")</f>
        <v>#REF!</v>
      </c>
      <c r="H2430" s="127" t="str">
        <f t="shared" si="124"/>
        <v/>
      </c>
      <c r="I2430" s="125" t="str">
        <f t="shared" si="125"/>
        <v/>
      </c>
    </row>
    <row r="2431" spans="1:9" hidden="1" x14ac:dyDescent="0.25">
      <c r="A2431" s="103" t="s">
        <v>6066</v>
      </c>
      <c r="B2431" s="104" t="s">
        <v>4831</v>
      </c>
      <c r="C2431" s="105" t="s">
        <v>20</v>
      </c>
      <c r="D2431" s="105">
        <v>0</v>
      </c>
      <c r="E2431" s="124" t="s">
        <v>523</v>
      </c>
      <c r="F2431" s="125" t="str">
        <f t="shared" si="123"/>
        <v/>
      </c>
      <c r="G2431" s="126" t="e">
        <f>IF(A2431&lt;&gt;"",IF(AND(#REF!="Padrão",$H$4=#REF!),BDI!$B$17,IF(AND(#REF!="Padrão",$H$4=#REF!),BDI!#REF!,IF(AND(#REF!="Diferenciado",$H$4=#REF!),BDI!$E$17,IF(AND(#REF!="Diferenciado",$H$4=#REF!),BDI!#REF!,IF(#REF!="ZERO",0))))),"")</f>
        <v>#REF!</v>
      </c>
      <c r="H2431" s="127" t="str">
        <f t="shared" si="124"/>
        <v/>
      </c>
      <c r="I2431" s="125" t="str">
        <f t="shared" si="125"/>
        <v/>
      </c>
    </row>
    <row r="2432" spans="1:9" hidden="1" x14ac:dyDescent="0.25">
      <c r="A2432" s="103" t="s">
        <v>6067</v>
      </c>
      <c r="B2432" s="104" t="s">
        <v>4832</v>
      </c>
      <c r="C2432" s="105" t="s">
        <v>20</v>
      </c>
      <c r="D2432" s="105">
        <v>0</v>
      </c>
      <c r="E2432" s="124" t="s">
        <v>523</v>
      </c>
      <c r="F2432" s="125" t="str">
        <f t="shared" si="123"/>
        <v/>
      </c>
      <c r="G2432" s="126" t="e">
        <f>IF(A2432&lt;&gt;"",IF(AND(#REF!="Padrão",$H$4=#REF!),BDI!$B$17,IF(AND(#REF!="Padrão",$H$4=#REF!),BDI!#REF!,IF(AND(#REF!="Diferenciado",$H$4=#REF!),BDI!$E$17,IF(AND(#REF!="Diferenciado",$H$4=#REF!),BDI!#REF!,IF(#REF!="ZERO",0))))),"")</f>
        <v>#REF!</v>
      </c>
      <c r="H2432" s="127" t="str">
        <f t="shared" si="124"/>
        <v/>
      </c>
      <c r="I2432" s="125" t="str">
        <f t="shared" si="125"/>
        <v/>
      </c>
    </row>
    <row r="2433" spans="1:9" hidden="1" x14ac:dyDescent="0.25">
      <c r="A2433" s="103" t="s">
        <v>6068</v>
      </c>
      <c r="B2433" s="104" t="s">
        <v>4833</v>
      </c>
      <c r="C2433" s="105" t="s">
        <v>20</v>
      </c>
      <c r="D2433" s="105">
        <v>0</v>
      </c>
      <c r="E2433" s="124" t="s">
        <v>523</v>
      </c>
      <c r="F2433" s="125" t="str">
        <f t="shared" si="123"/>
        <v/>
      </c>
      <c r="G2433" s="126" t="e">
        <f>IF(A2433&lt;&gt;"",IF(AND(#REF!="Padrão",$H$4=#REF!),BDI!$B$17,IF(AND(#REF!="Padrão",$H$4=#REF!),BDI!#REF!,IF(AND(#REF!="Diferenciado",$H$4=#REF!),BDI!$E$17,IF(AND(#REF!="Diferenciado",$H$4=#REF!),BDI!#REF!,IF(#REF!="ZERO",0))))),"")</f>
        <v>#REF!</v>
      </c>
      <c r="H2433" s="127" t="str">
        <f t="shared" si="124"/>
        <v/>
      </c>
      <c r="I2433" s="125" t="str">
        <f t="shared" si="125"/>
        <v/>
      </c>
    </row>
    <row r="2434" spans="1:9" hidden="1" x14ac:dyDescent="0.25">
      <c r="A2434" s="103" t="s">
        <v>6069</v>
      </c>
      <c r="B2434" s="104" t="s">
        <v>6496</v>
      </c>
      <c r="C2434" s="105" t="s">
        <v>20</v>
      </c>
      <c r="D2434" s="105">
        <v>0</v>
      </c>
      <c r="E2434" s="124" t="s">
        <v>523</v>
      </c>
      <c r="F2434" s="125" t="str">
        <f t="shared" si="123"/>
        <v/>
      </c>
      <c r="G2434" s="126" t="e">
        <f>IF(A2434&lt;&gt;"",IF(AND(#REF!="Padrão",$H$4=#REF!),BDI!$B$17,IF(AND(#REF!="Padrão",$H$4=#REF!),BDI!#REF!,IF(AND(#REF!="Diferenciado",$H$4=#REF!),BDI!$E$17,IF(AND(#REF!="Diferenciado",$H$4=#REF!),BDI!#REF!,IF(#REF!="ZERO",0))))),"")</f>
        <v>#REF!</v>
      </c>
      <c r="H2434" s="127" t="str">
        <f t="shared" si="124"/>
        <v/>
      </c>
      <c r="I2434" s="125" t="str">
        <f t="shared" si="125"/>
        <v/>
      </c>
    </row>
    <row r="2435" spans="1:9" hidden="1" x14ac:dyDescent="0.25">
      <c r="A2435" s="103" t="s">
        <v>6070</v>
      </c>
      <c r="B2435" s="104" t="s">
        <v>6497</v>
      </c>
      <c r="C2435" s="105" t="s">
        <v>20</v>
      </c>
      <c r="D2435" s="105">
        <v>0</v>
      </c>
      <c r="E2435" s="124" t="s">
        <v>523</v>
      </c>
      <c r="F2435" s="125" t="str">
        <f t="shared" si="123"/>
        <v/>
      </c>
      <c r="G2435" s="126" t="e">
        <f>IF(A2435&lt;&gt;"",IF(AND(#REF!="Padrão",$H$4=#REF!),BDI!$B$17,IF(AND(#REF!="Padrão",$H$4=#REF!),BDI!#REF!,IF(AND(#REF!="Diferenciado",$H$4=#REF!),BDI!$E$17,IF(AND(#REF!="Diferenciado",$H$4=#REF!),BDI!#REF!,IF(#REF!="ZERO",0))))),"")</f>
        <v>#REF!</v>
      </c>
      <c r="H2435" s="127" t="str">
        <f t="shared" si="124"/>
        <v/>
      </c>
      <c r="I2435" s="125" t="str">
        <f t="shared" si="125"/>
        <v/>
      </c>
    </row>
    <row r="2436" spans="1:9" hidden="1" x14ac:dyDescent="0.25">
      <c r="A2436" s="103" t="s">
        <v>6071</v>
      </c>
      <c r="B2436" s="104" t="s">
        <v>4834</v>
      </c>
      <c r="C2436" s="105" t="s">
        <v>20</v>
      </c>
      <c r="D2436" s="105">
        <v>0</v>
      </c>
      <c r="E2436" s="124" t="s">
        <v>523</v>
      </c>
      <c r="F2436" s="125" t="str">
        <f t="shared" si="123"/>
        <v/>
      </c>
      <c r="G2436" s="126" t="e">
        <f>IF(A2436&lt;&gt;"",IF(AND(#REF!="Padrão",$H$4=#REF!),BDI!$B$17,IF(AND(#REF!="Padrão",$H$4=#REF!),BDI!#REF!,IF(AND(#REF!="Diferenciado",$H$4=#REF!),BDI!$E$17,IF(AND(#REF!="Diferenciado",$H$4=#REF!),BDI!#REF!,IF(#REF!="ZERO",0))))),"")</f>
        <v>#REF!</v>
      </c>
      <c r="H2436" s="127" t="str">
        <f t="shared" si="124"/>
        <v/>
      </c>
      <c r="I2436" s="125" t="str">
        <f t="shared" si="125"/>
        <v/>
      </c>
    </row>
    <row r="2437" spans="1:9" hidden="1" x14ac:dyDescent="0.25">
      <c r="A2437" s="103" t="s">
        <v>6072</v>
      </c>
      <c r="B2437" s="104" t="s">
        <v>4835</v>
      </c>
      <c r="C2437" s="105" t="s">
        <v>20</v>
      </c>
      <c r="D2437" s="105">
        <v>0</v>
      </c>
      <c r="E2437" s="124" t="s">
        <v>523</v>
      </c>
      <c r="F2437" s="125" t="str">
        <f t="shared" si="123"/>
        <v/>
      </c>
      <c r="G2437" s="126" t="e">
        <f>IF(A2437&lt;&gt;"",IF(AND(#REF!="Padrão",$H$4=#REF!),BDI!$B$17,IF(AND(#REF!="Padrão",$H$4=#REF!),BDI!#REF!,IF(AND(#REF!="Diferenciado",$H$4=#REF!),BDI!$E$17,IF(AND(#REF!="Diferenciado",$H$4=#REF!),BDI!#REF!,IF(#REF!="ZERO",0))))),"")</f>
        <v>#REF!</v>
      </c>
      <c r="H2437" s="127" t="str">
        <f t="shared" si="124"/>
        <v/>
      </c>
      <c r="I2437" s="125" t="str">
        <f t="shared" si="125"/>
        <v/>
      </c>
    </row>
    <row r="2438" spans="1:9" hidden="1" x14ac:dyDescent="0.25">
      <c r="A2438" s="103" t="s">
        <v>6073</v>
      </c>
      <c r="B2438" s="104" t="s">
        <v>4836</v>
      </c>
      <c r="C2438" s="105" t="s">
        <v>20</v>
      </c>
      <c r="D2438" s="105">
        <v>0</v>
      </c>
      <c r="E2438" s="124" t="s">
        <v>523</v>
      </c>
      <c r="F2438" s="125" t="str">
        <f t="shared" si="123"/>
        <v/>
      </c>
      <c r="G2438" s="126" t="e">
        <f>IF(A2438&lt;&gt;"",IF(AND(#REF!="Padrão",$H$4=#REF!),BDI!$B$17,IF(AND(#REF!="Padrão",$H$4=#REF!),BDI!#REF!,IF(AND(#REF!="Diferenciado",$H$4=#REF!),BDI!$E$17,IF(AND(#REF!="Diferenciado",$H$4=#REF!),BDI!#REF!,IF(#REF!="ZERO",0))))),"")</f>
        <v>#REF!</v>
      </c>
      <c r="H2438" s="127" t="str">
        <f t="shared" si="124"/>
        <v/>
      </c>
      <c r="I2438" s="125" t="str">
        <f t="shared" si="125"/>
        <v/>
      </c>
    </row>
    <row r="2439" spans="1:9" hidden="1" x14ac:dyDescent="0.25">
      <c r="A2439" s="103" t="s">
        <v>6074</v>
      </c>
      <c r="B2439" s="104" t="s">
        <v>4837</v>
      </c>
      <c r="C2439" s="105" t="s">
        <v>20</v>
      </c>
      <c r="D2439" s="105">
        <v>0</v>
      </c>
      <c r="E2439" s="124" t="s">
        <v>523</v>
      </c>
      <c r="F2439" s="125" t="str">
        <f t="shared" si="123"/>
        <v/>
      </c>
      <c r="G2439" s="126" t="e">
        <f>IF(A2439&lt;&gt;"",IF(AND(#REF!="Padrão",$H$4=#REF!),BDI!$B$17,IF(AND(#REF!="Padrão",$H$4=#REF!),BDI!#REF!,IF(AND(#REF!="Diferenciado",$H$4=#REF!),BDI!$E$17,IF(AND(#REF!="Diferenciado",$H$4=#REF!),BDI!#REF!,IF(#REF!="ZERO",0))))),"")</f>
        <v>#REF!</v>
      </c>
      <c r="H2439" s="127" t="str">
        <f t="shared" si="124"/>
        <v/>
      </c>
      <c r="I2439" s="125" t="str">
        <f t="shared" si="125"/>
        <v/>
      </c>
    </row>
    <row r="2440" spans="1:9" hidden="1" x14ac:dyDescent="0.25">
      <c r="A2440" s="103" t="s">
        <v>6075</v>
      </c>
      <c r="B2440" s="104" t="s">
        <v>4838</v>
      </c>
      <c r="C2440" s="105" t="s">
        <v>20</v>
      </c>
      <c r="D2440" s="105">
        <v>0</v>
      </c>
      <c r="E2440" s="124" t="s">
        <v>523</v>
      </c>
      <c r="F2440" s="125" t="str">
        <f t="shared" si="123"/>
        <v/>
      </c>
      <c r="G2440" s="126" t="e">
        <f>IF(A2440&lt;&gt;"",IF(AND(#REF!="Padrão",$H$4=#REF!),BDI!$B$17,IF(AND(#REF!="Padrão",$H$4=#REF!),BDI!#REF!,IF(AND(#REF!="Diferenciado",$H$4=#REF!),BDI!$E$17,IF(AND(#REF!="Diferenciado",$H$4=#REF!),BDI!#REF!,IF(#REF!="ZERO",0))))),"")</f>
        <v>#REF!</v>
      </c>
      <c r="H2440" s="127" t="str">
        <f t="shared" si="124"/>
        <v/>
      </c>
      <c r="I2440" s="125" t="str">
        <f t="shared" si="125"/>
        <v/>
      </c>
    </row>
    <row r="2441" spans="1:9" hidden="1" x14ac:dyDescent="0.25">
      <c r="A2441" s="103" t="s">
        <v>6076</v>
      </c>
      <c r="B2441" s="104" t="s">
        <v>4839</v>
      </c>
      <c r="C2441" s="105" t="s">
        <v>20</v>
      </c>
      <c r="D2441" s="105">
        <v>0</v>
      </c>
      <c r="E2441" s="124" t="s">
        <v>523</v>
      </c>
      <c r="F2441" s="125" t="str">
        <f t="shared" si="123"/>
        <v/>
      </c>
      <c r="G2441" s="126" t="e">
        <f>IF(A2441&lt;&gt;"",IF(AND(#REF!="Padrão",$H$4=#REF!),BDI!$B$17,IF(AND(#REF!="Padrão",$H$4=#REF!),BDI!#REF!,IF(AND(#REF!="Diferenciado",$H$4=#REF!),BDI!$E$17,IF(AND(#REF!="Diferenciado",$H$4=#REF!),BDI!#REF!,IF(#REF!="ZERO",0))))),"")</f>
        <v>#REF!</v>
      </c>
      <c r="H2441" s="127" t="str">
        <f t="shared" si="124"/>
        <v/>
      </c>
      <c r="I2441" s="125" t="str">
        <f t="shared" si="125"/>
        <v/>
      </c>
    </row>
    <row r="2442" spans="1:9" hidden="1" x14ac:dyDescent="0.25">
      <c r="A2442" s="103" t="s">
        <v>6077</v>
      </c>
      <c r="B2442" s="104" t="s">
        <v>4840</v>
      </c>
      <c r="C2442" s="105" t="s">
        <v>20</v>
      </c>
      <c r="D2442" s="105">
        <v>0</v>
      </c>
      <c r="E2442" s="124" t="s">
        <v>523</v>
      </c>
      <c r="F2442" s="125" t="str">
        <f t="shared" si="123"/>
        <v/>
      </c>
      <c r="G2442" s="126" t="e">
        <f>IF(A2442&lt;&gt;"",IF(AND(#REF!="Padrão",$H$4=#REF!),BDI!$B$17,IF(AND(#REF!="Padrão",$H$4=#REF!),BDI!#REF!,IF(AND(#REF!="Diferenciado",$H$4=#REF!),BDI!$E$17,IF(AND(#REF!="Diferenciado",$H$4=#REF!),BDI!#REF!,IF(#REF!="ZERO",0))))),"")</f>
        <v>#REF!</v>
      </c>
      <c r="H2442" s="127" t="str">
        <f t="shared" si="124"/>
        <v/>
      </c>
      <c r="I2442" s="125" t="str">
        <f t="shared" si="125"/>
        <v/>
      </c>
    </row>
    <row r="2443" spans="1:9" hidden="1" x14ac:dyDescent="0.25">
      <c r="A2443" s="103" t="s">
        <v>6078</v>
      </c>
      <c r="B2443" s="104" t="s">
        <v>4841</v>
      </c>
      <c r="C2443" s="105" t="s">
        <v>20</v>
      </c>
      <c r="D2443" s="105">
        <v>0</v>
      </c>
      <c r="E2443" s="124" t="s">
        <v>523</v>
      </c>
      <c r="F2443" s="125" t="str">
        <f t="shared" si="123"/>
        <v/>
      </c>
      <c r="G2443" s="126" t="e">
        <f>IF(A2443&lt;&gt;"",IF(AND(#REF!="Padrão",$H$4=#REF!),BDI!$B$17,IF(AND(#REF!="Padrão",$H$4=#REF!),BDI!#REF!,IF(AND(#REF!="Diferenciado",$H$4=#REF!),BDI!$E$17,IF(AND(#REF!="Diferenciado",$H$4=#REF!),BDI!#REF!,IF(#REF!="ZERO",0))))),"")</f>
        <v>#REF!</v>
      </c>
      <c r="H2443" s="127" t="str">
        <f t="shared" si="124"/>
        <v/>
      </c>
      <c r="I2443" s="125" t="str">
        <f t="shared" si="125"/>
        <v/>
      </c>
    </row>
    <row r="2444" spans="1:9" hidden="1" x14ac:dyDescent="0.25">
      <c r="A2444" s="103" t="s">
        <v>6079</v>
      </c>
      <c r="B2444" s="104" t="s">
        <v>4842</v>
      </c>
      <c r="C2444" s="105" t="s">
        <v>20</v>
      </c>
      <c r="D2444" s="105">
        <v>0</v>
      </c>
      <c r="E2444" s="124" t="s">
        <v>523</v>
      </c>
      <c r="F2444" s="125" t="str">
        <f t="shared" si="123"/>
        <v/>
      </c>
      <c r="G2444" s="126" t="e">
        <f>IF(A2444&lt;&gt;"",IF(AND(#REF!="Padrão",$H$4=#REF!),BDI!$B$17,IF(AND(#REF!="Padrão",$H$4=#REF!),BDI!#REF!,IF(AND(#REF!="Diferenciado",$H$4=#REF!),BDI!$E$17,IF(AND(#REF!="Diferenciado",$H$4=#REF!),BDI!#REF!,IF(#REF!="ZERO",0))))),"")</f>
        <v>#REF!</v>
      </c>
      <c r="H2444" s="127" t="str">
        <f t="shared" si="124"/>
        <v/>
      </c>
      <c r="I2444" s="125" t="str">
        <f t="shared" si="125"/>
        <v/>
      </c>
    </row>
    <row r="2445" spans="1:9" hidden="1" x14ac:dyDescent="0.25">
      <c r="A2445" s="103" t="s">
        <v>6080</v>
      </c>
      <c r="B2445" s="104" t="s">
        <v>4843</v>
      </c>
      <c r="C2445" s="105" t="s">
        <v>20</v>
      </c>
      <c r="D2445" s="105">
        <v>0</v>
      </c>
      <c r="E2445" s="124" t="s">
        <v>523</v>
      </c>
      <c r="F2445" s="125" t="str">
        <f t="shared" si="123"/>
        <v/>
      </c>
      <c r="G2445" s="126" t="e">
        <f>IF(A2445&lt;&gt;"",IF(AND(#REF!="Padrão",$H$4=#REF!),BDI!$B$17,IF(AND(#REF!="Padrão",$H$4=#REF!),BDI!#REF!,IF(AND(#REF!="Diferenciado",$H$4=#REF!),BDI!$E$17,IF(AND(#REF!="Diferenciado",$H$4=#REF!),BDI!#REF!,IF(#REF!="ZERO",0))))),"")</f>
        <v>#REF!</v>
      </c>
      <c r="H2445" s="127" t="str">
        <f t="shared" si="124"/>
        <v/>
      </c>
      <c r="I2445" s="125" t="str">
        <f t="shared" si="125"/>
        <v/>
      </c>
    </row>
    <row r="2446" spans="1:9" hidden="1" x14ac:dyDescent="0.25">
      <c r="A2446" s="103" t="s">
        <v>6081</v>
      </c>
      <c r="B2446" s="104" t="s">
        <v>4844</v>
      </c>
      <c r="C2446" s="105" t="s">
        <v>20</v>
      </c>
      <c r="D2446" s="105">
        <v>0</v>
      </c>
      <c r="E2446" s="124" t="s">
        <v>523</v>
      </c>
      <c r="F2446" s="125" t="str">
        <f t="shared" si="123"/>
        <v/>
      </c>
      <c r="G2446" s="126" t="e">
        <f>IF(A2446&lt;&gt;"",IF(AND(#REF!="Padrão",$H$4=#REF!),BDI!$B$17,IF(AND(#REF!="Padrão",$H$4=#REF!),BDI!#REF!,IF(AND(#REF!="Diferenciado",$H$4=#REF!),BDI!$E$17,IF(AND(#REF!="Diferenciado",$H$4=#REF!),BDI!#REF!,IF(#REF!="ZERO",0))))),"")</f>
        <v>#REF!</v>
      </c>
      <c r="H2446" s="127" t="str">
        <f t="shared" si="124"/>
        <v/>
      </c>
      <c r="I2446" s="125" t="str">
        <f t="shared" si="125"/>
        <v/>
      </c>
    </row>
    <row r="2447" spans="1:9" hidden="1" x14ac:dyDescent="0.25">
      <c r="A2447" s="103" t="s">
        <v>6082</v>
      </c>
      <c r="B2447" s="104" t="s">
        <v>4845</v>
      </c>
      <c r="C2447" s="105" t="s">
        <v>20</v>
      </c>
      <c r="D2447" s="105">
        <v>0</v>
      </c>
      <c r="E2447" s="124" t="s">
        <v>523</v>
      </c>
      <c r="F2447" s="125" t="str">
        <f t="shared" si="123"/>
        <v/>
      </c>
      <c r="G2447" s="126" t="e">
        <f>IF(A2447&lt;&gt;"",IF(AND(#REF!="Padrão",$H$4=#REF!),BDI!$B$17,IF(AND(#REF!="Padrão",$H$4=#REF!),BDI!#REF!,IF(AND(#REF!="Diferenciado",$H$4=#REF!),BDI!$E$17,IF(AND(#REF!="Diferenciado",$H$4=#REF!),BDI!#REF!,IF(#REF!="ZERO",0))))),"")</f>
        <v>#REF!</v>
      </c>
      <c r="H2447" s="127" t="str">
        <f t="shared" si="124"/>
        <v/>
      </c>
      <c r="I2447" s="125" t="str">
        <f t="shared" si="125"/>
        <v/>
      </c>
    </row>
    <row r="2448" spans="1:9" hidden="1" x14ac:dyDescent="0.25">
      <c r="A2448" s="103" t="s">
        <v>6083</v>
      </c>
      <c r="B2448" s="104" t="s">
        <v>4846</v>
      </c>
      <c r="C2448" s="105" t="s">
        <v>20</v>
      </c>
      <c r="D2448" s="105">
        <v>0</v>
      </c>
      <c r="E2448" s="124" t="s">
        <v>523</v>
      </c>
      <c r="F2448" s="125" t="str">
        <f t="shared" si="123"/>
        <v/>
      </c>
      <c r="G2448" s="126" t="e">
        <f>IF(A2448&lt;&gt;"",IF(AND(#REF!="Padrão",$H$4=#REF!),BDI!$B$17,IF(AND(#REF!="Padrão",$H$4=#REF!),BDI!#REF!,IF(AND(#REF!="Diferenciado",$H$4=#REF!),BDI!$E$17,IF(AND(#REF!="Diferenciado",$H$4=#REF!),BDI!#REF!,IF(#REF!="ZERO",0))))),"")</f>
        <v>#REF!</v>
      </c>
      <c r="H2448" s="127" t="str">
        <f t="shared" si="124"/>
        <v/>
      </c>
      <c r="I2448" s="125" t="str">
        <f t="shared" si="125"/>
        <v/>
      </c>
    </row>
    <row r="2449" spans="1:9" hidden="1" x14ac:dyDescent="0.25">
      <c r="A2449" s="103" t="s">
        <v>6084</v>
      </c>
      <c r="B2449" s="104" t="s">
        <v>4847</v>
      </c>
      <c r="C2449" s="105" t="s">
        <v>20</v>
      </c>
      <c r="D2449" s="105">
        <v>0</v>
      </c>
      <c r="E2449" s="124" t="s">
        <v>523</v>
      </c>
      <c r="F2449" s="125" t="str">
        <f t="shared" si="123"/>
        <v/>
      </c>
      <c r="G2449" s="126" t="e">
        <f>IF(A2449&lt;&gt;"",IF(AND(#REF!="Padrão",$H$4=#REF!),BDI!$B$17,IF(AND(#REF!="Padrão",$H$4=#REF!),BDI!#REF!,IF(AND(#REF!="Diferenciado",$H$4=#REF!),BDI!$E$17,IF(AND(#REF!="Diferenciado",$H$4=#REF!),BDI!#REF!,IF(#REF!="ZERO",0))))),"")</f>
        <v>#REF!</v>
      </c>
      <c r="H2449" s="127" t="str">
        <f t="shared" si="124"/>
        <v/>
      </c>
      <c r="I2449" s="125" t="str">
        <f t="shared" si="125"/>
        <v/>
      </c>
    </row>
    <row r="2450" spans="1:9" hidden="1" x14ac:dyDescent="0.25">
      <c r="A2450" s="103" t="s">
        <v>6085</v>
      </c>
      <c r="B2450" s="104" t="s">
        <v>4848</v>
      </c>
      <c r="C2450" s="105" t="s">
        <v>20</v>
      </c>
      <c r="D2450" s="105">
        <v>0</v>
      </c>
      <c r="E2450" s="124" t="s">
        <v>523</v>
      </c>
      <c r="F2450" s="125" t="str">
        <f t="shared" si="123"/>
        <v/>
      </c>
      <c r="G2450" s="126" t="e">
        <f>IF(A2450&lt;&gt;"",IF(AND(#REF!="Padrão",$H$4=#REF!),BDI!$B$17,IF(AND(#REF!="Padrão",$H$4=#REF!),BDI!#REF!,IF(AND(#REF!="Diferenciado",$H$4=#REF!),BDI!$E$17,IF(AND(#REF!="Diferenciado",$H$4=#REF!),BDI!#REF!,IF(#REF!="ZERO",0))))),"")</f>
        <v>#REF!</v>
      </c>
      <c r="H2450" s="127" t="str">
        <f t="shared" si="124"/>
        <v/>
      </c>
      <c r="I2450" s="125" t="str">
        <f t="shared" si="125"/>
        <v/>
      </c>
    </row>
    <row r="2451" spans="1:9" hidden="1" x14ac:dyDescent="0.25">
      <c r="A2451" s="103" t="s">
        <v>6086</v>
      </c>
      <c r="B2451" s="104" t="s">
        <v>4849</v>
      </c>
      <c r="C2451" s="105" t="s">
        <v>20</v>
      </c>
      <c r="D2451" s="105">
        <v>0</v>
      </c>
      <c r="E2451" s="124" t="s">
        <v>523</v>
      </c>
      <c r="F2451" s="125" t="str">
        <f t="shared" si="123"/>
        <v/>
      </c>
      <c r="G2451" s="126" t="e">
        <f>IF(A2451&lt;&gt;"",IF(AND(#REF!="Padrão",$H$4=#REF!),BDI!$B$17,IF(AND(#REF!="Padrão",$H$4=#REF!),BDI!#REF!,IF(AND(#REF!="Diferenciado",$H$4=#REF!),BDI!$E$17,IF(AND(#REF!="Diferenciado",$H$4=#REF!),BDI!#REF!,IF(#REF!="ZERO",0))))),"")</f>
        <v>#REF!</v>
      </c>
      <c r="H2451" s="127" t="str">
        <f t="shared" si="124"/>
        <v/>
      </c>
      <c r="I2451" s="125" t="str">
        <f t="shared" si="125"/>
        <v/>
      </c>
    </row>
    <row r="2452" spans="1:9" hidden="1" x14ac:dyDescent="0.25">
      <c r="A2452" s="103" t="s">
        <v>6087</v>
      </c>
      <c r="B2452" s="104" t="s">
        <v>4850</v>
      </c>
      <c r="C2452" s="105" t="s">
        <v>20</v>
      </c>
      <c r="D2452" s="105">
        <v>0</v>
      </c>
      <c r="E2452" s="124" t="s">
        <v>523</v>
      </c>
      <c r="F2452" s="125" t="str">
        <f t="shared" si="123"/>
        <v/>
      </c>
      <c r="G2452" s="126" t="e">
        <f>IF(A2452&lt;&gt;"",IF(AND(#REF!="Padrão",$H$4=#REF!),BDI!$B$17,IF(AND(#REF!="Padrão",$H$4=#REF!),BDI!#REF!,IF(AND(#REF!="Diferenciado",$H$4=#REF!),BDI!$E$17,IF(AND(#REF!="Diferenciado",$H$4=#REF!),BDI!#REF!,IF(#REF!="ZERO",0))))),"")</f>
        <v>#REF!</v>
      </c>
      <c r="H2452" s="127" t="str">
        <f t="shared" si="124"/>
        <v/>
      </c>
      <c r="I2452" s="125" t="str">
        <f t="shared" si="125"/>
        <v/>
      </c>
    </row>
    <row r="2453" spans="1:9" hidden="1" x14ac:dyDescent="0.25">
      <c r="A2453" s="103" t="s">
        <v>6088</v>
      </c>
      <c r="B2453" s="104" t="s">
        <v>4851</v>
      </c>
      <c r="C2453" s="105" t="s">
        <v>20</v>
      </c>
      <c r="D2453" s="105">
        <v>0</v>
      </c>
      <c r="E2453" s="124" t="s">
        <v>523</v>
      </c>
      <c r="F2453" s="125" t="str">
        <f t="shared" si="123"/>
        <v/>
      </c>
      <c r="G2453" s="126" t="e">
        <f>IF(A2453&lt;&gt;"",IF(AND(#REF!="Padrão",$H$4=#REF!),BDI!$B$17,IF(AND(#REF!="Padrão",$H$4=#REF!),BDI!#REF!,IF(AND(#REF!="Diferenciado",$H$4=#REF!),BDI!$E$17,IF(AND(#REF!="Diferenciado",$H$4=#REF!),BDI!#REF!,IF(#REF!="ZERO",0))))),"")</f>
        <v>#REF!</v>
      </c>
      <c r="H2453" s="127" t="str">
        <f t="shared" si="124"/>
        <v/>
      </c>
      <c r="I2453" s="125" t="str">
        <f t="shared" si="125"/>
        <v/>
      </c>
    </row>
    <row r="2454" spans="1:9" hidden="1" x14ac:dyDescent="0.25">
      <c r="A2454" s="103" t="s">
        <v>6089</v>
      </c>
      <c r="B2454" s="104" t="s">
        <v>4852</v>
      </c>
      <c r="C2454" s="105" t="s">
        <v>20</v>
      </c>
      <c r="D2454" s="105">
        <v>0</v>
      </c>
      <c r="E2454" s="124" t="s">
        <v>523</v>
      </c>
      <c r="F2454" s="125" t="str">
        <f t="shared" si="123"/>
        <v/>
      </c>
      <c r="G2454" s="126" t="e">
        <f>IF(A2454&lt;&gt;"",IF(AND(#REF!="Padrão",$H$4=#REF!),BDI!$B$17,IF(AND(#REF!="Padrão",$H$4=#REF!),BDI!#REF!,IF(AND(#REF!="Diferenciado",$H$4=#REF!),BDI!$E$17,IF(AND(#REF!="Diferenciado",$H$4=#REF!),BDI!#REF!,IF(#REF!="ZERO",0))))),"")</f>
        <v>#REF!</v>
      </c>
      <c r="H2454" s="127" t="str">
        <f t="shared" si="124"/>
        <v/>
      </c>
      <c r="I2454" s="125" t="str">
        <f t="shared" si="125"/>
        <v/>
      </c>
    </row>
    <row r="2455" spans="1:9" hidden="1" x14ac:dyDescent="0.25">
      <c r="A2455" s="103" t="s">
        <v>6090</v>
      </c>
      <c r="B2455" s="104" t="s">
        <v>4853</v>
      </c>
      <c r="C2455" s="105" t="s">
        <v>20</v>
      </c>
      <c r="D2455" s="105">
        <v>0</v>
      </c>
      <c r="E2455" s="124" t="s">
        <v>523</v>
      </c>
      <c r="F2455" s="125" t="str">
        <f t="shared" si="123"/>
        <v/>
      </c>
      <c r="G2455" s="126" t="e">
        <f>IF(A2455&lt;&gt;"",IF(AND(#REF!="Padrão",$H$4=#REF!),BDI!$B$17,IF(AND(#REF!="Padrão",$H$4=#REF!),BDI!#REF!,IF(AND(#REF!="Diferenciado",$H$4=#REF!),BDI!$E$17,IF(AND(#REF!="Diferenciado",$H$4=#REF!),BDI!#REF!,IF(#REF!="ZERO",0))))),"")</f>
        <v>#REF!</v>
      </c>
      <c r="H2455" s="127" t="str">
        <f t="shared" si="124"/>
        <v/>
      </c>
      <c r="I2455" s="125" t="str">
        <f t="shared" si="125"/>
        <v/>
      </c>
    </row>
    <row r="2456" spans="1:9" hidden="1" x14ac:dyDescent="0.25">
      <c r="A2456" s="103" t="s">
        <v>6091</v>
      </c>
      <c r="B2456" s="104" t="s">
        <v>4854</v>
      </c>
      <c r="C2456" s="105" t="s">
        <v>20</v>
      </c>
      <c r="D2456" s="105">
        <v>0</v>
      </c>
      <c r="E2456" s="124" t="s">
        <v>523</v>
      </c>
      <c r="F2456" s="125" t="str">
        <f t="shared" si="123"/>
        <v/>
      </c>
      <c r="G2456" s="126" t="e">
        <f>IF(A2456&lt;&gt;"",IF(AND(#REF!="Padrão",$H$4=#REF!),BDI!$B$17,IF(AND(#REF!="Padrão",$H$4=#REF!),BDI!#REF!,IF(AND(#REF!="Diferenciado",$H$4=#REF!),BDI!$E$17,IF(AND(#REF!="Diferenciado",$H$4=#REF!),BDI!#REF!,IF(#REF!="ZERO",0))))),"")</f>
        <v>#REF!</v>
      </c>
      <c r="H2456" s="127" t="str">
        <f t="shared" si="124"/>
        <v/>
      </c>
      <c r="I2456" s="125" t="str">
        <f t="shared" si="125"/>
        <v/>
      </c>
    </row>
    <row r="2457" spans="1:9" hidden="1" x14ac:dyDescent="0.25">
      <c r="A2457" s="103" t="s">
        <v>6092</v>
      </c>
      <c r="B2457" s="104" t="s">
        <v>4855</v>
      </c>
      <c r="C2457" s="105" t="s">
        <v>20</v>
      </c>
      <c r="D2457" s="105">
        <v>0</v>
      </c>
      <c r="E2457" s="124" t="s">
        <v>523</v>
      </c>
      <c r="F2457" s="125" t="str">
        <f t="shared" si="123"/>
        <v/>
      </c>
      <c r="G2457" s="126" t="e">
        <f>IF(A2457&lt;&gt;"",IF(AND(#REF!="Padrão",$H$4=#REF!),BDI!$B$17,IF(AND(#REF!="Padrão",$H$4=#REF!),BDI!#REF!,IF(AND(#REF!="Diferenciado",$H$4=#REF!),BDI!$E$17,IF(AND(#REF!="Diferenciado",$H$4=#REF!),BDI!#REF!,IF(#REF!="ZERO",0))))),"")</f>
        <v>#REF!</v>
      </c>
      <c r="H2457" s="127" t="str">
        <f t="shared" si="124"/>
        <v/>
      </c>
      <c r="I2457" s="125" t="str">
        <f t="shared" si="125"/>
        <v/>
      </c>
    </row>
    <row r="2458" spans="1:9" hidden="1" x14ac:dyDescent="0.25">
      <c r="A2458" s="103" t="s">
        <v>6093</v>
      </c>
      <c r="B2458" s="104" t="s">
        <v>4856</v>
      </c>
      <c r="C2458" s="105" t="s">
        <v>20</v>
      </c>
      <c r="D2458" s="105">
        <v>0</v>
      </c>
      <c r="E2458" s="124" t="s">
        <v>523</v>
      </c>
      <c r="F2458" s="125" t="str">
        <f t="shared" si="123"/>
        <v/>
      </c>
      <c r="G2458" s="126" t="e">
        <f>IF(A2458&lt;&gt;"",IF(AND(#REF!="Padrão",$H$4=#REF!),BDI!$B$17,IF(AND(#REF!="Padrão",$H$4=#REF!),BDI!#REF!,IF(AND(#REF!="Diferenciado",$H$4=#REF!),BDI!$E$17,IF(AND(#REF!="Diferenciado",$H$4=#REF!),BDI!#REF!,IF(#REF!="ZERO",0))))),"")</f>
        <v>#REF!</v>
      </c>
      <c r="H2458" s="127" t="str">
        <f t="shared" si="124"/>
        <v/>
      </c>
      <c r="I2458" s="125" t="str">
        <f t="shared" si="125"/>
        <v/>
      </c>
    </row>
    <row r="2459" spans="1:9" hidden="1" x14ac:dyDescent="0.25">
      <c r="A2459" s="103" t="s">
        <v>6094</v>
      </c>
      <c r="B2459" s="104" t="s">
        <v>4857</v>
      </c>
      <c r="C2459" s="105" t="s">
        <v>20</v>
      </c>
      <c r="D2459" s="105">
        <v>0</v>
      </c>
      <c r="E2459" s="124" t="s">
        <v>523</v>
      </c>
      <c r="F2459" s="125" t="str">
        <f t="shared" si="123"/>
        <v/>
      </c>
      <c r="G2459" s="126" t="e">
        <f>IF(A2459&lt;&gt;"",IF(AND(#REF!="Padrão",$H$4=#REF!),BDI!$B$17,IF(AND(#REF!="Padrão",$H$4=#REF!),BDI!#REF!,IF(AND(#REF!="Diferenciado",$H$4=#REF!),BDI!$E$17,IF(AND(#REF!="Diferenciado",$H$4=#REF!),BDI!#REF!,IF(#REF!="ZERO",0))))),"")</f>
        <v>#REF!</v>
      </c>
      <c r="H2459" s="127" t="str">
        <f t="shared" si="124"/>
        <v/>
      </c>
      <c r="I2459" s="125" t="str">
        <f t="shared" si="125"/>
        <v/>
      </c>
    </row>
    <row r="2460" spans="1:9" hidden="1" x14ac:dyDescent="0.25">
      <c r="A2460" s="103" t="s">
        <v>6095</v>
      </c>
      <c r="B2460" s="104" t="s">
        <v>4858</v>
      </c>
      <c r="C2460" s="105" t="s">
        <v>20</v>
      </c>
      <c r="D2460" s="105">
        <v>0</v>
      </c>
      <c r="E2460" s="124" t="s">
        <v>523</v>
      </c>
      <c r="F2460" s="125" t="str">
        <f t="shared" si="123"/>
        <v/>
      </c>
      <c r="G2460" s="126" t="e">
        <f>IF(A2460&lt;&gt;"",IF(AND(#REF!="Padrão",$H$4=#REF!),BDI!$B$17,IF(AND(#REF!="Padrão",$H$4=#REF!),BDI!#REF!,IF(AND(#REF!="Diferenciado",$H$4=#REF!),BDI!$E$17,IF(AND(#REF!="Diferenciado",$H$4=#REF!),BDI!#REF!,IF(#REF!="ZERO",0))))),"")</f>
        <v>#REF!</v>
      </c>
      <c r="H2460" s="127" t="str">
        <f t="shared" si="124"/>
        <v/>
      </c>
      <c r="I2460" s="125" t="str">
        <f t="shared" si="125"/>
        <v/>
      </c>
    </row>
    <row r="2461" spans="1:9" hidden="1" x14ac:dyDescent="0.25">
      <c r="A2461" s="103" t="s">
        <v>6096</v>
      </c>
      <c r="B2461" s="104" t="s">
        <v>4859</v>
      </c>
      <c r="C2461" s="105" t="s">
        <v>20</v>
      </c>
      <c r="D2461" s="105">
        <v>0</v>
      </c>
      <c r="E2461" s="124" t="s">
        <v>523</v>
      </c>
      <c r="F2461" s="125" t="str">
        <f t="shared" si="123"/>
        <v/>
      </c>
      <c r="G2461" s="126" t="e">
        <f>IF(A2461&lt;&gt;"",IF(AND(#REF!="Padrão",$H$4=#REF!),BDI!$B$17,IF(AND(#REF!="Padrão",$H$4=#REF!),BDI!#REF!,IF(AND(#REF!="Diferenciado",$H$4=#REF!),BDI!$E$17,IF(AND(#REF!="Diferenciado",$H$4=#REF!),BDI!#REF!,IF(#REF!="ZERO",0))))),"")</f>
        <v>#REF!</v>
      </c>
      <c r="H2461" s="127" t="str">
        <f t="shared" si="124"/>
        <v/>
      </c>
      <c r="I2461" s="125" t="str">
        <f t="shared" si="125"/>
        <v/>
      </c>
    </row>
    <row r="2462" spans="1:9" hidden="1" x14ac:dyDescent="0.25">
      <c r="A2462" s="103" t="s">
        <v>6097</v>
      </c>
      <c r="B2462" s="104" t="s">
        <v>4860</v>
      </c>
      <c r="C2462" s="105" t="s">
        <v>20</v>
      </c>
      <c r="D2462" s="105">
        <v>0</v>
      </c>
      <c r="E2462" s="124" t="s">
        <v>523</v>
      </c>
      <c r="F2462" s="125" t="str">
        <f t="shared" si="123"/>
        <v/>
      </c>
      <c r="G2462" s="126" t="e">
        <f>IF(A2462&lt;&gt;"",IF(AND(#REF!="Padrão",$H$4=#REF!),BDI!$B$17,IF(AND(#REF!="Padrão",$H$4=#REF!),BDI!#REF!,IF(AND(#REF!="Diferenciado",$H$4=#REF!),BDI!$E$17,IF(AND(#REF!="Diferenciado",$H$4=#REF!),BDI!#REF!,IF(#REF!="ZERO",0))))),"")</f>
        <v>#REF!</v>
      </c>
      <c r="H2462" s="127" t="str">
        <f t="shared" si="124"/>
        <v/>
      </c>
      <c r="I2462" s="125" t="str">
        <f t="shared" si="125"/>
        <v/>
      </c>
    </row>
    <row r="2463" spans="1:9" hidden="1" x14ac:dyDescent="0.25">
      <c r="A2463" s="103" t="s">
        <v>6098</v>
      </c>
      <c r="B2463" s="104" t="s">
        <v>4861</v>
      </c>
      <c r="C2463" s="105" t="s">
        <v>20</v>
      </c>
      <c r="D2463" s="105">
        <v>0</v>
      </c>
      <c r="E2463" s="124" t="s">
        <v>523</v>
      </c>
      <c r="F2463" s="125" t="str">
        <f t="shared" si="123"/>
        <v/>
      </c>
      <c r="G2463" s="126" t="e">
        <f>IF(A2463&lt;&gt;"",IF(AND(#REF!="Padrão",$H$4=#REF!),BDI!$B$17,IF(AND(#REF!="Padrão",$H$4=#REF!),BDI!#REF!,IF(AND(#REF!="Diferenciado",$H$4=#REF!),BDI!$E$17,IF(AND(#REF!="Diferenciado",$H$4=#REF!),BDI!#REF!,IF(#REF!="ZERO",0))))),"")</f>
        <v>#REF!</v>
      </c>
      <c r="H2463" s="127" t="str">
        <f t="shared" si="124"/>
        <v/>
      </c>
      <c r="I2463" s="125" t="str">
        <f t="shared" si="125"/>
        <v/>
      </c>
    </row>
    <row r="2464" spans="1:9" hidden="1" x14ac:dyDescent="0.25">
      <c r="A2464" s="103" t="s">
        <v>6099</v>
      </c>
      <c r="B2464" s="104" t="s">
        <v>4862</v>
      </c>
      <c r="C2464" s="105" t="s">
        <v>20</v>
      </c>
      <c r="D2464" s="105">
        <v>0</v>
      </c>
      <c r="E2464" s="124" t="s">
        <v>523</v>
      </c>
      <c r="F2464" s="125" t="str">
        <f t="shared" si="123"/>
        <v/>
      </c>
      <c r="G2464" s="126" t="e">
        <f>IF(A2464&lt;&gt;"",IF(AND(#REF!="Padrão",$H$4=#REF!),BDI!$B$17,IF(AND(#REF!="Padrão",$H$4=#REF!),BDI!#REF!,IF(AND(#REF!="Diferenciado",$H$4=#REF!),BDI!$E$17,IF(AND(#REF!="Diferenciado",$H$4=#REF!),BDI!#REF!,IF(#REF!="ZERO",0))))),"")</f>
        <v>#REF!</v>
      </c>
      <c r="H2464" s="127" t="str">
        <f t="shared" si="124"/>
        <v/>
      </c>
      <c r="I2464" s="125" t="str">
        <f t="shared" si="125"/>
        <v/>
      </c>
    </row>
    <row r="2465" spans="1:9" hidden="1" x14ac:dyDescent="0.25">
      <c r="A2465" s="103" t="s">
        <v>6100</v>
      </c>
      <c r="B2465" s="104" t="s">
        <v>4863</v>
      </c>
      <c r="C2465" s="105" t="s">
        <v>20</v>
      </c>
      <c r="D2465" s="105">
        <v>0</v>
      </c>
      <c r="E2465" s="124" t="s">
        <v>523</v>
      </c>
      <c r="F2465" s="125" t="str">
        <f t="shared" si="123"/>
        <v/>
      </c>
      <c r="G2465" s="126" t="e">
        <f>IF(A2465&lt;&gt;"",IF(AND(#REF!="Padrão",$H$4=#REF!),BDI!$B$17,IF(AND(#REF!="Padrão",$H$4=#REF!),BDI!#REF!,IF(AND(#REF!="Diferenciado",$H$4=#REF!),BDI!$E$17,IF(AND(#REF!="Diferenciado",$H$4=#REF!),BDI!#REF!,IF(#REF!="ZERO",0))))),"")</f>
        <v>#REF!</v>
      </c>
      <c r="H2465" s="127" t="str">
        <f t="shared" si="124"/>
        <v/>
      </c>
      <c r="I2465" s="125" t="str">
        <f t="shared" si="125"/>
        <v/>
      </c>
    </row>
    <row r="2466" spans="1:9" hidden="1" x14ac:dyDescent="0.25">
      <c r="A2466" s="103" t="s">
        <v>6101</v>
      </c>
      <c r="B2466" s="104" t="s">
        <v>4864</v>
      </c>
      <c r="C2466" s="105" t="s">
        <v>20</v>
      </c>
      <c r="D2466" s="105">
        <v>0</v>
      </c>
      <c r="E2466" s="124" t="s">
        <v>523</v>
      </c>
      <c r="F2466" s="125" t="str">
        <f t="shared" si="123"/>
        <v/>
      </c>
      <c r="G2466" s="126" t="e">
        <f>IF(A2466&lt;&gt;"",IF(AND(#REF!="Padrão",$H$4=#REF!),BDI!$B$17,IF(AND(#REF!="Padrão",$H$4=#REF!),BDI!#REF!,IF(AND(#REF!="Diferenciado",$H$4=#REF!),BDI!$E$17,IF(AND(#REF!="Diferenciado",$H$4=#REF!),BDI!#REF!,IF(#REF!="ZERO",0))))),"")</f>
        <v>#REF!</v>
      </c>
      <c r="H2466" s="127" t="str">
        <f t="shared" si="124"/>
        <v/>
      </c>
      <c r="I2466" s="125" t="str">
        <f t="shared" si="125"/>
        <v/>
      </c>
    </row>
    <row r="2467" spans="1:9" hidden="1" x14ac:dyDescent="0.25">
      <c r="A2467" s="103" t="s">
        <v>6102</v>
      </c>
      <c r="B2467" s="104" t="s">
        <v>4865</v>
      </c>
      <c r="C2467" s="105" t="s">
        <v>20</v>
      </c>
      <c r="D2467" s="105">
        <v>0</v>
      </c>
      <c r="E2467" s="124" t="s">
        <v>523</v>
      </c>
      <c r="F2467" s="125" t="str">
        <f t="shared" si="123"/>
        <v/>
      </c>
      <c r="G2467" s="126" t="e">
        <f>IF(A2467&lt;&gt;"",IF(AND(#REF!="Padrão",$H$4=#REF!),BDI!$B$17,IF(AND(#REF!="Padrão",$H$4=#REF!),BDI!#REF!,IF(AND(#REF!="Diferenciado",$H$4=#REF!),BDI!$E$17,IF(AND(#REF!="Diferenciado",$H$4=#REF!),BDI!#REF!,IF(#REF!="ZERO",0))))),"")</f>
        <v>#REF!</v>
      </c>
      <c r="H2467" s="127" t="str">
        <f t="shared" si="124"/>
        <v/>
      </c>
      <c r="I2467" s="125" t="str">
        <f t="shared" si="125"/>
        <v/>
      </c>
    </row>
    <row r="2468" spans="1:9" hidden="1" x14ac:dyDescent="0.25">
      <c r="A2468" s="103" t="s">
        <v>6103</v>
      </c>
      <c r="B2468" s="104" t="s">
        <v>4866</v>
      </c>
      <c r="C2468" s="105" t="s">
        <v>20</v>
      </c>
      <c r="D2468" s="105">
        <v>0</v>
      </c>
      <c r="E2468" s="124" t="s">
        <v>523</v>
      </c>
      <c r="F2468" s="125" t="str">
        <f t="shared" si="123"/>
        <v/>
      </c>
      <c r="G2468" s="126" t="e">
        <f>IF(A2468&lt;&gt;"",IF(AND(#REF!="Padrão",$H$4=#REF!),BDI!$B$17,IF(AND(#REF!="Padrão",$H$4=#REF!),BDI!#REF!,IF(AND(#REF!="Diferenciado",$H$4=#REF!),BDI!$E$17,IF(AND(#REF!="Diferenciado",$H$4=#REF!),BDI!#REF!,IF(#REF!="ZERO",0))))),"")</f>
        <v>#REF!</v>
      </c>
      <c r="H2468" s="127" t="str">
        <f t="shared" si="124"/>
        <v/>
      </c>
      <c r="I2468" s="125" t="str">
        <f t="shared" si="125"/>
        <v/>
      </c>
    </row>
    <row r="2469" spans="1:9" hidden="1" x14ac:dyDescent="0.25">
      <c r="A2469" s="103" t="s">
        <v>6104</v>
      </c>
      <c r="B2469" s="104" t="s">
        <v>4867</v>
      </c>
      <c r="C2469" s="105" t="s">
        <v>20</v>
      </c>
      <c r="D2469" s="105">
        <v>0</v>
      </c>
      <c r="E2469" s="124" t="s">
        <v>523</v>
      </c>
      <c r="F2469" s="125" t="str">
        <f t="shared" si="123"/>
        <v/>
      </c>
      <c r="G2469" s="126" t="e">
        <f>IF(A2469&lt;&gt;"",IF(AND(#REF!="Padrão",$H$4=#REF!),BDI!$B$17,IF(AND(#REF!="Padrão",$H$4=#REF!),BDI!#REF!,IF(AND(#REF!="Diferenciado",$H$4=#REF!),BDI!$E$17,IF(AND(#REF!="Diferenciado",$H$4=#REF!),BDI!#REF!,IF(#REF!="ZERO",0))))),"")</f>
        <v>#REF!</v>
      </c>
      <c r="H2469" s="127" t="str">
        <f t="shared" si="124"/>
        <v/>
      </c>
      <c r="I2469" s="125" t="str">
        <f t="shared" si="125"/>
        <v/>
      </c>
    </row>
    <row r="2470" spans="1:9" hidden="1" x14ac:dyDescent="0.25">
      <c r="A2470" s="103" t="s">
        <v>6105</v>
      </c>
      <c r="B2470" s="104" t="s">
        <v>4868</v>
      </c>
      <c r="C2470" s="105" t="s">
        <v>20</v>
      </c>
      <c r="D2470" s="105">
        <v>0</v>
      </c>
      <c r="E2470" s="124" t="s">
        <v>523</v>
      </c>
      <c r="F2470" s="125" t="str">
        <f t="shared" si="123"/>
        <v/>
      </c>
      <c r="G2470" s="126" t="e">
        <f>IF(A2470&lt;&gt;"",IF(AND(#REF!="Padrão",$H$4=#REF!),BDI!$B$17,IF(AND(#REF!="Padrão",$H$4=#REF!),BDI!#REF!,IF(AND(#REF!="Diferenciado",$H$4=#REF!),BDI!$E$17,IF(AND(#REF!="Diferenciado",$H$4=#REF!),BDI!#REF!,IF(#REF!="ZERO",0))))),"")</f>
        <v>#REF!</v>
      </c>
      <c r="H2470" s="127" t="str">
        <f t="shared" si="124"/>
        <v/>
      </c>
      <c r="I2470" s="125" t="str">
        <f t="shared" si="125"/>
        <v/>
      </c>
    </row>
    <row r="2471" spans="1:9" hidden="1" x14ac:dyDescent="0.25">
      <c r="A2471" s="103" t="s">
        <v>6106</v>
      </c>
      <c r="B2471" s="104" t="s">
        <v>4869</v>
      </c>
      <c r="C2471" s="105" t="s">
        <v>20</v>
      </c>
      <c r="D2471" s="105">
        <v>0</v>
      </c>
      <c r="E2471" s="124" t="s">
        <v>523</v>
      </c>
      <c r="F2471" s="125" t="str">
        <f t="shared" si="123"/>
        <v/>
      </c>
      <c r="G2471" s="126" t="e">
        <f>IF(A2471&lt;&gt;"",IF(AND(#REF!="Padrão",$H$4=#REF!),BDI!$B$17,IF(AND(#REF!="Padrão",$H$4=#REF!),BDI!#REF!,IF(AND(#REF!="Diferenciado",$H$4=#REF!),BDI!$E$17,IF(AND(#REF!="Diferenciado",$H$4=#REF!),BDI!#REF!,IF(#REF!="ZERO",0))))),"")</f>
        <v>#REF!</v>
      </c>
      <c r="H2471" s="127" t="str">
        <f t="shared" si="124"/>
        <v/>
      </c>
      <c r="I2471" s="125" t="str">
        <f t="shared" si="125"/>
        <v/>
      </c>
    </row>
    <row r="2472" spans="1:9" hidden="1" x14ac:dyDescent="0.25">
      <c r="A2472" s="103" t="s">
        <v>6107</v>
      </c>
      <c r="B2472" s="104" t="s">
        <v>4870</v>
      </c>
      <c r="C2472" s="105" t="s">
        <v>20</v>
      </c>
      <c r="D2472" s="105">
        <v>0</v>
      </c>
      <c r="E2472" s="124" t="s">
        <v>523</v>
      </c>
      <c r="F2472" s="125" t="str">
        <f t="shared" si="123"/>
        <v/>
      </c>
      <c r="G2472" s="126" t="e">
        <f>IF(A2472&lt;&gt;"",IF(AND(#REF!="Padrão",$H$4=#REF!),BDI!$B$17,IF(AND(#REF!="Padrão",$H$4=#REF!),BDI!#REF!,IF(AND(#REF!="Diferenciado",$H$4=#REF!),BDI!$E$17,IF(AND(#REF!="Diferenciado",$H$4=#REF!),BDI!#REF!,IF(#REF!="ZERO",0))))),"")</f>
        <v>#REF!</v>
      </c>
      <c r="H2472" s="127" t="str">
        <f t="shared" si="124"/>
        <v/>
      </c>
      <c r="I2472" s="125" t="str">
        <f t="shared" si="125"/>
        <v/>
      </c>
    </row>
    <row r="2473" spans="1:9" hidden="1" x14ac:dyDescent="0.25">
      <c r="A2473" s="103" t="s">
        <v>6108</v>
      </c>
      <c r="B2473" s="104" t="s">
        <v>4871</v>
      </c>
      <c r="C2473" s="105" t="s">
        <v>20</v>
      </c>
      <c r="D2473" s="105">
        <v>0</v>
      </c>
      <c r="E2473" s="124" t="s">
        <v>523</v>
      </c>
      <c r="F2473" s="125" t="str">
        <f t="shared" si="123"/>
        <v/>
      </c>
      <c r="G2473" s="126" t="e">
        <f>IF(A2473&lt;&gt;"",IF(AND(#REF!="Padrão",$H$4=#REF!),BDI!$B$17,IF(AND(#REF!="Padrão",$H$4=#REF!),BDI!#REF!,IF(AND(#REF!="Diferenciado",$H$4=#REF!),BDI!$E$17,IF(AND(#REF!="Diferenciado",$H$4=#REF!),BDI!#REF!,IF(#REF!="ZERO",0))))),"")</f>
        <v>#REF!</v>
      </c>
      <c r="H2473" s="127" t="str">
        <f t="shared" si="124"/>
        <v/>
      </c>
      <c r="I2473" s="125" t="str">
        <f t="shared" si="125"/>
        <v/>
      </c>
    </row>
    <row r="2474" spans="1:9" hidden="1" x14ac:dyDescent="0.25">
      <c r="A2474" s="103" t="s">
        <v>6109</v>
      </c>
      <c r="B2474" s="104" t="s">
        <v>4872</v>
      </c>
      <c r="C2474" s="105" t="s">
        <v>20</v>
      </c>
      <c r="D2474" s="105">
        <v>0</v>
      </c>
      <c r="E2474" s="124" t="s">
        <v>523</v>
      </c>
      <c r="F2474" s="125" t="str">
        <f t="shared" si="123"/>
        <v/>
      </c>
      <c r="G2474" s="126" t="e">
        <f>IF(A2474&lt;&gt;"",IF(AND(#REF!="Padrão",$H$4=#REF!),BDI!$B$17,IF(AND(#REF!="Padrão",$H$4=#REF!),BDI!#REF!,IF(AND(#REF!="Diferenciado",$H$4=#REF!),BDI!$E$17,IF(AND(#REF!="Diferenciado",$H$4=#REF!),BDI!#REF!,IF(#REF!="ZERO",0))))),"")</f>
        <v>#REF!</v>
      </c>
      <c r="H2474" s="127" t="str">
        <f t="shared" si="124"/>
        <v/>
      </c>
      <c r="I2474" s="125" t="str">
        <f t="shared" si="125"/>
        <v/>
      </c>
    </row>
    <row r="2475" spans="1:9" hidden="1" x14ac:dyDescent="0.25">
      <c r="A2475" s="103" t="s">
        <v>6110</v>
      </c>
      <c r="B2475" s="104" t="s">
        <v>4873</v>
      </c>
      <c r="C2475" s="105" t="s">
        <v>20</v>
      </c>
      <c r="D2475" s="105">
        <v>0</v>
      </c>
      <c r="E2475" s="124" t="s">
        <v>523</v>
      </c>
      <c r="F2475" s="125" t="str">
        <f t="shared" si="123"/>
        <v/>
      </c>
      <c r="G2475" s="126" t="e">
        <f>IF(A2475&lt;&gt;"",IF(AND(#REF!="Padrão",$H$4=#REF!),BDI!$B$17,IF(AND(#REF!="Padrão",$H$4=#REF!),BDI!#REF!,IF(AND(#REF!="Diferenciado",$H$4=#REF!),BDI!$E$17,IF(AND(#REF!="Diferenciado",$H$4=#REF!),BDI!#REF!,IF(#REF!="ZERO",0))))),"")</f>
        <v>#REF!</v>
      </c>
      <c r="H2475" s="127" t="str">
        <f t="shared" si="124"/>
        <v/>
      </c>
      <c r="I2475" s="125" t="str">
        <f t="shared" si="125"/>
        <v/>
      </c>
    </row>
    <row r="2476" spans="1:9" hidden="1" x14ac:dyDescent="0.25">
      <c r="A2476" s="103" t="s">
        <v>6111</v>
      </c>
      <c r="B2476" s="104" t="s">
        <v>4874</v>
      </c>
      <c r="C2476" s="105" t="s">
        <v>20</v>
      </c>
      <c r="D2476" s="105">
        <v>0</v>
      </c>
      <c r="E2476" s="124" t="s">
        <v>523</v>
      </c>
      <c r="F2476" s="125" t="str">
        <f t="shared" si="123"/>
        <v/>
      </c>
      <c r="G2476" s="126" t="e">
        <f>IF(A2476&lt;&gt;"",IF(AND(#REF!="Padrão",$H$4=#REF!),BDI!$B$17,IF(AND(#REF!="Padrão",$H$4=#REF!),BDI!#REF!,IF(AND(#REF!="Diferenciado",$H$4=#REF!),BDI!$E$17,IF(AND(#REF!="Diferenciado",$H$4=#REF!),BDI!#REF!,IF(#REF!="ZERO",0))))),"")</f>
        <v>#REF!</v>
      </c>
      <c r="H2476" s="127" t="str">
        <f t="shared" si="124"/>
        <v/>
      </c>
      <c r="I2476" s="125" t="str">
        <f t="shared" si="125"/>
        <v/>
      </c>
    </row>
    <row r="2477" spans="1:9" hidden="1" x14ac:dyDescent="0.25">
      <c r="A2477" s="103" t="s">
        <v>6112</v>
      </c>
      <c r="B2477" s="104" t="s">
        <v>4875</v>
      </c>
      <c r="C2477" s="105" t="s">
        <v>20</v>
      </c>
      <c r="D2477" s="105">
        <v>0</v>
      </c>
      <c r="E2477" s="124" t="s">
        <v>523</v>
      </c>
      <c r="F2477" s="125" t="str">
        <f t="shared" ref="F2477:F2540" si="126">IF(ISNUMBER(E2477),D2477*E2477,"")</f>
        <v/>
      </c>
      <c r="G2477" s="126" t="e">
        <f>IF(A2477&lt;&gt;"",IF(AND(#REF!="Padrão",$H$4=#REF!),BDI!$B$17,IF(AND(#REF!="Padrão",$H$4=#REF!),BDI!#REF!,IF(AND(#REF!="Diferenciado",$H$4=#REF!),BDI!$E$17,IF(AND(#REF!="Diferenciado",$H$4=#REF!),BDI!#REF!,IF(#REF!="ZERO",0))))),"")</f>
        <v>#REF!</v>
      </c>
      <c r="H2477" s="127" t="str">
        <f t="shared" ref="H2477:H2540" si="127">IF(ISNUMBER(E2477),ROUND(E2477*(1+G2477),2),"")</f>
        <v/>
      </c>
      <c r="I2477" s="125" t="str">
        <f t="shared" ref="I2477:I2540" si="128">IF(ISNUMBER(E2477),ROUND(H2477*D2477,2),"")</f>
        <v/>
      </c>
    </row>
    <row r="2478" spans="1:9" hidden="1" x14ac:dyDescent="0.25">
      <c r="A2478" s="103" t="s">
        <v>6113</v>
      </c>
      <c r="B2478" s="104" t="s">
        <v>4876</v>
      </c>
      <c r="C2478" s="105" t="s">
        <v>20</v>
      </c>
      <c r="D2478" s="105">
        <v>0</v>
      </c>
      <c r="E2478" s="124" t="s">
        <v>523</v>
      </c>
      <c r="F2478" s="125" t="str">
        <f t="shared" si="126"/>
        <v/>
      </c>
      <c r="G2478" s="126" t="e">
        <f>IF(A2478&lt;&gt;"",IF(AND(#REF!="Padrão",$H$4=#REF!),BDI!$B$17,IF(AND(#REF!="Padrão",$H$4=#REF!),BDI!#REF!,IF(AND(#REF!="Diferenciado",$H$4=#REF!),BDI!$E$17,IF(AND(#REF!="Diferenciado",$H$4=#REF!),BDI!#REF!,IF(#REF!="ZERO",0))))),"")</f>
        <v>#REF!</v>
      </c>
      <c r="H2478" s="127" t="str">
        <f t="shared" si="127"/>
        <v/>
      </c>
      <c r="I2478" s="125" t="str">
        <f t="shared" si="128"/>
        <v/>
      </c>
    </row>
    <row r="2479" spans="1:9" hidden="1" x14ac:dyDescent="0.25">
      <c r="A2479" s="103" t="s">
        <v>6114</v>
      </c>
      <c r="B2479" s="104" t="s">
        <v>4877</v>
      </c>
      <c r="C2479" s="105" t="s">
        <v>20</v>
      </c>
      <c r="D2479" s="105">
        <v>0</v>
      </c>
      <c r="E2479" s="124" t="s">
        <v>523</v>
      </c>
      <c r="F2479" s="125" t="str">
        <f t="shared" si="126"/>
        <v/>
      </c>
      <c r="G2479" s="126" t="e">
        <f>IF(A2479&lt;&gt;"",IF(AND(#REF!="Padrão",$H$4=#REF!),BDI!$B$17,IF(AND(#REF!="Padrão",$H$4=#REF!),BDI!#REF!,IF(AND(#REF!="Diferenciado",$H$4=#REF!),BDI!$E$17,IF(AND(#REF!="Diferenciado",$H$4=#REF!),BDI!#REF!,IF(#REF!="ZERO",0))))),"")</f>
        <v>#REF!</v>
      </c>
      <c r="H2479" s="127" t="str">
        <f t="shared" si="127"/>
        <v/>
      </c>
      <c r="I2479" s="125" t="str">
        <f t="shared" si="128"/>
        <v/>
      </c>
    </row>
    <row r="2480" spans="1:9" hidden="1" x14ac:dyDescent="0.25">
      <c r="A2480" s="103" t="s">
        <v>6115</v>
      </c>
      <c r="B2480" s="104" t="s">
        <v>4878</v>
      </c>
      <c r="C2480" s="105" t="s">
        <v>20</v>
      </c>
      <c r="D2480" s="105">
        <v>0</v>
      </c>
      <c r="E2480" s="124" t="s">
        <v>523</v>
      </c>
      <c r="F2480" s="125" t="str">
        <f t="shared" si="126"/>
        <v/>
      </c>
      <c r="G2480" s="126" t="e">
        <f>IF(A2480&lt;&gt;"",IF(AND(#REF!="Padrão",$H$4=#REF!),BDI!$B$17,IF(AND(#REF!="Padrão",$H$4=#REF!),BDI!#REF!,IF(AND(#REF!="Diferenciado",$H$4=#REF!),BDI!$E$17,IF(AND(#REF!="Diferenciado",$H$4=#REF!),BDI!#REF!,IF(#REF!="ZERO",0))))),"")</f>
        <v>#REF!</v>
      </c>
      <c r="H2480" s="127" t="str">
        <f t="shared" si="127"/>
        <v/>
      </c>
      <c r="I2480" s="125" t="str">
        <f t="shared" si="128"/>
        <v/>
      </c>
    </row>
    <row r="2481" spans="1:9" hidden="1" x14ac:dyDescent="0.25">
      <c r="A2481" s="103" t="s">
        <v>6116</v>
      </c>
      <c r="B2481" s="104" t="s">
        <v>4879</v>
      </c>
      <c r="C2481" s="105" t="s">
        <v>20</v>
      </c>
      <c r="D2481" s="105">
        <v>0</v>
      </c>
      <c r="E2481" s="124" t="s">
        <v>523</v>
      </c>
      <c r="F2481" s="125" t="str">
        <f t="shared" si="126"/>
        <v/>
      </c>
      <c r="G2481" s="126" t="e">
        <f>IF(A2481&lt;&gt;"",IF(AND(#REF!="Padrão",$H$4=#REF!),BDI!$B$17,IF(AND(#REF!="Padrão",$H$4=#REF!),BDI!#REF!,IF(AND(#REF!="Diferenciado",$H$4=#REF!),BDI!$E$17,IF(AND(#REF!="Diferenciado",$H$4=#REF!),BDI!#REF!,IF(#REF!="ZERO",0))))),"")</f>
        <v>#REF!</v>
      </c>
      <c r="H2481" s="127" t="str">
        <f t="shared" si="127"/>
        <v/>
      </c>
      <c r="I2481" s="125" t="str">
        <f t="shared" si="128"/>
        <v/>
      </c>
    </row>
    <row r="2482" spans="1:9" hidden="1" x14ac:dyDescent="0.25">
      <c r="A2482" s="103" t="s">
        <v>6117</v>
      </c>
      <c r="B2482" s="104" t="s">
        <v>4880</v>
      </c>
      <c r="C2482" s="105" t="s">
        <v>20</v>
      </c>
      <c r="D2482" s="105">
        <v>0</v>
      </c>
      <c r="E2482" s="124" t="s">
        <v>523</v>
      </c>
      <c r="F2482" s="125" t="str">
        <f t="shared" si="126"/>
        <v/>
      </c>
      <c r="G2482" s="126" t="e">
        <f>IF(A2482&lt;&gt;"",IF(AND(#REF!="Padrão",$H$4=#REF!),BDI!$B$17,IF(AND(#REF!="Padrão",$H$4=#REF!),BDI!#REF!,IF(AND(#REF!="Diferenciado",$H$4=#REF!),BDI!$E$17,IF(AND(#REF!="Diferenciado",$H$4=#REF!),BDI!#REF!,IF(#REF!="ZERO",0))))),"")</f>
        <v>#REF!</v>
      </c>
      <c r="H2482" s="127" t="str">
        <f t="shared" si="127"/>
        <v/>
      </c>
      <c r="I2482" s="125" t="str">
        <f t="shared" si="128"/>
        <v/>
      </c>
    </row>
    <row r="2483" spans="1:9" hidden="1" x14ac:dyDescent="0.25">
      <c r="A2483" s="103" t="s">
        <v>6118</v>
      </c>
      <c r="B2483" s="104" t="s">
        <v>4881</v>
      </c>
      <c r="C2483" s="105" t="s">
        <v>20</v>
      </c>
      <c r="D2483" s="105">
        <v>0</v>
      </c>
      <c r="E2483" s="124" t="s">
        <v>523</v>
      </c>
      <c r="F2483" s="125" t="str">
        <f t="shared" si="126"/>
        <v/>
      </c>
      <c r="G2483" s="126" t="e">
        <f>IF(A2483&lt;&gt;"",IF(AND(#REF!="Padrão",$H$4=#REF!),BDI!$B$17,IF(AND(#REF!="Padrão",$H$4=#REF!),BDI!#REF!,IF(AND(#REF!="Diferenciado",$H$4=#REF!),BDI!$E$17,IF(AND(#REF!="Diferenciado",$H$4=#REF!),BDI!#REF!,IF(#REF!="ZERO",0))))),"")</f>
        <v>#REF!</v>
      </c>
      <c r="H2483" s="127" t="str">
        <f t="shared" si="127"/>
        <v/>
      </c>
      <c r="I2483" s="125" t="str">
        <f t="shared" si="128"/>
        <v/>
      </c>
    </row>
    <row r="2484" spans="1:9" hidden="1" x14ac:dyDescent="0.25">
      <c r="A2484" s="103" t="s">
        <v>6119</v>
      </c>
      <c r="B2484" s="104" t="s">
        <v>4882</v>
      </c>
      <c r="C2484" s="105" t="s">
        <v>20</v>
      </c>
      <c r="D2484" s="105">
        <v>0</v>
      </c>
      <c r="E2484" s="124" t="s">
        <v>523</v>
      </c>
      <c r="F2484" s="125" t="str">
        <f t="shared" si="126"/>
        <v/>
      </c>
      <c r="G2484" s="126" t="e">
        <f>IF(A2484&lt;&gt;"",IF(AND(#REF!="Padrão",$H$4=#REF!),BDI!$B$17,IF(AND(#REF!="Padrão",$H$4=#REF!),BDI!#REF!,IF(AND(#REF!="Diferenciado",$H$4=#REF!),BDI!$E$17,IF(AND(#REF!="Diferenciado",$H$4=#REF!),BDI!#REF!,IF(#REF!="ZERO",0))))),"")</f>
        <v>#REF!</v>
      </c>
      <c r="H2484" s="127" t="str">
        <f t="shared" si="127"/>
        <v/>
      </c>
      <c r="I2484" s="125" t="str">
        <f t="shared" si="128"/>
        <v/>
      </c>
    </row>
    <row r="2485" spans="1:9" hidden="1" x14ac:dyDescent="0.25">
      <c r="A2485" s="103" t="s">
        <v>6120</v>
      </c>
      <c r="B2485" s="104" t="s">
        <v>4883</v>
      </c>
      <c r="C2485" s="105" t="s">
        <v>20</v>
      </c>
      <c r="D2485" s="105">
        <v>0</v>
      </c>
      <c r="E2485" s="124" t="s">
        <v>523</v>
      </c>
      <c r="F2485" s="125" t="str">
        <f t="shared" si="126"/>
        <v/>
      </c>
      <c r="G2485" s="126" t="e">
        <f>IF(A2485&lt;&gt;"",IF(AND(#REF!="Padrão",$H$4=#REF!),BDI!$B$17,IF(AND(#REF!="Padrão",$H$4=#REF!),BDI!#REF!,IF(AND(#REF!="Diferenciado",$H$4=#REF!),BDI!$E$17,IF(AND(#REF!="Diferenciado",$H$4=#REF!),BDI!#REF!,IF(#REF!="ZERO",0))))),"")</f>
        <v>#REF!</v>
      </c>
      <c r="H2485" s="127" t="str">
        <f t="shared" si="127"/>
        <v/>
      </c>
      <c r="I2485" s="125" t="str">
        <f t="shared" si="128"/>
        <v/>
      </c>
    </row>
    <row r="2486" spans="1:9" hidden="1" x14ac:dyDescent="0.25">
      <c r="A2486" s="103" t="s">
        <v>6121</v>
      </c>
      <c r="B2486" s="104" t="s">
        <v>4884</v>
      </c>
      <c r="C2486" s="105" t="s">
        <v>20</v>
      </c>
      <c r="D2486" s="105">
        <v>0</v>
      </c>
      <c r="E2486" s="124" t="s">
        <v>523</v>
      </c>
      <c r="F2486" s="125" t="str">
        <f t="shared" si="126"/>
        <v/>
      </c>
      <c r="G2486" s="126" t="e">
        <f>IF(A2486&lt;&gt;"",IF(AND(#REF!="Padrão",$H$4=#REF!),BDI!$B$17,IF(AND(#REF!="Padrão",$H$4=#REF!),BDI!#REF!,IF(AND(#REF!="Diferenciado",$H$4=#REF!),BDI!$E$17,IF(AND(#REF!="Diferenciado",$H$4=#REF!),BDI!#REF!,IF(#REF!="ZERO",0))))),"")</f>
        <v>#REF!</v>
      </c>
      <c r="H2486" s="127" t="str">
        <f t="shared" si="127"/>
        <v/>
      </c>
      <c r="I2486" s="125" t="str">
        <f t="shared" si="128"/>
        <v/>
      </c>
    </row>
    <row r="2487" spans="1:9" hidden="1" x14ac:dyDescent="0.25">
      <c r="A2487" s="103" t="s">
        <v>6122</v>
      </c>
      <c r="B2487" s="104" t="s">
        <v>4885</v>
      </c>
      <c r="C2487" s="105" t="s">
        <v>20</v>
      </c>
      <c r="D2487" s="105">
        <v>0</v>
      </c>
      <c r="E2487" s="124" t="s">
        <v>523</v>
      </c>
      <c r="F2487" s="125" t="str">
        <f t="shared" si="126"/>
        <v/>
      </c>
      <c r="G2487" s="126" t="e">
        <f>IF(A2487&lt;&gt;"",IF(AND(#REF!="Padrão",$H$4=#REF!),BDI!$B$17,IF(AND(#REF!="Padrão",$H$4=#REF!),BDI!#REF!,IF(AND(#REF!="Diferenciado",$H$4=#REF!),BDI!$E$17,IF(AND(#REF!="Diferenciado",$H$4=#REF!),BDI!#REF!,IF(#REF!="ZERO",0))))),"")</f>
        <v>#REF!</v>
      </c>
      <c r="H2487" s="127" t="str">
        <f t="shared" si="127"/>
        <v/>
      </c>
      <c r="I2487" s="125" t="str">
        <f t="shared" si="128"/>
        <v/>
      </c>
    </row>
    <row r="2488" spans="1:9" hidden="1" x14ac:dyDescent="0.25">
      <c r="A2488" s="103" t="s">
        <v>6123</v>
      </c>
      <c r="B2488" s="104" t="s">
        <v>4886</v>
      </c>
      <c r="C2488" s="105" t="s">
        <v>20</v>
      </c>
      <c r="D2488" s="105">
        <v>0</v>
      </c>
      <c r="E2488" s="124" t="s">
        <v>523</v>
      </c>
      <c r="F2488" s="125" t="str">
        <f t="shared" si="126"/>
        <v/>
      </c>
      <c r="G2488" s="126" t="e">
        <f>IF(A2488&lt;&gt;"",IF(AND(#REF!="Padrão",$H$4=#REF!),BDI!$B$17,IF(AND(#REF!="Padrão",$H$4=#REF!),BDI!#REF!,IF(AND(#REF!="Diferenciado",$H$4=#REF!),BDI!$E$17,IF(AND(#REF!="Diferenciado",$H$4=#REF!),BDI!#REF!,IF(#REF!="ZERO",0))))),"")</f>
        <v>#REF!</v>
      </c>
      <c r="H2488" s="127" t="str">
        <f t="shared" si="127"/>
        <v/>
      </c>
      <c r="I2488" s="125" t="str">
        <f t="shared" si="128"/>
        <v/>
      </c>
    </row>
    <row r="2489" spans="1:9" hidden="1" x14ac:dyDescent="0.25">
      <c r="A2489" s="103" t="s">
        <v>6124</v>
      </c>
      <c r="B2489" s="104" t="s">
        <v>4887</v>
      </c>
      <c r="C2489" s="105" t="s">
        <v>20</v>
      </c>
      <c r="D2489" s="105">
        <v>0</v>
      </c>
      <c r="E2489" s="124" t="s">
        <v>523</v>
      </c>
      <c r="F2489" s="125" t="str">
        <f t="shared" si="126"/>
        <v/>
      </c>
      <c r="G2489" s="126" t="e">
        <f>IF(A2489&lt;&gt;"",IF(AND(#REF!="Padrão",$H$4=#REF!),BDI!$B$17,IF(AND(#REF!="Padrão",$H$4=#REF!),BDI!#REF!,IF(AND(#REF!="Diferenciado",$H$4=#REF!),BDI!$E$17,IF(AND(#REF!="Diferenciado",$H$4=#REF!),BDI!#REF!,IF(#REF!="ZERO",0))))),"")</f>
        <v>#REF!</v>
      </c>
      <c r="H2489" s="127" t="str">
        <f t="shared" si="127"/>
        <v/>
      </c>
      <c r="I2489" s="125" t="str">
        <f t="shared" si="128"/>
        <v/>
      </c>
    </row>
    <row r="2490" spans="1:9" hidden="1" x14ac:dyDescent="0.25">
      <c r="A2490" s="103" t="s">
        <v>6125</v>
      </c>
      <c r="B2490" s="104" t="s">
        <v>4888</v>
      </c>
      <c r="C2490" s="105" t="s">
        <v>20</v>
      </c>
      <c r="D2490" s="105">
        <v>0</v>
      </c>
      <c r="E2490" s="124" t="s">
        <v>523</v>
      </c>
      <c r="F2490" s="125" t="str">
        <f t="shared" si="126"/>
        <v/>
      </c>
      <c r="G2490" s="126" t="e">
        <f>IF(A2490&lt;&gt;"",IF(AND(#REF!="Padrão",$H$4=#REF!),BDI!$B$17,IF(AND(#REF!="Padrão",$H$4=#REF!),BDI!#REF!,IF(AND(#REF!="Diferenciado",$H$4=#REF!),BDI!$E$17,IF(AND(#REF!="Diferenciado",$H$4=#REF!),BDI!#REF!,IF(#REF!="ZERO",0))))),"")</f>
        <v>#REF!</v>
      </c>
      <c r="H2490" s="127" t="str">
        <f t="shared" si="127"/>
        <v/>
      </c>
      <c r="I2490" s="125" t="str">
        <f t="shared" si="128"/>
        <v/>
      </c>
    </row>
    <row r="2491" spans="1:9" hidden="1" x14ac:dyDescent="0.25">
      <c r="A2491" s="103" t="s">
        <v>6126</v>
      </c>
      <c r="B2491" s="104" t="s">
        <v>4889</v>
      </c>
      <c r="C2491" s="105" t="s">
        <v>20</v>
      </c>
      <c r="D2491" s="105">
        <v>0</v>
      </c>
      <c r="E2491" s="124" t="s">
        <v>523</v>
      </c>
      <c r="F2491" s="125" t="str">
        <f t="shared" si="126"/>
        <v/>
      </c>
      <c r="G2491" s="126" t="e">
        <f>IF(A2491&lt;&gt;"",IF(AND(#REF!="Padrão",$H$4=#REF!),BDI!$B$17,IF(AND(#REF!="Padrão",$H$4=#REF!),BDI!#REF!,IF(AND(#REF!="Diferenciado",$H$4=#REF!),BDI!$E$17,IF(AND(#REF!="Diferenciado",$H$4=#REF!),BDI!#REF!,IF(#REF!="ZERO",0))))),"")</f>
        <v>#REF!</v>
      </c>
      <c r="H2491" s="127" t="str">
        <f t="shared" si="127"/>
        <v/>
      </c>
      <c r="I2491" s="125" t="str">
        <f t="shared" si="128"/>
        <v/>
      </c>
    </row>
    <row r="2492" spans="1:9" hidden="1" x14ac:dyDescent="0.25">
      <c r="A2492" s="103" t="s">
        <v>6127</v>
      </c>
      <c r="B2492" s="104" t="s">
        <v>4890</v>
      </c>
      <c r="C2492" s="105" t="s">
        <v>20</v>
      </c>
      <c r="D2492" s="105">
        <v>0</v>
      </c>
      <c r="E2492" s="124" t="s">
        <v>523</v>
      </c>
      <c r="F2492" s="125" t="str">
        <f t="shared" si="126"/>
        <v/>
      </c>
      <c r="G2492" s="126" t="e">
        <f>IF(A2492&lt;&gt;"",IF(AND(#REF!="Padrão",$H$4=#REF!),BDI!$B$17,IF(AND(#REF!="Padrão",$H$4=#REF!),BDI!#REF!,IF(AND(#REF!="Diferenciado",$H$4=#REF!),BDI!$E$17,IF(AND(#REF!="Diferenciado",$H$4=#REF!),BDI!#REF!,IF(#REF!="ZERO",0))))),"")</f>
        <v>#REF!</v>
      </c>
      <c r="H2492" s="127" t="str">
        <f t="shared" si="127"/>
        <v/>
      </c>
      <c r="I2492" s="125" t="str">
        <f t="shared" si="128"/>
        <v/>
      </c>
    </row>
    <row r="2493" spans="1:9" hidden="1" x14ac:dyDescent="0.25">
      <c r="A2493" s="103" t="s">
        <v>6128</v>
      </c>
      <c r="B2493" s="104" t="s">
        <v>4891</v>
      </c>
      <c r="C2493" s="105" t="s">
        <v>20</v>
      </c>
      <c r="D2493" s="105">
        <v>0</v>
      </c>
      <c r="E2493" s="124" t="s">
        <v>523</v>
      </c>
      <c r="F2493" s="125" t="str">
        <f t="shared" si="126"/>
        <v/>
      </c>
      <c r="G2493" s="126" t="e">
        <f>IF(A2493&lt;&gt;"",IF(AND(#REF!="Padrão",$H$4=#REF!),BDI!$B$17,IF(AND(#REF!="Padrão",$H$4=#REF!),BDI!#REF!,IF(AND(#REF!="Diferenciado",$H$4=#REF!),BDI!$E$17,IF(AND(#REF!="Diferenciado",$H$4=#REF!),BDI!#REF!,IF(#REF!="ZERO",0))))),"")</f>
        <v>#REF!</v>
      </c>
      <c r="H2493" s="127" t="str">
        <f t="shared" si="127"/>
        <v/>
      </c>
      <c r="I2493" s="125" t="str">
        <f t="shared" si="128"/>
        <v/>
      </c>
    </row>
    <row r="2494" spans="1:9" hidden="1" x14ac:dyDescent="0.25">
      <c r="A2494" s="103" t="s">
        <v>6129</v>
      </c>
      <c r="B2494" s="104" t="s">
        <v>4892</v>
      </c>
      <c r="C2494" s="105" t="s">
        <v>20</v>
      </c>
      <c r="D2494" s="105">
        <v>0</v>
      </c>
      <c r="E2494" s="124" t="s">
        <v>523</v>
      </c>
      <c r="F2494" s="125" t="str">
        <f t="shared" si="126"/>
        <v/>
      </c>
      <c r="G2494" s="126" t="e">
        <f>IF(A2494&lt;&gt;"",IF(AND(#REF!="Padrão",$H$4=#REF!),BDI!$B$17,IF(AND(#REF!="Padrão",$H$4=#REF!),BDI!#REF!,IF(AND(#REF!="Diferenciado",$H$4=#REF!),BDI!$E$17,IF(AND(#REF!="Diferenciado",$H$4=#REF!),BDI!#REF!,IF(#REF!="ZERO",0))))),"")</f>
        <v>#REF!</v>
      </c>
      <c r="H2494" s="127" t="str">
        <f t="shared" si="127"/>
        <v/>
      </c>
      <c r="I2494" s="125" t="str">
        <f t="shared" si="128"/>
        <v/>
      </c>
    </row>
    <row r="2495" spans="1:9" hidden="1" x14ac:dyDescent="0.25">
      <c r="A2495" s="103" t="s">
        <v>6130</v>
      </c>
      <c r="B2495" s="104" t="s">
        <v>4893</v>
      </c>
      <c r="C2495" s="105" t="s">
        <v>20</v>
      </c>
      <c r="D2495" s="105">
        <v>0</v>
      </c>
      <c r="E2495" s="124" t="s">
        <v>523</v>
      </c>
      <c r="F2495" s="125" t="str">
        <f t="shared" si="126"/>
        <v/>
      </c>
      <c r="G2495" s="126" t="e">
        <f>IF(A2495&lt;&gt;"",IF(AND(#REF!="Padrão",$H$4=#REF!),BDI!$B$17,IF(AND(#REF!="Padrão",$H$4=#REF!),BDI!#REF!,IF(AND(#REF!="Diferenciado",$H$4=#REF!),BDI!$E$17,IF(AND(#REF!="Diferenciado",$H$4=#REF!),BDI!#REF!,IF(#REF!="ZERO",0))))),"")</f>
        <v>#REF!</v>
      </c>
      <c r="H2495" s="127" t="str">
        <f t="shared" si="127"/>
        <v/>
      </c>
      <c r="I2495" s="125" t="str">
        <f t="shared" si="128"/>
        <v/>
      </c>
    </row>
    <row r="2496" spans="1:9" hidden="1" x14ac:dyDescent="0.25">
      <c r="A2496" s="103" t="s">
        <v>6131</v>
      </c>
      <c r="B2496" s="104" t="s">
        <v>4894</v>
      </c>
      <c r="C2496" s="105" t="s">
        <v>20</v>
      </c>
      <c r="D2496" s="105">
        <v>0</v>
      </c>
      <c r="E2496" s="124" t="s">
        <v>523</v>
      </c>
      <c r="F2496" s="125" t="str">
        <f t="shared" si="126"/>
        <v/>
      </c>
      <c r="G2496" s="126" t="e">
        <f>IF(A2496&lt;&gt;"",IF(AND(#REF!="Padrão",$H$4=#REF!),BDI!$B$17,IF(AND(#REF!="Padrão",$H$4=#REF!),BDI!#REF!,IF(AND(#REF!="Diferenciado",$H$4=#REF!),BDI!$E$17,IF(AND(#REF!="Diferenciado",$H$4=#REF!),BDI!#REF!,IF(#REF!="ZERO",0))))),"")</f>
        <v>#REF!</v>
      </c>
      <c r="H2496" s="127" t="str">
        <f t="shared" si="127"/>
        <v/>
      </c>
      <c r="I2496" s="125" t="str">
        <f t="shared" si="128"/>
        <v/>
      </c>
    </row>
    <row r="2497" spans="1:9" hidden="1" x14ac:dyDescent="0.25">
      <c r="A2497" s="103" t="s">
        <v>6132</v>
      </c>
      <c r="B2497" s="104" t="s">
        <v>4895</v>
      </c>
      <c r="C2497" s="105" t="s">
        <v>20</v>
      </c>
      <c r="D2497" s="105">
        <v>0</v>
      </c>
      <c r="E2497" s="124" t="s">
        <v>523</v>
      </c>
      <c r="F2497" s="125" t="str">
        <f t="shared" si="126"/>
        <v/>
      </c>
      <c r="G2497" s="126" t="e">
        <f>IF(A2497&lt;&gt;"",IF(AND(#REF!="Padrão",$H$4=#REF!),BDI!$B$17,IF(AND(#REF!="Padrão",$H$4=#REF!),BDI!#REF!,IF(AND(#REF!="Diferenciado",$H$4=#REF!),BDI!$E$17,IF(AND(#REF!="Diferenciado",$H$4=#REF!),BDI!#REF!,IF(#REF!="ZERO",0))))),"")</f>
        <v>#REF!</v>
      </c>
      <c r="H2497" s="127" t="str">
        <f t="shared" si="127"/>
        <v/>
      </c>
      <c r="I2497" s="125" t="str">
        <f t="shared" si="128"/>
        <v/>
      </c>
    </row>
    <row r="2498" spans="1:9" hidden="1" x14ac:dyDescent="0.25">
      <c r="A2498" s="103" t="s">
        <v>6133</v>
      </c>
      <c r="B2498" s="104" t="s">
        <v>4896</v>
      </c>
      <c r="C2498" s="105" t="s">
        <v>20</v>
      </c>
      <c r="D2498" s="105">
        <v>0</v>
      </c>
      <c r="E2498" s="124" t="s">
        <v>523</v>
      </c>
      <c r="F2498" s="125" t="str">
        <f t="shared" si="126"/>
        <v/>
      </c>
      <c r="G2498" s="126" t="e">
        <f>IF(A2498&lt;&gt;"",IF(AND(#REF!="Padrão",$H$4=#REF!),BDI!$B$17,IF(AND(#REF!="Padrão",$H$4=#REF!),BDI!#REF!,IF(AND(#REF!="Diferenciado",$H$4=#REF!),BDI!$E$17,IF(AND(#REF!="Diferenciado",$H$4=#REF!),BDI!#REF!,IF(#REF!="ZERO",0))))),"")</f>
        <v>#REF!</v>
      </c>
      <c r="H2498" s="127" t="str">
        <f t="shared" si="127"/>
        <v/>
      </c>
      <c r="I2498" s="125" t="str">
        <f t="shared" si="128"/>
        <v/>
      </c>
    </row>
    <row r="2499" spans="1:9" hidden="1" x14ac:dyDescent="0.25">
      <c r="A2499" s="103" t="s">
        <v>6134</v>
      </c>
      <c r="B2499" s="104" t="s">
        <v>4897</v>
      </c>
      <c r="C2499" s="105" t="s">
        <v>20</v>
      </c>
      <c r="D2499" s="105">
        <v>0</v>
      </c>
      <c r="E2499" s="124" t="s">
        <v>523</v>
      </c>
      <c r="F2499" s="125" t="str">
        <f t="shared" si="126"/>
        <v/>
      </c>
      <c r="G2499" s="126" t="e">
        <f>IF(A2499&lt;&gt;"",IF(AND(#REF!="Padrão",$H$4=#REF!),BDI!$B$17,IF(AND(#REF!="Padrão",$H$4=#REF!),BDI!#REF!,IF(AND(#REF!="Diferenciado",$H$4=#REF!),BDI!$E$17,IF(AND(#REF!="Diferenciado",$H$4=#REF!),BDI!#REF!,IF(#REF!="ZERO",0))))),"")</f>
        <v>#REF!</v>
      </c>
      <c r="H2499" s="127" t="str">
        <f t="shared" si="127"/>
        <v/>
      </c>
      <c r="I2499" s="125" t="str">
        <f t="shared" si="128"/>
        <v/>
      </c>
    </row>
    <row r="2500" spans="1:9" hidden="1" x14ac:dyDescent="0.25">
      <c r="A2500" s="103" t="s">
        <v>6135</v>
      </c>
      <c r="B2500" s="104" t="s">
        <v>4898</v>
      </c>
      <c r="C2500" s="105" t="s">
        <v>20</v>
      </c>
      <c r="D2500" s="105">
        <v>0</v>
      </c>
      <c r="E2500" s="124" t="s">
        <v>523</v>
      </c>
      <c r="F2500" s="125" t="str">
        <f t="shared" si="126"/>
        <v/>
      </c>
      <c r="G2500" s="126" t="e">
        <f>IF(A2500&lt;&gt;"",IF(AND(#REF!="Padrão",$H$4=#REF!),BDI!$B$17,IF(AND(#REF!="Padrão",$H$4=#REF!),BDI!#REF!,IF(AND(#REF!="Diferenciado",$H$4=#REF!),BDI!$E$17,IF(AND(#REF!="Diferenciado",$H$4=#REF!),BDI!#REF!,IF(#REF!="ZERO",0))))),"")</f>
        <v>#REF!</v>
      </c>
      <c r="H2500" s="127" t="str">
        <f t="shared" si="127"/>
        <v/>
      </c>
      <c r="I2500" s="125" t="str">
        <f t="shared" si="128"/>
        <v/>
      </c>
    </row>
    <row r="2501" spans="1:9" hidden="1" x14ac:dyDescent="0.25">
      <c r="A2501" s="103" t="s">
        <v>6136</v>
      </c>
      <c r="B2501" s="104" t="s">
        <v>4899</v>
      </c>
      <c r="C2501" s="105" t="s">
        <v>20</v>
      </c>
      <c r="D2501" s="105">
        <v>0</v>
      </c>
      <c r="E2501" s="124" t="s">
        <v>523</v>
      </c>
      <c r="F2501" s="125" t="str">
        <f t="shared" si="126"/>
        <v/>
      </c>
      <c r="G2501" s="126" t="e">
        <f>IF(A2501&lt;&gt;"",IF(AND(#REF!="Padrão",$H$4=#REF!),BDI!$B$17,IF(AND(#REF!="Padrão",$H$4=#REF!),BDI!#REF!,IF(AND(#REF!="Diferenciado",$H$4=#REF!),BDI!$E$17,IF(AND(#REF!="Diferenciado",$H$4=#REF!),BDI!#REF!,IF(#REF!="ZERO",0))))),"")</f>
        <v>#REF!</v>
      </c>
      <c r="H2501" s="127" t="str">
        <f t="shared" si="127"/>
        <v/>
      </c>
      <c r="I2501" s="125" t="str">
        <f t="shared" si="128"/>
        <v/>
      </c>
    </row>
    <row r="2502" spans="1:9" hidden="1" x14ac:dyDescent="0.25">
      <c r="A2502" s="103" t="s">
        <v>6137</v>
      </c>
      <c r="B2502" s="104" t="s">
        <v>4900</v>
      </c>
      <c r="C2502" s="105" t="s">
        <v>20</v>
      </c>
      <c r="D2502" s="105">
        <v>0</v>
      </c>
      <c r="E2502" s="124" t="s">
        <v>523</v>
      </c>
      <c r="F2502" s="125" t="str">
        <f t="shared" si="126"/>
        <v/>
      </c>
      <c r="G2502" s="126" t="e">
        <f>IF(A2502&lt;&gt;"",IF(AND(#REF!="Padrão",$H$4=#REF!),BDI!$B$17,IF(AND(#REF!="Padrão",$H$4=#REF!),BDI!#REF!,IF(AND(#REF!="Diferenciado",$H$4=#REF!),BDI!$E$17,IF(AND(#REF!="Diferenciado",$H$4=#REF!),BDI!#REF!,IF(#REF!="ZERO",0))))),"")</f>
        <v>#REF!</v>
      </c>
      <c r="H2502" s="127" t="str">
        <f t="shared" si="127"/>
        <v/>
      </c>
      <c r="I2502" s="125" t="str">
        <f t="shared" si="128"/>
        <v/>
      </c>
    </row>
    <row r="2503" spans="1:9" hidden="1" x14ac:dyDescent="0.25">
      <c r="A2503" s="103" t="s">
        <v>6138</v>
      </c>
      <c r="B2503" s="104" t="s">
        <v>4901</v>
      </c>
      <c r="C2503" s="105" t="s">
        <v>20</v>
      </c>
      <c r="D2503" s="105">
        <v>0</v>
      </c>
      <c r="E2503" s="124" t="s">
        <v>523</v>
      </c>
      <c r="F2503" s="125" t="str">
        <f t="shared" si="126"/>
        <v/>
      </c>
      <c r="G2503" s="126" t="e">
        <f>IF(A2503&lt;&gt;"",IF(AND(#REF!="Padrão",$H$4=#REF!),BDI!$B$17,IF(AND(#REF!="Padrão",$H$4=#REF!),BDI!#REF!,IF(AND(#REF!="Diferenciado",$H$4=#REF!),BDI!$E$17,IF(AND(#REF!="Diferenciado",$H$4=#REF!),BDI!#REF!,IF(#REF!="ZERO",0))))),"")</f>
        <v>#REF!</v>
      </c>
      <c r="H2503" s="127" t="str">
        <f t="shared" si="127"/>
        <v/>
      </c>
      <c r="I2503" s="125" t="str">
        <f t="shared" si="128"/>
        <v/>
      </c>
    </row>
    <row r="2504" spans="1:9" hidden="1" x14ac:dyDescent="0.25">
      <c r="A2504" s="103" t="s">
        <v>6139</v>
      </c>
      <c r="B2504" s="104" t="s">
        <v>4902</v>
      </c>
      <c r="C2504" s="105" t="s">
        <v>20</v>
      </c>
      <c r="D2504" s="105">
        <v>0</v>
      </c>
      <c r="E2504" s="124">
        <f ca="1">OFFSET(INDEX(Composições!A:J,MATCH(Orçamentária!A2504,Composições!A:A,0),8),2,0)</f>
        <v>119.24399999999999</v>
      </c>
      <c r="F2504" s="125">
        <f t="shared" ca="1" si="126"/>
        <v>0</v>
      </c>
      <c r="G2504" s="126" t="e">
        <f>IF(A2504&lt;&gt;"",IF(AND(#REF!="Padrão",$H$4=#REF!),BDI!$B$17,IF(AND(#REF!="Padrão",$H$4=#REF!),BDI!#REF!,IF(AND(#REF!="Diferenciado",$H$4=#REF!),BDI!$E$17,IF(AND(#REF!="Diferenciado",$H$4=#REF!),BDI!#REF!,IF(#REF!="ZERO",0))))),"")</f>
        <v>#REF!</v>
      </c>
      <c r="H2504" s="127" t="e">
        <f t="shared" ca="1" si="127"/>
        <v>#REF!</v>
      </c>
      <c r="I2504" s="125" t="e">
        <f t="shared" ca="1" si="128"/>
        <v>#REF!</v>
      </c>
    </row>
    <row r="2505" spans="1:9" hidden="1" x14ac:dyDescent="0.25">
      <c r="A2505" s="103" t="s">
        <v>6140</v>
      </c>
      <c r="B2505" s="104" t="s">
        <v>4903</v>
      </c>
      <c r="C2505" s="105" t="s">
        <v>20</v>
      </c>
      <c r="D2505" s="105">
        <v>0</v>
      </c>
      <c r="E2505" s="124" t="s">
        <v>523</v>
      </c>
      <c r="F2505" s="125" t="str">
        <f t="shared" si="126"/>
        <v/>
      </c>
      <c r="G2505" s="126" t="e">
        <f>IF(A2505&lt;&gt;"",IF(AND(#REF!="Padrão",$H$4=#REF!),BDI!$B$17,IF(AND(#REF!="Padrão",$H$4=#REF!),BDI!#REF!,IF(AND(#REF!="Diferenciado",$H$4=#REF!),BDI!$E$17,IF(AND(#REF!="Diferenciado",$H$4=#REF!),BDI!#REF!,IF(#REF!="ZERO",0))))),"")</f>
        <v>#REF!</v>
      </c>
      <c r="H2505" s="127" t="str">
        <f t="shared" si="127"/>
        <v/>
      </c>
      <c r="I2505" s="125" t="str">
        <f t="shared" si="128"/>
        <v/>
      </c>
    </row>
    <row r="2506" spans="1:9" hidden="1" x14ac:dyDescent="0.25">
      <c r="A2506" s="103" t="s">
        <v>6141</v>
      </c>
      <c r="B2506" s="104" t="s">
        <v>4904</v>
      </c>
      <c r="C2506" s="105" t="s">
        <v>20</v>
      </c>
      <c r="D2506" s="105">
        <v>0</v>
      </c>
      <c r="E2506" s="124" t="s">
        <v>523</v>
      </c>
      <c r="F2506" s="125" t="str">
        <f t="shared" si="126"/>
        <v/>
      </c>
      <c r="G2506" s="126" t="e">
        <f>IF(A2506&lt;&gt;"",IF(AND(#REF!="Padrão",$H$4=#REF!),BDI!$B$17,IF(AND(#REF!="Padrão",$H$4=#REF!),BDI!#REF!,IF(AND(#REF!="Diferenciado",$H$4=#REF!),BDI!$E$17,IF(AND(#REF!="Diferenciado",$H$4=#REF!),BDI!#REF!,IF(#REF!="ZERO",0))))),"")</f>
        <v>#REF!</v>
      </c>
      <c r="H2506" s="127" t="str">
        <f t="shared" si="127"/>
        <v/>
      </c>
      <c r="I2506" s="125" t="str">
        <f t="shared" si="128"/>
        <v/>
      </c>
    </row>
    <row r="2507" spans="1:9" hidden="1" x14ac:dyDescent="0.25">
      <c r="A2507" s="103" t="s">
        <v>6142</v>
      </c>
      <c r="B2507" s="104" t="s">
        <v>4905</v>
      </c>
      <c r="C2507" s="105" t="s">
        <v>20</v>
      </c>
      <c r="D2507" s="105">
        <v>0</v>
      </c>
      <c r="E2507" s="124" t="s">
        <v>523</v>
      </c>
      <c r="F2507" s="125" t="str">
        <f t="shared" si="126"/>
        <v/>
      </c>
      <c r="G2507" s="126" t="e">
        <f>IF(A2507&lt;&gt;"",IF(AND(#REF!="Padrão",$H$4=#REF!),BDI!$B$17,IF(AND(#REF!="Padrão",$H$4=#REF!),BDI!#REF!,IF(AND(#REF!="Diferenciado",$H$4=#REF!),BDI!$E$17,IF(AND(#REF!="Diferenciado",$H$4=#REF!),BDI!#REF!,IF(#REF!="ZERO",0))))),"")</f>
        <v>#REF!</v>
      </c>
      <c r="H2507" s="127" t="str">
        <f t="shared" si="127"/>
        <v/>
      </c>
      <c r="I2507" s="125" t="str">
        <f t="shared" si="128"/>
        <v/>
      </c>
    </row>
    <row r="2508" spans="1:9" hidden="1" x14ac:dyDescent="0.25">
      <c r="A2508" s="103" t="s">
        <v>6143</v>
      </c>
      <c r="B2508" s="104" t="s">
        <v>4906</v>
      </c>
      <c r="C2508" s="105" t="s">
        <v>20</v>
      </c>
      <c r="D2508" s="105">
        <v>0</v>
      </c>
      <c r="E2508" s="124" t="s">
        <v>523</v>
      </c>
      <c r="F2508" s="125" t="str">
        <f t="shared" si="126"/>
        <v/>
      </c>
      <c r="G2508" s="126" t="e">
        <f>IF(A2508&lt;&gt;"",IF(AND(#REF!="Padrão",$H$4=#REF!),BDI!$B$17,IF(AND(#REF!="Padrão",$H$4=#REF!),BDI!#REF!,IF(AND(#REF!="Diferenciado",$H$4=#REF!),BDI!$E$17,IF(AND(#REF!="Diferenciado",$H$4=#REF!),BDI!#REF!,IF(#REF!="ZERO",0))))),"")</f>
        <v>#REF!</v>
      </c>
      <c r="H2508" s="127" t="str">
        <f t="shared" si="127"/>
        <v/>
      </c>
      <c r="I2508" s="125" t="str">
        <f t="shared" si="128"/>
        <v/>
      </c>
    </row>
    <row r="2509" spans="1:9" hidden="1" x14ac:dyDescent="0.25">
      <c r="A2509" s="103" t="s">
        <v>6144</v>
      </c>
      <c r="B2509" s="104" t="s">
        <v>4907</v>
      </c>
      <c r="C2509" s="105" t="s">
        <v>20</v>
      </c>
      <c r="D2509" s="105">
        <v>0</v>
      </c>
      <c r="E2509" s="124" t="s">
        <v>523</v>
      </c>
      <c r="F2509" s="125" t="str">
        <f t="shared" si="126"/>
        <v/>
      </c>
      <c r="G2509" s="126" t="e">
        <f>IF(A2509&lt;&gt;"",IF(AND(#REF!="Padrão",$H$4=#REF!),BDI!$B$17,IF(AND(#REF!="Padrão",$H$4=#REF!),BDI!#REF!,IF(AND(#REF!="Diferenciado",$H$4=#REF!),BDI!$E$17,IF(AND(#REF!="Diferenciado",$H$4=#REF!),BDI!#REF!,IF(#REF!="ZERO",0))))),"")</f>
        <v>#REF!</v>
      </c>
      <c r="H2509" s="127" t="str">
        <f t="shared" si="127"/>
        <v/>
      </c>
      <c r="I2509" s="125" t="str">
        <f t="shared" si="128"/>
        <v/>
      </c>
    </row>
    <row r="2510" spans="1:9" hidden="1" x14ac:dyDescent="0.25">
      <c r="A2510" s="103" t="s">
        <v>6145</v>
      </c>
      <c r="B2510" s="104" t="s">
        <v>4908</v>
      </c>
      <c r="C2510" s="105" t="s">
        <v>20</v>
      </c>
      <c r="D2510" s="105">
        <v>0</v>
      </c>
      <c r="E2510" s="124" t="s">
        <v>523</v>
      </c>
      <c r="F2510" s="125" t="str">
        <f t="shared" si="126"/>
        <v/>
      </c>
      <c r="G2510" s="126" t="e">
        <f>IF(A2510&lt;&gt;"",IF(AND(#REF!="Padrão",$H$4=#REF!),BDI!$B$17,IF(AND(#REF!="Padrão",$H$4=#REF!),BDI!#REF!,IF(AND(#REF!="Diferenciado",$H$4=#REF!),BDI!$E$17,IF(AND(#REF!="Diferenciado",$H$4=#REF!),BDI!#REF!,IF(#REF!="ZERO",0))))),"")</f>
        <v>#REF!</v>
      </c>
      <c r="H2510" s="127" t="str">
        <f t="shared" si="127"/>
        <v/>
      </c>
      <c r="I2510" s="125" t="str">
        <f t="shared" si="128"/>
        <v/>
      </c>
    </row>
    <row r="2511" spans="1:9" hidden="1" x14ac:dyDescent="0.25">
      <c r="A2511" s="103" t="s">
        <v>6146</v>
      </c>
      <c r="B2511" s="104" t="s">
        <v>4909</v>
      </c>
      <c r="C2511" s="105" t="s">
        <v>20</v>
      </c>
      <c r="D2511" s="105">
        <v>0</v>
      </c>
      <c r="E2511" s="124" t="s">
        <v>523</v>
      </c>
      <c r="F2511" s="125" t="str">
        <f t="shared" si="126"/>
        <v/>
      </c>
      <c r="G2511" s="126" t="e">
        <f>IF(A2511&lt;&gt;"",IF(AND(#REF!="Padrão",$H$4=#REF!),BDI!$B$17,IF(AND(#REF!="Padrão",$H$4=#REF!),BDI!#REF!,IF(AND(#REF!="Diferenciado",$H$4=#REF!),BDI!$E$17,IF(AND(#REF!="Diferenciado",$H$4=#REF!),BDI!#REF!,IF(#REF!="ZERO",0))))),"")</f>
        <v>#REF!</v>
      </c>
      <c r="H2511" s="127" t="str">
        <f t="shared" si="127"/>
        <v/>
      </c>
      <c r="I2511" s="125" t="str">
        <f t="shared" si="128"/>
        <v/>
      </c>
    </row>
    <row r="2512" spans="1:9" hidden="1" x14ac:dyDescent="0.25">
      <c r="A2512" s="103" t="s">
        <v>6147</v>
      </c>
      <c r="B2512" s="104" t="s">
        <v>4910</v>
      </c>
      <c r="C2512" s="105" t="s">
        <v>20</v>
      </c>
      <c r="D2512" s="105">
        <v>0</v>
      </c>
      <c r="E2512" s="124" t="s">
        <v>523</v>
      </c>
      <c r="F2512" s="125" t="str">
        <f t="shared" si="126"/>
        <v/>
      </c>
      <c r="G2512" s="126" t="e">
        <f>IF(A2512&lt;&gt;"",IF(AND(#REF!="Padrão",$H$4=#REF!),BDI!$B$17,IF(AND(#REF!="Padrão",$H$4=#REF!),BDI!#REF!,IF(AND(#REF!="Diferenciado",$H$4=#REF!),BDI!$E$17,IF(AND(#REF!="Diferenciado",$H$4=#REF!),BDI!#REF!,IF(#REF!="ZERO",0))))),"")</f>
        <v>#REF!</v>
      </c>
      <c r="H2512" s="127" t="str">
        <f t="shared" si="127"/>
        <v/>
      </c>
      <c r="I2512" s="125" t="str">
        <f t="shared" si="128"/>
        <v/>
      </c>
    </row>
    <row r="2513" spans="1:9" hidden="1" x14ac:dyDescent="0.25">
      <c r="A2513" s="103" t="s">
        <v>6148</v>
      </c>
      <c r="B2513" s="104" t="s">
        <v>4911</v>
      </c>
      <c r="C2513" s="105" t="s">
        <v>20</v>
      </c>
      <c r="D2513" s="105">
        <v>0</v>
      </c>
      <c r="E2513" s="124" t="s">
        <v>523</v>
      </c>
      <c r="F2513" s="125" t="str">
        <f t="shared" si="126"/>
        <v/>
      </c>
      <c r="G2513" s="126" t="e">
        <f>IF(A2513&lt;&gt;"",IF(AND(#REF!="Padrão",$H$4=#REF!),BDI!$B$17,IF(AND(#REF!="Padrão",$H$4=#REF!),BDI!#REF!,IF(AND(#REF!="Diferenciado",$H$4=#REF!),BDI!$E$17,IF(AND(#REF!="Diferenciado",$H$4=#REF!),BDI!#REF!,IF(#REF!="ZERO",0))))),"")</f>
        <v>#REF!</v>
      </c>
      <c r="H2513" s="127" t="str">
        <f t="shared" si="127"/>
        <v/>
      </c>
      <c r="I2513" s="125" t="str">
        <f t="shared" si="128"/>
        <v/>
      </c>
    </row>
    <row r="2514" spans="1:9" hidden="1" x14ac:dyDescent="0.25">
      <c r="A2514" s="103" t="s">
        <v>6149</v>
      </c>
      <c r="B2514" s="104" t="s">
        <v>4912</v>
      </c>
      <c r="C2514" s="105" t="s">
        <v>20</v>
      </c>
      <c r="D2514" s="105">
        <v>0</v>
      </c>
      <c r="E2514" s="124" t="s">
        <v>523</v>
      </c>
      <c r="F2514" s="125" t="str">
        <f t="shared" si="126"/>
        <v/>
      </c>
      <c r="G2514" s="126" t="e">
        <f>IF(A2514&lt;&gt;"",IF(AND(#REF!="Padrão",$H$4=#REF!),BDI!$B$17,IF(AND(#REF!="Padrão",$H$4=#REF!),BDI!#REF!,IF(AND(#REF!="Diferenciado",$H$4=#REF!),BDI!$E$17,IF(AND(#REF!="Diferenciado",$H$4=#REF!),BDI!#REF!,IF(#REF!="ZERO",0))))),"")</f>
        <v>#REF!</v>
      </c>
      <c r="H2514" s="127" t="str">
        <f t="shared" si="127"/>
        <v/>
      </c>
      <c r="I2514" s="125" t="str">
        <f t="shared" si="128"/>
        <v/>
      </c>
    </row>
    <row r="2515" spans="1:9" hidden="1" x14ac:dyDescent="0.25">
      <c r="A2515" s="103" t="s">
        <v>6150</v>
      </c>
      <c r="B2515" s="104" t="s">
        <v>4913</v>
      </c>
      <c r="C2515" s="105" t="s">
        <v>20</v>
      </c>
      <c r="D2515" s="105">
        <v>0</v>
      </c>
      <c r="E2515" s="124" t="s">
        <v>523</v>
      </c>
      <c r="F2515" s="125" t="str">
        <f t="shared" si="126"/>
        <v/>
      </c>
      <c r="G2515" s="126" t="e">
        <f>IF(A2515&lt;&gt;"",IF(AND(#REF!="Padrão",$H$4=#REF!),BDI!$B$17,IF(AND(#REF!="Padrão",$H$4=#REF!),BDI!#REF!,IF(AND(#REF!="Diferenciado",$H$4=#REF!),BDI!$E$17,IF(AND(#REF!="Diferenciado",$H$4=#REF!),BDI!#REF!,IF(#REF!="ZERO",0))))),"")</f>
        <v>#REF!</v>
      </c>
      <c r="H2515" s="127" t="str">
        <f t="shared" si="127"/>
        <v/>
      </c>
      <c r="I2515" s="125" t="str">
        <f t="shared" si="128"/>
        <v/>
      </c>
    </row>
    <row r="2516" spans="1:9" hidden="1" x14ac:dyDescent="0.25">
      <c r="A2516" s="103" t="s">
        <v>6151</v>
      </c>
      <c r="B2516" s="104" t="s">
        <v>4914</v>
      </c>
      <c r="C2516" s="105" t="s">
        <v>20</v>
      </c>
      <c r="D2516" s="105">
        <v>0</v>
      </c>
      <c r="E2516" s="124" t="s">
        <v>523</v>
      </c>
      <c r="F2516" s="125" t="str">
        <f t="shared" si="126"/>
        <v/>
      </c>
      <c r="G2516" s="126" t="e">
        <f>IF(A2516&lt;&gt;"",IF(AND(#REF!="Padrão",$H$4=#REF!),BDI!$B$17,IF(AND(#REF!="Padrão",$H$4=#REF!),BDI!#REF!,IF(AND(#REF!="Diferenciado",$H$4=#REF!),BDI!$E$17,IF(AND(#REF!="Diferenciado",$H$4=#REF!),BDI!#REF!,IF(#REF!="ZERO",0))))),"")</f>
        <v>#REF!</v>
      </c>
      <c r="H2516" s="127" t="str">
        <f t="shared" si="127"/>
        <v/>
      </c>
      <c r="I2516" s="125" t="str">
        <f t="shared" si="128"/>
        <v/>
      </c>
    </row>
    <row r="2517" spans="1:9" hidden="1" x14ac:dyDescent="0.25">
      <c r="A2517" s="103" t="s">
        <v>6152</v>
      </c>
      <c r="B2517" s="104" t="s">
        <v>4915</v>
      </c>
      <c r="C2517" s="105" t="s">
        <v>20</v>
      </c>
      <c r="D2517" s="105">
        <v>0</v>
      </c>
      <c r="E2517" s="124" t="s">
        <v>523</v>
      </c>
      <c r="F2517" s="125" t="str">
        <f t="shared" si="126"/>
        <v/>
      </c>
      <c r="G2517" s="126" t="e">
        <f>IF(A2517&lt;&gt;"",IF(AND(#REF!="Padrão",$H$4=#REF!),BDI!$B$17,IF(AND(#REF!="Padrão",$H$4=#REF!),BDI!#REF!,IF(AND(#REF!="Diferenciado",$H$4=#REF!),BDI!$E$17,IF(AND(#REF!="Diferenciado",$H$4=#REF!),BDI!#REF!,IF(#REF!="ZERO",0))))),"")</f>
        <v>#REF!</v>
      </c>
      <c r="H2517" s="127" t="str">
        <f t="shared" si="127"/>
        <v/>
      </c>
      <c r="I2517" s="125" t="str">
        <f t="shared" si="128"/>
        <v/>
      </c>
    </row>
    <row r="2518" spans="1:9" hidden="1" x14ac:dyDescent="0.25">
      <c r="A2518" s="103" t="s">
        <v>6153</v>
      </c>
      <c r="B2518" s="104" t="s">
        <v>4916</v>
      </c>
      <c r="C2518" s="105" t="s">
        <v>20</v>
      </c>
      <c r="D2518" s="105">
        <v>0</v>
      </c>
      <c r="E2518" s="124" t="s">
        <v>523</v>
      </c>
      <c r="F2518" s="125" t="str">
        <f t="shared" si="126"/>
        <v/>
      </c>
      <c r="G2518" s="126" t="e">
        <f>IF(A2518&lt;&gt;"",IF(AND(#REF!="Padrão",$H$4=#REF!),BDI!$B$17,IF(AND(#REF!="Padrão",$H$4=#REF!),BDI!#REF!,IF(AND(#REF!="Diferenciado",$H$4=#REF!),BDI!$E$17,IF(AND(#REF!="Diferenciado",$H$4=#REF!),BDI!#REF!,IF(#REF!="ZERO",0))))),"")</f>
        <v>#REF!</v>
      </c>
      <c r="H2518" s="127" t="str">
        <f t="shared" si="127"/>
        <v/>
      </c>
      <c r="I2518" s="125" t="str">
        <f t="shared" si="128"/>
        <v/>
      </c>
    </row>
    <row r="2519" spans="1:9" hidden="1" x14ac:dyDescent="0.25">
      <c r="A2519" s="103" t="s">
        <v>6154</v>
      </c>
      <c r="B2519" s="104" t="s">
        <v>4917</v>
      </c>
      <c r="C2519" s="105" t="s">
        <v>20</v>
      </c>
      <c r="D2519" s="105">
        <v>0</v>
      </c>
      <c r="E2519" s="124" t="s">
        <v>523</v>
      </c>
      <c r="F2519" s="125" t="str">
        <f t="shared" si="126"/>
        <v/>
      </c>
      <c r="G2519" s="126" t="e">
        <f>IF(A2519&lt;&gt;"",IF(AND(#REF!="Padrão",$H$4=#REF!),BDI!$B$17,IF(AND(#REF!="Padrão",$H$4=#REF!),BDI!#REF!,IF(AND(#REF!="Diferenciado",$H$4=#REF!),BDI!$E$17,IF(AND(#REF!="Diferenciado",$H$4=#REF!),BDI!#REF!,IF(#REF!="ZERO",0))))),"")</f>
        <v>#REF!</v>
      </c>
      <c r="H2519" s="127" t="str">
        <f t="shared" si="127"/>
        <v/>
      </c>
      <c r="I2519" s="125" t="str">
        <f t="shared" si="128"/>
        <v/>
      </c>
    </row>
    <row r="2520" spans="1:9" hidden="1" x14ac:dyDescent="0.25">
      <c r="A2520" s="103" t="s">
        <v>6155</v>
      </c>
      <c r="B2520" s="104" t="s">
        <v>4918</v>
      </c>
      <c r="C2520" s="105" t="s">
        <v>20</v>
      </c>
      <c r="D2520" s="105">
        <v>0</v>
      </c>
      <c r="E2520" s="124" t="s">
        <v>523</v>
      </c>
      <c r="F2520" s="125" t="str">
        <f t="shared" si="126"/>
        <v/>
      </c>
      <c r="G2520" s="126" t="e">
        <f>IF(A2520&lt;&gt;"",IF(AND(#REF!="Padrão",$H$4=#REF!),BDI!$B$17,IF(AND(#REF!="Padrão",$H$4=#REF!),BDI!#REF!,IF(AND(#REF!="Diferenciado",$H$4=#REF!),BDI!$E$17,IF(AND(#REF!="Diferenciado",$H$4=#REF!),BDI!#REF!,IF(#REF!="ZERO",0))))),"")</f>
        <v>#REF!</v>
      </c>
      <c r="H2520" s="127" t="str">
        <f t="shared" si="127"/>
        <v/>
      </c>
      <c r="I2520" s="125" t="str">
        <f t="shared" si="128"/>
        <v/>
      </c>
    </row>
    <row r="2521" spans="1:9" hidden="1" x14ac:dyDescent="0.25">
      <c r="A2521" s="103" t="s">
        <v>6156</v>
      </c>
      <c r="B2521" s="104" t="s">
        <v>4919</v>
      </c>
      <c r="C2521" s="105" t="s">
        <v>20</v>
      </c>
      <c r="D2521" s="105">
        <v>0</v>
      </c>
      <c r="E2521" s="124" t="s">
        <v>523</v>
      </c>
      <c r="F2521" s="125" t="str">
        <f t="shared" si="126"/>
        <v/>
      </c>
      <c r="G2521" s="126" t="e">
        <f>IF(A2521&lt;&gt;"",IF(AND(#REF!="Padrão",$H$4=#REF!),BDI!$B$17,IF(AND(#REF!="Padrão",$H$4=#REF!),BDI!#REF!,IF(AND(#REF!="Diferenciado",$H$4=#REF!),BDI!$E$17,IF(AND(#REF!="Diferenciado",$H$4=#REF!),BDI!#REF!,IF(#REF!="ZERO",0))))),"")</f>
        <v>#REF!</v>
      </c>
      <c r="H2521" s="127" t="str">
        <f t="shared" si="127"/>
        <v/>
      </c>
      <c r="I2521" s="125" t="str">
        <f t="shared" si="128"/>
        <v/>
      </c>
    </row>
    <row r="2522" spans="1:9" hidden="1" x14ac:dyDescent="0.25">
      <c r="A2522" s="103" t="s">
        <v>6157</v>
      </c>
      <c r="B2522" s="104" t="s">
        <v>4920</v>
      </c>
      <c r="C2522" s="105" t="s">
        <v>20</v>
      </c>
      <c r="D2522" s="105">
        <v>0</v>
      </c>
      <c r="E2522" s="124" t="s">
        <v>523</v>
      </c>
      <c r="F2522" s="125" t="str">
        <f t="shared" si="126"/>
        <v/>
      </c>
      <c r="G2522" s="126" t="e">
        <f>IF(A2522&lt;&gt;"",IF(AND(#REF!="Padrão",$H$4=#REF!),BDI!$B$17,IF(AND(#REF!="Padrão",$H$4=#REF!),BDI!#REF!,IF(AND(#REF!="Diferenciado",$H$4=#REF!),BDI!$E$17,IF(AND(#REF!="Diferenciado",$H$4=#REF!),BDI!#REF!,IF(#REF!="ZERO",0))))),"")</f>
        <v>#REF!</v>
      </c>
      <c r="H2522" s="127" t="str">
        <f t="shared" si="127"/>
        <v/>
      </c>
      <c r="I2522" s="125" t="str">
        <f t="shared" si="128"/>
        <v/>
      </c>
    </row>
    <row r="2523" spans="1:9" hidden="1" x14ac:dyDescent="0.25">
      <c r="A2523" s="103" t="s">
        <v>6158</v>
      </c>
      <c r="B2523" s="104" t="s">
        <v>4921</v>
      </c>
      <c r="C2523" s="105" t="s">
        <v>20</v>
      </c>
      <c r="D2523" s="105">
        <v>0</v>
      </c>
      <c r="E2523" s="124" t="s">
        <v>523</v>
      </c>
      <c r="F2523" s="125" t="str">
        <f t="shared" si="126"/>
        <v/>
      </c>
      <c r="G2523" s="126" t="e">
        <f>IF(A2523&lt;&gt;"",IF(AND(#REF!="Padrão",$H$4=#REF!),BDI!$B$17,IF(AND(#REF!="Padrão",$H$4=#REF!),BDI!#REF!,IF(AND(#REF!="Diferenciado",$H$4=#REF!),BDI!$E$17,IF(AND(#REF!="Diferenciado",$H$4=#REF!),BDI!#REF!,IF(#REF!="ZERO",0))))),"")</f>
        <v>#REF!</v>
      </c>
      <c r="H2523" s="127" t="str">
        <f t="shared" si="127"/>
        <v/>
      </c>
      <c r="I2523" s="125" t="str">
        <f t="shared" si="128"/>
        <v/>
      </c>
    </row>
    <row r="2524" spans="1:9" hidden="1" x14ac:dyDescent="0.25">
      <c r="A2524" s="103" t="s">
        <v>6159</v>
      </c>
      <c r="B2524" s="104" t="s">
        <v>4922</v>
      </c>
      <c r="C2524" s="105" t="s">
        <v>20</v>
      </c>
      <c r="D2524" s="105">
        <v>0</v>
      </c>
      <c r="E2524" s="124" t="s">
        <v>523</v>
      </c>
      <c r="F2524" s="125" t="str">
        <f t="shared" si="126"/>
        <v/>
      </c>
      <c r="G2524" s="126" t="e">
        <f>IF(A2524&lt;&gt;"",IF(AND(#REF!="Padrão",$H$4=#REF!),BDI!$B$17,IF(AND(#REF!="Padrão",$H$4=#REF!),BDI!#REF!,IF(AND(#REF!="Diferenciado",$H$4=#REF!),BDI!$E$17,IF(AND(#REF!="Diferenciado",$H$4=#REF!),BDI!#REF!,IF(#REF!="ZERO",0))))),"")</f>
        <v>#REF!</v>
      </c>
      <c r="H2524" s="127" t="str">
        <f t="shared" si="127"/>
        <v/>
      </c>
      <c r="I2524" s="125" t="str">
        <f t="shared" si="128"/>
        <v/>
      </c>
    </row>
    <row r="2525" spans="1:9" hidden="1" x14ac:dyDescent="0.25">
      <c r="A2525" s="103" t="s">
        <v>6160</v>
      </c>
      <c r="B2525" s="104" t="s">
        <v>4923</v>
      </c>
      <c r="C2525" s="105" t="s">
        <v>20</v>
      </c>
      <c r="D2525" s="105">
        <v>0</v>
      </c>
      <c r="E2525" s="124" t="s">
        <v>523</v>
      </c>
      <c r="F2525" s="125" t="str">
        <f t="shared" si="126"/>
        <v/>
      </c>
      <c r="G2525" s="126" t="e">
        <f>IF(A2525&lt;&gt;"",IF(AND(#REF!="Padrão",$H$4=#REF!),BDI!$B$17,IF(AND(#REF!="Padrão",$H$4=#REF!),BDI!#REF!,IF(AND(#REF!="Diferenciado",$H$4=#REF!),BDI!$E$17,IF(AND(#REF!="Diferenciado",$H$4=#REF!),BDI!#REF!,IF(#REF!="ZERO",0))))),"")</f>
        <v>#REF!</v>
      </c>
      <c r="H2525" s="127" t="str">
        <f t="shared" si="127"/>
        <v/>
      </c>
      <c r="I2525" s="125" t="str">
        <f t="shared" si="128"/>
        <v/>
      </c>
    </row>
    <row r="2526" spans="1:9" hidden="1" x14ac:dyDescent="0.25">
      <c r="A2526" s="103" t="s">
        <v>6161</v>
      </c>
      <c r="B2526" s="104" t="s">
        <v>4924</v>
      </c>
      <c r="C2526" s="105" t="s">
        <v>20</v>
      </c>
      <c r="D2526" s="105">
        <v>0</v>
      </c>
      <c r="E2526" s="124" t="s">
        <v>523</v>
      </c>
      <c r="F2526" s="125" t="str">
        <f t="shared" si="126"/>
        <v/>
      </c>
      <c r="G2526" s="126" t="e">
        <f>IF(A2526&lt;&gt;"",IF(AND(#REF!="Padrão",$H$4=#REF!),BDI!$B$17,IF(AND(#REF!="Padrão",$H$4=#REF!),BDI!#REF!,IF(AND(#REF!="Diferenciado",$H$4=#REF!),BDI!$E$17,IF(AND(#REF!="Diferenciado",$H$4=#REF!),BDI!#REF!,IF(#REF!="ZERO",0))))),"")</f>
        <v>#REF!</v>
      </c>
      <c r="H2526" s="127" t="str">
        <f t="shared" si="127"/>
        <v/>
      </c>
      <c r="I2526" s="125" t="str">
        <f t="shared" si="128"/>
        <v/>
      </c>
    </row>
    <row r="2527" spans="1:9" hidden="1" x14ac:dyDescent="0.25">
      <c r="A2527" s="103" t="s">
        <v>6162</v>
      </c>
      <c r="B2527" s="104" t="s">
        <v>4925</v>
      </c>
      <c r="C2527" s="105" t="s">
        <v>20</v>
      </c>
      <c r="D2527" s="105">
        <v>0</v>
      </c>
      <c r="E2527" s="124" t="s">
        <v>523</v>
      </c>
      <c r="F2527" s="125" t="str">
        <f t="shared" si="126"/>
        <v/>
      </c>
      <c r="G2527" s="126" t="e">
        <f>IF(A2527&lt;&gt;"",IF(AND(#REF!="Padrão",$H$4=#REF!),BDI!$B$17,IF(AND(#REF!="Padrão",$H$4=#REF!),BDI!#REF!,IF(AND(#REF!="Diferenciado",$H$4=#REF!),BDI!$E$17,IF(AND(#REF!="Diferenciado",$H$4=#REF!),BDI!#REF!,IF(#REF!="ZERO",0))))),"")</f>
        <v>#REF!</v>
      </c>
      <c r="H2527" s="127" t="str">
        <f t="shared" si="127"/>
        <v/>
      </c>
      <c r="I2527" s="125" t="str">
        <f t="shared" si="128"/>
        <v/>
      </c>
    </row>
    <row r="2528" spans="1:9" hidden="1" x14ac:dyDescent="0.25">
      <c r="A2528" s="103" t="s">
        <v>6163</v>
      </c>
      <c r="B2528" s="104" t="s">
        <v>4926</v>
      </c>
      <c r="C2528" s="105" t="s">
        <v>20</v>
      </c>
      <c r="D2528" s="105">
        <v>0</v>
      </c>
      <c r="E2528" s="124" t="s">
        <v>523</v>
      </c>
      <c r="F2528" s="125" t="str">
        <f t="shared" si="126"/>
        <v/>
      </c>
      <c r="G2528" s="126" t="e">
        <f>IF(A2528&lt;&gt;"",IF(AND(#REF!="Padrão",$H$4=#REF!),BDI!$B$17,IF(AND(#REF!="Padrão",$H$4=#REF!),BDI!#REF!,IF(AND(#REF!="Diferenciado",$H$4=#REF!),BDI!$E$17,IF(AND(#REF!="Diferenciado",$H$4=#REF!),BDI!#REF!,IF(#REF!="ZERO",0))))),"")</f>
        <v>#REF!</v>
      </c>
      <c r="H2528" s="127" t="str">
        <f t="shared" si="127"/>
        <v/>
      </c>
      <c r="I2528" s="125" t="str">
        <f t="shared" si="128"/>
        <v/>
      </c>
    </row>
    <row r="2529" spans="1:9" hidden="1" x14ac:dyDescent="0.25">
      <c r="A2529" s="103" t="s">
        <v>6164</v>
      </c>
      <c r="B2529" s="104" t="s">
        <v>4927</v>
      </c>
      <c r="C2529" s="105" t="s">
        <v>20</v>
      </c>
      <c r="D2529" s="105">
        <v>0</v>
      </c>
      <c r="E2529" s="124" t="s">
        <v>523</v>
      </c>
      <c r="F2529" s="125" t="str">
        <f t="shared" si="126"/>
        <v/>
      </c>
      <c r="G2529" s="126" t="e">
        <f>IF(A2529&lt;&gt;"",IF(AND(#REF!="Padrão",$H$4=#REF!),BDI!$B$17,IF(AND(#REF!="Padrão",$H$4=#REF!),BDI!#REF!,IF(AND(#REF!="Diferenciado",$H$4=#REF!),BDI!$E$17,IF(AND(#REF!="Diferenciado",$H$4=#REF!),BDI!#REF!,IF(#REF!="ZERO",0))))),"")</f>
        <v>#REF!</v>
      </c>
      <c r="H2529" s="127" t="str">
        <f t="shared" si="127"/>
        <v/>
      </c>
      <c r="I2529" s="125" t="str">
        <f t="shared" si="128"/>
        <v/>
      </c>
    </row>
    <row r="2530" spans="1:9" hidden="1" x14ac:dyDescent="0.25">
      <c r="A2530" s="103" t="s">
        <v>6165</v>
      </c>
      <c r="B2530" s="104" t="s">
        <v>4928</v>
      </c>
      <c r="C2530" s="105" t="s">
        <v>20</v>
      </c>
      <c r="D2530" s="105">
        <v>0</v>
      </c>
      <c r="E2530" s="124" t="s">
        <v>523</v>
      </c>
      <c r="F2530" s="125" t="str">
        <f t="shared" si="126"/>
        <v/>
      </c>
      <c r="G2530" s="126" t="e">
        <f>IF(A2530&lt;&gt;"",IF(AND(#REF!="Padrão",$H$4=#REF!),BDI!$B$17,IF(AND(#REF!="Padrão",$H$4=#REF!),BDI!#REF!,IF(AND(#REF!="Diferenciado",$H$4=#REF!),BDI!$E$17,IF(AND(#REF!="Diferenciado",$H$4=#REF!),BDI!#REF!,IF(#REF!="ZERO",0))))),"")</f>
        <v>#REF!</v>
      </c>
      <c r="H2530" s="127" t="str">
        <f t="shared" si="127"/>
        <v/>
      </c>
      <c r="I2530" s="125" t="str">
        <f t="shared" si="128"/>
        <v/>
      </c>
    </row>
    <row r="2531" spans="1:9" hidden="1" x14ac:dyDescent="0.25">
      <c r="A2531" s="103" t="s">
        <v>6166</v>
      </c>
      <c r="B2531" s="104" t="s">
        <v>4929</v>
      </c>
      <c r="C2531" s="105" t="s">
        <v>20</v>
      </c>
      <c r="D2531" s="105">
        <v>0</v>
      </c>
      <c r="E2531" s="124" t="s">
        <v>523</v>
      </c>
      <c r="F2531" s="125" t="str">
        <f t="shared" si="126"/>
        <v/>
      </c>
      <c r="G2531" s="126" t="e">
        <f>IF(A2531&lt;&gt;"",IF(AND(#REF!="Padrão",$H$4=#REF!),BDI!$B$17,IF(AND(#REF!="Padrão",$H$4=#REF!),BDI!#REF!,IF(AND(#REF!="Diferenciado",$H$4=#REF!),BDI!$E$17,IF(AND(#REF!="Diferenciado",$H$4=#REF!),BDI!#REF!,IF(#REF!="ZERO",0))))),"")</f>
        <v>#REF!</v>
      </c>
      <c r="H2531" s="127" t="str">
        <f t="shared" si="127"/>
        <v/>
      </c>
      <c r="I2531" s="125" t="str">
        <f t="shared" si="128"/>
        <v/>
      </c>
    </row>
    <row r="2532" spans="1:9" hidden="1" x14ac:dyDescent="0.25">
      <c r="A2532" s="103" t="s">
        <v>6167</v>
      </c>
      <c r="B2532" s="104" t="s">
        <v>4930</v>
      </c>
      <c r="C2532" s="105" t="s">
        <v>20</v>
      </c>
      <c r="D2532" s="105">
        <v>0</v>
      </c>
      <c r="E2532" s="124" t="s">
        <v>523</v>
      </c>
      <c r="F2532" s="125" t="str">
        <f t="shared" si="126"/>
        <v/>
      </c>
      <c r="G2532" s="126" t="e">
        <f>IF(A2532&lt;&gt;"",IF(AND(#REF!="Padrão",$H$4=#REF!),BDI!$B$17,IF(AND(#REF!="Padrão",$H$4=#REF!),BDI!#REF!,IF(AND(#REF!="Diferenciado",$H$4=#REF!),BDI!$E$17,IF(AND(#REF!="Diferenciado",$H$4=#REF!),BDI!#REF!,IF(#REF!="ZERO",0))))),"")</f>
        <v>#REF!</v>
      </c>
      <c r="H2532" s="127" t="str">
        <f t="shared" si="127"/>
        <v/>
      </c>
      <c r="I2532" s="125" t="str">
        <f t="shared" si="128"/>
        <v/>
      </c>
    </row>
    <row r="2533" spans="1:9" hidden="1" x14ac:dyDescent="0.25">
      <c r="A2533" s="103" t="s">
        <v>6168</v>
      </c>
      <c r="B2533" s="104" t="s">
        <v>4931</v>
      </c>
      <c r="C2533" s="105" t="s">
        <v>20</v>
      </c>
      <c r="D2533" s="105">
        <v>0</v>
      </c>
      <c r="E2533" s="124" t="s">
        <v>523</v>
      </c>
      <c r="F2533" s="125" t="str">
        <f t="shared" si="126"/>
        <v/>
      </c>
      <c r="G2533" s="126" t="e">
        <f>IF(A2533&lt;&gt;"",IF(AND(#REF!="Padrão",$H$4=#REF!),BDI!$B$17,IF(AND(#REF!="Padrão",$H$4=#REF!),BDI!#REF!,IF(AND(#REF!="Diferenciado",$H$4=#REF!),BDI!$E$17,IF(AND(#REF!="Diferenciado",$H$4=#REF!),BDI!#REF!,IF(#REF!="ZERO",0))))),"")</f>
        <v>#REF!</v>
      </c>
      <c r="H2533" s="127" t="str">
        <f t="shared" si="127"/>
        <v/>
      </c>
      <c r="I2533" s="125" t="str">
        <f t="shared" si="128"/>
        <v/>
      </c>
    </row>
    <row r="2534" spans="1:9" hidden="1" x14ac:dyDescent="0.25">
      <c r="A2534" s="103" t="s">
        <v>6169</v>
      </c>
      <c r="B2534" s="104" t="s">
        <v>4932</v>
      </c>
      <c r="C2534" s="105" t="s">
        <v>20</v>
      </c>
      <c r="D2534" s="105">
        <v>0</v>
      </c>
      <c r="E2534" s="124" t="s">
        <v>523</v>
      </c>
      <c r="F2534" s="125" t="str">
        <f t="shared" si="126"/>
        <v/>
      </c>
      <c r="G2534" s="126" t="e">
        <f>IF(A2534&lt;&gt;"",IF(AND(#REF!="Padrão",$H$4=#REF!),BDI!$B$17,IF(AND(#REF!="Padrão",$H$4=#REF!),BDI!#REF!,IF(AND(#REF!="Diferenciado",$H$4=#REF!),BDI!$E$17,IF(AND(#REF!="Diferenciado",$H$4=#REF!),BDI!#REF!,IF(#REF!="ZERO",0))))),"")</f>
        <v>#REF!</v>
      </c>
      <c r="H2534" s="127" t="str">
        <f t="shared" si="127"/>
        <v/>
      </c>
      <c r="I2534" s="125" t="str">
        <f t="shared" si="128"/>
        <v/>
      </c>
    </row>
    <row r="2535" spans="1:9" hidden="1" x14ac:dyDescent="0.25">
      <c r="A2535" s="103" t="s">
        <v>6170</v>
      </c>
      <c r="B2535" s="104" t="s">
        <v>4933</v>
      </c>
      <c r="C2535" s="105" t="s">
        <v>20</v>
      </c>
      <c r="D2535" s="105">
        <v>0</v>
      </c>
      <c r="E2535" s="124" t="s">
        <v>523</v>
      </c>
      <c r="F2535" s="125" t="str">
        <f t="shared" si="126"/>
        <v/>
      </c>
      <c r="G2535" s="126" t="e">
        <f>IF(A2535&lt;&gt;"",IF(AND(#REF!="Padrão",$H$4=#REF!),BDI!$B$17,IF(AND(#REF!="Padrão",$H$4=#REF!),BDI!#REF!,IF(AND(#REF!="Diferenciado",$H$4=#REF!),BDI!$E$17,IF(AND(#REF!="Diferenciado",$H$4=#REF!),BDI!#REF!,IF(#REF!="ZERO",0))))),"")</f>
        <v>#REF!</v>
      </c>
      <c r="H2535" s="127" t="str">
        <f t="shared" si="127"/>
        <v/>
      </c>
      <c r="I2535" s="125" t="str">
        <f t="shared" si="128"/>
        <v/>
      </c>
    </row>
    <row r="2536" spans="1:9" hidden="1" x14ac:dyDescent="0.25">
      <c r="A2536" s="103" t="s">
        <v>6171</v>
      </c>
      <c r="B2536" s="104" t="s">
        <v>4934</v>
      </c>
      <c r="C2536" s="105" t="s">
        <v>20</v>
      </c>
      <c r="D2536" s="105">
        <v>0</v>
      </c>
      <c r="E2536" s="124" t="s">
        <v>523</v>
      </c>
      <c r="F2536" s="125" t="str">
        <f t="shared" si="126"/>
        <v/>
      </c>
      <c r="G2536" s="126" t="e">
        <f>IF(A2536&lt;&gt;"",IF(AND(#REF!="Padrão",$H$4=#REF!),BDI!$B$17,IF(AND(#REF!="Padrão",$H$4=#REF!),BDI!#REF!,IF(AND(#REF!="Diferenciado",$H$4=#REF!),BDI!$E$17,IF(AND(#REF!="Diferenciado",$H$4=#REF!),BDI!#REF!,IF(#REF!="ZERO",0))))),"")</f>
        <v>#REF!</v>
      </c>
      <c r="H2536" s="127" t="str">
        <f t="shared" si="127"/>
        <v/>
      </c>
      <c r="I2536" s="125" t="str">
        <f t="shared" si="128"/>
        <v/>
      </c>
    </row>
    <row r="2537" spans="1:9" hidden="1" x14ac:dyDescent="0.25">
      <c r="A2537" s="103" t="s">
        <v>6172</v>
      </c>
      <c r="B2537" s="104" t="s">
        <v>4935</v>
      </c>
      <c r="C2537" s="105" t="s">
        <v>20</v>
      </c>
      <c r="D2537" s="105">
        <v>0</v>
      </c>
      <c r="E2537" s="124" t="s">
        <v>523</v>
      </c>
      <c r="F2537" s="125" t="str">
        <f t="shared" si="126"/>
        <v/>
      </c>
      <c r="G2537" s="126" t="e">
        <f>IF(A2537&lt;&gt;"",IF(AND(#REF!="Padrão",$H$4=#REF!),BDI!$B$17,IF(AND(#REF!="Padrão",$H$4=#REF!),BDI!#REF!,IF(AND(#REF!="Diferenciado",$H$4=#REF!),BDI!$E$17,IF(AND(#REF!="Diferenciado",$H$4=#REF!),BDI!#REF!,IF(#REF!="ZERO",0))))),"")</f>
        <v>#REF!</v>
      </c>
      <c r="H2537" s="127" t="str">
        <f t="shared" si="127"/>
        <v/>
      </c>
      <c r="I2537" s="125" t="str">
        <f t="shared" si="128"/>
        <v/>
      </c>
    </row>
    <row r="2538" spans="1:9" hidden="1" x14ac:dyDescent="0.25">
      <c r="A2538" s="103" t="s">
        <v>6173</v>
      </c>
      <c r="B2538" s="104" t="s">
        <v>4936</v>
      </c>
      <c r="C2538" s="105" t="s">
        <v>20</v>
      </c>
      <c r="D2538" s="105">
        <v>0</v>
      </c>
      <c r="E2538" s="124" t="s">
        <v>523</v>
      </c>
      <c r="F2538" s="125" t="str">
        <f t="shared" si="126"/>
        <v/>
      </c>
      <c r="G2538" s="126" t="e">
        <f>IF(A2538&lt;&gt;"",IF(AND(#REF!="Padrão",$H$4=#REF!),BDI!$B$17,IF(AND(#REF!="Padrão",$H$4=#REF!),BDI!#REF!,IF(AND(#REF!="Diferenciado",$H$4=#REF!),BDI!$E$17,IF(AND(#REF!="Diferenciado",$H$4=#REF!),BDI!#REF!,IF(#REF!="ZERO",0))))),"")</f>
        <v>#REF!</v>
      </c>
      <c r="H2538" s="127" t="str">
        <f t="shared" si="127"/>
        <v/>
      </c>
      <c r="I2538" s="125" t="str">
        <f t="shared" si="128"/>
        <v/>
      </c>
    </row>
    <row r="2539" spans="1:9" hidden="1" x14ac:dyDescent="0.25">
      <c r="A2539" s="103" t="s">
        <v>6174</v>
      </c>
      <c r="B2539" s="104" t="s">
        <v>4937</v>
      </c>
      <c r="C2539" s="105" t="s">
        <v>20</v>
      </c>
      <c r="D2539" s="105">
        <v>0</v>
      </c>
      <c r="E2539" s="124" t="s">
        <v>523</v>
      </c>
      <c r="F2539" s="125" t="str">
        <f t="shared" si="126"/>
        <v/>
      </c>
      <c r="G2539" s="126" t="e">
        <f>IF(A2539&lt;&gt;"",IF(AND(#REF!="Padrão",$H$4=#REF!),BDI!$B$17,IF(AND(#REF!="Padrão",$H$4=#REF!),BDI!#REF!,IF(AND(#REF!="Diferenciado",$H$4=#REF!),BDI!$E$17,IF(AND(#REF!="Diferenciado",$H$4=#REF!),BDI!#REF!,IF(#REF!="ZERO",0))))),"")</f>
        <v>#REF!</v>
      </c>
      <c r="H2539" s="127" t="str">
        <f t="shared" si="127"/>
        <v/>
      </c>
      <c r="I2539" s="125" t="str">
        <f t="shared" si="128"/>
        <v/>
      </c>
    </row>
    <row r="2540" spans="1:9" hidden="1" x14ac:dyDescent="0.25">
      <c r="A2540" s="103" t="s">
        <v>6175</v>
      </c>
      <c r="B2540" s="104" t="s">
        <v>4938</v>
      </c>
      <c r="C2540" s="105" t="s">
        <v>20</v>
      </c>
      <c r="D2540" s="105">
        <v>0</v>
      </c>
      <c r="E2540" s="124" t="s">
        <v>523</v>
      </c>
      <c r="F2540" s="125" t="str">
        <f t="shared" si="126"/>
        <v/>
      </c>
      <c r="G2540" s="126" t="e">
        <f>IF(A2540&lt;&gt;"",IF(AND(#REF!="Padrão",$H$4=#REF!),BDI!$B$17,IF(AND(#REF!="Padrão",$H$4=#REF!),BDI!#REF!,IF(AND(#REF!="Diferenciado",$H$4=#REF!),BDI!$E$17,IF(AND(#REF!="Diferenciado",$H$4=#REF!),BDI!#REF!,IF(#REF!="ZERO",0))))),"")</f>
        <v>#REF!</v>
      </c>
      <c r="H2540" s="127" t="str">
        <f t="shared" si="127"/>
        <v/>
      </c>
      <c r="I2540" s="125" t="str">
        <f t="shared" si="128"/>
        <v/>
      </c>
    </row>
    <row r="2541" spans="1:9" hidden="1" x14ac:dyDescent="0.25">
      <c r="A2541" s="103" t="s">
        <v>6176</v>
      </c>
      <c r="B2541" s="104" t="s">
        <v>4939</v>
      </c>
      <c r="C2541" s="105" t="s">
        <v>20</v>
      </c>
      <c r="D2541" s="105">
        <v>0</v>
      </c>
      <c r="E2541" s="124" t="s">
        <v>523</v>
      </c>
      <c r="F2541" s="125" t="str">
        <f t="shared" ref="F2541:F2604" si="129">IF(ISNUMBER(E2541),D2541*E2541,"")</f>
        <v/>
      </c>
      <c r="G2541" s="126" t="e">
        <f>IF(A2541&lt;&gt;"",IF(AND(#REF!="Padrão",$H$4=#REF!),BDI!$B$17,IF(AND(#REF!="Padrão",$H$4=#REF!),BDI!#REF!,IF(AND(#REF!="Diferenciado",$H$4=#REF!),BDI!$E$17,IF(AND(#REF!="Diferenciado",$H$4=#REF!),BDI!#REF!,IF(#REF!="ZERO",0))))),"")</f>
        <v>#REF!</v>
      </c>
      <c r="H2541" s="127" t="str">
        <f t="shared" ref="H2541:H2604" si="130">IF(ISNUMBER(E2541),ROUND(E2541*(1+G2541),2),"")</f>
        <v/>
      </c>
      <c r="I2541" s="125" t="str">
        <f t="shared" ref="I2541:I2604" si="131">IF(ISNUMBER(E2541),ROUND(H2541*D2541,2),"")</f>
        <v/>
      </c>
    </row>
    <row r="2542" spans="1:9" hidden="1" x14ac:dyDescent="0.25">
      <c r="A2542" s="103" t="s">
        <v>6177</v>
      </c>
      <c r="B2542" s="104" t="s">
        <v>4940</v>
      </c>
      <c r="C2542" s="105" t="s">
        <v>20</v>
      </c>
      <c r="D2542" s="105">
        <v>0</v>
      </c>
      <c r="E2542" s="124" t="s">
        <v>523</v>
      </c>
      <c r="F2542" s="125" t="str">
        <f t="shared" si="129"/>
        <v/>
      </c>
      <c r="G2542" s="126" t="e">
        <f>IF(A2542&lt;&gt;"",IF(AND(#REF!="Padrão",$H$4=#REF!),BDI!$B$17,IF(AND(#REF!="Padrão",$H$4=#REF!),BDI!#REF!,IF(AND(#REF!="Diferenciado",$H$4=#REF!),BDI!$E$17,IF(AND(#REF!="Diferenciado",$H$4=#REF!),BDI!#REF!,IF(#REF!="ZERO",0))))),"")</f>
        <v>#REF!</v>
      </c>
      <c r="H2542" s="127" t="str">
        <f t="shared" si="130"/>
        <v/>
      </c>
      <c r="I2542" s="125" t="str">
        <f t="shared" si="131"/>
        <v/>
      </c>
    </row>
    <row r="2543" spans="1:9" hidden="1" x14ac:dyDescent="0.25">
      <c r="A2543" s="103" t="s">
        <v>6178</v>
      </c>
      <c r="B2543" s="104" t="s">
        <v>4941</v>
      </c>
      <c r="C2543" s="105" t="s">
        <v>20</v>
      </c>
      <c r="D2543" s="105">
        <v>0</v>
      </c>
      <c r="E2543" s="124" t="s">
        <v>523</v>
      </c>
      <c r="F2543" s="125" t="str">
        <f t="shared" si="129"/>
        <v/>
      </c>
      <c r="G2543" s="126" t="e">
        <f>IF(A2543&lt;&gt;"",IF(AND(#REF!="Padrão",$H$4=#REF!),BDI!$B$17,IF(AND(#REF!="Padrão",$H$4=#REF!),BDI!#REF!,IF(AND(#REF!="Diferenciado",$H$4=#REF!),BDI!$E$17,IF(AND(#REF!="Diferenciado",$H$4=#REF!),BDI!#REF!,IF(#REF!="ZERO",0))))),"")</f>
        <v>#REF!</v>
      </c>
      <c r="H2543" s="127" t="str">
        <f t="shared" si="130"/>
        <v/>
      </c>
      <c r="I2543" s="125" t="str">
        <f t="shared" si="131"/>
        <v/>
      </c>
    </row>
    <row r="2544" spans="1:9" hidden="1" x14ac:dyDescent="0.25">
      <c r="A2544" s="103" t="s">
        <v>6179</v>
      </c>
      <c r="B2544" s="104" t="s">
        <v>4942</v>
      </c>
      <c r="C2544" s="105" t="s">
        <v>20</v>
      </c>
      <c r="D2544" s="105">
        <v>0</v>
      </c>
      <c r="E2544" s="124" t="s">
        <v>523</v>
      </c>
      <c r="F2544" s="125" t="str">
        <f t="shared" si="129"/>
        <v/>
      </c>
      <c r="G2544" s="126" t="e">
        <f>IF(A2544&lt;&gt;"",IF(AND(#REF!="Padrão",$H$4=#REF!),BDI!$B$17,IF(AND(#REF!="Padrão",$H$4=#REF!),BDI!#REF!,IF(AND(#REF!="Diferenciado",$H$4=#REF!),BDI!$E$17,IF(AND(#REF!="Diferenciado",$H$4=#REF!),BDI!#REF!,IF(#REF!="ZERO",0))))),"")</f>
        <v>#REF!</v>
      </c>
      <c r="H2544" s="127" t="str">
        <f t="shared" si="130"/>
        <v/>
      </c>
      <c r="I2544" s="125" t="str">
        <f t="shared" si="131"/>
        <v/>
      </c>
    </row>
    <row r="2545" spans="1:9" hidden="1" x14ac:dyDescent="0.25">
      <c r="A2545" s="103" t="s">
        <v>6180</v>
      </c>
      <c r="B2545" s="104" t="s">
        <v>4943</v>
      </c>
      <c r="C2545" s="105" t="s">
        <v>20</v>
      </c>
      <c r="D2545" s="105">
        <v>0</v>
      </c>
      <c r="E2545" s="124" t="s">
        <v>523</v>
      </c>
      <c r="F2545" s="125" t="str">
        <f t="shared" si="129"/>
        <v/>
      </c>
      <c r="G2545" s="126" t="e">
        <f>IF(A2545&lt;&gt;"",IF(AND(#REF!="Padrão",$H$4=#REF!),BDI!$B$17,IF(AND(#REF!="Padrão",$H$4=#REF!),BDI!#REF!,IF(AND(#REF!="Diferenciado",$H$4=#REF!),BDI!$E$17,IF(AND(#REF!="Diferenciado",$H$4=#REF!),BDI!#REF!,IF(#REF!="ZERO",0))))),"")</f>
        <v>#REF!</v>
      </c>
      <c r="H2545" s="127" t="str">
        <f t="shared" si="130"/>
        <v/>
      </c>
      <c r="I2545" s="125" t="str">
        <f t="shared" si="131"/>
        <v/>
      </c>
    </row>
    <row r="2546" spans="1:9" hidden="1" x14ac:dyDescent="0.25">
      <c r="A2546" s="103" t="s">
        <v>6181</v>
      </c>
      <c r="B2546" s="104" t="s">
        <v>4944</v>
      </c>
      <c r="C2546" s="105" t="s">
        <v>20</v>
      </c>
      <c r="D2546" s="105">
        <v>0</v>
      </c>
      <c r="E2546" s="124" t="s">
        <v>523</v>
      </c>
      <c r="F2546" s="125" t="str">
        <f t="shared" si="129"/>
        <v/>
      </c>
      <c r="G2546" s="126" t="e">
        <f>IF(A2546&lt;&gt;"",IF(AND(#REF!="Padrão",$H$4=#REF!),BDI!$B$17,IF(AND(#REF!="Padrão",$H$4=#REF!),BDI!#REF!,IF(AND(#REF!="Diferenciado",$H$4=#REF!),BDI!$E$17,IF(AND(#REF!="Diferenciado",$H$4=#REF!),BDI!#REF!,IF(#REF!="ZERO",0))))),"")</f>
        <v>#REF!</v>
      </c>
      <c r="H2546" s="127" t="str">
        <f t="shared" si="130"/>
        <v/>
      </c>
      <c r="I2546" s="125" t="str">
        <f t="shared" si="131"/>
        <v/>
      </c>
    </row>
    <row r="2547" spans="1:9" hidden="1" x14ac:dyDescent="0.25">
      <c r="A2547" s="103" t="s">
        <v>6182</v>
      </c>
      <c r="B2547" s="104" t="s">
        <v>4945</v>
      </c>
      <c r="C2547" s="105" t="s">
        <v>20</v>
      </c>
      <c r="D2547" s="105">
        <v>0</v>
      </c>
      <c r="E2547" s="124" t="s">
        <v>523</v>
      </c>
      <c r="F2547" s="125" t="str">
        <f t="shared" si="129"/>
        <v/>
      </c>
      <c r="G2547" s="126" t="e">
        <f>IF(A2547&lt;&gt;"",IF(AND(#REF!="Padrão",$H$4=#REF!),BDI!$B$17,IF(AND(#REF!="Padrão",$H$4=#REF!),BDI!#REF!,IF(AND(#REF!="Diferenciado",$H$4=#REF!),BDI!$E$17,IF(AND(#REF!="Diferenciado",$H$4=#REF!),BDI!#REF!,IF(#REF!="ZERO",0))))),"")</f>
        <v>#REF!</v>
      </c>
      <c r="H2547" s="127" t="str">
        <f t="shared" si="130"/>
        <v/>
      </c>
      <c r="I2547" s="125" t="str">
        <f t="shared" si="131"/>
        <v/>
      </c>
    </row>
    <row r="2548" spans="1:9" hidden="1" x14ac:dyDescent="0.25">
      <c r="A2548" s="103" t="s">
        <v>6183</v>
      </c>
      <c r="B2548" s="104" t="s">
        <v>4946</v>
      </c>
      <c r="C2548" s="105" t="s">
        <v>20</v>
      </c>
      <c r="D2548" s="105">
        <v>0</v>
      </c>
      <c r="E2548" s="124" t="s">
        <v>523</v>
      </c>
      <c r="F2548" s="125" t="str">
        <f t="shared" si="129"/>
        <v/>
      </c>
      <c r="G2548" s="126" t="e">
        <f>IF(A2548&lt;&gt;"",IF(AND(#REF!="Padrão",$H$4=#REF!),BDI!$B$17,IF(AND(#REF!="Padrão",$H$4=#REF!),BDI!#REF!,IF(AND(#REF!="Diferenciado",$H$4=#REF!),BDI!$E$17,IF(AND(#REF!="Diferenciado",$H$4=#REF!),BDI!#REF!,IF(#REF!="ZERO",0))))),"")</f>
        <v>#REF!</v>
      </c>
      <c r="H2548" s="127" t="str">
        <f t="shared" si="130"/>
        <v/>
      </c>
      <c r="I2548" s="125" t="str">
        <f t="shared" si="131"/>
        <v/>
      </c>
    </row>
    <row r="2549" spans="1:9" hidden="1" x14ac:dyDescent="0.25">
      <c r="A2549" s="103" t="s">
        <v>6184</v>
      </c>
      <c r="B2549" s="104" t="s">
        <v>4947</v>
      </c>
      <c r="C2549" s="105" t="s">
        <v>20</v>
      </c>
      <c r="D2549" s="105">
        <v>0</v>
      </c>
      <c r="E2549" s="124" t="s">
        <v>523</v>
      </c>
      <c r="F2549" s="125" t="str">
        <f t="shared" si="129"/>
        <v/>
      </c>
      <c r="G2549" s="126" t="e">
        <f>IF(A2549&lt;&gt;"",IF(AND(#REF!="Padrão",$H$4=#REF!),BDI!$B$17,IF(AND(#REF!="Padrão",$H$4=#REF!),BDI!#REF!,IF(AND(#REF!="Diferenciado",$H$4=#REF!),BDI!$E$17,IF(AND(#REF!="Diferenciado",$H$4=#REF!),BDI!#REF!,IF(#REF!="ZERO",0))))),"")</f>
        <v>#REF!</v>
      </c>
      <c r="H2549" s="127" t="str">
        <f t="shared" si="130"/>
        <v/>
      </c>
      <c r="I2549" s="125" t="str">
        <f t="shared" si="131"/>
        <v/>
      </c>
    </row>
    <row r="2550" spans="1:9" hidden="1" x14ac:dyDescent="0.25">
      <c r="A2550" s="103" t="s">
        <v>6185</v>
      </c>
      <c r="B2550" s="104" t="s">
        <v>4948</v>
      </c>
      <c r="C2550" s="105" t="s">
        <v>20</v>
      </c>
      <c r="D2550" s="105">
        <v>0</v>
      </c>
      <c r="E2550" s="124" t="s">
        <v>523</v>
      </c>
      <c r="F2550" s="125" t="str">
        <f t="shared" si="129"/>
        <v/>
      </c>
      <c r="G2550" s="126" t="e">
        <f>IF(A2550&lt;&gt;"",IF(AND(#REF!="Padrão",$H$4=#REF!),BDI!$B$17,IF(AND(#REF!="Padrão",$H$4=#REF!),BDI!#REF!,IF(AND(#REF!="Diferenciado",$H$4=#REF!),BDI!$E$17,IF(AND(#REF!="Diferenciado",$H$4=#REF!),BDI!#REF!,IF(#REF!="ZERO",0))))),"")</f>
        <v>#REF!</v>
      </c>
      <c r="H2550" s="127" t="str">
        <f t="shared" si="130"/>
        <v/>
      </c>
      <c r="I2550" s="125" t="str">
        <f t="shared" si="131"/>
        <v/>
      </c>
    </row>
    <row r="2551" spans="1:9" hidden="1" x14ac:dyDescent="0.25">
      <c r="A2551" s="103" t="s">
        <v>6186</v>
      </c>
      <c r="B2551" s="104" t="s">
        <v>4949</v>
      </c>
      <c r="C2551" s="105" t="s">
        <v>20</v>
      </c>
      <c r="D2551" s="105">
        <v>0</v>
      </c>
      <c r="E2551" s="124" t="s">
        <v>523</v>
      </c>
      <c r="F2551" s="125" t="str">
        <f t="shared" si="129"/>
        <v/>
      </c>
      <c r="G2551" s="126" t="e">
        <f>IF(A2551&lt;&gt;"",IF(AND(#REF!="Padrão",$H$4=#REF!),BDI!$B$17,IF(AND(#REF!="Padrão",$H$4=#REF!),BDI!#REF!,IF(AND(#REF!="Diferenciado",$H$4=#REF!),BDI!$E$17,IF(AND(#REF!="Diferenciado",$H$4=#REF!),BDI!#REF!,IF(#REF!="ZERO",0))))),"")</f>
        <v>#REF!</v>
      </c>
      <c r="H2551" s="127" t="str">
        <f t="shared" si="130"/>
        <v/>
      </c>
      <c r="I2551" s="125" t="str">
        <f t="shared" si="131"/>
        <v/>
      </c>
    </row>
    <row r="2552" spans="1:9" hidden="1" x14ac:dyDescent="0.25">
      <c r="A2552" s="103" t="s">
        <v>6187</v>
      </c>
      <c r="B2552" s="104" t="s">
        <v>4950</v>
      </c>
      <c r="C2552" s="105" t="s">
        <v>20</v>
      </c>
      <c r="D2552" s="105">
        <v>0</v>
      </c>
      <c r="E2552" s="124" t="s">
        <v>523</v>
      </c>
      <c r="F2552" s="125" t="str">
        <f t="shared" si="129"/>
        <v/>
      </c>
      <c r="G2552" s="126" t="e">
        <f>IF(A2552&lt;&gt;"",IF(AND(#REF!="Padrão",$H$4=#REF!),BDI!$B$17,IF(AND(#REF!="Padrão",$H$4=#REF!),BDI!#REF!,IF(AND(#REF!="Diferenciado",$H$4=#REF!),BDI!$E$17,IF(AND(#REF!="Diferenciado",$H$4=#REF!),BDI!#REF!,IF(#REF!="ZERO",0))))),"")</f>
        <v>#REF!</v>
      </c>
      <c r="H2552" s="127" t="str">
        <f t="shared" si="130"/>
        <v/>
      </c>
      <c r="I2552" s="125" t="str">
        <f t="shared" si="131"/>
        <v/>
      </c>
    </row>
    <row r="2553" spans="1:9" hidden="1" x14ac:dyDescent="0.25">
      <c r="A2553" s="103" t="s">
        <v>6188</v>
      </c>
      <c r="B2553" s="104" t="s">
        <v>4951</v>
      </c>
      <c r="C2553" s="105" t="s">
        <v>20</v>
      </c>
      <c r="D2553" s="105">
        <v>0</v>
      </c>
      <c r="E2553" s="124" t="s">
        <v>523</v>
      </c>
      <c r="F2553" s="125" t="str">
        <f t="shared" si="129"/>
        <v/>
      </c>
      <c r="G2553" s="126" t="e">
        <f>IF(A2553&lt;&gt;"",IF(AND(#REF!="Padrão",$H$4=#REF!),BDI!$B$17,IF(AND(#REF!="Padrão",$H$4=#REF!),BDI!#REF!,IF(AND(#REF!="Diferenciado",$H$4=#REF!),BDI!$E$17,IF(AND(#REF!="Diferenciado",$H$4=#REF!),BDI!#REF!,IF(#REF!="ZERO",0))))),"")</f>
        <v>#REF!</v>
      </c>
      <c r="H2553" s="127" t="str">
        <f t="shared" si="130"/>
        <v/>
      </c>
      <c r="I2553" s="125" t="str">
        <f t="shared" si="131"/>
        <v/>
      </c>
    </row>
    <row r="2554" spans="1:9" hidden="1" x14ac:dyDescent="0.25">
      <c r="A2554" s="103" t="s">
        <v>6189</v>
      </c>
      <c r="B2554" s="104" t="s">
        <v>4952</v>
      </c>
      <c r="C2554" s="105" t="s">
        <v>20</v>
      </c>
      <c r="D2554" s="105">
        <v>0</v>
      </c>
      <c r="E2554" s="124" t="s">
        <v>523</v>
      </c>
      <c r="F2554" s="125" t="str">
        <f t="shared" si="129"/>
        <v/>
      </c>
      <c r="G2554" s="126" t="e">
        <f>IF(A2554&lt;&gt;"",IF(AND(#REF!="Padrão",$H$4=#REF!),BDI!$B$17,IF(AND(#REF!="Padrão",$H$4=#REF!),BDI!#REF!,IF(AND(#REF!="Diferenciado",$H$4=#REF!),BDI!$E$17,IF(AND(#REF!="Diferenciado",$H$4=#REF!),BDI!#REF!,IF(#REF!="ZERO",0))))),"")</f>
        <v>#REF!</v>
      </c>
      <c r="H2554" s="127" t="str">
        <f t="shared" si="130"/>
        <v/>
      </c>
      <c r="I2554" s="125" t="str">
        <f t="shared" si="131"/>
        <v/>
      </c>
    </row>
    <row r="2555" spans="1:9" hidden="1" x14ac:dyDescent="0.25">
      <c r="A2555" s="103" t="s">
        <v>6190</v>
      </c>
      <c r="B2555" s="104" t="s">
        <v>4953</v>
      </c>
      <c r="C2555" s="105" t="s">
        <v>20</v>
      </c>
      <c r="D2555" s="105">
        <v>0</v>
      </c>
      <c r="E2555" s="124" t="s">
        <v>523</v>
      </c>
      <c r="F2555" s="125" t="str">
        <f t="shared" si="129"/>
        <v/>
      </c>
      <c r="G2555" s="126" t="e">
        <f>IF(A2555&lt;&gt;"",IF(AND(#REF!="Padrão",$H$4=#REF!),BDI!$B$17,IF(AND(#REF!="Padrão",$H$4=#REF!),BDI!#REF!,IF(AND(#REF!="Diferenciado",$H$4=#REF!),BDI!$E$17,IF(AND(#REF!="Diferenciado",$H$4=#REF!),BDI!#REF!,IF(#REF!="ZERO",0))))),"")</f>
        <v>#REF!</v>
      </c>
      <c r="H2555" s="127" t="str">
        <f t="shared" si="130"/>
        <v/>
      </c>
      <c r="I2555" s="125" t="str">
        <f t="shared" si="131"/>
        <v/>
      </c>
    </row>
    <row r="2556" spans="1:9" hidden="1" x14ac:dyDescent="0.25">
      <c r="A2556" s="103" t="s">
        <v>6191</v>
      </c>
      <c r="B2556" s="104" t="s">
        <v>4954</v>
      </c>
      <c r="C2556" s="105" t="s">
        <v>20</v>
      </c>
      <c r="D2556" s="105">
        <v>0</v>
      </c>
      <c r="E2556" s="124" t="s">
        <v>523</v>
      </c>
      <c r="F2556" s="125" t="str">
        <f t="shared" si="129"/>
        <v/>
      </c>
      <c r="G2556" s="126" t="e">
        <f>IF(A2556&lt;&gt;"",IF(AND(#REF!="Padrão",$H$4=#REF!),BDI!$B$17,IF(AND(#REF!="Padrão",$H$4=#REF!),BDI!#REF!,IF(AND(#REF!="Diferenciado",$H$4=#REF!),BDI!$E$17,IF(AND(#REF!="Diferenciado",$H$4=#REF!),BDI!#REF!,IF(#REF!="ZERO",0))))),"")</f>
        <v>#REF!</v>
      </c>
      <c r="H2556" s="127" t="str">
        <f t="shared" si="130"/>
        <v/>
      </c>
      <c r="I2556" s="125" t="str">
        <f t="shared" si="131"/>
        <v/>
      </c>
    </row>
    <row r="2557" spans="1:9" hidden="1" x14ac:dyDescent="0.25">
      <c r="A2557" s="103" t="s">
        <v>6192</v>
      </c>
      <c r="B2557" s="104" t="s">
        <v>4955</v>
      </c>
      <c r="C2557" s="105" t="s">
        <v>20</v>
      </c>
      <c r="D2557" s="105">
        <v>0</v>
      </c>
      <c r="E2557" s="124" t="s">
        <v>523</v>
      </c>
      <c r="F2557" s="125" t="str">
        <f t="shared" si="129"/>
        <v/>
      </c>
      <c r="G2557" s="126" t="e">
        <f>IF(A2557&lt;&gt;"",IF(AND(#REF!="Padrão",$H$4=#REF!),BDI!$B$17,IF(AND(#REF!="Padrão",$H$4=#REF!),BDI!#REF!,IF(AND(#REF!="Diferenciado",$H$4=#REF!),BDI!$E$17,IF(AND(#REF!="Diferenciado",$H$4=#REF!),BDI!#REF!,IF(#REF!="ZERO",0))))),"")</f>
        <v>#REF!</v>
      </c>
      <c r="H2557" s="127" t="str">
        <f t="shared" si="130"/>
        <v/>
      </c>
      <c r="I2557" s="125" t="str">
        <f t="shared" si="131"/>
        <v/>
      </c>
    </row>
    <row r="2558" spans="1:9" hidden="1" x14ac:dyDescent="0.25">
      <c r="A2558" s="103" t="s">
        <v>6193</v>
      </c>
      <c r="B2558" s="104" t="s">
        <v>4956</v>
      </c>
      <c r="C2558" s="105" t="s">
        <v>20</v>
      </c>
      <c r="D2558" s="105">
        <v>0</v>
      </c>
      <c r="E2558" s="124" t="s">
        <v>523</v>
      </c>
      <c r="F2558" s="125" t="str">
        <f t="shared" si="129"/>
        <v/>
      </c>
      <c r="G2558" s="126" t="e">
        <f>IF(A2558&lt;&gt;"",IF(AND(#REF!="Padrão",$H$4=#REF!),BDI!$B$17,IF(AND(#REF!="Padrão",$H$4=#REF!),BDI!#REF!,IF(AND(#REF!="Diferenciado",$H$4=#REF!),BDI!$E$17,IF(AND(#REF!="Diferenciado",$H$4=#REF!),BDI!#REF!,IF(#REF!="ZERO",0))))),"")</f>
        <v>#REF!</v>
      </c>
      <c r="H2558" s="127" t="str">
        <f t="shared" si="130"/>
        <v/>
      </c>
      <c r="I2558" s="125" t="str">
        <f t="shared" si="131"/>
        <v/>
      </c>
    </row>
    <row r="2559" spans="1:9" hidden="1" x14ac:dyDescent="0.25">
      <c r="A2559" s="103" t="s">
        <v>6194</v>
      </c>
      <c r="B2559" s="104" t="s">
        <v>4957</v>
      </c>
      <c r="C2559" s="105" t="s">
        <v>20</v>
      </c>
      <c r="D2559" s="105">
        <v>0</v>
      </c>
      <c r="E2559" s="124" t="s">
        <v>523</v>
      </c>
      <c r="F2559" s="125" t="str">
        <f t="shared" si="129"/>
        <v/>
      </c>
      <c r="G2559" s="126" t="e">
        <f>IF(A2559&lt;&gt;"",IF(AND(#REF!="Padrão",$H$4=#REF!),BDI!$B$17,IF(AND(#REF!="Padrão",$H$4=#REF!),BDI!#REF!,IF(AND(#REF!="Diferenciado",$H$4=#REF!),BDI!$E$17,IF(AND(#REF!="Diferenciado",$H$4=#REF!),BDI!#REF!,IF(#REF!="ZERO",0))))),"")</f>
        <v>#REF!</v>
      </c>
      <c r="H2559" s="127" t="str">
        <f t="shared" si="130"/>
        <v/>
      </c>
      <c r="I2559" s="125" t="str">
        <f t="shared" si="131"/>
        <v/>
      </c>
    </row>
    <row r="2560" spans="1:9" hidden="1" x14ac:dyDescent="0.25">
      <c r="A2560" s="103" t="s">
        <v>6195</v>
      </c>
      <c r="B2560" s="104" t="s">
        <v>4958</v>
      </c>
      <c r="C2560" s="105" t="s">
        <v>20</v>
      </c>
      <c r="D2560" s="105">
        <v>0</v>
      </c>
      <c r="E2560" s="124" t="s">
        <v>523</v>
      </c>
      <c r="F2560" s="125" t="str">
        <f t="shared" si="129"/>
        <v/>
      </c>
      <c r="G2560" s="126" t="e">
        <f>IF(A2560&lt;&gt;"",IF(AND(#REF!="Padrão",$H$4=#REF!),BDI!$B$17,IF(AND(#REF!="Padrão",$H$4=#REF!),BDI!#REF!,IF(AND(#REF!="Diferenciado",$H$4=#REF!),BDI!$E$17,IF(AND(#REF!="Diferenciado",$H$4=#REF!),BDI!#REF!,IF(#REF!="ZERO",0))))),"")</f>
        <v>#REF!</v>
      </c>
      <c r="H2560" s="127" t="str">
        <f t="shared" si="130"/>
        <v/>
      </c>
      <c r="I2560" s="125" t="str">
        <f t="shared" si="131"/>
        <v/>
      </c>
    </row>
    <row r="2561" spans="1:9" hidden="1" x14ac:dyDescent="0.25">
      <c r="A2561" s="103" t="s">
        <v>6196</v>
      </c>
      <c r="B2561" s="104" t="s">
        <v>4959</v>
      </c>
      <c r="C2561" s="105" t="s">
        <v>20</v>
      </c>
      <c r="D2561" s="105">
        <v>0</v>
      </c>
      <c r="E2561" s="124" t="s">
        <v>523</v>
      </c>
      <c r="F2561" s="125" t="str">
        <f t="shared" si="129"/>
        <v/>
      </c>
      <c r="G2561" s="126" t="e">
        <f>IF(A2561&lt;&gt;"",IF(AND(#REF!="Padrão",$H$4=#REF!),BDI!$B$17,IF(AND(#REF!="Padrão",$H$4=#REF!),BDI!#REF!,IF(AND(#REF!="Diferenciado",$H$4=#REF!),BDI!$E$17,IF(AND(#REF!="Diferenciado",$H$4=#REF!),BDI!#REF!,IF(#REF!="ZERO",0))))),"")</f>
        <v>#REF!</v>
      </c>
      <c r="H2561" s="127" t="str">
        <f t="shared" si="130"/>
        <v/>
      </c>
      <c r="I2561" s="125" t="str">
        <f t="shared" si="131"/>
        <v/>
      </c>
    </row>
    <row r="2562" spans="1:9" hidden="1" x14ac:dyDescent="0.25">
      <c r="A2562" s="103" t="s">
        <v>6197</v>
      </c>
      <c r="B2562" s="104" t="s">
        <v>4960</v>
      </c>
      <c r="C2562" s="105" t="s">
        <v>20</v>
      </c>
      <c r="D2562" s="105">
        <v>0</v>
      </c>
      <c r="E2562" s="124" t="s">
        <v>523</v>
      </c>
      <c r="F2562" s="125" t="str">
        <f t="shared" si="129"/>
        <v/>
      </c>
      <c r="G2562" s="126" t="e">
        <f>IF(A2562&lt;&gt;"",IF(AND(#REF!="Padrão",$H$4=#REF!),BDI!$B$17,IF(AND(#REF!="Padrão",$H$4=#REF!),BDI!#REF!,IF(AND(#REF!="Diferenciado",$H$4=#REF!),BDI!$E$17,IF(AND(#REF!="Diferenciado",$H$4=#REF!),BDI!#REF!,IF(#REF!="ZERO",0))))),"")</f>
        <v>#REF!</v>
      </c>
      <c r="H2562" s="127" t="str">
        <f t="shared" si="130"/>
        <v/>
      </c>
      <c r="I2562" s="125" t="str">
        <f t="shared" si="131"/>
        <v/>
      </c>
    </row>
    <row r="2563" spans="1:9" hidden="1" x14ac:dyDescent="0.25">
      <c r="A2563" s="103" t="s">
        <v>6198</v>
      </c>
      <c r="B2563" s="104" t="s">
        <v>4961</v>
      </c>
      <c r="C2563" s="105" t="s">
        <v>20</v>
      </c>
      <c r="D2563" s="105">
        <v>0</v>
      </c>
      <c r="E2563" s="124" t="s">
        <v>523</v>
      </c>
      <c r="F2563" s="125" t="str">
        <f t="shared" si="129"/>
        <v/>
      </c>
      <c r="G2563" s="126" t="e">
        <f>IF(A2563&lt;&gt;"",IF(AND(#REF!="Padrão",$H$4=#REF!),BDI!$B$17,IF(AND(#REF!="Padrão",$H$4=#REF!),BDI!#REF!,IF(AND(#REF!="Diferenciado",$H$4=#REF!),BDI!$E$17,IF(AND(#REF!="Diferenciado",$H$4=#REF!),BDI!#REF!,IF(#REF!="ZERO",0))))),"")</f>
        <v>#REF!</v>
      </c>
      <c r="H2563" s="127" t="str">
        <f t="shared" si="130"/>
        <v/>
      </c>
      <c r="I2563" s="125" t="str">
        <f t="shared" si="131"/>
        <v/>
      </c>
    </row>
    <row r="2564" spans="1:9" hidden="1" x14ac:dyDescent="0.25">
      <c r="A2564" s="103" t="s">
        <v>6199</v>
      </c>
      <c r="B2564" s="104" t="s">
        <v>4962</v>
      </c>
      <c r="C2564" s="105" t="s">
        <v>20</v>
      </c>
      <c r="D2564" s="105">
        <v>0</v>
      </c>
      <c r="E2564" s="124" t="s">
        <v>523</v>
      </c>
      <c r="F2564" s="125" t="str">
        <f t="shared" si="129"/>
        <v/>
      </c>
      <c r="G2564" s="126" t="e">
        <f>IF(A2564&lt;&gt;"",IF(AND(#REF!="Padrão",$H$4=#REF!),BDI!$B$17,IF(AND(#REF!="Padrão",$H$4=#REF!),BDI!#REF!,IF(AND(#REF!="Diferenciado",$H$4=#REF!),BDI!$E$17,IF(AND(#REF!="Diferenciado",$H$4=#REF!),BDI!#REF!,IF(#REF!="ZERO",0))))),"")</f>
        <v>#REF!</v>
      </c>
      <c r="H2564" s="127" t="str">
        <f t="shared" si="130"/>
        <v/>
      </c>
      <c r="I2564" s="125" t="str">
        <f t="shared" si="131"/>
        <v/>
      </c>
    </row>
    <row r="2565" spans="1:9" hidden="1" x14ac:dyDescent="0.25">
      <c r="A2565" s="103" t="s">
        <v>6200</v>
      </c>
      <c r="B2565" s="104" t="s">
        <v>4963</v>
      </c>
      <c r="C2565" s="105" t="s">
        <v>20</v>
      </c>
      <c r="D2565" s="105">
        <v>0</v>
      </c>
      <c r="E2565" s="124" t="s">
        <v>523</v>
      </c>
      <c r="F2565" s="125" t="str">
        <f t="shared" si="129"/>
        <v/>
      </c>
      <c r="G2565" s="126" t="e">
        <f>IF(A2565&lt;&gt;"",IF(AND(#REF!="Padrão",$H$4=#REF!),BDI!$B$17,IF(AND(#REF!="Padrão",$H$4=#REF!),BDI!#REF!,IF(AND(#REF!="Diferenciado",$H$4=#REF!),BDI!$E$17,IF(AND(#REF!="Diferenciado",$H$4=#REF!),BDI!#REF!,IF(#REF!="ZERO",0))))),"")</f>
        <v>#REF!</v>
      </c>
      <c r="H2565" s="127" t="str">
        <f t="shared" si="130"/>
        <v/>
      </c>
      <c r="I2565" s="125" t="str">
        <f t="shared" si="131"/>
        <v/>
      </c>
    </row>
    <row r="2566" spans="1:9" hidden="1" x14ac:dyDescent="0.25">
      <c r="A2566" s="103" t="s">
        <v>6201</v>
      </c>
      <c r="B2566" s="104" t="s">
        <v>4964</v>
      </c>
      <c r="C2566" s="105" t="s">
        <v>20</v>
      </c>
      <c r="D2566" s="105">
        <v>0</v>
      </c>
      <c r="E2566" s="124" t="s">
        <v>523</v>
      </c>
      <c r="F2566" s="125" t="str">
        <f t="shared" si="129"/>
        <v/>
      </c>
      <c r="G2566" s="126" t="e">
        <f>IF(A2566&lt;&gt;"",IF(AND(#REF!="Padrão",$H$4=#REF!),BDI!$B$17,IF(AND(#REF!="Padrão",$H$4=#REF!),BDI!#REF!,IF(AND(#REF!="Diferenciado",$H$4=#REF!),BDI!$E$17,IF(AND(#REF!="Diferenciado",$H$4=#REF!),BDI!#REF!,IF(#REF!="ZERO",0))))),"")</f>
        <v>#REF!</v>
      </c>
      <c r="H2566" s="127" t="str">
        <f t="shared" si="130"/>
        <v/>
      </c>
      <c r="I2566" s="125" t="str">
        <f t="shared" si="131"/>
        <v/>
      </c>
    </row>
    <row r="2567" spans="1:9" hidden="1" x14ac:dyDescent="0.25">
      <c r="A2567" s="103" t="s">
        <v>6202</v>
      </c>
      <c r="B2567" s="104" t="s">
        <v>4965</v>
      </c>
      <c r="C2567" s="105" t="s">
        <v>20</v>
      </c>
      <c r="D2567" s="105">
        <v>0</v>
      </c>
      <c r="E2567" s="124" t="s">
        <v>523</v>
      </c>
      <c r="F2567" s="125" t="str">
        <f t="shared" si="129"/>
        <v/>
      </c>
      <c r="G2567" s="126" t="e">
        <f>IF(A2567&lt;&gt;"",IF(AND(#REF!="Padrão",$H$4=#REF!),BDI!$B$17,IF(AND(#REF!="Padrão",$H$4=#REF!),BDI!#REF!,IF(AND(#REF!="Diferenciado",$H$4=#REF!),BDI!$E$17,IF(AND(#REF!="Diferenciado",$H$4=#REF!),BDI!#REF!,IF(#REF!="ZERO",0))))),"")</f>
        <v>#REF!</v>
      </c>
      <c r="H2567" s="127" t="str">
        <f t="shared" si="130"/>
        <v/>
      </c>
      <c r="I2567" s="125" t="str">
        <f t="shared" si="131"/>
        <v/>
      </c>
    </row>
    <row r="2568" spans="1:9" hidden="1" x14ac:dyDescent="0.25">
      <c r="A2568" s="103" t="s">
        <v>6203</v>
      </c>
      <c r="B2568" s="104" t="s">
        <v>4966</v>
      </c>
      <c r="C2568" s="105" t="s">
        <v>20</v>
      </c>
      <c r="D2568" s="105">
        <v>0</v>
      </c>
      <c r="E2568" s="124" t="s">
        <v>523</v>
      </c>
      <c r="F2568" s="125" t="str">
        <f t="shared" si="129"/>
        <v/>
      </c>
      <c r="G2568" s="126" t="e">
        <f>IF(A2568&lt;&gt;"",IF(AND(#REF!="Padrão",$H$4=#REF!),BDI!$B$17,IF(AND(#REF!="Padrão",$H$4=#REF!),BDI!#REF!,IF(AND(#REF!="Diferenciado",$H$4=#REF!),BDI!$E$17,IF(AND(#REF!="Diferenciado",$H$4=#REF!),BDI!#REF!,IF(#REF!="ZERO",0))))),"")</f>
        <v>#REF!</v>
      </c>
      <c r="H2568" s="127" t="str">
        <f t="shared" si="130"/>
        <v/>
      </c>
      <c r="I2568" s="125" t="str">
        <f t="shared" si="131"/>
        <v/>
      </c>
    </row>
    <row r="2569" spans="1:9" hidden="1" x14ac:dyDescent="0.25">
      <c r="A2569" s="103" t="s">
        <v>6204</v>
      </c>
      <c r="B2569" s="104" t="s">
        <v>4967</v>
      </c>
      <c r="C2569" s="105" t="s">
        <v>20</v>
      </c>
      <c r="D2569" s="105">
        <v>0</v>
      </c>
      <c r="E2569" s="124" t="s">
        <v>523</v>
      </c>
      <c r="F2569" s="125" t="str">
        <f t="shared" si="129"/>
        <v/>
      </c>
      <c r="G2569" s="126" t="e">
        <f>IF(A2569&lt;&gt;"",IF(AND(#REF!="Padrão",$H$4=#REF!),BDI!$B$17,IF(AND(#REF!="Padrão",$H$4=#REF!),BDI!#REF!,IF(AND(#REF!="Diferenciado",$H$4=#REF!),BDI!$E$17,IF(AND(#REF!="Diferenciado",$H$4=#REF!),BDI!#REF!,IF(#REF!="ZERO",0))))),"")</f>
        <v>#REF!</v>
      </c>
      <c r="H2569" s="127" t="str">
        <f t="shared" si="130"/>
        <v/>
      </c>
      <c r="I2569" s="125" t="str">
        <f t="shared" si="131"/>
        <v/>
      </c>
    </row>
    <row r="2570" spans="1:9" hidden="1" x14ac:dyDescent="0.25">
      <c r="A2570" s="103" t="s">
        <v>6205</v>
      </c>
      <c r="B2570" s="104" t="s">
        <v>4968</v>
      </c>
      <c r="C2570" s="105" t="s">
        <v>20</v>
      </c>
      <c r="D2570" s="105">
        <v>0</v>
      </c>
      <c r="E2570" s="124" t="s">
        <v>523</v>
      </c>
      <c r="F2570" s="125" t="str">
        <f t="shared" si="129"/>
        <v/>
      </c>
      <c r="G2570" s="126" t="e">
        <f>IF(A2570&lt;&gt;"",IF(AND(#REF!="Padrão",$H$4=#REF!),BDI!$B$17,IF(AND(#REF!="Padrão",$H$4=#REF!),BDI!#REF!,IF(AND(#REF!="Diferenciado",$H$4=#REF!),BDI!$E$17,IF(AND(#REF!="Diferenciado",$H$4=#REF!),BDI!#REF!,IF(#REF!="ZERO",0))))),"")</f>
        <v>#REF!</v>
      </c>
      <c r="H2570" s="127" t="str">
        <f t="shared" si="130"/>
        <v/>
      </c>
      <c r="I2570" s="125" t="str">
        <f t="shared" si="131"/>
        <v/>
      </c>
    </row>
    <row r="2571" spans="1:9" hidden="1" x14ac:dyDescent="0.25">
      <c r="A2571" s="103" t="s">
        <v>6206</v>
      </c>
      <c r="B2571" s="104" t="s">
        <v>4969</v>
      </c>
      <c r="C2571" s="105" t="s">
        <v>20</v>
      </c>
      <c r="D2571" s="105">
        <v>0</v>
      </c>
      <c r="E2571" s="124" t="s">
        <v>523</v>
      </c>
      <c r="F2571" s="125" t="str">
        <f t="shared" si="129"/>
        <v/>
      </c>
      <c r="G2571" s="126" t="e">
        <f>IF(A2571&lt;&gt;"",IF(AND(#REF!="Padrão",$H$4=#REF!),BDI!$B$17,IF(AND(#REF!="Padrão",$H$4=#REF!),BDI!#REF!,IF(AND(#REF!="Diferenciado",$H$4=#REF!),BDI!$E$17,IF(AND(#REF!="Diferenciado",$H$4=#REF!),BDI!#REF!,IF(#REF!="ZERO",0))))),"")</f>
        <v>#REF!</v>
      </c>
      <c r="H2571" s="127" t="str">
        <f t="shared" si="130"/>
        <v/>
      </c>
      <c r="I2571" s="125" t="str">
        <f t="shared" si="131"/>
        <v/>
      </c>
    </row>
    <row r="2572" spans="1:9" hidden="1" x14ac:dyDescent="0.25">
      <c r="A2572" s="103" t="s">
        <v>6207</v>
      </c>
      <c r="B2572" s="104" t="s">
        <v>4970</v>
      </c>
      <c r="C2572" s="105" t="s">
        <v>20</v>
      </c>
      <c r="D2572" s="105">
        <v>0</v>
      </c>
      <c r="E2572" s="124" t="s">
        <v>523</v>
      </c>
      <c r="F2572" s="125" t="str">
        <f t="shared" si="129"/>
        <v/>
      </c>
      <c r="G2572" s="126" t="e">
        <f>IF(A2572&lt;&gt;"",IF(AND(#REF!="Padrão",$H$4=#REF!),BDI!$B$17,IF(AND(#REF!="Padrão",$H$4=#REF!),BDI!#REF!,IF(AND(#REF!="Diferenciado",$H$4=#REF!),BDI!$E$17,IF(AND(#REF!="Diferenciado",$H$4=#REF!),BDI!#REF!,IF(#REF!="ZERO",0))))),"")</f>
        <v>#REF!</v>
      </c>
      <c r="H2572" s="127" t="str">
        <f t="shared" si="130"/>
        <v/>
      </c>
      <c r="I2572" s="125" t="str">
        <f t="shared" si="131"/>
        <v/>
      </c>
    </row>
    <row r="2573" spans="1:9" hidden="1" x14ac:dyDescent="0.25">
      <c r="A2573" s="103" t="s">
        <v>6208</v>
      </c>
      <c r="B2573" s="104" t="s">
        <v>4971</v>
      </c>
      <c r="C2573" s="105" t="s">
        <v>20</v>
      </c>
      <c r="D2573" s="105">
        <v>0</v>
      </c>
      <c r="E2573" s="124" t="s">
        <v>523</v>
      </c>
      <c r="F2573" s="125" t="str">
        <f t="shared" si="129"/>
        <v/>
      </c>
      <c r="G2573" s="126" t="e">
        <f>IF(A2573&lt;&gt;"",IF(AND(#REF!="Padrão",$H$4=#REF!),BDI!$B$17,IF(AND(#REF!="Padrão",$H$4=#REF!),BDI!#REF!,IF(AND(#REF!="Diferenciado",$H$4=#REF!),BDI!$E$17,IF(AND(#REF!="Diferenciado",$H$4=#REF!),BDI!#REF!,IF(#REF!="ZERO",0))))),"")</f>
        <v>#REF!</v>
      </c>
      <c r="H2573" s="127" t="str">
        <f t="shared" si="130"/>
        <v/>
      </c>
      <c r="I2573" s="125" t="str">
        <f t="shared" si="131"/>
        <v/>
      </c>
    </row>
    <row r="2574" spans="1:9" hidden="1" x14ac:dyDescent="0.25">
      <c r="A2574" s="103" t="s">
        <v>6209</v>
      </c>
      <c r="B2574" s="104" t="s">
        <v>4972</v>
      </c>
      <c r="C2574" s="105" t="s">
        <v>20</v>
      </c>
      <c r="D2574" s="105">
        <v>0</v>
      </c>
      <c r="E2574" s="124" t="s">
        <v>523</v>
      </c>
      <c r="F2574" s="125" t="str">
        <f t="shared" si="129"/>
        <v/>
      </c>
      <c r="G2574" s="126" t="e">
        <f>IF(A2574&lt;&gt;"",IF(AND(#REF!="Padrão",$H$4=#REF!),BDI!$B$17,IF(AND(#REF!="Padrão",$H$4=#REF!),BDI!#REF!,IF(AND(#REF!="Diferenciado",$H$4=#REF!),BDI!$E$17,IF(AND(#REF!="Diferenciado",$H$4=#REF!),BDI!#REF!,IF(#REF!="ZERO",0))))),"")</f>
        <v>#REF!</v>
      </c>
      <c r="H2574" s="127" t="str">
        <f t="shared" si="130"/>
        <v/>
      </c>
      <c r="I2574" s="125" t="str">
        <f t="shared" si="131"/>
        <v/>
      </c>
    </row>
    <row r="2575" spans="1:9" hidden="1" x14ac:dyDescent="0.25">
      <c r="A2575" s="103" t="s">
        <v>6210</v>
      </c>
      <c r="B2575" s="104" t="s">
        <v>4973</v>
      </c>
      <c r="C2575" s="105" t="s">
        <v>20</v>
      </c>
      <c r="D2575" s="105">
        <v>0</v>
      </c>
      <c r="E2575" s="124" t="s">
        <v>523</v>
      </c>
      <c r="F2575" s="125" t="str">
        <f t="shared" si="129"/>
        <v/>
      </c>
      <c r="G2575" s="126" t="e">
        <f>IF(A2575&lt;&gt;"",IF(AND(#REF!="Padrão",$H$4=#REF!),BDI!$B$17,IF(AND(#REF!="Padrão",$H$4=#REF!),BDI!#REF!,IF(AND(#REF!="Diferenciado",$H$4=#REF!),BDI!$E$17,IF(AND(#REF!="Diferenciado",$H$4=#REF!),BDI!#REF!,IF(#REF!="ZERO",0))))),"")</f>
        <v>#REF!</v>
      </c>
      <c r="H2575" s="127" t="str">
        <f t="shared" si="130"/>
        <v/>
      </c>
      <c r="I2575" s="125" t="str">
        <f t="shared" si="131"/>
        <v/>
      </c>
    </row>
    <row r="2576" spans="1:9" hidden="1" x14ac:dyDescent="0.25">
      <c r="A2576" s="103" t="s">
        <v>6211</v>
      </c>
      <c r="B2576" s="104" t="s">
        <v>4974</v>
      </c>
      <c r="C2576" s="105" t="s">
        <v>20</v>
      </c>
      <c r="D2576" s="105">
        <v>0</v>
      </c>
      <c r="E2576" s="124" t="s">
        <v>523</v>
      </c>
      <c r="F2576" s="125" t="str">
        <f t="shared" si="129"/>
        <v/>
      </c>
      <c r="G2576" s="126" t="e">
        <f>IF(A2576&lt;&gt;"",IF(AND(#REF!="Padrão",$H$4=#REF!),BDI!$B$17,IF(AND(#REF!="Padrão",$H$4=#REF!),BDI!#REF!,IF(AND(#REF!="Diferenciado",$H$4=#REF!),BDI!$E$17,IF(AND(#REF!="Diferenciado",$H$4=#REF!),BDI!#REF!,IF(#REF!="ZERO",0))))),"")</f>
        <v>#REF!</v>
      </c>
      <c r="H2576" s="127" t="str">
        <f t="shared" si="130"/>
        <v/>
      </c>
      <c r="I2576" s="125" t="str">
        <f t="shared" si="131"/>
        <v/>
      </c>
    </row>
    <row r="2577" spans="1:9" hidden="1" x14ac:dyDescent="0.25">
      <c r="A2577" s="103" t="s">
        <v>6212</v>
      </c>
      <c r="B2577" s="104" t="s">
        <v>4975</v>
      </c>
      <c r="C2577" s="105" t="s">
        <v>1924</v>
      </c>
      <c r="D2577" s="105">
        <v>0</v>
      </c>
      <c r="E2577" s="124" t="s">
        <v>523</v>
      </c>
      <c r="F2577" s="125" t="str">
        <f t="shared" si="129"/>
        <v/>
      </c>
      <c r="G2577" s="126" t="e">
        <f>IF(A2577&lt;&gt;"",IF(AND(#REF!="Padrão",$H$4=#REF!),BDI!$B$17,IF(AND(#REF!="Padrão",$H$4=#REF!),BDI!#REF!,IF(AND(#REF!="Diferenciado",$H$4=#REF!),BDI!$E$17,IF(AND(#REF!="Diferenciado",$H$4=#REF!),BDI!#REF!,IF(#REF!="ZERO",0))))),"")</f>
        <v>#REF!</v>
      </c>
      <c r="H2577" s="127" t="str">
        <f t="shared" si="130"/>
        <v/>
      </c>
      <c r="I2577" s="125" t="str">
        <f t="shared" si="131"/>
        <v/>
      </c>
    </row>
    <row r="2578" spans="1:9" hidden="1" x14ac:dyDescent="0.25">
      <c r="A2578" s="103" t="s">
        <v>6213</v>
      </c>
      <c r="B2578" s="104" t="s">
        <v>4976</v>
      </c>
      <c r="C2578" s="105" t="s">
        <v>1924</v>
      </c>
      <c r="D2578" s="105">
        <v>0</v>
      </c>
      <c r="E2578" s="124" t="s">
        <v>523</v>
      </c>
      <c r="F2578" s="125" t="str">
        <f t="shared" si="129"/>
        <v/>
      </c>
      <c r="G2578" s="126" t="e">
        <f>IF(A2578&lt;&gt;"",IF(AND(#REF!="Padrão",$H$4=#REF!),BDI!$B$17,IF(AND(#REF!="Padrão",$H$4=#REF!),BDI!#REF!,IF(AND(#REF!="Diferenciado",$H$4=#REF!),BDI!$E$17,IF(AND(#REF!="Diferenciado",$H$4=#REF!),BDI!#REF!,IF(#REF!="ZERO",0))))),"")</f>
        <v>#REF!</v>
      </c>
      <c r="H2578" s="127" t="str">
        <f t="shared" si="130"/>
        <v/>
      </c>
      <c r="I2578" s="125" t="str">
        <f t="shared" si="131"/>
        <v/>
      </c>
    </row>
    <row r="2579" spans="1:9" hidden="1" x14ac:dyDescent="0.25">
      <c r="A2579" s="103" t="s">
        <v>6214</v>
      </c>
      <c r="B2579" s="104" t="s">
        <v>4977</v>
      </c>
      <c r="C2579" s="105" t="s">
        <v>1924</v>
      </c>
      <c r="D2579" s="105">
        <v>0</v>
      </c>
      <c r="E2579" s="124" t="s">
        <v>523</v>
      </c>
      <c r="F2579" s="125" t="str">
        <f t="shared" si="129"/>
        <v/>
      </c>
      <c r="G2579" s="126" t="e">
        <f>IF(A2579&lt;&gt;"",IF(AND(#REF!="Padrão",$H$4=#REF!),BDI!$B$17,IF(AND(#REF!="Padrão",$H$4=#REF!),BDI!#REF!,IF(AND(#REF!="Diferenciado",$H$4=#REF!),BDI!$E$17,IF(AND(#REF!="Diferenciado",$H$4=#REF!),BDI!#REF!,IF(#REF!="ZERO",0))))),"")</f>
        <v>#REF!</v>
      </c>
      <c r="H2579" s="127" t="str">
        <f t="shared" si="130"/>
        <v/>
      </c>
      <c r="I2579" s="125" t="str">
        <f t="shared" si="131"/>
        <v/>
      </c>
    </row>
    <row r="2580" spans="1:9" hidden="1" x14ac:dyDescent="0.25">
      <c r="A2580" s="103" t="s">
        <v>6215</v>
      </c>
      <c r="B2580" s="104" t="s">
        <v>4978</v>
      </c>
      <c r="C2580" s="105" t="s">
        <v>20</v>
      </c>
      <c r="D2580" s="105">
        <v>0</v>
      </c>
      <c r="E2580" s="124" t="s">
        <v>523</v>
      </c>
      <c r="F2580" s="125" t="str">
        <f t="shared" si="129"/>
        <v/>
      </c>
      <c r="G2580" s="126" t="e">
        <f>IF(A2580&lt;&gt;"",IF(AND(#REF!="Padrão",$H$4=#REF!),BDI!$B$17,IF(AND(#REF!="Padrão",$H$4=#REF!),BDI!#REF!,IF(AND(#REF!="Diferenciado",$H$4=#REF!),BDI!$E$17,IF(AND(#REF!="Diferenciado",$H$4=#REF!),BDI!#REF!,IF(#REF!="ZERO",0))))),"")</f>
        <v>#REF!</v>
      </c>
      <c r="H2580" s="127" t="str">
        <f t="shared" si="130"/>
        <v/>
      </c>
      <c r="I2580" s="125" t="str">
        <f t="shared" si="131"/>
        <v/>
      </c>
    </row>
    <row r="2581" spans="1:9" hidden="1" x14ac:dyDescent="0.25">
      <c r="A2581" s="103" t="s">
        <v>6216</v>
      </c>
      <c r="B2581" s="104" t="s">
        <v>4979</v>
      </c>
      <c r="C2581" s="105" t="s">
        <v>20</v>
      </c>
      <c r="D2581" s="105">
        <v>0</v>
      </c>
      <c r="E2581" s="124" t="s">
        <v>523</v>
      </c>
      <c r="F2581" s="125" t="str">
        <f t="shared" si="129"/>
        <v/>
      </c>
      <c r="G2581" s="126" t="e">
        <f>IF(A2581&lt;&gt;"",IF(AND(#REF!="Padrão",$H$4=#REF!),BDI!$B$17,IF(AND(#REF!="Padrão",$H$4=#REF!),BDI!#REF!,IF(AND(#REF!="Diferenciado",$H$4=#REF!),BDI!$E$17,IF(AND(#REF!="Diferenciado",$H$4=#REF!),BDI!#REF!,IF(#REF!="ZERO",0))))),"")</f>
        <v>#REF!</v>
      </c>
      <c r="H2581" s="127" t="str">
        <f t="shared" si="130"/>
        <v/>
      </c>
      <c r="I2581" s="125" t="str">
        <f t="shared" si="131"/>
        <v/>
      </c>
    </row>
    <row r="2582" spans="1:9" hidden="1" x14ac:dyDescent="0.25">
      <c r="A2582" s="103" t="s">
        <v>6217</v>
      </c>
      <c r="B2582" s="104" t="s">
        <v>4980</v>
      </c>
      <c r="C2582" s="105" t="s">
        <v>20</v>
      </c>
      <c r="D2582" s="105">
        <v>0</v>
      </c>
      <c r="E2582" s="124" t="s">
        <v>523</v>
      </c>
      <c r="F2582" s="125" t="str">
        <f t="shared" si="129"/>
        <v/>
      </c>
      <c r="G2582" s="126" t="e">
        <f>IF(A2582&lt;&gt;"",IF(AND(#REF!="Padrão",$H$4=#REF!),BDI!$B$17,IF(AND(#REF!="Padrão",$H$4=#REF!),BDI!#REF!,IF(AND(#REF!="Diferenciado",$H$4=#REF!),BDI!$E$17,IF(AND(#REF!="Diferenciado",$H$4=#REF!),BDI!#REF!,IF(#REF!="ZERO",0))))),"")</f>
        <v>#REF!</v>
      </c>
      <c r="H2582" s="127" t="str">
        <f t="shared" si="130"/>
        <v/>
      </c>
      <c r="I2582" s="125" t="str">
        <f t="shared" si="131"/>
        <v/>
      </c>
    </row>
    <row r="2583" spans="1:9" hidden="1" x14ac:dyDescent="0.25">
      <c r="A2583" s="103" t="s">
        <v>6218</v>
      </c>
      <c r="B2583" s="104" t="s">
        <v>4981</v>
      </c>
      <c r="C2583" s="105" t="s">
        <v>20</v>
      </c>
      <c r="D2583" s="105">
        <v>0</v>
      </c>
      <c r="E2583" s="124" t="s">
        <v>523</v>
      </c>
      <c r="F2583" s="125" t="str">
        <f t="shared" si="129"/>
        <v/>
      </c>
      <c r="G2583" s="126" t="e">
        <f>IF(A2583&lt;&gt;"",IF(AND(#REF!="Padrão",$H$4=#REF!),BDI!$B$17,IF(AND(#REF!="Padrão",$H$4=#REF!),BDI!#REF!,IF(AND(#REF!="Diferenciado",$H$4=#REF!),BDI!$E$17,IF(AND(#REF!="Diferenciado",$H$4=#REF!),BDI!#REF!,IF(#REF!="ZERO",0))))),"")</f>
        <v>#REF!</v>
      </c>
      <c r="H2583" s="127" t="str">
        <f t="shared" si="130"/>
        <v/>
      </c>
      <c r="I2583" s="125" t="str">
        <f t="shared" si="131"/>
        <v/>
      </c>
    </row>
    <row r="2584" spans="1:9" hidden="1" x14ac:dyDescent="0.25">
      <c r="A2584" s="103" t="s">
        <v>6219</v>
      </c>
      <c r="B2584" s="104" t="s">
        <v>4982</v>
      </c>
      <c r="C2584" s="105" t="s">
        <v>20</v>
      </c>
      <c r="D2584" s="105">
        <v>0</v>
      </c>
      <c r="E2584" s="124" t="s">
        <v>523</v>
      </c>
      <c r="F2584" s="125" t="str">
        <f t="shared" si="129"/>
        <v/>
      </c>
      <c r="G2584" s="126" t="e">
        <f>IF(A2584&lt;&gt;"",IF(AND(#REF!="Padrão",$H$4=#REF!),BDI!$B$17,IF(AND(#REF!="Padrão",$H$4=#REF!),BDI!#REF!,IF(AND(#REF!="Diferenciado",$H$4=#REF!),BDI!$E$17,IF(AND(#REF!="Diferenciado",$H$4=#REF!),BDI!#REF!,IF(#REF!="ZERO",0))))),"")</f>
        <v>#REF!</v>
      </c>
      <c r="H2584" s="127" t="str">
        <f t="shared" si="130"/>
        <v/>
      </c>
      <c r="I2584" s="125" t="str">
        <f t="shared" si="131"/>
        <v/>
      </c>
    </row>
    <row r="2585" spans="1:9" hidden="1" x14ac:dyDescent="0.25">
      <c r="A2585" s="103" t="s">
        <v>6220</v>
      </c>
      <c r="B2585" s="104" t="s">
        <v>4983</v>
      </c>
      <c r="C2585" s="105" t="s">
        <v>20</v>
      </c>
      <c r="D2585" s="105">
        <v>0</v>
      </c>
      <c r="E2585" s="124" t="s">
        <v>523</v>
      </c>
      <c r="F2585" s="125" t="str">
        <f t="shared" si="129"/>
        <v/>
      </c>
      <c r="G2585" s="126" t="e">
        <f>IF(A2585&lt;&gt;"",IF(AND(#REF!="Padrão",$H$4=#REF!),BDI!$B$17,IF(AND(#REF!="Padrão",$H$4=#REF!),BDI!#REF!,IF(AND(#REF!="Diferenciado",$H$4=#REF!),BDI!$E$17,IF(AND(#REF!="Diferenciado",$H$4=#REF!),BDI!#REF!,IF(#REF!="ZERO",0))))),"")</f>
        <v>#REF!</v>
      </c>
      <c r="H2585" s="127" t="str">
        <f t="shared" si="130"/>
        <v/>
      </c>
      <c r="I2585" s="125" t="str">
        <f t="shared" si="131"/>
        <v/>
      </c>
    </row>
    <row r="2586" spans="1:9" hidden="1" x14ac:dyDescent="0.25">
      <c r="A2586" s="103" t="s">
        <v>6221</v>
      </c>
      <c r="B2586" s="104" t="s">
        <v>4984</v>
      </c>
      <c r="C2586" s="105" t="s">
        <v>20</v>
      </c>
      <c r="D2586" s="105">
        <v>0</v>
      </c>
      <c r="E2586" s="124" t="s">
        <v>523</v>
      </c>
      <c r="F2586" s="125" t="str">
        <f t="shared" si="129"/>
        <v/>
      </c>
      <c r="G2586" s="126" t="e">
        <f>IF(A2586&lt;&gt;"",IF(AND(#REF!="Padrão",$H$4=#REF!),BDI!$B$17,IF(AND(#REF!="Padrão",$H$4=#REF!),BDI!#REF!,IF(AND(#REF!="Diferenciado",$H$4=#REF!),BDI!$E$17,IF(AND(#REF!="Diferenciado",$H$4=#REF!),BDI!#REF!,IF(#REF!="ZERO",0))))),"")</f>
        <v>#REF!</v>
      </c>
      <c r="H2586" s="127" t="str">
        <f t="shared" si="130"/>
        <v/>
      </c>
      <c r="I2586" s="125" t="str">
        <f t="shared" si="131"/>
        <v/>
      </c>
    </row>
    <row r="2587" spans="1:9" hidden="1" x14ac:dyDescent="0.25">
      <c r="A2587" s="103" t="s">
        <v>6222</v>
      </c>
      <c r="B2587" s="104" t="s">
        <v>4985</v>
      </c>
      <c r="C2587" s="105" t="s">
        <v>5023</v>
      </c>
      <c r="D2587" s="105">
        <v>0</v>
      </c>
      <c r="E2587" s="124" t="s">
        <v>523</v>
      </c>
      <c r="F2587" s="125" t="str">
        <f t="shared" si="129"/>
        <v/>
      </c>
      <c r="G2587" s="126" t="e">
        <f>IF(A2587&lt;&gt;"",IF(AND(#REF!="Padrão",$H$4=#REF!),BDI!$B$17,IF(AND(#REF!="Padrão",$H$4=#REF!),BDI!#REF!,IF(AND(#REF!="Diferenciado",$H$4=#REF!),BDI!$E$17,IF(AND(#REF!="Diferenciado",$H$4=#REF!),BDI!#REF!,IF(#REF!="ZERO",0))))),"")</f>
        <v>#REF!</v>
      </c>
      <c r="H2587" s="127" t="str">
        <f t="shared" si="130"/>
        <v/>
      </c>
      <c r="I2587" s="125" t="str">
        <f t="shared" si="131"/>
        <v/>
      </c>
    </row>
    <row r="2588" spans="1:9" hidden="1" x14ac:dyDescent="0.25">
      <c r="A2588" s="103" t="s">
        <v>6223</v>
      </c>
      <c r="B2588" s="104" t="s">
        <v>4986</v>
      </c>
      <c r="C2588" s="105" t="s">
        <v>1924</v>
      </c>
      <c r="D2588" s="105">
        <v>0</v>
      </c>
      <c r="E2588" s="124" t="s">
        <v>523</v>
      </c>
      <c r="F2588" s="125" t="str">
        <f t="shared" si="129"/>
        <v/>
      </c>
      <c r="G2588" s="126" t="e">
        <f>IF(A2588&lt;&gt;"",IF(AND(#REF!="Padrão",$H$4=#REF!),BDI!$B$17,IF(AND(#REF!="Padrão",$H$4=#REF!),BDI!#REF!,IF(AND(#REF!="Diferenciado",$H$4=#REF!),BDI!$E$17,IF(AND(#REF!="Diferenciado",$H$4=#REF!),BDI!#REF!,IF(#REF!="ZERO",0))))),"")</f>
        <v>#REF!</v>
      </c>
      <c r="H2588" s="127" t="str">
        <f t="shared" si="130"/>
        <v/>
      </c>
      <c r="I2588" s="125" t="str">
        <f t="shared" si="131"/>
        <v/>
      </c>
    </row>
    <row r="2589" spans="1:9" hidden="1" x14ac:dyDescent="0.25">
      <c r="A2589" s="103" t="s">
        <v>6224</v>
      </c>
      <c r="B2589" s="104" t="s">
        <v>4987</v>
      </c>
      <c r="C2589" s="105" t="s">
        <v>1924</v>
      </c>
      <c r="D2589" s="105">
        <v>0</v>
      </c>
      <c r="E2589" s="124" t="s">
        <v>523</v>
      </c>
      <c r="F2589" s="125" t="str">
        <f t="shared" si="129"/>
        <v/>
      </c>
      <c r="G2589" s="126" t="e">
        <f>IF(A2589&lt;&gt;"",IF(AND(#REF!="Padrão",$H$4=#REF!),BDI!$B$17,IF(AND(#REF!="Padrão",$H$4=#REF!),BDI!#REF!,IF(AND(#REF!="Diferenciado",$H$4=#REF!),BDI!$E$17,IF(AND(#REF!="Diferenciado",$H$4=#REF!),BDI!#REF!,IF(#REF!="ZERO",0))))),"")</f>
        <v>#REF!</v>
      </c>
      <c r="H2589" s="127" t="str">
        <f t="shared" si="130"/>
        <v/>
      </c>
      <c r="I2589" s="125" t="str">
        <f t="shared" si="131"/>
        <v/>
      </c>
    </row>
    <row r="2590" spans="1:9" hidden="1" x14ac:dyDescent="0.25">
      <c r="A2590" s="103" t="s">
        <v>6225</v>
      </c>
      <c r="B2590" s="104" t="s">
        <v>4988</v>
      </c>
      <c r="C2590" s="105" t="s">
        <v>20</v>
      </c>
      <c r="D2590" s="105">
        <v>0</v>
      </c>
      <c r="E2590" s="124" t="s">
        <v>523</v>
      </c>
      <c r="F2590" s="125" t="str">
        <f t="shared" si="129"/>
        <v/>
      </c>
      <c r="G2590" s="126" t="e">
        <f>IF(A2590&lt;&gt;"",IF(AND(#REF!="Padrão",$H$4=#REF!),BDI!$B$17,IF(AND(#REF!="Padrão",$H$4=#REF!),BDI!#REF!,IF(AND(#REF!="Diferenciado",$H$4=#REF!),BDI!$E$17,IF(AND(#REF!="Diferenciado",$H$4=#REF!),BDI!#REF!,IF(#REF!="ZERO",0))))),"")</f>
        <v>#REF!</v>
      </c>
      <c r="H2590" s="127" t="str">
        <f t="shared" si="130"/>
        <v/>
      </c>
      <c r="I2590" s="125" t="str">
        <f t="shared" si="131"/>
        <v/>
      </c>
    </row>
    <row r="2591" spans="1:9" hidden="1" x14ac:dyDescent="0.25">
      <c r="A2591" s="103" t="s">
        <v>6226</v>
      </c>
      <c r="B2591" s="104" t="s">
        <v>4989</v>
      </c>
      <c r="C2591" s="105" t="s">
        <v>1924</v>
      </c>
      <c r="D2591" s="105">
        <v>0</v>
      </c>
      <c r="E2591" s="124" t="s">
        <v>523</v>
      </c>
      <c r="F2591" s="125" t="str">
        <f t="shared" si="129"/>
        <v/>
      </c>
      <c r="G2591" s="126" t="e">
        <f>IF(A2591&lt;&gt;"",IF(AND(#REF!="Padrão",$H$4=#REF!),BDI!$B$17,IF(AND(#REF!="Padrão",$H$4=#REF!),BDI!#REF!,IF(AND(#REF!="Diferenciado",$H$4=#REF!),BDI!$E$17,IF(AND(#REF!="Diferenciado",$H$4=#REF!),BDI!#REF!,IF(#REF!="ZERO",0))))),"")</f>
        <v>#REF!</v>
      </c>
      <c r="H2591" s="127" t="str">
        <f t="shared" si="130"/>
        <v/>
      </c>
      <c r="I2591" s="125" t="str">
        <f t="shared" si="131"/>
        <v/>
      </c>
    </row>
    <row r="2592" spans="1:9" hidden="1" x14ac:dyDescent="0.25">
      <c r="A2592" s="103" t="s">
        <v>6227</v>
      </c>
      <c r="B2592" s="104" t="s">
        <v>4990</v>
      </c>
      <c r="C2592" s="105" t="s">
        <v>1924</v>
      </c>
      <c r="D2592" s="105">
        <v>0</v>
      </c>
      <c r="E2592" s="124" t="s">
        <v>523</v>
      </c>
      <c r="F2592" s="125" t="str">
        <f t="shared" si="129"/>
        <v/>
      </c>
      <c r="G2592" s="126" t="e">
        <f>IF(A2592&lt;&gt;"",IF(AND(#REF!="Padrão",$H$4=#REF!),BDI!$B$17,IF(AND(#REF!="Padrão",$H$4=#REF!),BDI!#REF!,IF(AND(#REF!="Diferenciado",$H$4=#REF!),BDI!$E$17,IF(AND(#REF!="Diferenciado",$H$4=#REF!),BDI!#REF!,IF(#REF!="ZERO",0))))),"")</f>
        <v>#REF!</v>
      </c>
      <c r="H2592" s="127" t="str">
        <f t="shared" si="130"/>
        <v/>
      </c>
      <c r="I2592" s="125" t="str">
        <f t="shared" si="131"/>
        <v/>
      </c>
    </row>
    <row r="2593" spans="1:9" hidden="1" x14ac:dyDescent="0.25">
      <c r="A2593" s="103" t="s">
        <v>6228</v>
      </c>
      <c r="B2593" s="104" t="s">
        <v>4991</v>
      </c>
      <c r="C2593" s="105" t="s">
        <v>102</v>
      </c>
      <c r="D2593" s="105">
        <v>0</v>
      </c>
      <c r="E2593" s="124">
        <f ca="1">OFFSET(INDEX(Composições!A:J,MATCH(Orçamentária!A2593,Composições!A:A,0),8),2,0)</f>
        <v>125.88924999999998</v>
      </c>
      <c r="F2593" s="125">
        <f t="shared" ca="1" si="129"/>
        <v>0</v>
      </c>
      <c r="G2593" s="126" t="e">
        <f>IF(A2593&lt;&gt;"",IF(AND(#REF!="Padrão",$H$4=#REF!),BDI!$B$17,IF(AND(#REF!="Padrão",$H$4=#REF!),BDI!#REF!,IF(AND(#REF!="Diferenciado",$H$4=#REF!),BDI!$E$17,IF(AND(#REF!="Diferenciado",$H$4=#REF!),BDI!#REF!,IF(#REF!="ZERO",0))))),"")</f>
        <v>#REF!</v>
      </c>
      <c r="H2593" s="127" t="e">
        <f t="shared" ca="1" si="130"/>
        <v>#REF!</v>
      </c>
      <c r="I2593" s="125" t="e">
        <f t="shared" ca="1" si="131"/>
        <v>#REF!</v>
      </c>
    </row>
    <row r="2594" spans="1:9" hidden="1" x14ac:dyDescent="0.25">
      <c r="A2594" s="103" t="s">
        <v>6229</v>
      </c>
      <c r="B2594" s="104" t="s">
        <v>4992</v>
      </c>
      <c r="C2594" s="105" t="s">
        <v>102</v>
      </c>
      <c r="D2594" s="105">
        <v>0</v>
      </c>
      <c r="E2594" s="124" t="s">
        <v>523</v>
      </c>
      <c r="F2594" s="125" t="str">
        <f t="shared" si="129"/>
        <v/>
      </c>
      <c r="G2594" s="126" t="e">
        <f>IF(A2594&lt;&gt;"",IF(AND(#REF!="Padrão",$H$4=#REF!),BDI!$B$17,IF(AND(#REF!="Padrão",$H$4=#REF!),BDI!#REF!,IF(AND(#REF!="Diferenciado",$H$4=#REF!),BDI!$E$17,IF(AND(#REF!="Diferenciado",$H$4=#REF!),BDI!#REF!,IF(#REF!="ZERO",0))))),"")</f>
        <v>#REF!</v>
      </c>
      <c r="H2594" s="127" t="str">
        <f t="shared" si="130"/>
        <v/>
      </c>
      <c r="I2594" s="125" t="str">
        <f t="shared" si="131"/>
        <v/>
      </c>
    </row>
    <row r="2595" spans="1:9" hidden="1" x14ac:dyDescent="0.25">
      <c r="A2595" s="103" t="s">
        <v>6230</v>
      </c>
      <c r="B2595" s="104" t="s">
        <v>4993</v>
      </c>
      <c r="C2595" s="105" t="s">
        <v>95</v>
      </c>
      <c r="D2595" s="105">
        <v>0</v>
      </c>
      <c r="E2595" s="124">
        <f ca="1">OFFSET(INDEX(Composições!A:J,MATCH(Orçamentária!A2595,Composições!A:A,0),8),2,0)</f>
        <v>15.261464999999999</v>
      </c>
      <c r="F2595" s="125">
        <f t="shared" ca="1" si="129"/>
        <v>0</v>
      </c>
      <c r="G2595" s="126" t="e">
        <f>IF(A2595&lt;&gt;"",IF(AND(#REF!="Padrão",$H$4=#REF!),BDI!$B$17,IF(AND(#REF!="Padrão",$H$4=#REF!),BDI!#REF!,IF(AND(#REF!="Diferenciado",$H$4=#REF!),BDI!$E$17,IF(AND(#REF!="Diferenciado",$H$4=#REF!),BDI!#REF!,IF(#REF!="ZERO",0))))),"")</f>
        <v>#REF!</v>
      </c>
      <c r="H2595" s="127" t="e">
        <f t="shared" ca="1" si="130"/>
        <v>#REF!</v>
      </c>
      <c r="I2595" s="125" t="e">
        <f t="shared" ca="1" si="131"/>
        <v>#REF!</v>
      </c>
    </row>
    <row r="2596" spans="1:9" hidden="1" x14ac:dyDescent="0.25">
      <c r="A2596" s="103" t="s">
        <v>6231</v>
      </c>
      <c r="B2596" s="104" t="s">
        <v>4994</v>
      </c>
      <c r="C2596" s="105" t="s">
        <v>95</v>
      </c>
      <c r="D2596" s="105">
        <v>0</v>
      </c>
      <c r="E2596" s="124">
        <f ca="1">OFFSET(INDEX(Composições!A:J,MATCH(Orçamentária!A2596,Composições!A:A,0),8),2,0)</f>
        <v>13.962149999999999</v>
      </c>
      <c r="F2596" s="125">
        <f t="shared" ca="1" si="129"/>
        <v>0</v>
      </c>
      <c r="G2596" s="126" t="e">
        <f>IF(A2596&lt;&gt;"",IF(AND(#REF!="Padrão",$H$4=#REF!),BDI!$B$17,IF(AND(#REF!="Padrão",$H$4=#REF!),BDI!#REF!,IF(AND(#REF!="Diferenciado",$H$4=#REF!),BDI!$E$17,IF(AND(#REF!="Diferenciado",$H$4=#REF!),BDI!#REF!,IF(#REF!="ZERO",0))))),"")</f>
        <v>#REF!</v>
      </c>
      <c r="H2596" s="127" t="e">
        <f t="shared" ca="1" si="130"/>
        <v>#REF!</v>
      </c>
      <c r="I2596" s="125" t="e">
        <f t="shared" ca="1" si="131"/>
        <v>#REF!</v>
      </c>
    </row>
    <row r="2597" spans="1:9" hidden="1" x14ac:dyDescent="0.25">
      <c r="A2597" s="103" t="s">
        <v>6232</v>
      </c>
      <c r="B2597" s="104" t="s">
        <v>4995</v>
      </c>
      <c r="C2597" s="105" t="s">
        <v>93</v>
      </c>
      <c r="D2597" s="105">
        <v>0</v>
      </c>
      <c r="E2597" s="124">
        <f ca="1">OFFSET(INDEX(Composições!A:J,MATCH(Orçamentária!A2597,Composições!A:A,0),8),2,0)</f>
        <v>10.981650399999999</v>
      </c>
      <c r="F2597" s="125">
        <f t="shared" ca="1" si="129"/>
        <v>0</v>
      </c>
      <c r="G2597" s="126" t="e">
        <f>IF(A2597&lt;&gt;"",IF(AND(#REF!="Padrão",$H$4=#REF!),BDI!$B$17,IF(AND(#REF!="Padrão",$H$4=#REF!),BDI!#REF!,IF(AND(#REF!="Diferenciado",$H$4=#REF!),BDI!$E$17,IF(AND(#REF!="Diferenciado",$H$4=#REF!),BDI!#REF!,IF(#REF!="ZERO",0))))),"")</f>
        <v>#REF!</v>
      </c>
      <c r="H2597" s="127" t="e">
        <f t="shared" ca="1" si="130"/>
        <v>#REF!</v>
      </c>
      <c r="I2597" s="125" t="e">
        <f t="shared" ca="1" si="131"/>
        <v>#REF!</v>
      </c>
    </row>
    <row r="2598" spans="1:9" hidden="1" x14ac:dyDescent="0.25">
      <c r="A2598" s="103" t="s">
        <v>6233</v>
      </c>
      <c r="B2598" s="104" t="s">
        <v>4996</v>
      </c>
      <c r="C2598" s="105" t="s">
        <v>95</v>
      </c>
      <c r="D2598" s="105">
        <v>0</v>
      </c>
      <c r="E2598" s="124">
        <f ca="1">OFFSET(INDEX(Composições!A:J,MATCH(Orçamentária!A2598,Composições!A:A,0),8),2,0)</f>
        <v>30.865499999999997</v>
      </c>
      <c r="F2598" s="125">
        <f t="shared" ca="1" si="129"/>
        <v>0</v>
      </c>
      <c r="G2598" s="126" t="e">
        <f>IF(A2598&lt;&gt;"",IF(AND(#REF!="Padrão",$H$4=#REF!),BDI!$B$17,IF(AND(#REF!="Padrão",$H$4=#REF!),BDI!#REF!,IF(AND(#REF!="Diferenciado",$H$4=#REF!),BDI!$E$17,IF(AND(#REF!="Diferenciado",$H$4=#REF!),BDI!#REF!,IF(#REF!="ZERO",0))))),"")</f>
        <v>#REF!</v>
      </c>
      <c r="H2598" s="127" t="e">
        <f t="shared" ca="1" si="130"/>
        <v>#REF!</v>
      </c>
      <c r="I2598" s="125" t="e">
        <f t="shared" ca="1" si="131"/>
        <v>#REF!</v>
      </c>
    </row>
    <row r="2599" spans="1:9" hidden="1" x14ac:dyDescent="0.25">
      <c r="A2599" s="103" t="s">
        <v>6234</v>
      </c>
      <c r="B2599" s="104" t="s">
        <v>4997</v>
      </c>
      <c r="C2599" s="105" t="s">
        <v>95</v>
      </c>
      <c r="D2599" s="105">
        <v>0</v>
      </c>
      <c r="E2599" s="124">
        <f ca="1">OFFSET(INDEX(Composições!A:J,MATCH(Orçamentária!A2599,Composições!A:A,0),8),2,0)</f>
        <v>55.755499999999998</v>
      </c>
      <c r="F2599" s="125">
        <f t="shared" ca="1" si="129"/>
        <v>0</v>
      </c>
      <c r="G2599" s="126" t="e">
        <f>IF(A2599&lt;&gt;"",IF(AND(#REF!="Padrão",$H$4=#REF!),BDI!$B$17,IF(AND(#REF!="Padrão",$H$4=#REF!),BDI!#REF!,IF(AND(#REF!="Diferenciado",$H$4=#REF!),BDI!$E$17,IF(AND(#REF!="Diferenciado",$H$4=#REF!),BDI!#REF!,IF(#REF!="ZERO",0))))),"")</f>
        <v>#REF!</v>
      </c>
      <c r="H2599" s="127" t="e">
        <f t="shared" ca="1" si="130"/>
        <v>#REF!</v>
      </c>
      <c r="I2599" s="125" t="e">
        <f t="shared" ca="1" si="131"/>
        <v>#REF!</v>
      </c>
    </row>
    <row r="2600" spans="1:9" hidden="1" x14ac:dyDescent="0.25">
      <c r="A2600" s="103" t="s">
        <v>6235</v>
      </c>
      <c r="B2600" s="104" t="s">
        <v>4998</v>
      </c>
      <c r="C2600" s="105" t="s">
        <v>109</v>
      </c>
      <c r="D2600" s="105">
        <v>0</v>
      </c>
      <c r="E2600" s="124">
        <f ca="1">OFFSET(INDEX(Composições!A:J,MATCH(Orçamentária!A2600,Composições!A:A,0),8),2,0)</f>
        <v>109.51165280000001</v>
      </c>
      <c r="F2600" s="125">
        <f t="shared" ca="1" si="129"/>
        <v>0</v>
      </c>
      <c r="G2600" s="126" t="e">
        <f>IF(A2600&lt;&gt;"",IF(AND(#REF!="Padrão",$H$4=#REF!),BDI!$B$17,IF(AND(#REF!="Padrão",$H$4=#REF!),BDI!#REF!,IF(AND(#REF!="Diferenciado",$H$4=#REF!),BDI!$E$17,IF(AND(#REF!="Diferenciado",$H$4=#REF!),BDI!#REF!,IF(#REF!="ZERO",0))))),"")</f>
        <v>#REF!</v>
      </c>
      <c r="H2600" s="127" t="e">
        <f t="shared" ca="1" si="130"/>
        <v>#REF!</v>
      </c>
      <c r="I2600" s="125" t="e">
        <f t="shared" ca="1" si="131"/>
        <v>#REF!</v>
      </c>
    </row>
    <row r="2601" spans="1:9" hidden="1" x14ac:dyDescent="0.25">
      <c r="A2601" s="103" t="s">
        <v>6236</v>
      </c>
      <c r="B2601" s="104" t="s">
        <v>4999</v>
      </c>
      <c r="C2601" s="105" t="s">
        <v>42</v>
      </c>
      <c r="D2601" s="105">
        <v>0</v>
      </c>
      <c r="E2601" s="124">
        <f ca="1">OFFSET(INDEX(Composições!A:J,MATCH(Orçamentária!A2601,Composições!A:A,0),8),2,0)</f>
        <v>13.552828250000001</v>
      </c>
      <c r="F2601" s="125">
        <f t="shared" ca="1" si="129"/>
        <v>0</v>
      </c>
      <c r="G2601" s="126" t="e">
        <f>IF(A2601&lt;&gt;"",IF(AND(#REF!="Padrão",$H$4=#REF!),BDI!$B$17,IF(AND(#REF!="Padrão",$H$4=#REF!),BDI!#REF!,IF(AND(#REF!="Diferenciado",$H$4=#REF!),BDI!$E$17,IF(AND(#REF!="Diferenciado",$H$4=#REF!),BDI!#REF!,IF(#REF!="ZERO",0))))),"")</f>
        <v>#REF!</v>
      </c>
      <c r="H2601" s="127" t="e">
        <f t="shared" ca="1" si="130"/>
        <v>#REF!</v>
      </c>
      <c r="I2601" s="125" t="e">
        <f t="shared" ca="1" si="131"/>
        <v>#REF!</v>
      </c>
    </row>
    <row r="2602" spans="1:9" hidden="1" x14ac:dyDescent="0.25">
      <c r="A2602" s="103" t="s">
        <v>6237</v>
      </c>
      <c r="B2602" s="104" t="s">
        <v>5000</v>
      </c>
      <c r="C2602" s="105" t="s">
        <v>109</v>
      </c>
      <c r="D2602" s="105">
        <v>0</v>
      </c>
      <c r="E2602" s="124">
        <f ca="1">OFFSET(INDEX(Composições!A:J,MATCH(Orçamentária!A2602,Composições!A:A,0),8),2,0)</f>
        <v>897.86616920949814</v>
      </c>
      <c r="F2602" s="125">
        <f t="shared" ca="1" si="129"/>
        <v>0</v>
      </c>
      <c r="G2602" s="126" t="e">
        <f>IF(A2602&lt;&gt;"",IF(AND(#REF!="Padrão",$H$4=#REF!),BDI!$B$17,IF(AND(#REF!="Padrão",$H$4=#REF!),BDI!#REF!,IF(AND(#REF!="Diferenciado",$H$4=#REF!),BDI!$E$17,IF(AND(#REF!="Diferenciado",$H$4=#REF!),BDI!#REF!,IF(#REF!="ZERO",0))))),"")</f>
        <v>#REF!</v>
      </c>
      <c r="H2602" s="127" t="e">
        <f t="shared" ca="1" si="130"/>
        <v>#REF!</v>
      </c>
      <c r="I2602" s="125" t="e">
        <f t="shared" ca="1" si="131"/>
        <v>#REF!</v>
      </c>
    </row>
    <row r="2603" spans="1:9" hidden="1" x14ac:dyDescent="0.25">
      <c r="A2603" s="103" t="s">
        <v>6238</v>
      </c>
      <c r="B2603" s="104" t="s">
        <v>5001</v>
      </c>
      <c r="C2603" s="105" t="s">
        <v>20</v>
      </c>
      <c r="D2603" s="105">
        <v>0</v>
      </c>
      <c r="E2603" s="124">
        <f ca="1">OFFSET(INDEX(Composições!A:J,MATCH(Orçamentária!A2603,Composições!A:A,0),8),2,0)</f>
        <v>56.958066999999993</v>
      </c>
      <c r="F2603" s="125">
        <f t="shared" ca="1" si="129"/>
        <v>0</v>
      </c>
      <c r="G2603" s="126" t="e">
        <f>IF(A2603&lt;&gt;"",IF(AND(#REF!="Padrão",$H$4=#REF!),BDI!$B$17,IF(AND(#REF!="Padrão",$H$4=#REF!),BDI!#REF!,IF(AND(#REF!="Diferenciado",$H$4=#REF!),BDI!$E$17,IF(AND(#REF!="Diferenciado",$H$4=#REF!),BDI!#REF!,IF(#REF!="ZERO",0))))),"")</f>
        <v>#REF!</v>
      </c>
      <c r="H2603" s="127" t="e">
        <f t="shared" ca="1" si="130"/>
        <v>#REF!</v>
      </c>
      <c r="I2603" s="125" t="e">
        <f t="shared" ca="1" si="131"/>
        <v>#REF!</v>
      </c>
    </row>
    <row r="2604" spans="1:9" hidden="1" x14ac:dyDescent="0.25">
      <c r="A2604" s="103" t="s">
        <v>6239</v>
      </c>
      <c r="B2604" s="104" t="s">
        <v>5002</v>
      </c>
      <c r="C2604" s="105" t="s">
        <v>95</v>
      </c>
      <c r="D2604" s="105">
        <v>0</v>
      </c>
      <c r="E2604" s="124">
        <f ca="1">OFFSET(INDEX(Composições!A:J,MATCH(Orçamentária!A2604,Composições!A:A,0),8),2,0)</f>
        <v>64.075599999999994</v>
      </c>
      <c r="F2604" s="125">
        <f t="shared" ca="1" si="129"/>
        <v>0</v>
      </c>
      <c r="G2604" s="126" t="e">
        <f>IF(A2604&lt;&gt;"",IF(AND(#REF!="Padrão",$H$4=#REF!),BDI!$B$17,IF(AND(#REF!="Padrão",$H$4=#REF!),BDI!#REF!,IF(AND(#REF!="Diferenciado",$H$4=#REF!),BDI!$E$17,IF(AND(#REF!="Diferenciado",$H$4=#REF!),BDI!#REF!,IF(#REF!="ZERO",0))))),"")</f>
        <v>#REF!</v>
      </c>
      <c r="H2604" s="127" t="e">
        <f t="shared" ca="1" si="130"/>
        <v>#REF!</v>
      </c>
      <c r="I2604" s="125" t="e">
        <f t="shared" ca="1" si="131"/>
        <v>#REF!</v>
      </c>
    </row>
    <row r="2605" spans="1:9" hidden="1" x14ac:dyDescent="0.25">
      <c r="A2605" s="103" t="s">
        <v>6240</v>
      </c>
      <c r="B2605" s="104" t="s">
        <v>5003</v>
      </c>
      <c r="C2605" s="105" t="s">
        <v>93</v>
      </c>
      <c r="D2605" s="105">
        <v>0</v>
      </c>
      <c r="E2605" s="124">
        <f ca="1">OFFSET(INDEX(Composições!A:J,MATCH(Orçamentária!A2605,Composições!A:A,0),8),2,0)</f>
        <v>100.57192602177409</v>
      </c>
      <c r="F2605" s="125">
        <f t="shared" ref="F2605:F2623" ca="1" si="132">IF(ISNUMBER(E2605),D2605*E2605,"")</f>
        <v>0</v>
      </c>
      <c r="G2605" s="126" t="e">
        <f>IF(A2605&lt;&gt;"",IF(AND(#REF!="Padrão",$H$4=#REF!),BDI!$B$17,IF(AND(#REF!="Padrão",$H$4=#REF!),BDI!#REF!,IF(AND(#REF!="Diferenciado",$H$4=#REF!),BDI!$E$17,IF(AND(#REF!="Diferenciado",$H$4=#REF!),BDI!#REF!,IF(#REF!="ZERO",0))))),"")</f>
        <v>#REF!</v>
      </c>
      <c r="H2605" s="127" t="e">
        <f t="shared" ref="H2605:H2623" ca="1" si="133">IF(ISNUMBER(E2605),ROUND(E2605*(1+G2605),2),"")</f>
        <v>#REF!</v>
      </c>
      <c r="I2605" s="125" t="e">
        <f t="shared" ref="I2605:I2623" ca="1" si="134">IF(ISNUMBER(E2605),ROUND(H2605*D2605,2),"")</f>
        <v>#REF!</v>
      </c>
    </row>
    <row r="2606" spans="1:9" hidden="1" x14ac:dyDescent="0.25">
      <c r="A2606" s="103" t="s">
        <v>6241</v>
      </c>
      <c r="B2606" s="104" t="s">
        <v>5004</v>
      </c>
      <c r="C2606" s="105" t="s">
        <v>20</v>
      </c>
      <c r="D2606" s="105">
        <v>0</v>
      </c>
      <c r="E2606" s="124">
        <f ca="1">OFFSET(INDEX(Composições!A:J,MATCH(Orçamentária!A2606,Composições!A:A,0),8),2,0)</f>
        <v>14.2696194</v>
      </c>
      <c r="F2606" s="125">
        <f t="shared" ca="1" si="132"/>
        <v>0</v>
      </c>
      <c r="G2606" s="126" t="e">
        <f>IF(A2606&lt;&gt;"",IF(AND(#REF!="Padrão",$H$4=#REF!),BDI!$B$17,IF(AND(#REF!="Padrão",$H$4=#REF!),BDI!#REF!,IF(AND(#REF!="Diferenciado",$H$4=#REF!),BDI!$E$17,IF(AND(#REF!="Diferenciado",$H$4=#REF!),BDI!#REF!,IF(#REF!="ZERO",0))))),"")</f>
        <v>#REF!</v>
      </c>
      <c r="H2606" s="127" t="e">
        <f t="shared" ca="1" si="133"/>
        <v>#REF!</v>
      </c>
      <c r="I2606" s="125" t="e">
        <f t="shared" ca="1" si="134"/>
        <v>#REF!</v>
      </c>
    </row>
    <row r="2607" spans="1:9" hidden="1" x14ac:dyDescent="0.25">
      <c r="A2607" s="103" t="s">
        <v>6242</v>
      </c>
      <c r="B2607" s="104" t="s">
        <v>5005</v>
      </c>
      <c r="C2607" s="105" t="s">
        <v>20</v>
      </c>
      <c r="D2607" s="105">
        <v>0</v>
      </c>
      <c r="E2607" s="124">
        <f ca="1">OFFSET(INDEX(Composições!A:J,MATCH(Orçamentária!A2607,Composições!A:A,0),8),2,0)</f>
        <v>67.870631500000002</v>
      </c>
      <c r="F2607" s="125">
        <f t="shared" ca="1" si="132"/>
        <v>0</v>
      </c>
      <c r="G2607" s="126" t="e">
        <f>IF(A2607&lt;&gt;"",IF(AND(#REF!="Padrão",$H$4=#REF!),BDI!$B$17,IF(AND(#REF!="Padrão",$H$4=#REF!),BDI!#REF!,IF(AND(#REF!="Diferenciado",$H$4=#REF!),BDI!$E$17,IF(AND(#REF!="Diferenciado",$H$4=#REF!),BDI!#REF!,IF(#REF!="ZERO",0))))),"")</f>
        <v>#REF!</v>
      </c>
      <c r="H2607" s="127" t="e">
        <f t="shared" ca="1" si="133"/>
        <v>#REF!</v>
      </c>
      <c r="I2607" s="125" t="e">
        <f t="shared" ca="1" si="134"/>
        <v>#REF!</v>
      </c>
    </row>
    <row r="2608" spans="1:9" hidden="1" x14ac:dyDescent="0.25">
      <c r="A2608" s="103" t="s">
        <v>6243</v>
      </c>
      <c r="B2608" s="104" t="s">
        <v>5006</v>
      </c>
      <c r="C2608" s="105" t="s">
        <v>109</v>
      </c>
      <c r="D2608" s="105">
        <v>0</v>
      </c>
      <c r="E2608" s="124">
        <f ca="1">OFFSET(INDEX(Composições!A:J,MATCH(Orçamentária!A2608,Composições!A:A,0),8),2,0)</f>
        <v>546.71241249999991</v>
      </c>
      <c r="F2608" s="125">
        <f t="shared" ca="1" si="132"/>
        <v>0</v>
      </c>
      <c r="G2608" s="126" t="e">
        <f>IF(A2608&lt;&gt;"",IF(AND(#REF!="Padrão",$H$4=#REF!),BDI!$B$17,IF(AND(#REF!="Padrão",$H$4=#REF!),BDI!#REF!,IF(AND(#REF!="Diferenciado",$H$4=#REF!),BDI!$E$17,IF(AND(#REF!="Diferenciado",$H$4=#REF!),BDI!#REF!,IF(#REF!="ZERO",0))))),"")</f>
        <v>#REF!</v>
      </c>
      <c r="H2608" s="127" t="e">
        <f t="shared" ca="1" si="133"/>
        <v>#REF!</v>
      </c>
      <c r="I2608" s="125" t="e">
        <f t="shared" ca="1" si="134"/>
        <v>#REF!</v>
      </c>
    </row>
    <row r="2609" spans="1:9" hidden="1" x14ac:dyDescent="0.25">
      <c r="A2609" s="103" t="s">
        <v>6244</v>
      </c>
      <c r="B2609" s="104" t="s">
        <v>5007</v>
      </c>
      <c r="C2609" s="105" t="s">
        <v>93</v>
      </c>
      <c r="D2609" s="105">
        <v>0</v>
      </c>
      <c r="E2609" s="124">
        <f ca="1">OFFSET(INDEX(Composições!A:J,MATCH(Orçamentária!A2609,Composições!A:A,0),8),2,0)</f>
        <v>93.266450456555006</v>
      </c>
      <c r="F2609" s="125">
        <f t="shared" ca="1" si="132"/>
        <v>0</v>
      </c>
      <c r="G2609" s="126" t="e">
        <f>IF(A2609&lt;&gt;"",IF(AND(#REF!="Padrão",$H$4=#REF!),BDI!$B$17,IF(AND(#REF!="Padrão",$H$4=#REF!),BDI!#REF!,IF(AND(#REF!="Diferenciado",$H$4=#REF!),BDI!$E$17,IF(AND(#REF!="Diferenciado",$H$4=#REF!),BDI!#REF!,IF(#REF!="ZERO",0))))),"")</f>
        <v>#REF!</v>
      </c>
      <c r="H2609" s="127" t="e">
        <f t="shared" ca="1" si="133"/>
        <v>#REF!</v>
      </c>
      <c r="I2609" s="125" t="e">
        <f t="shared" ca="1" si="134"/>
        <v>#REF!</v>
      </c>
    </row>
    <row r="2610" spans="1:9" hidden="1" x14ac:dyDescent="0.25">
      <c r="A2610" s="103" t="s">
        <v>6245</v>
      </c>
      <c r="B2610" s="104" t="s">
        <v>6498</v>
      </c>
      <c r="C2610" s="105" t="s">
        <v>20</v>
      </c>
      <c r="D2610" s="105">
        <v>0</v>
      </c>
      <c r="E2610" s="124" t="s">
        <v>523</v>
      </c>
      <c r="F2610" s="125" t="str">
        <f>IF(ISNUMBER(E2610),D2610*E2610,"")</f>
        <v/>
      </c>
      <c r="G2610" s="126" t="e">
        <f>IF(A2610&lt;&gt;"",IF(AND(#REF!="Padrão",$H$4=#REF!),BDI!$B$17,IF(AND(#REF!="Padrão",$H$4=#REF!),BDI!#REF!,IF(AND(#REF!="Diferenciado",$H$4=#REF!),BDI!$E$17,IF(AND(#REF!="Diferenciado",$H$4=#REF!),BDI!#REF!,IF(#REF!="ZERO",0))))),"")</f>
        <v>#REF!</v>
      </c>
      <c r="H2610" s="127" t="str">
        <f>IF(ISNUMBER(E2610),ROUND(E2610*(1+G2610),2),"")</f>
        <v/>
      </c>
      <c r="I2610" s="125" t="str">
        <f>IF(ISNUMBER(E2610),ROUND(H2610*D2610,2),"")</f>
        <v/>
      </c>
    </row>
    <row r="2611" spans="1:9" hidden="1" x14ac:dyDescent="0.25">
      <c r="A2611" s="103" t="s">
        <v>6246</v>
      </c>
      <c r="B2611" s="104" t="s">
        <v>5008</v>
      </c>
      <c r="C2611" s="105" t="s">
        <v>42</v>
      </c>
      <c r="D2611" s="105">
        <v>0</v>
      </c>
      <c r="E2611" s="124">
        <f ca="1">OFFSET(INDEX(Composições!A:J,MATCH(Orçamentária!A2611,Composições!A:A,0),8),2,0)</f>
        <v>4.0854607500000002</v>
      </c>
      <c r="F2611" s="125">
        <f t="shared" ca="1" si="132"/>
        <v>0</v>
      </c>
      <c r="G2611" s="126" t="e">
        <f>IF(A2611&lt;&gt;"",IF(AND(#REF!="Padrão",$H$4=#REF!),BDI!$B$17,IF(AND(#REF!="Padrão",$H$4=#REF!),BDI!#REF!,IF(AND(#REF!="Diferenciado",$H$4=#REF!),BDI!$E$17,IF(AND(#REF!="Diferenciado",$H$4=#REF!),BDI!#REF!,IF(#REF!="ZERO",0))))),"")</f>
        <v>#REF!</v>
      </c>
      <c r="H2611" s="127" t="e">
        <f t="shared" ca="1" si="133"/>
        <v>#REF!</v>
      </c>
      <c r="I2611" s="125" t="e">
        <f t="shared" ca="1" si="134"/>
        <v>#REF!</v>
      </c>
    </row>
    <row r="2612" spans="1:9" hidden="1" x14ac:dyDescent="0.25">
      <c r="A2612" s="103" t="s">
        <v>6247</v>
      </c>
      <c r="B2612" s="104" t="s">
        <v>5009</v>
      </c>
      <c r="C2612" s="105" t="s">
        <v>95</v>
      </c>
      <c r="D2612" s="105">
        <v>0</v>
      </c>
      <c r="E2612" s="124">
        <f ca="1">OFFSET(INDEX(Composições!A:J,MATCH(Orçamentária!A2612,Composições!A:A,0),8),2,0)</f>
        <v>74.261332799999991</v>
      </c>
      <c r="F2612" s="125">
        <f t="shared" ca="1" si="132"/>
        <v>0</v>
      </c>
      <c r="G2612" s="126" t="e">
        <f>IF(A2612&lt;&gt;"",IF(AND(#REF!="Padrão",$H$4=#REF!),BDI!$B$17,IF(AND(#REF!="Padrão",$H$4=#REF!),BDI!#REF!,IF(AND(#REF!="Diferenciado",$H$4=#REF!),BDI!$E$17,IF(AND(#REF!="Diferenciado",$H$4=#REF!),BDI!#REF!,IF(#REF!="ZERO",0))))),"")</f>
        <v>#REF!</v>
      </c>
      <c r="H2612" s="127" t="e">
        <f t="shared" ca="1" si="133"/>
        <v>#REF!</v>
      </c>
      <c r="I2612" s="125" t="e">
        <f t="shared" ca="1" si="134"/>
        <v>#REF!</v>
      </c>
    </row>
    <row r="2613" spans="1:9" hidden="1" x14ac:dyDescent="0.25">
      <c r="A2613" s="103" t="s">
        <v>6248</v>
      </c>
      <c r="B2613" s="104" t="s">
        <v>5010</v>
      </c>
      <c r="C2613" s="105" t="s">
        <v>93</v>
      </c>
      <c r="D2613" s="105">
        <v>0</v>
      </c>
      <c r="E2613" s="124">
        <f ca="1">OFFSET(INDEX(Composições!A:J,MATCH(Orçamentária!A2613,Composições!A:A,0),8),2,0)</f>
        <v>103.01141459999998</v>
      </c>
      <c r="F2613" s="125">
        <f t="shared" ca="1" si="132"/>
        <v>0</v>
      </c>
      <c r="G2613" s="126" t="e">
        <f>IF(A2613&lt;&gt;"",IF(AND(#REF!="Padrão",$H$4=#REF!),BDI!$B$17,IF(AND(#REF!="Padrão",$H$4=#REF!),BDI!#REF!,IF(AND(#REF!="Diferenciado",$H$4=#REF!),BDI!$E$17,IF(AND(#REF!="Diferenciado",$H$4=#REF!),BDI!#REF!,IF(#REF!="ZERO",0))))),"")</f>
        <v>#REF!</v>
      </c>
      <c r="H2613" s="127" t="e">
        <f t="shared" ca="1" si="133"/>
        <v>#REF!</v>
      </c>
      <c r="I2613" s="125" t="e">
        <f t="shared" ca="1" si="134"/>
        <v>#REF!</v>
      </c>
    </row>
    <row r="2614" spans="1:9" hidden="1" x14ac:dyDescent="0.25">
      <c r="A2614" s="103" t="s">
        <v>6249</v>
      </c>
      <c r="B2614" s="104" t="s">
        <v>5011</v>
      </c>
      <c r="C2614" s="105" t="s">
        <v>95</v>
      </c>
      <c r="D2614" s="105">
        <v>0</v>
      </c>
      <c r="E2614" s="124">
        <f ca="1">OFFSET(INDEX(Composições!A:J,MATCH(Orçamentária!A2614,Composições!A:A,0),8),2,0)</f>
        <v>81.590023767635998</v>
      </c>
      <c r="F2614" s="125">
        <f t="shared" ca="1" si="132"/>
        <v>0</v>
      </c>
      <c r="G2614" s="126" t="e">
        <f>IF(A2614&lt;&gt;"",IF(AND(#REF!="Padrão",$H$4=#REF!),BDI!$B$17,IF(AND(#REF!="Padrão",$H$4=#REF!),BDI!#REF!,IF(AND(#REF!="Diferenciado",$H$4=#REF!),BDI!$E$17,IF(AND(#REF!="Diferenciado",$H$4=#REF!),BDI!#REF!,IF(#REF!="ZERO",0))))),"")</f>
        <v>#REF!</v>
      </c>
      <c r="H2614" s="127" t="e">
        <f t="shared" ca="1" si="133"/>
        <v>#REF!</v>
      </c>
      <c r="I2614" s="125" t="e">
        <f t="shared" ca="1" si="134"/>
        <v>#REF!</v>
      </c>
    </row>
    <row r="2615" spans="1:9" hidden="1" x14ac:dyDescent="0.25">
      <c r="A2615" s="103" t="s">
        <v>6250</v>
      </c>
      <c r="B2615" s="104" t="s">
        <v>5012</v>
      </c>
      <c r="C2615" s="105" t="s">
        <v>20</v>
      </c>
      <c r="D2615" s="105">
        <v>0</v>
      </c>
      <c r="E2615" s="124">
        <f ca="1">OFFSET(INDEX(Composições!A:J,MATCH(Orçamentária!A2615,Composições!A:A,0),8),2,0)</f>
        <v>1417.4118866594499</v>
      </c>
      <c r="F2615" s="125">
        <f t="shared" ca="1" si="132"/>
        <v>0</v>
      </c>
      <c r="G2615" s="126" t="e">
        <f>IF(A2615&lt;&gt;"",IF(AND(#REF!="Padrão",$H$4=#REF!),BDI!$B$17,IF(AND(#REF!="Padrão",$H$4=#REF!),BDI!#REF!,IF(AND(#REF!="Diferenciado",$H$4=#REF!),BDI!$E$17,IF(AND(#REF!="Diferenciado",$H$4=#REF!),BDI!#REF!,IF(#REF!="ZERO",0))))),"")</f>
        <v>#REF!</v>
      </c>
      <c r="H2615" s="127" t="e">
        <f t="shared" ca="1" si="133"/>
        <v>#REF!</v>
      </c>
      <c r="I2615" s="125" t="e">
        <f t="shared" ca="1" si="134"/>
        <v>#REF!</v>
      </c>
    </row>
    <row r="2616" spans="1:9" hidden="1" x14ac:dyDescent="0.25">
      <c r="A2616" s="103" t="s">
        <v>6251</v>
      </c>
      <c r="B2616" s="104" t="s">
        <v>5013</v>
      </c>
      <c r="C2616" s="105" t="s">
        <v>93</v>
      </c>
      <c r="D2616" s="105">
        <v>0</v>
      </c>
      <c r="E2616" s="124">
        <f ca="1">OFFSET(INDEX(Composições!A:J,MATCH(Orçamentária!A2616,Composições!A:A,0),8),2,0)</f>
        <v>15.432749999999999</v>
      </c>
      <c r="F2616" s="125">
        <f t="shared" ca="1" si="132"/>
        <v>0</v>
      </c>
      <c r="G2616" s="126" t="e">
        <f>IF(A2616&lt;&gt;"",IF(AND(#REF!="Padrão",$H$4=#REF!),BDI!$B$17,IF(AND(#REF!="Padrão",$H$4=#REF!),BDI!#REF!,IF(AND(#REF!="Diferenciado",$H$4=#REF!),BDI!$E$17,IF(AND(#REF!="Diferenciado",$H$4=#REF!),BDI!#REF!,IF(#REF!="ZERO",0))))),"")</f>
        <v>#REF!</v>
      </c>
      <c r="H2616" s="127" t="e">
        <f t="shared" ca="1" si="133"/>
        <v>#REF!</v>
      </c>
      <c r="I2616" s="125" t="e">
        <f t="shared" ca="1" si="134"/>
        <v>#REF!</v>
      </c>
    </row>
    <row r="2617" spans="1:9" hidden="1" x14ac:dyDescent="0.25">
      <c r="A2617" s="103" t="s">
        <v>6252</v>
      </c>
      <c r="B2617" s="104" t="s">
        <v>5014</v>
      </c>
      <c r="C2617" s="105" t="s">
        <v>20</v>
      </c>
      <c r="D2617" s="105">
        <v>0</v>
      </c>
      <c r="E2617" s="124">
        <f ca="1">OFFSET(INDEX(Composições!A:J,MATCH(Orçamentária!A2617,Composições!A:A,0),8),2,0)</f>
        <v>129.72568724999999</v>
      </c>
      <c r="F2617" s="125">
        <f t="shared" ca="1" si="132"/>
        <v>0</v>
      </c>
      <c r="G2617" s="126" t="e">
        <f>IF(A2617&lt;&gt;"",IF(AND(#REF!="Padrão",$H$4=#REF!),BDI!$B$17,IF(AND(#REF!="Padrão",$H$4=#REF!),BDI!#REF!,IF(AND(#REF!="Diferenciado",$H$4=#REF!),BDI!$E$17,IF(AND(#REF!="Diferenciado",$H$4=#REF!),BDI!#REF!,IF(#REF!="ZERO",0))))),"")</f>
        <v>#REF!</v>
      </c>
      <c r="H2617" s="127" t="e">
        <f t="shared" ca="1" si="133"/>
        <v>#REF!</v>
      </c>
      <c r="I2617" s="125" t="e">
        <f t="shared" ca="1" si="134"/>
        <v>#REF!</v>
      </c>
    </row>
    <row r="2618" spans="1:9" hidden="1" x14ac:dyDescent="0.25">
      <c r="A2618" s="103" t="s">
        <v>6253</v>
      </c>
      <c r="B2618" s="104" t="s">
        <v>5015</v>
      </c>
      <c r="C2618" s="105" t="s">
        <v>95</v>
      </c>
      <c r="D2618" s="105">
        <v>0</v>
      </c>
      <c r="E2618" s="124">
        <f ca="1">OFFSET(INDEX(Composições!A:J,MATCH(Orçamentária!A2618,Composições!A:A,0),8),2,0)</f>
        <v>2.99473155</v>
      </c>
      <c r="F2618" s="125">
        <f t="shared" ca="1" si="132"/>
        <v>0</v>
      </c>
      <c r="G2618" s="126" t="e">
        <f>IF(A2618&lt;&gt;"",IF(AND(#REF!="Padrão",$H$4=#REF!),BDI!$B$17,IF(AND(#REF!="Padrão",$H$4=#REF!),BDI!#REF!,IF(AND(#REF!="Diferenciado",$H$4=#REF!),BDI!$E$17,IF(AND(#REF!="Diferenciado",$H$4=#REF!),BDI!#REF!,IF(#REF!="ZERO",0))))),"")</f>
        <v>#REF!</v>
      </c>
      <c r="H2618" s="127" t="e">
        <f t="shared" ca="1" si="133"/>
        <v>#REF!</v>
      </c>
      <c r="I2618" s="125" t="e">
        <f t="shared" ca="1" si="134"/>
        <v>#REF!</v>
      </c>
    </row>
    <row r="2619" spans="1:9" hidden="1" x14ac:dyDescent="0.25">
      <c r="A2619" s="103" t="s">
        <v>6254</v>
      </c>
      <c r="B2619" s="104" t="s">
        <v>5016</v>
      </c>
      <c r="C2619" s="105" t="s">
        <v>93</v>
      </c>
      <c r="D2619" s="105">
        <v>0</v>
      </c>
      <c r="E2619" s="124">
        <f ca="1">OFFSET(INDEX(Composições!A:J,MATCH(Orçamentária!A2619,Composições!A:A,0),8),2,0)</f>
        <v>57.586041309283821</v>
      </c>
      <c r="F2619" s="125">
        <f t="shared" ca="1" si="132"/>
        <v>0</v>
      </c>
      <c r="G2619" s="126" t="e">
        <f>IF(A2619&lt;&gt;"",IF(AND(#REF!="Padrão",$H$4=#REF!),BDI!$B$17,IF(AND(#REF!="Padrão",$H$4=#REF!),BDI!#REF!,IF(AND(#REF!="Diferenciado",$H$4=#REF!),BDI!$E$17,IF(AND(#REF!="Diferenciado",$H$4=#REF!),BDI!#REF!,IF(#REF!="ZERO",0))))),"")</f>
        <v>#REF!</v>
      </c>
      <c r="H2619" s="127" t="e">
        <f t="shared" ca="1" si="133"/>
        <v>#REF!</v>
      </c>
      <c r="I2619" s="125" t="e">
        <f t="shared" ca="1" si="134"/>
        <v>#REF!</v>
      </c>
    </row>
    <row r="2620" spans="1:9" hidden="1" x14ac:dyDescent="0.25">
      <c r="A2620" s="103" t="s">
        <v>6255</v>
      </c>
      <c r="B2620" s="104" t="s">
        <v>5017</v>
      </c>
      <c r="C2620" s="105" t="s">
        <v>20</v>
      </c>
      <c r="D2620" s="105">
        <v>0</v>
      </c>
      <c r="E2620" s="124">
        <f ca="1">OFFSET(INDEX(Composições!A:J,MATCH(Orçamentária!A2620,Composições!A:A,0),8),2,0)</f>
        <v>391.77289257500001</v>
      </c>
      <c r="F2620" s="125">
        <f t="shared" ca="1" si="132"/>
        <v>0</v>
      </c>
      <c r="G2620" s="126" t="e">
        <f>IF(A2620&lt;&gt;"",IF(AND(#REF!="Padrão",$H$4=#REF!),BDI!$B$17,IF(AND(#REF!="Padrão",$H$4=#REF!),BDI!#REF!,IF(AND(#REF!="Diferenciado",$H$4=#REF!),BDI!$E$17,IF(AND(#REF!="Diferenciado",$H$4=#REF!),BDI!#REF!,IF(#REF!="ZERO",0))))),"")</f>
        <v>#REF!</v>
      </c>
      <c r="H2620" s="127" t="e">
        <f t="shared" ca="1" si="133"/>
        <v>#REF!</v>
      </c>
      <c r="I2620" s="125" t="e">
        <f t="shared" ca="1" si="134"/>
        <v>#REF!</v>
      </c>
    </row>
    <row r="2621" spans="1:9" ht="25.5" hidden="1" x14ac:dyDescent="0.25">
      <c r="A2621" s="103" t="s">
        <v>6256</v>
      </c>
      <c r="B2621" s="104" t="s">
        <v>5018</v>
      </c>
      <c r="C2621" s="105" t="s">
        <v>20</v>
      </c>
      <c r="D2621" s="105">
        <v>0</v>
      </c>
      <c r="E2621" s="124" t="s">
        <v>523</v>
      </c>
      <c r="F2621" s="125" t="str">
        <f t="shared" si="132"/>
        <v/>
      </c>
      <c r="G2621" s="126" t="e">
        <f>IF(A2621&lt;&gt;"",IF(AND(#REF!="Padrão",$H$4=#REF!),BDI!$B$17,IF(AND(#REF!="Padrão",$H$4=#REF!),BDI!#REF!,IF(AND(#REF!="Diferenciado",$H$4=#REF!),BDI!$E$17,IF(AND(#REF!="Diferenciado",$H$4=#REF!),BDI!#REF!,IF(#REF!="ZERO",0))))),"")</f>
        <v>#REF!</v>
      </c>
      <c r="H2621" s="127" t="str">
        <f t="shared" si="133"/>
        <v/>
      </c>
      <c r="I2621" s="125" t="str">
        <f t="shared" si="134"/>
        <v/>
      </c>
    </row>
    <row r="2622" spans="1:9" hidden="1" x14ac:dyDescent="0.25">
      <c r="A2622" s="103" t="s">
        <v>6257</v>
      </c>
      <c r="B2622" s="104" t="s">
        <v>5019</v>
      </c>
      <c r="C2622" s="105" t="s">
        <v>20</v>
      </c>
      <c r="D2622" s="105">
        <v>0</v>
      </c>
      <c r="E2622" s="124">
        <f ca="1">OFFSET(INDEX(Composições!A:J,MATCH(Orçamentária!A2622,Composições!A:A,0),8),2,0)</f>
        <v>86.445910249999997</v>
      </c>
      <c r="F2622" s="125">
        <f t="shared" ca="1" si="132"/>
        <v>0</v>
      </c>
      <c r="G2622" s="126" t="e">
        <f>IF(A2622&lt;&gt;"",IF(AND(#REF!="Padrão",$H$4=#REF!),BDI!$B$17,IF(AND(#REF!="Padrão",$H$4=#REF!),BDI!#REF!,IF(AND(#REF!="Diferenciado",$H$4=#REF!),BDI!$E$17,IF(AND(#REF!="Diferenciado",$H$4=#REF!),BDI!#REF!,IF(#REF!="ZERO",0))))),"")</f>
        <v>#REF!</v>
      </c>
      <c r="H2622" s="127" t="e">
        <f t="shared" ca="1" si="133"/>
        <v>#REF!</v>
      </c>
      <c r="I2622" s="125" t="e">
        <f t="shared" ca="1" si="134"/>
        <v>#REF!</v>
      </c>
    </row>
    <row r="2623" spans="1:9" hidden="1" x14ac:dyDescent="0.25">
      <c r="A2623" s="103" t="s">
        <v>6258</v>
      </c>
      <c r="B2623" s="104" t="s">
        <v>5020</v>
      </c>
      <c r="C2623" s="105" t="s">
        <v>20</v>
      </c>
      <c r="D2623" s="105">
        <v>0</v>
      </c>
      <c r="E2623" s="124">
        <f ca="1">OFFSET(INDEX(Composições!A:J,MATCH(Orçamentária!A2623,Composições!A:A,0),8),2,0)</f>
        <v>22.277499999999996</v>
      </c>
      <c r="F2623" s="125">
        <f t="shared" ca="1" si="132"/>
        <v>0</v>
      </c>
      <c r="G2623" s="126" t="e">
        <f>IF(A2623&lt;&gt;"",IF(AND(#REF!="Padrão",$H$4=#REF!),BDI!$B$17,IF(AND(#REF!="Padrão",$H$4=#REF!),BDI!#REF!,IF(AND(#REF!="Diferenciado",$H$4=#REF!),BDI!$E$17,IF(AND(#REF!="Diferenciado",$H$4=#REF!),BDI!#REF!,IF(#REF!="ZERO",0))))),"")</f>
        <v>#REF!</v>
      </c>
      <c r="H2623" s="127" t="e">
        <f t="shared" ca="1" si="133"/>
        <v>#REF!</v>
      </c>
      <c r="I2623" s="125" t="e">
        <f t="shared" ca="1" si="134"/>
        <v>#REF!</v>
      </c>
    </row>
    <row r="2624" spans="1:9" hidden="1" x14ac:dyDescent="0.25">
      <c r="A2624" s="103" t="s">
        <v>6499</v>
      </c>
      <c r="B2624" s="104" t="s">
        <v>6500</v>
      </c>
      <c r="C2624" s="105" t="s">
        <v>20</v>
      </c>
      <c r="D2624" s="105">
        <v>0</v>
      </c>
      <c r="E2624" s="124" t="s">
        <v>523</v>
      </c>
      <c r="F2624" s="125" t="str">
        <f t="shared" ref="F2624:F2681" si="135">IF(ISNUMBER(E2624),D2624*E2624,"")</f>
        <v/>
      </c>
      <c r="G2624" s="126" t="e">
        <f>IF(A2624&lt;&gt;"",IF(AND(#REF!="Padrão",$H$4=#REF!),BDI!$B$17,IF(AND(#REF!="Padrão",$H$4=#REF!),BDI!#REF!,IF(AND(#REF!="Diferenciado",$H$4=#REF!),BDI!$E$17,IF(AND(#REF!="Diferenciado",$H$4=#REF!),BDI!#REF!,IF(#REF!="ZERO",0))))),"")</f>
        <v>#REF!</v>
      </c>
      <c r="H2624" s="127" t="str">
        <f t="shared" ref="H2624:H2681" si="136">IF(ISNUMBER(E2624),ROUND(E2624*(1+G2624),2),"")</f>
        <v/>
      </c>
      <c r="I2624" s="125" t="str">
        <f t="shared" ref="I2624:I2681" si="137">IF(ISNUMBER(E2624),ROUND(H2624*D2624,2),"")</f>
        <v/>
      </c>
    </row>
    <row r="2625" spans="1:9" hidden="1" x14ac:dyDescent="0.25">
      <c r="A2625" s="103" t="s">
        <v>6501</v>
      </c>
      <c r="B2625" s="104" t="s">
        <v>6502</v>
      </c>
      <c r="C2625" s="105" t="s">
        <v>20</v>
      </c>
      <c r="D2625" s="105">
        <v>0</v>
      </c>
      <c r="E2625" s="124" t="s">
        <v>523</v>
      </c>
      <c r="F2625" s="125" t="str">
        <f t="shared" si="135"/>
        <v/>
      </c>
      <c r="G2625" s="126" t="e">
        <f>IF(A2625&lt;&gt;"",IF(AND(#REF!="Padrão",$H$4=#REF!),BDI!$B$17,IF(AND(#REF!="Padrão",$H$4=#REF!),BDI!#REF!,IF(AND(#REF!="Diferenciado",$H$4=#REF!),BDI!$E$17,IF(AND(#REF!="Diferenciado",$H$4=#REF!),BDI!#REF!,IF(#REF!="ZERO",0))))),"")</f>
        <v>#REF!</v>
      </c>
      <c r="H2625" s="127" t="str">
        <f t="shared" si="136"/>
        <v/>
      </c>
      <c r="I2625" s="125" t="str">
        <f t="shared" si="137"/>
        <v/>
      </c>
    </row>
    <row r="2626" spans="1:9" hidden="1" x14ac:dyDescent="0.25">
      <c r="A2626" s="103" t="s">
        <v>6503</v>
      </c>
      <c r="B2626" s="104" t="s">
        <v>6504</v>
      </c>
      <c r="C2626" s="105" t="s">
        <v>20</v>
      </c>
      <c r="D2626" s="105">
        <v>0</v>
      </c>
      <c r="E2626" s="124" t="s">
        <v>523</v>
      </c>
      <c r="F2626" s="125" t="str">
        <f t="shared" si="135"/>
        <v/>
      </c>
      <c r="G2626" s="126" t="e">
        <f>IF(A2626&lt;&gt;"",IF(AND(#REF!="Padrão",$H$4=#REF!),BDI!$B$17,IF(AND(#REF!="Padrão",$H$4=#REF!),BDI!#REF!,IF(AND(#REF!="Diferenciado",$H$4=#REF!),BDI!$E$17,IF(AND(#REF!="Diferenciado",$H$4=#REF!),BDI!#REF!,IF(#REF!="ZERO",0))))),"")</f>
        <v>#REF!</v>
      </c>
      <c r="H2626" s="127" t="str">
        <f t="shared" si="136"/>
        <v/>
      </c>
      <c r="I2626" s="125" t="str">
        <f t="shared" si="137"/>
        <v/>
      </c>
    </row>
    <row r="2627" spans="1:9" hidden="1" x14ac:dyDescent="0.25">
      <c r="A2627" s="103" t="s">
        <v>6505</v>
      </c>
      <c r="B2627" s="104" t="s">
        <v>6506</v>
      </c>
      <c r="C2627" s="105" t="s">
        <v>20</v>
      </c>
      <c r="D2627" s="105">
        <v>0</v>
      </c>
      <c r="E2627" s="124" t="s">
        <v>523</v>
      </c>
      <c r="F2627" s="125" t="str">
        <f t="shared" si="135"/>
        <v/>
      </c>
      <c r="G2627" s="126" t="e">
        <f>IF(A2627&lt;&gt;"",IF(AND(#REF!="Padrão",$H$4=#REF!),BDI!$B$17,IF(AND(#REF!="Padrão",$H$4=#REF!),BDI!#REF!,IF(AND(#REF!="Diferenciado",$H$4=#REF!),BDI!$E$17,IF(AND(#REF!="Diferenciado",$H$4=#REF!),BDI!#REF!,IF(#REF!="ZERO",0))))),"")</f>
        <v>#REF!</v>
      </c>
      <c r="H2627" s="127" t="str">
        <f t="shared" si="136"/>
        <v/>
      </c>
      <c r="I2627" s="125" t="str">
        <f t="shared" si="137"/>
        <v/>
      </c>
    </row>
    <row r="2628" spans="1:9" hidden="1" x14ac:dyDescent="0.25">
      <c r="A2628" s="103" t="s">
        <v>6507</v>
      </c>
      <c r="B2628" s="104" t="s">
        <v>6508</v>
      </c>
      <c r="C2628" s="105" t="s">
        <v>20</v>
      </c>
      <c r="D2628" s="105">
        <v>0</v>
      </c>
      <c r="E2628" s="124" t="s">
        <v>523</v>
      </c>
      <c r="F2628" s="125" t="str">
        <f t="shared" si="135"/>
        <v/>
      </c>
      <c r="G2628" s="126" t="e">
        <f>IF(A2628&lt;&gt;"",IF(AND(#REF!="Padrão",$H$4=#REF!),BDI!$B$17,IF(AND(#REF!="Padrão",$H$4=#REF!),BDI!#REF!,IF(AND(#REF!="Diferenciado",$H$4=#REF!),BDI!$E$17,IF(AND(#REF!="Diferenciado",$H$4=#REF!),BDI!#REF!,IF(#REF!="ZERO",0))))),"")</f>
        <v>#REF!</v>
      </c>
      <c r="H2628" s="127" t="str">
        <f t="shared" si="136"/>
        <v/>
      </c>
      <c r="I2628" s="125" t="str">
        <f t="shared" si="137"/>
        <v/>
      </c>
    </row>
    <row r="2629" spans="1:9" hidden="1" x14ac:dyDescent="0.25">
      <c r="A2629" s="103" t="s">
        <v>6509</v>
      </c>
      <c r="B2629" s="104" t="s">
        <v>6510</v>
      </c>
      <c r="C2629" s="105" t="s">
        <v>20</v>
      </c>
      <c r="D2629" s="105">
        <v>0</v>
      </c>
      <c r="E2629" s="124" t="s">
        <v>523</v>
      </c>
      <c r="F2629" s="125" t="str">
        <f t="shared" si="135"/>
        <v/>
      </c>
      <c r="G2629" s="126" t="e">
        <f>IF(A2629&lt;&gt;"",IF(AND(#REF!="Padrão",$H$4=#REF!),BDI!$B$17,IF(AND(#REF!="Padrão",$H$4=#REF!),BDI!#REF!,IF(AND(#REF!="Diferenciado",$H$4=#REF!),BDI!$E$17,IF(AND(#REF!="Diferenciado",$H$4=#REF!),BDI!#REF!,IF(#REF!="ZERO",0))))),"")</f>
        <v>#REF!</v>
      </c>
      <c r="H2629" s="127" t="str">
        <f t="shared" si="136"/>
        <v/>
      </c>
      <c r="I2629" s="125" t="str">
        <f t="shared" si="137"/>
        <v/>
      </c>
    </row>
    <row r="2630" spans="1:9" hidden="1" x14ac:dyDescent="0.25">
      <c r="A2630" s="103" t="s">
        <v>6511</v>
      </c>
      <c r="B2630" s="104" t="s">
        <v>6512</v>
      </c>
      <c r="C2630" s="105" t="s">
        <v>20</v>
      </c>
      <c r="D2630" s="105">
        <v>0</v>
      </c>
      <c r="E2630" s="124" t="s">
        <v>523</v>
      </c>
      <c r="F2630" s="125" t="str">
        <f t="shared" si="135"/>
        <v/>
      </c>
      <c r="G2630" s="126" t="e">
        <f>IF(A2630&lt;&gt;"",IF(AND(#REF!="Padrão",$H$4=#REF!),BDI!$B$17,IF(AND(#REF!="Padrão",$H$4=#REF!),BDI!#REF!,IF(AND(#REF!="Diferenciado",$H$4=#REF!),BDI!$E$17,IF(AND(#REF!="Diferenciado",$H$4=#REF!),BDI!#REF!,IF(#REF!="ZERO",0))))),"")</f>
        <v>#REF!</v>
      </c>
      <c r="H2630" s="127" t="str">
        <f t="shared" si="136"/>
        <v/>
      </c>
      <c r="I2630" s="125" t="str">
        <f t="shared" si="137"/>
        <v/>
      </c>
    </row>
    <row r="2631" spans="1:9" hidden="1" x14ac:dyDescent="0.25">
      <c r="A2631" s="103" t="s">
        <v>6513</v>
      </c>
      <c r="B2631" s="104" t="s">
        <v>6514</v>
      </c>
      <c r="C2631" s="105" t="s">
        <v>20</v>
      </c>
      <c r="D2631" s="105">
        <v>0</v>
      </c>
      <c r="E2631" s="124" t="s">
        <v>523</v>
      </c>
      <c r="F2631" s="125" t="str">
        <f t="shared" si="135"/>
        <v/>
      </c>
      <c r="G2631" s="126" t="e">
        <f>IF(A2631&lt;&gt;"",IF(AND(#REF!="Padrão",$H$4=#REF!),BDI!$B$17,IF(AND(#REF!="Padrão",$H$4=#REF!),BDI!#REF!,IF(AND(#REF!="Diferenciado",$H$4=#REF!),BDI!$E$17,IF(AND(#REF!="Diferenciado",$H$4=#REF!),BDI!#REF!,IF(#REF!="ZERO",0))))),"")</f>
        <v>#REF!</v>
      </c>
      <c r="H2631" s="127" t="str">
        <f t="shared" si="136"/>
        <v/>
      </c>
      <c r="I2631" s="125" t="str">
        <f t="shared" si="137"/>
        <v/>
      </c>
    </row>
    <row r="2632" spans="1:9" hidden="1" x14ac:dyDescent="0.25">
      <c r="A2632" s="103" t="s">
        <v>6515</v>
      </c>
      <c r="B2632" s="104" t="s">
        <v>6516</v>
      </c>
      <c r="C2632" s="105" t="s">
        <v>20</v>
      </c>
      <c r="D2632" s="105">
        <v>0</v>
      </c>
      <c r="E2632" s="124" t="s">
        <v>523</v>
      </c>
      <c r="F2632" s="125" t="str">
        <f t="shared" si="135"/>
        <v/>
      </c>
      <c r="G2632" s="126" t="e">
        <f>IF(A2632&lt;&gt;"",IF(AND(#REF!="Padrão",$H$4=#REF!),BDI!$B$17,IF(AND(#REF!="Padrão",$H$4=#REF!),BDI!#REF!,IF(AND(#REF!="Diferenciado",$H$4=#REF!),BDI!$E$17,IF(AND(#REF!="Diferenciado",$H$4=#REF!),BDI!#REF!,IF(#REF!="ZERO",0))))),"")</f>
        <v>#REF!</v>
      </c>
      <c r="H2632" s="127" t="str">
        <f t="shared" si="136"/>
        <v/>
      </c>
      <c r="I2632" s="125" t="str">
        <f t="shared" si="137"/>
        <v/>
      </c>
    </row>
    <row r="2633" spans="1:9" ht="25.5" hidden="1" x14ac:dyDescent="0.25">
      <c r="A2633" s="103" t="s">
        <v>6517</v>
      </c>
      <c r="B2633" s="104" t="s">
        <v>6518</v>
      </c>
      <c r="C2633" s="105" t="s">
        <v>20</v>
      </c>
      <c r="D2633" s="105">
        <v>0</v>
      </c>
      <c r="E2633" s="124" t="s">
        <v>523</v>
      </c>
      <c r="F2633" s="125" t="str">
        <f t="shared" si="135"/>
        <v/>
      </c>
      <c r="G2633" s="126" t="e">
        <f>IF(A2633&lt;&gt;"",IF(AND(#REF!="Padrão",$H$4=#REF!),BDI!$B$17,IF(AND(#REF!="Padrão",$H$4=#REF!),BDI!#REF!,IF(AND(#REF!="Diferenciado",$H$4=#REF!),BDI!$E$17,IF(AND(#REF!="Diferenciado",$H$4=#REF!),BDI!#REF!,IF(#REF!="ZERO",0))))),"")</f>
        <v>#REF!</v>
      </c>
      <c r="H2633" s="127" t="str">
        <f t="shared" si="136"/>
        <v/>
      </c>
      <c r="I2633" s="125" t="str">
        <f t="shared" si="137"/>
        <v/>
      </c>
    </row>
    <row r="2634" spans="1:9" ht="25.5" hidden="1" x14ac:dyDescent="0.25">
      <c r="A2634" s="103" t="s">
        <v>6519</v>
      </c>
      <c r="B2634" s="104" t="s">
        <v>6520</v>
      </c>
      <c r="C2634" s="105" t="s">
        <v>20</v>
      </c>
      <c r="D2634" s="105">
        <v>0</v>
      </c>
      <c r="E2634" s="124" t="s">
        <v>523</v>
      </c>
      <c r="F2634" s="125" t="str">
        <f t="shared" si="135"/>
        <v/>
      </c>
      <c r="G2634" s="126" t="e">
        <f>IF(A2634&lt;&gt;"",IF(AND(#REF!="Padrão",$H$4=#REF!),BDI!$B$17,IF(AND(#REF!="Padrão",$H$4=#REF!),BDI!#REF!,IF(AND(#REF!="Diferenciado",$H$4=#REF!),BDI!$E$17,IF(AND(#REF!="Diferenciado",$H$4=#REF!),BDI!#REF!,IF(#REF!="ZERO",0))))),"")</f>
        <v>#REF!</v>
      </c>
      <c r="H2634" s="127" t="str">
        <f t="shared" si="136"/>
        <v/>
      </c>
      <c r="I2634" s="125" t="str">
        <f t="shared" si="137"/>
        <v/>
      </c>
    </row>
    <row r="2635" spans="1:9" ht="25.5" hidden="1" x14ac:dyDescent="0.25">
      <c r="A2635" s="103" t="s">
        <v>6521</v>
      </c>
      <c r="B2635" s="104" t="s">
        <v>6522</v>
      </c>
      <c r="C2635" s="105" t="s">
        <v>20</v>
      </c>
      <c r="D2635" s="105">
        <v>0</v>
      </c>
      <c r="E2635" s="124" t="s">
        <v>523</v>
      </c>
      <c r="F2635" s="125" t="str">
        <f t="shared" si="135"/>
        <v/>
      </c>
      <c r="G2635" s="126" t="e">
        <f>IF(A2635&lt;&gt;"",IF(AND(#REF!="Padrão",$H$4=#REF!),BDI!$B$17,IF(AND(#REF!="Padrão",$H$4=#REF!),BDI!#REF!,IF(AND(#REF!="Diferenciado",$H$4=#REF!),BDI!$E$17,IF(AND(#REF!="Diferenciado",$H$4=#REF!),BDI!#REF!,IF(#REF!="ZERO",0))))),"")</f>
        <v>#REF!</v>
      </c>
      <c r="H2635" s="127" t="str">
        <f t="shared" si="136"/>
        <v/>
      </c>
      <c r="I2635" s="125" t="str">
        <f t="shared" si="137"/>
        <v/>
      </c>
    </row>
    <row r="2636" spans="1:9" hidden="1" x14ac:dyDescent="0.25">
      <c r="A2636" s="103" t="s">
        <v>6523</v>
      </c>
      <c r="B2636" s="104" t="s">
        <v>6524</v>
      </c>
      <c r="C2636" s="105" t="s">
        <v>20</v>
      </c>
      <c r="D2636" s="105">
        <v>0</v>
      </c>
      <c r="E2636" s="124" t="s">
        <v>523</v>
      </c>
      <c r="F2636" s="125" t="str">
        <f t="shared" si="135"/>
        <v/>
      </c>
      <c r="G2636" s="126" t="e">
        <f>IF(A2636&lt;&gt;"",IF(AND(#REF!="Padrão",$H$4=#REF!),BDI!$B$17,IF(AND(#REF!="Padrão",$H$4=#REF!),BDI!#REF!,IF(AND(#REF!="Diferenciado",$H$4=#REF!),BDI!$E$17,IF(AND(#REF!="Diferenciado",$H$4=#REF!),BDI!#REF!,IF(#REF!="ZERO",0))))),"")</f>
        <v>#REF!</v>
      </c>
      <c r="H2636" s="127" t="str">
        <f t="shared" si="136"/>
        <v/>
      </c>
      <c r="I2636" s="125" t="str">
        <f t="shared" si="137"/>
        <v/>
      </c>
    </row>
    <row r="2637" spans="1:9" hidden="1" x14ac:dyDescent="0.25">
      <c r="A2637" s="103" t="s">
        <v>6525</v>
      </c>
      <c r="B2637" s="104" t="s">
        <v>6526</v>
      </c>
      <c r="C2637" s="105" t="s">
        <v>20</v>
      </c>
      <c r="D2637" s="105">
        <v>0</v>
      </c>
      <c r="E2637" s="124" t="s">
        <v>523</v>
      </c>
      <c r="F2637" s="125" t="str">
        <f t="shared" si="135"/>
        <v/>
      </c>
      <c r="G2637" s="126" t="e">
        <f>IF(A2637&lt;&gt;"",IF(AND(#REF!="Padrão",$H$4=#REF!),BDI!$B$17,IF(AND(#REF!="Padrão",$H$4=#REF!),BDI!#REF!,IF(AND(#REF!="Diferenciado",$H$4=#REF!),BDI!$E$17,IF(AND(#REF!="Diferenciado",$H$4=#REF!),BDI!#REF!,IF(#REF!="ZERO",0))))),"")</f>
        <v>#REF!</v>
      </c>
      <c r="H2637" s="127" t="str">
        <f t="shared" si="136"/>
        <v/>
      </c>
      <c r="I2637" s="125" t="str">
        <f t="shared" si="137"/>
        <v/>
      </c>
    </row>
    <row r="2638" spans="1:9" hidden="1" x14ac:dyDescent="0.25">
      <c r="A2638" s="103" t="s">
        <v>6527</v>
      </c>
      <c r="B2638" s="104" t="s">
        <v>6528</v>
      </c>
      <c r="C2638" s="105" t="s">
        <v>42</v>
      </c>
      <c r="D2638" s="105">
        <v>0</v>
      </c>
      <c r="E2638" s="124" t="s">
        <v>523</v>
      </c>
      <c r="F2638" s="125" t="str">
        <f t="shared" si="135"/>
        <v/>
      </c>
      <c r="G2638" s="126" t="e">
        <f>IF(A2638&lt;&gt;"",IF(AND(#REF!="Padrão",$H$4=#REF!),BDI!$B$17,IF(AND(#REF!="Padrão",$H$4=#REF!),BDI!#REF!,IF(AND(#REF!="Diferenciado",$H$4=#REF!),BDI!$E$17,IF(AND(#REF!="Diferenciado",$H$4=#REF!),BDI!#REF!,IF(#REF!="ZERO",0))))),"")</f>
        <v>#REF!</v>
      </c>
      <c r="H2638" s="127" t="str">
        <f t="shared" si="136"/>
        <v/>
      </c>
      <c r="I2638" s="125" t="str">
        <f t="shared" si="137"/>
        <v/>
      </c>
    </row>
    <row r="2639" spans="1:9" ht="25.5" hidden="1" x14ac:dyDescent="0.25">
      <c r="A2639" s="103" t="s">
        <v>6529</v>
      </c>
      <c r="B2639" s="104" t="s">
        <v>6530</v>
      </c>
      <c r="C2639" s="105" t="s">
        <v>20</v>
      </c>
      <c r="D2639" s="105">
        <v>0</v>
      </c>
      <c r="E2639" s="124" t="s">
        <v>523</v>
      </c>
      <c r="F2639" s="125" t="str">
        <f t="shared" si="135"/>
        <v/>
      </c>
      <c r="G2639" s="126" t="e">
        <f>IF(A2639&lt;&gt;"",IF(AND(#REF!="Padrão",$H$4=#REF!),BDI!$B$17,IF(AND(#REF!="Padrão",$H$4=#REF!),BDI!#REF!,IF(AND(#REF!="Diferenciado",$H$4=#REF!),BDI!$E$17,IF(AND(#REF!="Diferenciado",$H$4=#REF!),BDI!#REF!,IF(#REF!="ZERO",0))))),"")</f>
        <v>#REF!</v>
      </c>
      <c r="H2639" s="127" t="str">
        <f t="shared" si="136"/>
        <v/>
      </c>
      <c r="I2639" s="125" t="str">
        <f t="shared" si="137"/>
        <v/>
      </c>
    </row>
    <row r="2640" spans="1:9" ht="25.5" hidden="1" x14ac:dyDescent="0.25">
      <c r="A2640" s="103" t="s">
        <v>6531</v>
      </c>
      <c r="B2640" s="104" t="s">
        <v>6532</v>
      </c>
      <c r="C2640" s="105" t="s">
        <v>20</v>
      </c>
      <c r="D2640" s="105">
        <v>0</v>
      </c>
      <c r="E2640" s="124" t="s">
        <v>523</v>
      </c>
      <c r="F2640" s="125" t="str">
        <f t="shared" si="135"/>
        <v/>
      </c>
      <c r="G2640" s="126" t="e">
        <f>IF(A2640&lt;&gt;"",IF(AND(#REF!="Padrão",$H$4=#REF!),BDI!$B$17,IF(AND(#REF!="Padrão",$H$4=#REF!),BDI!#REF!,IF(AND(#REF!="Diferenciado",$H$4=#REF!),BDI!$E$17,IF(AND(#REF!="Diferenciado",$H$4=#REF!),BDI!#REF!,IF(#REF!="ZERO",0))))),"")</f>
        <v>#REF!</v>
      </c>
      <c r="H2640" s="127" t="str">
        <f t="shared" si="136"/>
        <v/>
      </c>
      <c r="I2640" s="125" t="str">
        <f t="shared" si="137"/>
        <v/>
      </c>
    </row>
    <row r="2641" spans="1:9" hidden="1" x14ac:dyDescent="0.25">
      <c r="A2641" s="103" t="s">
        <v>6533</v>
      </c>
      <c r="B2641" s="104" t="s">
        <v>6534</v>
      </c>
      <c r="C2641" s="105" t="s">
        <v>20</v>
      </c>
      <c r="D2641" s="105">
        <v>0</v>
      </c>
      <c r="E2641" s="124" t="s">
        <v>523</v>
      </c>
      <c r="F2641" s="125" t="str">
        <f t="shared" si="135"/>
        <v/>
      </c>
      <c r="G2641" s="126" t="e">
        <f>IF(A2641&lt;&gt;"",IF(AND(#REF!="Padrão",$H$4=#REF!),BDI!$B$17,IF(AND(#REF!="Padrão",$H$4=#REF!),BDI!#REF!,IF(AND(#REF!="Diferenciado",$H$4=#REF!),BDI!$E$17,IF(AND(#REF!="Diferenciado",$H$4=#REF!),BDI!#REF!,IF(#REF!="ZERO",0))))),"")</f>
        <v>#REF!</v>
      </c>
      <c r="H2641" s="127" t="str">
        <f t="shared" si="136"/>
        <v/>
      </c>
      <c r="I2641" s="125" t="str">
        <f t="shared" si="137"/>
        <v/>
      </c>
    </row>
    <row r="2642" spans="1:9" hidden="1" x14ac:dyDescent="0.25">
      <c r="A2642" s="103" t="s">
        <v>6535</v>
      </c>
      <c r="B2642" s="104" t="s">
        <v>6536</v>
      </c>
      <c r="C2642" s="105" t="s">
        <v>20</v>
      </c>
      <c r="D2642" s="105">
        <v>0</v>
      </c>
      <c r="E2642" s="124" t="s">
        <v>523</v>
      </c>
      <c r="F2642" s="125" t="str">
        <f t="shared" si="135"/>
        <v/>
      </c>
      <c r="G2642" s="126" t="e">
        <f>IF(A2642&lt;&gt;"",IF(AND(#REF!="Padrão",$H$4=#REF!),BDI!$B$17,IF(AND(#REF!="Padrão",$H$4=#REF!),BDI!#REF!,IF(AND(#REF!="Diferenciado",$H$4=#REF!),BDI!$E$17,IF(AND(#REF!="Diferenciado",$H$4=#REF!),BDI!#REF!,IF(#REF!="ZERO",0))))),"")</f>
        <v>#REF!</v>
      </c>
      <c r="H2642" s="127" t="str">
        <f t="shared" si="136"/>
        <v/>
      </c>
      <c r="I2642" s="125" t="str">
        <f t="shared" si="137"/>
        <v/>
      </c>
    </row>
    <row r="2643" spans="1:9" hidden="1" x14ac:dyDescent="0.25">
      <c r="A2643" s="103" t="s">
        <v>6537</v>
      </c>
      <c r="B2643" s="104" t="s">
        <v>6538</v>
      </c>
      <c r="C2643" s="105" t="s">
        <v>20</v>
      </c>
      <c r="D2643" s="105">
        <v>0</v>
      </c>
      <c r="E2643" s="124" t="s">
        <v>523</v>
      </c>
      <c r="F2643" s="125" t="str">
        <f t="shared" si="135"/>
        <v/>
      </c>
      <c r="G2643" s="126" t="e">
        <f>IF(A2643&lt;&gt;"",IF(AND(#REF!="Padrão",$H$4=#REF!),BDI!$B$17,IF(AND(#REF!="Padrão",$H$4=#REF!),BDI!#REF!,IF(AND(#REF!="Diferenciado",$H$4=#REF!),BDI!$E$17,IF(AND(#REF!="Diferenciado",$H$4=#REF!),BDI!#REF!,IF(#REF!="ZERO",0))))),"")</f>
        <v>#REF!</v>
      </c>
      <c r="H2643" s="127" t="str">
        <f t="shared" si="136"/>
        <v/>
      </c>
      <c r="I2643" s="125" t="str">
        <f t="shared" si="137"/>
        <v/>
      </c>
    </row>
    <row r="2644" spans="1:9" hidden="1" x14ac:dyDescent="0.25">
      <c r="A2644" s="103" t="s">
        <v>6539</v>
      </c>
      <c r="B2644" s="104" t="s">
        <v>6540</v>
      </c>
      <c r="C2644" s="105" t="s">
        <v>20</v>
      </c>
      <c r="D2644" s="105">
        <v>0</v>
      </c>
      <c r="E2644" s="124" t="s">
        <v>523</v>
      </c>
      <c r="F2644" s="125" t="str">
        <f t="shared" si="135"/>
        <v/>
      </c>
      <c r="G2644" s="126" t="e">
        <f>IF(A2644&lt;&gt;"",IF(AND(#REF!="Padrão",$H$4=#REF!),BDI!$B$17,IF(AND(#REF!="Padrão",$H$4=#REF!),BDI!#REF!,IF(AND(#REF!="Diferenciado",$H$4=#REF!),BDI!$E$17,IF(AND(#REF!="Diferenciado",$H$4=#REF!),BDI!#REF!,IF(#REF!="ZERO",0))))),"")</f>
        <v>#REF!</v>
      </c>
      <c r="H2644" s="127" t="str">
        <f t="shared" si="136"/>
        <v/>
      </c>
      <c r="I2644" s="125" t="str">
        <f t="shared" si="137"/>
        <v/>
      </c>
    </row>
    <row r="2645" spans="1:9" hidden="1" x14ac:dyDescent="0.25">
      <c r="A2645" s="103" t="s">
        <v>6541</v>
      </c>
      <c r="B2645" s="104" t="s">
        <v>6542</v>
      </c>
      <c r="C2645" s="105" t="s">
        <v>20</v>
      </c>
      <c r="D2645" s="105">
        <v>0</v>
      </c>
      <c r="E2645" s="124" t="s">
        <v>523</v>
      </c>
      <c r="F2645" s="125" t="str">
        <f t="shared" si="135"/>
        <v/>
      </c>
      <c r="G2645" s="126" t="e">
        <f>IF(A2645&lt;&gt;"",IF(AND(#REF!="Padrão",$H$4=#REF!),BDI!$B$17,IF(AND(#REF!="Padrão",$H$4=#REF!),BDI!#REF!,IF(AND(#REF!="Diferenciado",$H$4=#REF!),BDI!$E$17,IF(AND(#REF!="Diferenciado",$H$4=#REF!),BDI!#REF!,IF(#REF!="ZERO",0))))),"")</f>
        <v>#REF!</v>
      </c>
      <c r="H2645" s="127" t="str">
        <f t="shared" si="136"/>
        <v/>
      </c>
      <c r="I2645" s="125" t="str">
        <f t="shared" si="137"/>
        <v/>
      </c>
    </row>
    <row r="2646" spans="1:9" hidden="1" x14ac:dyDescent="0.25">
      <c r="A2646" s="103" t="s">
        <v>6543</v>
      </c>
      <c r="B2646" s="104" t="s">
        <v>6544</v>
      </c>
      <c r="C2646" s="105" t="s">
        <v>20</v>
      </c>
      <c r="D2646" s="105">
        <v>0</v>
      </c>
      <c r="E2646" s="124" t="s">
        <v>523</v>
      </c>
      <c r="F2646" s="125" t="str">
        <f t="shared" si="135"/>
        <v/>
      </c>
      <c r="G2646" s="126" t="e">
        <f>IF(A2646&lt;&gt;"",IF(AND(#REF!="Padrão",$H$4=#REF!),BDI!$B$17,IF(AND(#REF!="Padrão",$H$4=#REF!),BDI!#REF!,IF(AND(#REF!="Diferenciado",$H$4=#REF!),BDI!$E$17,IF(AND(#REF!="Diferenciado",$H$4=#REF!),BDI!#REF!,IF(#REF!="ZERO",0))))),"")</f>
        <v>#REF!</v>
      </c>
      <c r="H2646" s="127" t="str">
        <f t="shared" si="136"/>
        <v/>
      </c>
      <c r="I2646" s="125" t="str">
        <f t="shared" si="137"/>
        <v/>
      </c>
    </row>
    <row r="2647" spans="1:9" hidden="1" x14ac:dyDescent="0.25">
      <c r="A2647" s="103" t="s">
        <v>6545</v>
      </c>
      <c r="B2647" s="104" t="s">
        <v>6546</v>
      </c>
      <c r="C2647" s="105" t="s">
        <v>20</v>
      </c>
      <c r="D2647" s="105">
        <v>0</v>
      </c>
      <c r="E2647" s="124" t="s">
        <v>523</v>
      </c>
      <c r="F2647" s="125" t="str">
        <f t="shared" si="135"/>
        <v/>
      </c>
      <c r="G2647" s="126" t="e">
        <f>IF(A2647&lt;&gt;"",IF(AND(#REF!="Padrão",$H$4=#REF!),BDI!$B$17,IF(AND(#REF!="Padrão",$H$4=#REF!),BDI!#REF!,IF(AND(#REF!="Diferenciado",$H$4=#REF!),BDI!$E$17,IF(AND(#REF!="Diferenciado",$H$4=#REF!),BDI!#REF!,IF(#REF!="ZERO",0))))),"")</f>
        <v>#REF!</v>
      </c>
      <c r="H2647" s="127" t="str">
        <f t="shared" si="136"/>
        <v/>
      </c>
      <c r="I2647" s="125" t="str">
        <f t="shared" si="137"/>
        <v/>
      </c>
    </row>
    <row r="2648" spans="1:9" hidden="1" x14ac:dyDescent="0.25">
      <c r="A2648" s="103" t="s">
        <v>6547</v>
      </c>
      <c r="B2648" s="104" t="s">
        <v>6548</v>
      </c>
      <c r="C2648" s="105" t="s">
        <v>20</v>
      </c>
      <c r="D2648" s="105">
        <v>0</v>
      </c>
      <c r="E2648" s="124" t="s">
        <v>523</v>
      </c>
      <c r="F2648" s="125" t="str">
        <f t="shared" si="135"/>
        <v/>
      </c>
      <c r="G2648" s="126" t="e">
        <f>IF(A2648&lt;&gt;"",IF(AND(#REF!="Padrão",$H$4=#REF!),BDI!$B$17,IF(AND(#REF!="Padrão",$H$4=#REF!),BDI!#REF!,IF(AND(#REF!="Diferenciado",$H$4=#REF!),BDI!$E$17,IF(AND(#REF!="Diferenciado",$H$4=#REF!),BDI!#REF!,IF(#REF!="ZERO",0))))),"")</f>
        <v>#REF!</v>
      </c>
      <c r="H2648" s="127" t="str">
        <f t="shared" si="136"/>
        <v/>
      </c>
      <c r="I2648" s="125" t="str">
        <f t="shared" si="137"/>
        <v/>
      </c>
    </row>
    <row r="2649" spans="1:9" hidden="1" x14ac:dyDescent="0.25">
      <c r="A2649" s="103" t="s">
        <v>6549</v>
      </c>
      <c r="B2649" s="104" t="s">
        <v>6550</v>
      </c>
      <c r="C2649" s="105" t="s">
        <v>20</v>
      </c>
      <c r="D2649" s="105">
        <v>0</v>
      </c>
      <c r="E2649" s="124" t="s">
        <v>523</v>
      </c>
      <c r="F2649" s="125" t="str">
        <f t="shared" si="135"/>
        <v/>
      </c>
      <c r="G2649" s="126" t="e">
        <f>IF(A2649&lt;&gt;"",IF(AND(#REF!="Padrão",$H$4=#REF!),BDI!$B$17,IF(AND(#REF!="Padrão",$H$4=#REF!),BDI!#REF!,IF(AND(#REF!="Diferenciado",$H$4=#REF!),BDI!$E$17,IF(AND(#REF!="Diferenciado",$H$4=#REF!),BDI!#REF!,IF(#REF!="ZERO",0))))),"")</f>
        <v>#REF!</v>
      </c>
      <c r="H2649" s="127" t="str">
        <f t="shared" si="136"/>
        <v/>
      </c>
      <c r="I2649" s="125" t="str">
        <f t="shared" si="137"/>
        <v/>
      </c>
    </row>
    <row r="2650" spans="1:9" hidden="1" x14ac:dyDescent="0.25">
      <c r="A2650" s="103" t="s">
        <v>6551</v>
      </c>
      <c r="B2650" s="104" t="s">
        <v>6552</v>
      </c>
      <c r="C2650" s="105" t="s">
        <v>93</v>
      </c>
      <c r="D2650" s="105">
        <v>0</v>
      </c>
      <c r="E2650" s="124" t="s">
        <v>523</v>
      </c>
      <c r="F2650" s="125" t="str">
        <f t="shared" si="135"/>
        <v/>
      </c>
      <c r="G2650" s="126" t="e">
        <f>IF(A2650&lt;&gt;"",IF(AND(#REF!="Padrão",$H$4=#REF!),BDI!$B$17,IF(AND(#REF!="Padrão",$H$4=#REF!),BDI!#REF!,IF(AND(#REF!="Diferenciado",$H$4=#REF!),BDI!$E$17,IF(AND(#REF!="Diferenciado",$H$4=#REF!),BDI!#REF!,IF(#REF!="ZERO",0))))),"")</f>
        <v>#REF!</v>
      </c>
      <c r="H2650" s="127" t="str">
        <f t="shared" si="136"/>
        <v/>
      </c>
      <c r="I2650" s="125" t="str">
        <f t="shared" si="137"/>
        <v/>
      </c>
    </row>
    <row r="2651" spans="1:9" hidden="1" x14ac:dyDescent="0.25">
      <c r="A2651" s="103" t="s">
        <v>6553</v>
      </c>
      <c r="B2651" s="104" t="s">
        <v>6554</v>
      </c>
      <c r="C2651" s="105" t="s">
        <v>20</v>
      </c>
      <c r="D2651" s="105">
        <v>0</v>
      </c>
      <c r="E2651" s="124" t="s">
        <v>523</v>
      </c>
      <c r="F2651" s="125" t="str">
        <f t="shared" si="135"/>
        <v/>
      </c>
      <c r="G2651" s="126" t="e">
        <f>IF(A2651&lt;&gt;"",IF(AND(#REF!="Padrão",$H$4=#REF!),BDI!$B$17,IF(AND(#REF!="Padrão",$H$4=#REF!),BDI!#REF!,IF(AND(#REF!="Diferenciado",$H$4=#REF!),BDI!$E$17,IF(AND(#REF!="Diferenciado",$H$4=#REF!),BDI!#REF!,IF(#REF!="ZERO",0))))),"")</f>
        <v>#REF!</v>
      </c>
      <c r="H2651" s="127" t="str">
        <f t="shared" si="136"/>
        <v/>
      </c>
      <c r="I2651" s="125" t="str">
        <f t="shared" si="137"/>
        <v/>
      </c>
    </row>
    <row r="2652" spans="1:9" hidden="1" x14ac:dyDescent="0.25">
      <c r="A2652" s="103" t="s">
        <v>6555</v>
      </c>
      <c r="B2652" s="104" t="s">
        <v>6556</v>
      </c>
      <c r="C2652" s="105" t="s">
        <v>20</v>
      </c>
      <c r="D2652" s="105">
        <v>0</v>
      </c>
      <c r="E2652" s="124" t="s">
        <v>523</v>
      </c>
      <c r="F2652" s="125" t="str">
        <f t="shared" si="135"/>
        <v/>
      </c>
      <c r="G2652" s="126" t="e">
        <f>IF(A2652&lt;&gt;"",IF(AND(#REF!="Padrão",$H$4=#REF!),BDI!$B$17,IF(AND(#REF!="Padrão",$H$4=#REF!),BDI!#REF!,IF(AND(#REF!="Diferenciado",$H$4=#REF!),BDI!$E$17,IF(AND(#REF!="Diferenciado",$H$4=#REF!),BDI!#REF!,IF(#REF!="ZERO",0))))),"")</f>
        <v>#REF!</v>
      </c>
      <c r="H2652" s="127" t="str">
        <f t="shared" si="136"/>
        <v/>
      </c>
      <c r="I2652" s="125" t="str">
        <f t="shared" si="137"/>
        <v/>
      </c>
    </row>
    <row r="2653" spans="1:9" hidden="1" x14ac:dyDescent="0.25">
      <c r="A2653" s="103" t="s">
        <v>6557</v>
      </c>
      <c r="B2653" s="104" t="s">
        <v>6558</v>
      </c>
      <c r="C2653" s="105" t="s">
        <v>20</v>
      </c>
      <c r="D2653" s="105">
        <v>0</v>
      </c>
      <c r="E2653" s="124" t="s">
        <v>523</v>
      </c>
      <c r="F2653" s="125" t="str">
        <f t="shared" si="135"/>
        <v/>
      </c>
      <c r="G2653" s="126" t="e">
        <f>IF(A2653&lt;&gt;"",IF(AND(#REF!="Padrão",$H$4=#REF!),BDI!$B$17,IF(AND(#REF!="Padrão",$H$4=#REF!),BDI!#REF!,IF(AND(#REF!="Diferenciado",$H$4=#REF!),BDI!$E$17,IF(AND(#REF!="Diferenciado",$H$4=#REF!),BDI!#REF!,IF(#REF!="ZERO",0))))),"")</f>
        <v>#REF!</v>
      </c>
      <c r="H2653" s="127" t="str">
        <f t="shared" si="136"/>
        <v/>
      </c>
      <c r="I2653" s="125" t="str">
        <f t="shared" si="137"/>
        <v/>
      </c>
    </row>
    <row r="2654" spans="1:9" hidden="1" x14ac:dyDescent="0.25">
      <c r="A2654" s="103" t="s">
        <v>6559</v>
      </c>
      <c r="B2654" s="104" t="s">
        <v>6560</v>
      </c>
      <c r="C2654" s="105" t="s">
        <v>20</v>
      </c>
      <c r="D2654" s="105">
        <v>0</v>
      </c>
      <c r="E2654" s="124" t="s">
        <v>523</v>
      </c>
      <c r="F2654" s="125" t="str">
        <f t="shared" si="135"/>
        <v/>
      </c>
      <c r="G2654" s="126" t="e">
        <f>IF(A2654&lt;&gt;"",IF(AND(#REF!="Padrão",$H$4=#REF!),BDI!$B$17,IF(AND(#REF!="Padrão",$H$4=#REF!),BDI!#REF!,IF(AND(#REF!="Diferenciado",$H$4=#REF!),BDI!$E$17,IF(AND(#REF!="Diferenciado",$H$4=#REF!),BDI!#REF!,IF(#REF!="ZERO",0))))),"")</f>
        <v>#REF!</v>
      </c>
      <c r="H2654" s="127" t="str">
        <f t="shared" si="136"/>
        <v/>
      </c>
      <c r="I2654" s="125" t="str">
        <f t="shared" si="137"/>
        <v/>
      </c>
    </row>
    <row r="2655" spans="1:9" hidden="1" x14ac:dyDescent="0.25">
      <c r="A2655" s="103" t="s">
        <v>6561</v>
      </c>
      <c r="B2655" s="104" t="s">
        <v>6562</v>
      </c>
      <c r="C2655" s="105" t="s">
        <v>20</v>
      </c>
      <c r="D2655" s="105">
        <v>0</v>
      </c>
      <c r="E2655" s="124" t="s">
        <v>523</v>
      </c>
      <c r="F2655" s="125" t="str">
        <f t="shared" si="135"/>
        <v/>
      </c>
      <c r="G2655" s="126" t="e">
        <f>IF(A2655&lt;&gt;"",IF(AND(#REF!="Padrão",$H$4=#REF!),BDI!$B$17,IF(AND(#REF!="Padrão",$H$4=#REF!),BDI!#REF!,IF(AND(#REF!="Diferenciado",$H$4=#REF!),BDI!$E$17,IF(AND(#REF!="Diferenciado",$H$4=#REF!),BDI!#REF!,IF(#REF!="ZERO",0))))),"")</f>
        <v>#REF!</v>
      </c>
      <c r="H2655" s="127" t="str">
        <f t="shared" si="136"/>
        <v/>
      </c>
      <c r="I2655" s="125" t="str">
        <f t="shared" si="137"/>
        <v/>
      </c>
    </row>
    <row r="2656" spans="1:9" hidden="1" x14ac:dyDescent="0.25">
      <c r="A2656" s="103" t="s">
        <v>6563</v>
      </c>
      <c r="B2656" s="104" t="s">
        <v>6564</v>
      </c>
      <c r="C2656" s="105" t="s">
        <v>20</v>
      </c>
      <c r="D2656" s="105">
        <v>0</v>
      </c>
      <c r="E2656" s="124" t="s">
        <v>523</v>
      </c>
      <c r="F2656" s="125" t="str">
        <f t="shared" si="135"/>
        <v/>
      </c>
      <c r="G2656" s="126" t="e">
        <f>IF(A2656&lt;&gt;"",IF(AND(#REF!="Padrão",$H$4=#REF!),BDI!$B$17,IF(AND(#REF!="Padrão",$H$4=#REF!),BDI!#REF!,IF(AND(#REF!="Diferenciado",$H$4=#REF!),BDI!$E$17,IF(AND(#REF!="Diferenciado",$H$4=#REF!),BDI!#REF!,IF(#REF!="ZERO",0))))),"")</f>
        <v>#REF!</v>
      </c>
      <c r="H2656" s="127" t="str">
        <f t="shared" si="136"/>
        <v/>
      </c>
      <c r="I2656" s="125" t="str">
        <f t="shared" si="137"/>
        <v/>
      </c>
    </row>
    <row r="2657" spans="1:9" hidden="1" x14ac:dyDescent="0.25">
      <c r="A2657" s="103" t="s">
        <v>6565</v>
      </c>
      <c r="B2657" s="104" t="s">
        <v>6566</v>
      </c>
      <c r="C2657" s="105" t="s">
        <v>20</v>
      </c>
      <c r="D2657" s="105">
        <v>0</v>
      </c>
      <c r="E2657" s="124" t="s">
        <v>523</v>
      </c>
      <c r="F2657" s="125" t="str">
        <f t="shared" si="135"/>
        <v/>
      </c>
      <c r="G2657" s="126" t="e">
        <f>IF(A2657&lt;&gt;"",IF(AND(#REF!="Padrão",$H$4=#REF!),BDI!$B$17,IF(AND(#REF!="Padrão",$H$4=#REF!),BDI!#REF!,IF(AND(#REF!="Diferenciado",$H$4=#REF!),BDI!$E$17,IF(AND(#REF!="Diferenciado",$H$4=#REF!),BDI!#REF!,IF(#REF!="ZERO",0))))),"")</f>
        <v>#REF!</v>
      </c>
      <c r="H2657" s="127" t="str">
        <f t="shared" si="136"/>
        <v/>
      </c>
      <c r="I2657" s="125" t="str">
        <f t="shared" si="137"/>
        <v/>
      </c>
    </row>
    <row r="2658" spans="1:9" hidden="1" x14ac:dyDescent="0.25">
      <c r="A2658" s="103" t="s">
        <v>6567</v>
      </c>
      <c r="B2658" s="104" t="s">
        <v>6568</v>
      </c>
      <c r="C2658" s="105" t="s">
        <v>20</v>
      </c>
      <c r="D2658" s="105">
        <v>0</v>
      </c>
      <c r="E2658" s="124" t="s">
        <v>523</v>
      </c>
      <c r="F2658" s="125" t="str">
        <f t="shared" si="135"/>
        <v/>
      </c>
      <c r="G2658" s="126" t="e">
        <f>IF(A2658&lt;&gt;"",IF(AND(#REF!="Padrão",$H$4=#REF!),BDI!$B$17,IF(AND(#REF!="Padrão",$H$4=#REF!),BDI!#REF!,IF(AND(#REF!="Diferenciado",$H$4=#REF!),BDI!$E$17,IF(AND(#REF!="Diferenciado",$H$4=#REF!),BDI!#REF!,IF(#REF!="ZERO",0))))),"")</f>
        <v>#REF!</v>
      </c>
      <c r="H2658" s="127" t="str">
        <f t="shared" si="136"/>
        <v/>
      </c>
      <c r="I2658" s="125" t="str">
        <f t="shared" si="137"/>
        <v/>
      </c>
    </row>
    <row r="2659" spans="1:9" hidden="1" x14ac:dyDescent="0.25">
      <c r="A2659" s="103" t="s">
        <v>6569</v>
      </c>
      <c r="B2659" s="104" t="s">
        <v>6570</v>
      </c>
      <c r="C2659" s="105" t="s">
        <v>20</v>
      </c>
      <c r="D2659" s="105">
        <v>0</v>
      </c>
      <c r="E2659" s="124" t="s">
        <v>523</v>
      </c>
      <c r="F2659" s="125" t="str">
        <f t="shared" si="135"/>
        <v/>
      </c>
      <c r="G2659" s="126" t="e">
        <f>IF(A2659&lt;&gt;"",IF(AND(#REF!="Padrão",$H$4=#REF!),BDI!$B$17,IF(AND(#REF!="Padrão",$H$4=#REF!),BDI!#REF!,IF(AND(#REF!="Diferenciado",$H$4=#REF!),BDI!$E$17,IF(AND(#REF!="Diferenciado",$H$4=#REF!),BDI!#REF!,IF(#REF!="ZERO",0))))),"")</f>
        <v>#REF!</v>
      </c>
      <c r="H2659" s="127" t="str">
        <f t="shared" si="136"/>
        <v/>
      </c>
      <c r="I2659" s="125" t="str">
        <f t="shared" si="137"/>
        <v/>
      </c>
    </row>
    <row r="2660" spans="1:9" hidden="1" x14ac:dyDescent="0.25">
      <c r="A2660" s="103" t="s">
        <v>6571</v>
      </c>
      <c r="B2660" s="104" t="s">
        <v>6572</v>
      </c>
      <c r="C2660" s="105" t="s">
        <v>20</v>
      </c>
      <c r="D2660" s="105">
        <v>0</v>
      </c>
      <c r="E2660" s="124" t="s">
        <v>523</v>
      </c>
      <c r="F2660" s="125" t="str">
        <f t="shared" si="135"/>
        <v/>
      </c>
      <c r="G2660" s="126" t="e">
        <f>IF(A2660&lt;&gt;"",IF(AND(#REF!="Padrão",$H$4=#REF!),BDI!$B$17,IF(AND(#REF!="Padrão",$H$4=#REF!),BDI!#REF!,IF(AND(#REF!="Diferenciado",$H$4=#REF!),BDI!$E$17,IF(AND(#REF!="Diferenciado",$H$4=#REF!),BDI!#REF!,IF(#REF!="ZERO",0))))),"")</f>
        <v>#REF!</v>
      </c>
      <c r="H2660" s="127" t="str">
        <f t="shared" si="136"/>
        <v/>
      </c>
      <c r="I2660" s="125" t="str">
        <f t="shared" si="137"/>
        <v/>
      </c>
    </row>
    <row r="2661" spans="1:9" hidden="1" x14ac:dyDescent="0.25">
      <c r="A2661" s="103" t="s">
        <v>6573</v>
      </c>
      <c r="B2661" s="104" t="s">
        <v>6574</v>
      </c>
      <c r="C2661" s="105" t="s">
        <v>20</v>
      </c>
      <c r="D2661" s="105">
        <v>0</v>
      </c>
      <c r="E2661" s="124" t="s">
        <v>523</v>
      </c>
      <c r="F2661" s="125" t="str">
        <f t="shared" si="135"/>
        <v/>
      </c>
      <c r="G2661" s="126" t="e">
        <f>IF(A2661&lt;&gt;"",IF(AND(#REF!="Padrão",$H$4=#REF!),BDI!$B$17,IF(AND(#REF!="Padrão",$H$4=#REF!),BDI!#REF!,IF(AND(#REF!="Diferenciado",$H$4=#REF!),BDI!$E$17,IF(AND(#REF!="Diferenciado",$H$4=#REF!),BDI!#REF!,IF(#REF!="ZERO",0))))),"")</f>
        <v>#REF!</v>
      </c>
      <c r="H2661" s="127" t="str">
        <f t="shared" si="136"/>
        <v/>
      </c>
      <c r="I2661" s="125" t="str">
        <f t="shared" si="137"/>
        <v/>
      </c>
    </row>
    <row r="2662" spans="1:9" hidden="1" x14ac:dyDescent="0.25">
      <c r="A2662" s="103" t="s">
        <v>6575</v>
      </c>
      <c r="B2662" s="104" t="s">
        <v>6576</v>
      </c>
      <c r="C2662" s="105" t="s">
        <v>20</v>
      </c>
      <c r="D2662" s="105">
        <v>0</v>
      </c>
      <c r="E2662" s="124" t="s">
        <v>523</v>
      </c>
      <c r="F2662" s="125" t="str">
        <f t="shared" si="135"/>
        <v/>
      </c>
      <c r="G2662" s="126" t="e">
        <f>IF(A2662&lt;&gt;"",IF(AND(#REF!="Padrão",$H$4=#REF!),BDI!$B$17,IF(AND(#REF!="Padrão",$H$4=#REF!),BDI!#REF!,IF(AND(#REF!="Diferenciado",$H$4=#REF!),BDI!$E$17,IF(AND(#REF!="Diferenciado",$H$4=#REF!),BDI!#REF!,IF(#REF!="ZERO",0))))),"")</f>
        <v>#REF!</v>
      </c>
      <c r="H2662" s="127" t="str">
        <f t="shared" si="136"/>
        <v/>
      </c>
      <c r="I2662" s="125" t="str">
        <f t="shared" si="137"/>
        <v/>
      </c>
    </row>
    <row r="2663" spans="1:9" hidden="1" x14ac:dyDescent="0.25">
      <c r="A2663" s="103" t="s">
        <v>6577</v>
      </c>
      <c r="B2663" s="104" t="s">
        <v>6578</v>
      </c>
      <c r="C2663" s="105" t="s">
        <v>20</v>
      </c>
      <c r="D2663" s="105">
        <v>0</v>
      </c>
      <c r="E2663" s="124" t="s">
        <v>523</v>
      </c>
      <c r="F2663" s="125" t="str">
        <f t="shared" si="135"/>
        <v/>
      </c>
      <c r="G2663" s="126" t="e">
        <f>IF(A2663&lt;&gt;"",IF(AND(#REF!="Padrão",$H$4=#REF!),BDI!$B$17,IF(AND(#REF!="Padrão",$H$4=#REF!),BDI!#REF!,IF(AND(#REF!="Diferenciado",$H$4=#REF!),BDI!$E$17,IF(AND(#REF!="Diferenciado",$H$4=#REF!),BDI!#REF!,IF(#REF!="ZERO",0))))),"")</f>
        <v>#REF!</v>
      </c>
      <c r="H2663" s="127" t="str">
        <f t="shared" si="136"/>
        <v/>
      </c>
      <c r="I2663" s="125" t="str">
        <f t="shared" si="137"/>
        <v/>
      </c>
    </row>
    <row r="2664" spans="1:9" hidden="1" x14ac:dyDescent="0.25">
      <c r="A2664" s="103" t="s">
        <v>6579</v>
      </c>
      <c r="B2664" s="104" t="s">
        <v>6580</v>
      </c>
      <c r="C2664" s="105" t="s">
        <v>20</v>
      </c>
      <c r="D2664" s="105">
        <v>0</v>
      </c>
      <c r="E2664" s="124" t="s">
        <v>523</v>
      </c>
      <c r="F2664" s="125" t="str">
        <f t="shared" si="135"/>
        <v/>
      </c>
      <c r="G2664" s="126" t="e">
        <f>IF(A2664&lt;&gt;"",IF(AND(#REF!="Padrão",$H$4=#REF!),BDI!$B$17,IF(AND(#REF!="Padrão",$H$4=#REF!),BDI!#REF!,IF(AND(#REF!="Diferenciado",$H$4=#REF!),BDI!$E$17,IF(AND(#REF!="Diferenciado",$H$4=#REF!),BDI!#REF!,IF(#REF!="ZERO",0))))),"")</f>
        <v>#REF!</v>
      </c>
      <c r="H2664" s="127" t="str">
        <f t="shared" si="136"/>
        <v/>
      </c>
      <c r="I2664" s="125" t="str">
        <f t="shared" si="137"/>
        <v/>
      </c>
    </row>
    <row r="2665" spans="1:9" hidden="1" x14ac:dyDescent="0.25">
      <c r="A2665" s="103" t="s">
        <v>6581</v>
      </c>
      <c r="B2665" s="104" t="s">
        <v>6582</v>
      </c>
      <c r="C2665" s="105" t="s">
        <v>20</v>
      </c>
      <c r="D2665" s="105">
        <v>0</v>
      </c>
      <c r="E2665" s="124" t="s">
        <v>523</v>
      </c>
      <c r="F2665" s="125" t="str">
        <f t="shared" si="135"/>
        <v/>
      </c>
      <c r="G2665" s="126" t="e">
        <f>IF(A2665&lt;&gt;"",IF(AND(#REF!="Padrão",$H$4=#REF!),BDI!$B$17,IF(AND(#REF!="Padrão",$H$4=#REF!),BDI!#REF!,IF(AND(#REF!="Diferenciado",$H$4=#REF!),BDI!$E$17,IF(AND(#REF!="Diferenciado",$H$4=#REF!),BDI!#REF!,IF(#REF!="ZERO",0))))),"")</f>
        <v>#REF!</v>
      </c>
      <c r="H2665" s="127" t="str">
        <f t="shared" si="136"/>
        <v/>
      </c>
      <c r="I2665" s="125" t="str">
        <f t="shared" si="137"/>
        <v/>
      </c>
    </row>
    <row r="2666" spans="1:9" hidden="1" x14ac:dyDescent="0.25">
      <c r="A2666" s="103" t="s">
        <v>6583</v>
      </c>
      <c r="B2666" s="104" t="s">
        <v>6584</v>
      </c>
      <c r="C2666" s="105" t="s">
        <v>20</v>
      </c>
      <c r="D2666" s="105">
        <v>0</v>
      </c>
      <c r="E2666" s="124" t="s">
        <v>523</v>
      </c>
      <c r="F2666" s="125" t="str">
        <f t="shared" si="135"/>
        <v/>
      </c>
      <c r="G2666" s="126" t="e">
        <f>IF(A2666&lt;&gt;"",IF(AND(#REF!="Padrão",$H$4=#REF!),BDI!$B$17,IF(AND(#REF!="Padrão",$H$4=#REF!),BDI!#REF!,IF(AND(#REF!="Diferenciado",$H$4=#REF!),BDI!$E$17,IF(AND(#REF!="Diferenciado",$H$4=#REF!),BDI!#REF!,IF(#REF!="ZERO",0))))),"")</f>
        <v>#REF!</v>
      </c>
      <c r="H2666" s="127" t="str">
        <f t="shared" si="136"/>
        <v/>
      </c>
      <c r="I2666" s="125" t="str">
        <f t="shared" si="137"/>
        <v/>
      </c>
    </row>
    <row r="2667" spans="1:9" hidden="1" x14ac:dyDescent="0.25">
      <c r="A2667" s="103" t="s">
        <v>6585</v>
      </c>
      <c r="B2667" s="104" t="s">
        <v>6586</v>
      </c>
      <c r="C2667" s="105" t="s">
        <v>20</v>
      </c>
      <c r="D2667" s="105">
        <v>0</v>
      </c>
      <c r="E2667" s="124" t="s">
        <v>523</v>
      </c>
      <c r="F2667" s="125" t="str">
        <f t="shared" si="135"/>
        <v/>
      </c>
      <c r="G2667" s="126" t="e">
        <f>IF(A2667&lt;&gt;"",IF(AND(#REF!="Padrão",$H$4=#REF!),BDI!$B$17,IF(AND(#REF!="Padrão",$H$4=#REF!),BDI!#REF!,IF(AND(#REF!="Diferenciado",$H$4=#REF!),BDI!$E$17,IF(AND(#REF!="Diferenciado",$H$4=#REF!),BDI!#REF!,IF(#REF!="ZERO",0))))),"")</f>
        <v>#REF!</v>
      </c>
      <c r="H2667" s="127" t="str">
        <f t="shared" si="136"/>
        <v/>
      </c>
      <c r="I2667" s="125" t="str">
        <f t="shared" si="137"/>
        <v/>
      </c>
    </row>
    <row r="2668" spans="1:9" hidden="1" x14ac:dyDescent="0.25">
      <c r="A2668" s="103" t="s">
        <v>6587</v>
      </c>
      <c r="B2668" s="104" t="s">
        <v>6588</v>
      </c>
      <c r="C2668" s="105" t="s">
        <v>20</v>
      </c>
      <c r="D2668" s="105">
        <v>0</v>
      </c>
      <c r="E2668" s="124" t="s">
        <v>523</v>
      </c>
      <c r="F2668" s="125" t="str">
        <f t="shared" si="135"/>
        <v/>
      </c>
      <c r="G2668" s="126" t="e">
        <f>IF(A2668&lt;&gt;"",IF(AND(#REF!="Padrão",$H$4=#REF!),BDI!$B$17,IF(AND(#REF!="Padrão",$H$4=#REF!),BDI!#REF!,IF(AND(#REF!="Diferenciado",$H$4=#REF!),BDI!$E$17,IF(AND(#REF!="Diferenciado",$H$4=#REF!),BDI!#REF!,IF(#REF!="ZERO",0))))),"")</f>
        <v>#REF!</v>
      </c>
      <c r="H2668" s="127" t="str">
        <f t="shared" si="136"/>
        <v/>
      </c>
      <c r="I2668" s="125" t="str">
        <f t="shared" si="137"/>
        <v/>
      </c>
    </row>
    <row r="2669" spans="1:9" hidden="1" x14ac:dyDescent="0.25">
      <c r="A2669" s="103" t="s">
        <v>6589</v>
      </c>
      <c r="B2669" s="104" t="s">
        <v>6590</v>
      </c>
      <c r="C2669" s="105" t="s">
        <v>20</v>
      </c>
      <c r="D2669" s="105">
        <v>0</v>
      </c>
      <c r="E2669" s="124" t="s">
        <v>523</v>
      </c>
      <c r="F2669" s="125" t="str">
        <f t="shared" si="135"/>
        <v/>
      </c>
      <c r="G2669" s="126" t="e">
        <f>IF(A2669&lt;&gt;"",IF(AND(#REF!="Padrão",$H$4=#REF!),BDI!$B$17,IF(AND(#REF!="Padrão",$H$4=#REF!),BDI!#REF!,IF(AND(#REF!="Diferenciado",$H$4=#REF!),BDI!$E$17,IF(AND(#REF!="Diferenciado",$H$4=#REF!),BDI!#REF!,IF(#REF!="ZERO",0))))),"")</f>
        <v>#REF!</v>
      </c>
      <c r="H2669" s="127" t="str">
        <f t="shared" si="136"/>
        <v/>
      </c>
      <c r="I2669" s="125" t="str">
        <f t="shared" si="137"/>
        <v/>
      </c>
    </row>
    <row r="2670" spans="1:9" hidden="1" x14ac:dyDescent="0.25">
      <c r="A2670" s="103" t="s">
        <v>6591</v>
      </c>
      <c r="B2670" s="104" t="s">
        <v>6592</v>
      </c>
      <c r="C2670" s="105" t="s">
        <v>20</v>
      </c>
      <c r="D2670" s="105">
        <v>0</v>
      </c>
      <c r="E2670" s="124" t="s">
        <v>523</v>
      </c>
      <c r="F2670" s="125" t="str">
        <f t="shared" si="135"/>
        <v/>
      </c>
      <c r="G2670" s="126" t="e">
        <f>IF(A2670&lt;&gt;"",IF(AND(#REF!="Padrão",$H$4=#REF!),BDI!$B$17,IF(AND(#REF!="Padrão",$H$4=#REF!),BDI!#REF!,IF(AND(#REF!="Diferenciado",$H$4=#REF!),BDI!$E$17,IF(AND(#REF!="Diferenciado",$H$4=#REF!),BDI!#REF!,IF(#REF!="ZERO",0))))),"")</f>
        <v>#REF!</v>
      </c>
      <c r="H2670" s="127" t="str">
        <f t="shared" si="136"/>
        <v/>
      </c>
      <c r="I2670" s="125" t="str">
        <f t="shared" si="137"/>
        <v/>
      </c>
    </row>
    <row r="2671" spans="1:9" hidden="1" x14ac:dyDescent="0.25">
      <c r="A2671" s="103" t="s">
        <v>6593</v>
      </c>
      <c r="B2671" s="104" t="s">
        <v>6594</v>
      </c>
      <c r="C2671" s="105" t="s">
        <v>20</v>
      </c>
      <c r="D2671" s="105">
        <v>0</v>
      </c>
      <c r="E2671" s="124" t="s">
        <v>523</v>
      </c>
      <c r="F2671" s="125" t="str">
        <f t="shared" si="135"/>
        <v/>
      </c>
      <c r="G2671" s="126" t="e">
        <f>IF(A2671&lt;&gt;"",IF(AND(#REF!="Padrão",$H$4=#REF!),BDI!$B$17,IF(AND(#REF!="Padrão",$H$4=#REF!),BDI!#REF!,IF(AND(#REF!="Diferenciado",$H$4=#REF!),BDI!$E$17,IF(AND(#REF!="Diferenciado",$H$4=#REF!),BDI!#REF!,IF(#REF!="ZERO",0))))),"")</f>
        <v>#REF!</v>
      </c>
      <c r="H2671" s="127" t="str">
        <f t="shared" si="136"/>
        <v/>
      </c>
      <c r="I2671" s="125" t="str">
        <f t="shared" si="137"/>
        <v/>
      </c>
    </row>
    <row r="2672" spans="1:9" hidden="1" x14ac:dyDescent="0.25">
      <c r="A2672" s="103" t="s">
        <v>6595</v>
      </c>
      <c r="B2672" s="104" t="s">
        <v>6596</v>
      </c>
      <c r="C2672" s="105" t="s">
        <v>20</v>
      </c>
      <c r="D2672" s="105">
        <v>0</v>
      </c>
      <c r="E2672" s="124" t="s">
        <v>523</v>
      </c>
      <c r="F2672" s="125" t="str">
        <f t="shared" si="135"/>
        <v/>
      </c>
      <c r="G2672" s="126" t="e">
        <f>IF(A2672&lt;&gt;"",IF(AND(#REF!="Padrão",$H$4=#REF!),BDI!$B$17,IF(AND(#REF!="Padrão",$H$4=#REF!),BDI!#REF!,IF(AND(#REF!="Diferenciado",$H$4=#REF!),BDI!$E$17,IF(AND(#REF!="Diferenciado",$H$4=#REF!),BDI!#REF!,IF(#REF!="ZERO",0))))),"")</f>
        <v>#REF!</v>
      </c>
      <c r="H2672" s="127" t="str">
        <f t="shared" si="136"/>
        <v/>
      </c>
      <c r="I2672" s="125" t="str">
        <f t="shared" si="137"/>
        <v/>
      </c>
    </row>
    <row r="2673" spans="1:9" hidden="1" x14ac:dyDescent="0.25">
      <c r="A2673" s="103" t="s">
        <v>6597</v>
      </c>
      <c r="B2673" s="104" t="s">
        <v>6598</v>
      </c>
      <c r="C2673" s="105" t="s">
        <v>20</v>
      </c>
      <c r="D2673" s="105">
        <v>0</v>
      </c>
      <c r="E2673" s="124" t="s">
        <v>523</v>
      </c>
      <c r="F2673" s="125" t="str">
        <f t="shared" si="135"/>
        <v/>
      </c>
      <c r="G2673" s="126" t="e">
        <f>IF(A2673&lt;&gt;"",IF(AND(#REF!="Padrão",$H$4=#REF!),BDI!$B$17,IF(AND(#REF!="Padrão",$H$4=#REF!),BDI!#REF!,IF(AND(#REF!="Diferenciado",$H$4=#REF!),BDI!$E$17,IF(AND(#REF!="Diferenciado",$H$4=#REF!),BDI!#REF!,IF(#REF!="ZERO",0))))),"")</f>
        <v>#REF!</v>
      </c>
      <c r="H2673" s="127" t="str">
        <f t="shared" si="136"/>
        <v/>
      </c>
      <c r="I2673" s="125" t="str">
        <f t="shared" si="137"/>
        <v/>
      </c>
    </row>
    <row r="2674" spans="1:9" hidden="1" x14ac:dyDescent="0.25">
      <c r="A2674" s="103" t="s">
        <v>6599</v>
      </c>
      <c r="B2674" s="104" t="s">
        <v>6600</v>
      </c>
      <c r="C2674" s="105" t="s">
        <v>20</v>
      </c>
      <c r="D2674" s="105">
        <v>0</v>
      </c>
      <c r="E2674" s="124" t="s">
        <v>523</v>
      </c>
      <c r="F2674" s="125" t="str">
        <f t="shared" si="135"/>
        <v/>
      </c>
      <c r="G2674" s="126" t="e">
        <f>IF(A2674&lt;&gt;"",IF(AND(#REF!="Padrão",$H$4=#REF!),BDI!$B$17,IF(AND(#REF!="Padrão",$H$4=#REF!),BDI!#REF!,IF(AND(#REF!="Diferenciado",$H$4=#REF!),BDI!$E$17,IF(AND(#REF!="Diferenciado",$H$4=#REF!),BDI!#REF!,IF(#REF!="ZERO",0))))),"")</f>
        <v>#REF!</v>
      </c>
      <c r="H2674" s="127" t="str">
        <f t="shared" si="136"/>
        <v/>
      </c>
      <c r="I2674" s="125" t="str">
        <f t="shared" si="137"/>
        <v/>
      </c>
    </row>
    <row r="2675" spans="1:9" hidden="1" x14ac:dyDescent="0.25">
      <c r="A2675" s="103" t="s">
        <v>6601</v>
      </c>
      <c r="B2675" s="104" t="s">
        <v>6602</v>
      </c>
      <c r="C2675" s="105" t="s">
        <v>20</v>
      </c>
      <c r="D2675" s="105">
        <v>0</v>
      </c>
      <c r="E2675" s="124" t="s">
        <v>523</v>
      </c>
      <c r="F2675" s="125" t="str">
        <f t="shared" si="135"/>
        <v/>
      </c>
      <c r="G2675" s="126" t="e">
        <f>IF(A2675&lt;&gt;"",IF(AND(#REF!="Padrão",$H$4=#REF!),BDI!$B$17,IF(AND(#REF!="Padrão",$H$4=#REF!),BDI!#REF!,IF(AND(#REF!="Diferenciado",$H$4=#REF!),BDI!$E$17,IF(AND(#REF!="Diferenciado",$H$4=#REF!),BDI!#REF!,IF(#REF!="ZERO",0))))),"")</f>
        <v>#REF!</v>
      </c>
      <c r="H2675" s="127" t="str">
        <f t="shared" si="136"/>
        <v/>
      </c>
      <c r="I2675" s="125" t="str">
        <f t="shared" si="137"/>
        <v/>
      </c>
    </row>
    <row r="2676" spans="1:9" hidden="1" x14ac:dyDescent="0.25">
      <c r="A2676" s="103" t="s">
        <v>6603</v>
      </c>
      <c r="B2676" s="104" t="s">
        <v>6604</v>
      </c>
      <c r="C2676" s="105" t="s">
        <v>20</v>
      </c>
      <c r="D2676" s="105">
        <v>0</v>
      </c>
      <c r="E2676" s="124" t="s">
        <v>523</v>
      </c>
      <c r="F2676" s="125" t="str">
        <f t="shared" si="135"/>
        <v/>
      </c>
      <c r="G2676" s="126" t="e">
        <f>IF(A2676&lt;&gt;"",IF(AND(#REF!="Padrão",$H$4=#REF!),BDI!$B$17,IF(AND(#REF!="Padrão",$H$4=#REF!),BDI!#REF!,IF(AND(#REF!="Diferenciado",$H$4=#REF!),BDI!$E$17,IF(AND(#REF!="Diferenciado",$H$4=#REF!),BDI!#REF!,IF(#REF!="ZERO",0))))),"")</f>
        <v>#REF!</v>
      </c>
      <c r="H2676" s="127" t="str">
        <f t="shared" si="136"/>
        <v/>
      </c>
      <c r="I2676" s="125" t="str">
        <f t="shared" si="137"/>
        <v/>
      </c>
    </row>
    <row r="2677" spans="1:9" hidden="1" x14ac:dyDescent="0.25">
      <c r="A2677" s="103" t="s">
        <v>6605</v>
      </c>
      <c r="B2677" s="104" t="s">
        <v>6606</v>
      </c>
      <c r="C2677" s="105" t="s">
        <v>20</v>
      </c>
      <c r="D2677" s="105">
        <v>0</v>
      </c>
      <c r="E2677" s="124" t="s">
        <v>523</v>
      </c>
      <c r="F2677" s="125" t="str">
        <f t="shared" si="135"/>
        <v/>
      </c>
      <c r="G2677" s="126" t="e">
        <f>IF(A2677&lt;&gt;"",IF(AND(#REF!="Padrão",$H$4=#REF!),BDI!$B$17,IF(AND(#REF!="Padrão",$H$4=#REF!),BDI!#REF!,IF(AND(#REF!="Diferenciado",$H$4=#REF!),BDI!$E$17,IF(AND(#REF!="Diferenciado",$H$4=#REF!),BDI!#REF!,IF(#REF!="ZERO",0))))),"")</f>
        <v>#REF!</v>
      </c>
      <c r="H2677" s="127" t="str">
        <f t="shared" si="136"/>
        <v/>
      </c>
      <c r="I2677" s="125" t="str">
        <f t="shared" si="137"/>
        <v/>
      </c>
    </row>
    <row r="2678" spans="1:9" hidden="1" x14ac:dyDescent="0.25">
      <c r="A2678" s="103" t="s">
        <v>6607</v>
      </c>
      <c r="B2678" s="104" t="s">
        <v>6608</v>
      </c>
      <c r="C2678" s="105" t="s">
        <v>20</v>
      </c>
      <c r="D2678" s="105">
        <v>0</v>
      </c>
      <c r="E2678" s="124" t="s">
        <v>523</v>
      </c>
      <c r="F2678" s="125" t="str">
        <f t="shared" si="135"/>
        <v/>
      </c>
      <c r="G2678" s="126" t="e">
        <f>IF(A2678&lt;&gt;"",IF(AND(#REF!="Padrão",$H$4=#REF!),BDI!$B$17,IF(AND(#REF!="Padrão",$H$4=#REF!),BDI!#REF!,IF(AND(#REF!="Diferenciado",$H$4=#REF!),BDI!$E$17,IF(AND(#REF!="Diferenciado",$H$4=#REF!),BDI!#REF!,IF(#REF!="ZERO",0))))),"")</f>
        <v>#REF!</v>
      </c>
      <c r="H2678" s="127" t="str">
        <f t="shared" si="136"/>
        <v/>
      </c>
      <c r="I2678" s="125" t="str">
        <f t="shared" si="137"/>
        <v/>
      </c>
    </row>
    <row r="2679" spans="1:9" hidden="1" x14ac:dyDescent="0.25">
      <c r="A2679" s="103" t="s">
        <v>6609</v>
      </c>
      <c r="B2679" s="104" t="s">
        <v>6610</v>
      </c>
      <c r="C2679" s="105" t="s">
        <v>20</v>
      </c>
      <c r="D2679" s="105">
        <v>0</v>
      </c>
      <c r="E2679" s="124" t="s">
        <v>523</v>
      </c>
      <c r="F2679" s="125" t="str">
        <f t="shared" si="135"/>
        <v/>
      </c>
      <c r="G2679" s="126" t="e">
        <f>IF(A2679&lt;&gt;"",IF(AND(#REF!="Padrão",$H$4=#REF!),BDI!$B$17,IF(AND(#REF!="Padrão",$H$4=#REF!),BDI!#REF!,IF(AND(#REF!="Diferenciado",$H$4=#REF!),BDI!$E$17,IF(AND(#REF!="Diferenciado",$H$4=#REF!),BDI!#REF!,IF(#REF!="ZERO",0))))),"")</f>
        <v>#REF!</v>
      </c>
      <c r="H2679" s="127" t="str">
        <f t="shared" si="136"/>
        <v/>
      </c>
      <c r="I2679" s="125" t="str">
        <f t="shared" si="137"/>
        <v/>
      </c>
    </row>
    <row r="2680" spans="1:9" hidden="1" x14ac:dyDescent="0.25">
      <c r="A2680" s="103" t="s">
        <v>6611</v>
      </c>
      <c r="B2680" s="104" t="s">
        <v>6612</v>
      </c>
      <c r="C2680" s="105" t="s">
        <v>20</v>
      </c>
      <c r="D2680" s="105">
        <v>0</v>
      </c>
      <c r="E2680" s="124" t="s">
        <v>523</v>
      </c>
      <c r="F2680" s="125" t="str">
        <f t="shared" si="135"/>
        <v/>
      </c>
      <c r="G2680" s="126" t="e">
        <f>IF(A2680&lt;&gt;"",IF(AND(#REF!="Padrão",$H$4=#REF!),BDI!$B$17,IF(AND(#REF!="Padrão",$H$4=#REF!),BDI!#REF!,IF(AND(#REF!="Diferenciado",$H$4=#REF!),BDI!$E$17,IF(AND(#REF!="Diferenciado",$H$4=#REF!),BDI!#REF!,IF(#REF!="ZERO",0))))),"")</f>
        <v>#REF!</v>
      </c>
      <c r="H2680" s="127" t="str">
        <f t="shared" si="136"/>
        <v/>
      </c>
      <c r="I2680" s="125" t="str">
        <f t="shared" si="137"/>
        <v/>
      </c>
    </row>
    <row r="2681" spans="1:9" hidden="1" x14ac:dyDescent="0.25">
      <c r="A2681" s="103" t="s">
        <v>6613</v>
      </c>
      <c r="B2681" s="104" t="s">
        <v>6614</v>
      </c>
      <c r="C2681" s="105" t="s">
        <v>20</v>
      </c>
      <c r="D2681" s="105">
        <v>0</v>
      </c>
      <c r="E2681" s="124" t="s">
        <v>523</v>
      </c>
      <c r="F2681" s="125" t="str">
        <f t="shared" si="135"/>
        <v/>
      </c>
      <c r="G2681" s="126" t="e">
        <f>IF(A2681&lt;&gt;"",IF(AND(#REF!="Padrão",$H$4=#REF!),BDI!$B$17,IF(AND(#REF!="Padrão",$H$4=#REF!),BDI!#REF!,IF(AND(#REF!="Diferenciado",$H$4=#REF!),BDI!$E$17,IF(AND(#REF!="Diferenciado",$H$4=#REF!),BDI!#REF!,IF(#REF!="ZERO",0))))),"")</f>
        <v>#REF!</v>
      </c>
      <c r="H2681" s="127" t="str">
        <f t="shared" si="136"/>
        <v/>
      </c>
      <c r="I2681" s="125" t="str">
        <f t="shared" si="137"/>
        <v/>
      </c>
    </row>
    <row r="2682" spans="1:9" hidden="1" x14ac:dyDescent="0.25">
      <c r="A2682" s="103" t="s">
        <v>6670</v>
      </c>
      <c r="B2682" s="104" t="s">
        <v>6684</v>
      </c>
      <c r="C2682" s="105" t="s">
        <v>20</v>
      </c>
      <c r="D2682" s="105">
        <v>0</v>
      </c>
      <c r="E2682" s="124" t="s">
        <v>523</v>
      </c>
      <c r="F2682" s="125" t="str">
        <f t="shared" ref="F2682:F2695" si="138">IF(ISNUMBER(E2682),D2682*E2682,"")</f>
        <v/>
      </c>
      <c r="G2682" s="126" t="e">
        <f>IF(A2682&lt;&gt;"",IF(AND(#REF!="Padrão",$H$4=#REF!),BDI!$B$17,IF(AND(#REF!="Padrão",$H$4=#REF!),BDI!#REF!,IF(AND(#REF!="Diferenciado",$H$4=#REF!),BDI!$E$17,IF(AND(#REF!="Diferenciado",$H$4=#REF!),BDI!#REF!,IF(#REF!="ZERO",0))))),"")</f>
        <v>#REF!</v>
      </c>
      <c r="H2682" s="127" t="str">
        <f t="shared" ref="H2682:H2695" si="139">IF(ISNUMBER(E2682),ROUND(E2682*(1+G2682),2),"")</f>
        <v/>
      </c>
      <c r="I2682" s="125" t="str">
        <f t="shared" ref="I2682:I2695" si="140">IF(ISNUMBER(E2682),ROUND(H2682*D2682,2),"")</f>
        <v/>
      </c>
    </row>
    <row r="2683" spans="1:9" hidden="1" x14ac:dyDescent="0.25">
      <c r="A2683" s="103" t="s">
        <v>6671</v>
      </c>
      <c r="B2683" s="104" t="s">
        <v>6685</v>
      </c>
      <c r="C2683" s="105" t="s">
        <v>93</v>
      </c>
      <c r="D2683" s="105">
        <v>0</v>
      </c>
      <c r="E2683" s="124">
        <f ca="1">OFFSET(INDEX(Composições!A:J,MATCH(Orçamentária!A2683,Composições!A:A,0),8),2,0)</f>
        <v>172.20812449999997</v>
      </c>
      <c r="F2683" s="125">
        <f t="shared" ca="1" si="138"/>
        <v>0</v>
      </c>
      <c r="G2683" s="126" t="e">
        <f>IF(A2683&lt;&gt;"",IF(AND(#REF!="Padrão",$H$4=#REF!),BDI!$B$17,IF(AND(#REF!="Padrão",$H$4=#REF!),BDI!#REF!,IF(AND(#REF!="Diferenciado",$H$4=#REF!),BDI!$E$17,IF(AND(#REF!="Diferenciado",$H$4=#REF!),BDI!#REF!,IF(#REF!="ZERO",0))))),"")</f>
        <v>#REF!</v>
      </c>
      <c r="H2683" s="127" t="e">
        <f t="shared" ca="1" si="139"/>
        <v>#REF!</v>
      </c>
      <c r="I2683" s="125" t="e">
        <f t="shared" ca="1" si="140"/>
        <v>#REF!</v>
      </c>
    </row>
    <row r="2684" spans="1:9" hidden="1" x14ac:dyDescent="0.25">
      <c r="A2684" s="103" t="s">
        <v>6672</v>
      </c>
      <c r="B2684" s="104" t="s">
        <v>6686</v>
      </c>
      <c r="C2684" s="105" t="s">
        <v>20</v>
      </c>
      <c r="D2684" s="105">
        <v>0</v>
      </c>
      <c r="E2684" s="124">
        <f ca="1">OFFSET(INDEX(Composições!A:J,MATCH(Orçamentária!A2684,Composições!A:A,0),8),2,0)</f>
        <v>72.902999999999992</v>
      </c>
      <c r="F2684" s="125">
        <f t="shared" ca="1" si="138"/>
        <v>0</v>
      </c>
      <c r="G2684" s="126" t="e">
        <f>IF(A2684&lt;&gt;"",IF(AND(#REF!="Padrão",$H$4=#REF!),BDI!$B$17,IF(AND(#REF!="Padrão",$H$4=#REF!),BDI!#REF!,IF(AND(#REF!="Diferenciado",$H$4=#REF!),BDI!$E$17,IF(AND(#REF!="Diferenciado",$H$4=#REF!),BDI!#REF!,IF(#REF!="ZERO",0))))),"")</f>
        <v>#REF!</v>
      </c>
      <c r="H2684" s="127" t="e">
        <f t="shared" ca="1" si="139"/>
        <v>#REF!</v>
      </c>
      <c r="I2684" s="125" t="e">
        <f t="shared" ca="1" si="140"/>
        <v>#REF!</v>
      </c>
    </row>
    <row r="2685" spans="1:9" hidden="1" x14ac:dyDescent="0.25">
      <c r="A2685" s="103" t="s">
        <v>6673</v>
      </c>
      <c r="B2685" s="104" t="s">
        <v>6687</v>
      </c>
      <c r="C2685" s="105" t="s">
        <v>20</v>
      </c>
      <c r="D2685" s="105">
        <v>0</v>
      </c>
      <c r="E2685" s="124">
        <f ca="1">OFFSET(INDEX(Composições!A:J,MATCH(Orçamentária!A2685,Composições!A:A,0),8),2,0)</f>
        <v>225.6592</v>
      </c>
      <c r="F2685" s="125">
        <f t="shared" ca="1" si="138"/>
        <v>0</v>
      </c>
      <c r="G2685" s="126" t="e">
        <f>IF(A2685&lt;&gt;"",IF(AND(#REF!="Padrão",$H$4=#REF!),BDI!$B$17,IF(AND(#REF!="Padrão",$H$4=#REF!),BDI!#REF!,IF(AND(#REF!="Diferenciado",$H$4=#REF!),BDI!$E$17,IF(AND(#REF!="Diferenciado",$H$4=#REF!),BDI!#REF!,IF(#REF!="ZERO",0))))),"")</f>
        <v>#REF!</v>
      </c>
      <c r="H2685" s="127" t="e">
        <f t="shared" ca="1" si="139"/>
        <v>#REF!</v>
      </c>
      <c r="I2685" s="125" t="e">
        <f t="shared" ca="1" si="140"/>
        <v>#REF!</v>
      </c>
    </row>
    <row r="2686" spans="1:9" hidden="1" x14ac:dyDescent="0.25">
      <c r="A2686" s="103" t="s">
        <v>6674</v>
      </c>
      <c r="B2686" s="104" t="s">
        <v>6688</v>
      </c>
      <c r="C2686" s="105" t="s">
        <v>20</v>
      </c>
      <c r="D2686" s="105">
        <v>0</v>
      </c>
      <c r="E2686" s="124">
        <f ca="1">OFFSET(INDEX(Composições!A:J,MATCH(Orçamentária!A2686,Composições!A:A,0),8),2,0)</f>
        <v>16.57845</v>
      </c>
      <c r="F2686" s="125">
        <f t="shared" ca="1" si="138"/>
        <v>0</v>
      </c>
      <c r="G2686" s="126" t="e">
        <f>IF(A2686&lt;&gt;"",IF(AND(#REF!="Padrão",$H$4=#REF!),BDI!$B$17,IF(AND(#REF!="Padrão",$H$4=#REF!),BDI!#REF!,IF(AND(#REF!="Diferenciado",$H$4=#REF!),BDI!$E$17,IF(AND(#REF!="Diferenciado",$H$4=#REF!),BDI!#REF!,IF(#REF!="ZERO",0))))),"")</f>
        <v>#REF!</v>
      </c>
      <c r="H2686" s="127" t="e">
        <f t="shared" ca="1" si="139"/>
        <v>#REF!</v>
      </c>
      <c r="I2686" s="125" t="e">
        <f t="shared" ca="1" si="140"/>
        <v>#REF!</v>
      </c>
    </row>
    <row r="2687" spans="1:9" hidden="1" x14ac:dyDescent="0.25">
      <c r="A2687" s="103" t="s">
        <v>6675</v>
      </c>
      <c r="B2687" s="104" t="s">
        <v>6689</v>
      </c>
      <c r="C2687" s="105" t="s">
        <v>20</v>
      </c>
      <c r="D2687" s="105">
        <v>0</v>
      </c>
      <c r="E2687" s="124">
        <f ca="1">OFFSET(INDEX(Composições!A:J,MATCH(Orçamentária!A2687,Composições!A:A,0),8),2,0)</f>
        <v>24.867675000000002</v>
      </c>
      <c r="F2687" s="125">
        <f t="shared" ca="1" si="138"/>
        <v>0</v>
      </c>
      <c r="G2687" s="126" t="e">
        <f>IF(A2687&lt;&gt;"",IF(AND(#REF!="Padrão",$H$4=#REF!),BDI!$B$17,IF(AND(#REF!="Padrão",$H$4=#REF!),BDI!#REF!,IF(AND(#REF!="Diferenciado",$H$4=#REF!),BDI!$E$17,IF(AND(#REF!="Diferenciado",$H$4=#REF!),BDI!#REF!,IF(#REF!="ZERO",0))))),"")</f>
        <v>#REF!</v>
      </c>
      <c r="H2687" s="127" t="e">
        <f t="shared" ca="1" si="139"/>
        <v>#REF!</v>
      </c>
      <c r="I2687" s="125" t="e">
        <f t="shared" ca="1" si="140"/>
        <v>#REF!</v>
      </c>
    </row>
    <row r="2688" spans="1:9" hidden="1" x14ac:dyDescent="0.25">
      <c r="A2688" s="103" t="s">
        <v>6676</v>
      </c>
      <c r="B2688" s="104" t="s">
        <v>6690</v>
      </c>
      <c r="C2688" s="105" t="s">
        <v>93</v>
      </c>
      <c r="D2688" s="105">
        <v>0</v>
      </c>
      <c r="E2688" s="124" t="s">
        <v>523</v>
      </c>
      <c r="F2688" s="125" t="str">
        <f t="shared" si="138"/>
        <v/>
      </c>
      <c r="G2688" s="126" t="e">
        <f>IF(A2688&lt;&gt;"",IF(AND(#REF!="Padrão",$H$4=#REF!),BDI!$B$17,IF(AND(#REF!="Padrão",$H$4=#REF!),BDI!#REF!,IF(AND(#REF!="Diferenciado",$H$4=#REF!),BDI!$E$17,IF(AND(#REF!="Diferenciado",$H$4=#REF!),BDI!#REF!,IF(#REF!="ZERO",0))))),"")</f>
        <v>#REF!</v>
      </c>
      <c r="H2688" s="127" t="str">
        <f t="shared" si="139"/>
        <v/>
      </c>
      <c r="I2688" s="125" t="str">
        <f t="shared" si="140"/>
        <v/>
      </c>
    </row>
    <row r="2689" spans="1:9" hidden="1" x14ac:dyDescent="0.25">
      <c r="A2689" s="103" t="s">
        <v>6677</v>
      </c>
      <c r="B2689" s="104" t="s">
        <v>6691</v>
      </c>
      <c r="C2689" s="105" t="s">
        <v>93</v>
      </c>
      <c r="D2689" s="105">
        <v>0</v>
      </c>
      <c r="E2689" s="124" t="s">
        <v>523</v>
      </c>
      <c r="F2689" s="125" t="str">
        <f t="shared" si="138"/>
        <v/>
      </c>
      <c r="G2689" s="126" t="e">
        <f>IF(A2689&lt;&gt;"",IF(AND(#REF!="Padrão",$H$4=#REF!),BDI!$B$17,IF(AND(#REF!="Padrão",$H$4=#REF!),BDI!#REF!,IF(AND(#REF!="Diferenciado",$H$4=#REF!),BDI!$E$17,IF(AND(#REF!="Diferenciado",$H$4=#REF!),BDI!#REF!,IF(#REF!="ZERO",0))))),"")</f>
        <v>#REF!</v>
      </c>
      <c r="H2689" s="127" t="str">
        <f t="shared" si="139"/>
        <v/>
      </c>
      <c r="I2689" s="125" t="str">
        <f t="shared" si="140"/>
        <v/>
      </c>
    </row>
    <row r="2690" spans="1:9" ht="25.5" hidden="1" x14ac:dyDescent="0.25">
      <c r="A2690" s="103" t="s">
        <v>6678</v>
      </c>
      <c r="B2690" s="104" t="s">
        <v>6692</v>
      </c>
      <c r="C2690" s="105" t="s">
        <v>20</v>
      </c>
      <c r="D2690" s="105">
        <v>0</v>
      </c>
      <c r="E2690" s="124" t="s">
        <v>523</v>
      </c>
      <c r="F2690" s="125" t="str">
        <f t="shared" si="138"/>
        <v/>
      </c>
      <c r="G2690" s="126" t="e">
        <f>IF(A2690&lt;&gt;"",IF(AND(#REF!="Padrão",$H$4=#REF!),BDI!$B$17,IF(AND(#REF!="Padrão",$H$4=#REF!),BDI!#REF!,IF(AND(#REF!="Diferenciado",$H$4=#REF!),BDI!$E$17,IF(AND(#REF!="Diferenciado",$H$4=#REF!),BDI!#REF!,IF(#REF!="ZERO",0))))),"")</f>
        <v>#REF!</v>
      </c>
      <c r="H2690" s="127" t="str">
        <f t="shared" si="139"/>
        <v/>
      </c>
      <c r="I2690" s="125" t="str">
        <f t="shared" si="140"/>
        <v/>
      </c>
    </row>
    <row r="2691" spans="1:9" hidden="1" x14ac:dyDescent="0.25">
      <c r="A2691" s="103" t="s">
        <v>6679</v>
      </c>
      <c r="B2691" s="104" t="s">
        <v>6693</v>
      </c>
      <c r="C2691" s="105" t="s">
        <v>20</v>
      </c>
      <c r="D2691" s="105">
        <v>0</v>
      </c>
      <c r="E2691" s="124" t="s">
        <v>523</v>
      </c>
      <c r="F2691" s="125" t="str">
        <f t="shared" si="138"/>
        <v/>
      </c>
      <c r="G2691" s="126" t="e">
        <f>IF(A2691&lt;&gt;"",IF(AND(#REF!="Padrão",$H$4=#REF!),BDI!$B$17,IF(AND(#REF!="Padrão",$H$4=#REF!),BDI!#REF!,IF(AND(#REF!="Diferenciado",$H$4=#REF!),BDI!$E$17,IF(AND(#REF!="Diferenciado",$H$4=#REF!),BDI!#REF!,IF(#REF!="ZERO",0))))),"")</f>
        <v>#REF!</v>
      </c>
      <c r="H2691" s="127" t="str">
        <f t="shared" si="139"/>
        <v/>
      </c>
      <c r="I2691" s="125" t="str">
        <f t="shared" si="140"/>
        <v/>
      </c>
    </row>
    <row r="2692" spans="1:9" hidden="1" x14ac:dyDescent="0.25">
      <c r="A2692" s="103" t="s">
        <v>6680</v>
      </c>
      <c r="B2692" s="104" t="s">
        <v>6694</v>
      </c>
      <c r="C2692" s="105" t="s">
        <v>20</v>
      </c>
      <c r="D2692" s="105">
        <v>0</v>
      </c>
      <c r="E2692" s="124" t="s">
        <v>523</v>
      </c>
      <c r="F2692" s="125" t="str">
        <f t="shared" si="138"/>
        <v/>
      </c>
      <c r="G2692" s="126" t="e">
        <f>IF(A2692&lt;&gt;"",IF(AND(#REF!="Padrão",$H$4=#REF!),BDI!$B$17,IF(AND(#REF!="Padrão",$H$4=#REF!),BDI!#REF!,IF(AND(#REF!="Diferenciado",$H$4=#REF!),BDI!$E$17,IF(AND(#REF!="Diferenciado",$H$4=#REF!),BDI!#REF!,IF(#REF!="ZERO",0))))),"")</f>
        <v>#REF!</v>
      </c>
      <c r="H2692" s="127" t="str">
        <f t="shared" si="139"/>
        <v/>
      </c>
      <c r="I2692" s="125" t="str">
        <f t="shared" si="140"/>
        <v/>
      </c>
    </row>
    <row r="2693" spans="1:9" hidden="1" x14ac:dyDescent="0.25">
      <c r="A2693" s="103" t="s">
        <v>6681</v>
      </c>
      <c r="B2693" s="104" t="s">
        <v>6695</v>
      </c>
      <c r="C2693" s="105" t="s">
        <v>20</v>
      </c>
      <c r="D2693" s="105">
        <v>0</v>
      </c>
      <c r="E2693" s="124" t="s">
        <v>523</v>
      </c>
      <c r="F2693" s="125" t="str">
        <f t="shared" si="138"/>
        <v/>
      </c>
      <c r="G2693" s="126" t="e">
        <f>IF(A2693&lt;&gt;"",IF(AND(#REF!="Padrão",$H$4=#REF!),BDI!$B$17,IF(AND(#REF!="Padrão",$H$4=#REF!),BDI!#REF!,IF(AND(#REF!="Diferenciado",$H$4=#REF!),BDI!$E$17,IF(AND(#REF!="Diferenciado",$H$4=#REF!),BDI!#REF!,IF(#REF!="ZERO",0))))),"")</f>
        <v>#REF!</v>
      </c>
      <c r="H2693" s="127" t="str">
        <f t="shared" si="139"/>
        <v/>
      </c>
      <c r="I2693" s="125" t="str">
        <f t="shared" si="140"/>
        <v/>
      </c>
    </row>
    <row r="2694" spans="1:9" hidden="1" x14ac:dyDescent="0.25">
      <c r="A2694" s="103" t="s">
        <v>6682</v>
      </c>
      <c r="B2694" s="104" t="s">
        <v>6696</v>
      </c>
      <c r="C2694" s="105" t="s">
        <v>95</v>
      </c>
      <c r="D2694" s="105">
        <v>0</v>
      </c>
      <c r="E2694" s="124">
        <f ca="1">OFFSET(INDEX(Composições!A:J,MATCH(Orçamentária!A2694,Composições!A:A,0),8),2,0)</f>
        <v>18.818549999999998</v>
      </c>
      <c r="F2694" s="125">
        <f t="shared" ca="1" si="138"/>
        <v>0</v>
      </c>
      <c r="G2694" s="126" t="e">
        <f>IF(A2694&lt;&gt;"",IF(AND(#REF!="Padrão",$H$4=#REF!),BDI!$B$17,IF(AND(#REF!="Padrão",$H$4=#REF!),BDI!#REF!,IF(AND(#REF!="Diferenciado",$H$4=#REF!),BDI!$E$17,IF(AND(#REF!="Diferenciado",$H$4=#REF!),BDI!#REF!,IF(#REF!="ZERO",0))))),"")</f>
        <v>#REF!</v>
      </c>
      <c r="H2694" s="127" t="e">
        <f t="shared" ca="1" si="139"/>
        <v>#REF!</v>
      </c>
      <c r="I2694" s="125" t="e">
        <f t="shared" ca="1" si="140"/>
        <v>#REF!</v>
      </c>
    </row>
    <row r="2695" spans="1:9" hidden="1" x14ac:dyDescent="0.25">
      <c r="A2695" s="103" t="s">
        <v>6683</v>
      </c>
      <c r="B2695" s="104" t="s">
        <v>6697</v>
      </c>
      <c r="C2695" s="105" t="s">
        <v>95</v>
      </c>
      <c r="D2695" s="105">
        <v>0</v>
      </c>
      <c r="E2695" s="124">
        <f ca="1">OFFSET(INDEX(Composições!A:J,MATCH(Orçamentária!A2695,Composições!A:A,0),8),2,0)</f>
        <v>2.99473155</v>
      </c>
      <c r="F2695" s="125">
        <f t="shared" ca="1" si="138"/>
        <v>0</v>
      </c>
      <c r="G2695" s="126" t="e">
        <f>IF(A2695&lt;&gt;"",IF(AND(#REF!="Padrão",$H$4=#REF!),BDI!$B$17,IF(AND(#REF!="Padrão",$H$4=#REF!),BDI!#REF!,IF(AND(#REF!="Diferenciado",$H$4=#REF!),BDI!$E$17,IF(AND(#REF!="Diferenciado",$H$4=#REF!),BDI!#REF!,IF(#REF!="ZERO",0))))),"")</f>
        <v>#REF!</v>
      </c>
      <c r="H2695" s="127" t="e">
        <f t="shared" ca="1" si="139"/>
        <v>#REF!</v>
      </c>
      <c r="I2695" s="125" t="e">
        <f t="shared" ca="1" si="140"/>
        <v>#REF!</v>
      </c>
    </row>
    <row r="2696" spans="1:9" s="184" customFormat="1" x14ac:dyDescent="0.25">
      <c r="A2696" s="185" t="s">
        <v>6725</v>
      </c>
      <c r="B2696" s="186" t="s">
        <v>7769</v>
      </c>
      <c r="C2696" s="187" t="s">
        <v>95</v>
      </c>
      <c r="D2696" s="187">
        <v>1040.2</v>
      </c>
      <c r="E2696" s="124">
        <f ca="1">OFFSET(INDEX(Composições!A:J,MATCH(Orçamentária!A2696,Composições!A:A,0),8),2,0)</f>
        <v>20.059249999999999</v>
      </c>
      <c r="F2696" s="125">
        <f t="shared" ref="F2696:F2707" ca="1" si="141">IF(ISNUMBER(E2696),D2696*E2696,"")</f>
        <v>20865.631849999998</v>
      </c>
      <c r="G2696" s="126">
        <f>BDI!$B$17</f>
        <v>0.191</v>
      </c>
      <c r="H2696" s="127">
        <f t="shared" ref="H2696:H2707" ca="1" si="142">IF(ISNUMBER(E2696),ROUND(E2696*(1+G2696),2),"")</f>
        <v>23.89</v>
      </c>
      <c r="I2696" s="204">
        <f t="shared" ref="I2696:I2707" ca="1" si="143">IF(ISNUMBER(E2696),ROUND(H2696*D2696,2),"")</f>
        <v>24850.38</v>
      </c>
    </row>
    <row r="2697" spans="1:9" s="184" customFormat="1" x14ac:dyDescent="0.25">
      <c r="A2697" s="185" t="s">
        <v>6726</v>
      </c>
      <c r="B2697" s="186" t="s">
        <v>3989</v>
      </c>
      <c r="C2697" s="187" t="s">
        <v>20</v>
      </c>
      <c r="D2697" s="187">
        <v>326</v>
      </c>
      <c r="E2697" s="124">
        <f ca="1">OFFSET(INDEX(Composições!A:J,MATCH(Orçamentária!A2697,Composições!A:A,0),8),2,0)</f>
        <v>53.666440499999993</v>
      </c>
      <c r="F2697" s="125">
        <f t="shared" ca="1" si="141"/>
        <v>17495.259602999999</v>
      </c>
      <c r="G2697" s="126">
        <f>BDI!$B$17</f>
        <v>0.191</v>
      </c>
      <c r="H2697" s="127">
        <f t="shared" ca="1" si="142"/>
        <v>63.92</v>
      </c>
      <c r="I2697" s="204">
        <f t="shared" ca="1" si="143"/>
        <v>20837.919999999998</v>
      </c>
    </row>
    <row r="2698" spans="1:9" ht="25.5" hidden="1" x14ac:dyDescent="0.25">
      <c r="A2698" s="103" t="s">
        <v>6727</v>
      </c>
      <c r="B2698" s="104" t="s">
        <v>6738</v>
      </c>
      <c r="C2698" s="105" t="s">
        <v>20</v>
      </c>
      <c r="D2698" s="105">
        <v>0</v>
      </c>
      <c r="E2698" s="124" t="s">
        <v>523</v>
      </c>
      <c r="F2698" s="125" t="str">
        <f t="shared" si="141"/>
        <v/>
      </c>
      <c r="G2698" s="126" t="e">
        <f>IF(A2698&lt;&gt;"",IF(AND(#REF!="Padrão",$H$4=#REF!),BDI!$B$17,IF(AND(#REF!="Padrão",$H$4=#REF!),BDI!#REF!,IF(AND(#REF!="Diferenciado",$H$4=#REF!),BDI!$E$17,IF(AND(#REF!="Diferenciado",$H$4=#REF!),BDI!#REF!,IF(#REF!="ZERO",0))))),"")</f>
        <v>#REF!</v>
      </c>
      <c r="H2698" s="127" t="str">
        <f t="shared" si="142"/>
        <v/>
      </c>
      <c r="I2698" s="125" t="str">
        <f t="shared" si="143"/>
        <v/>
      </c>
    </row>
    <row r="2699" spans="1:9" hidden="1" x14ac:dyDescent="0.25">
      <c r="A2699" s="103" t="s">
        <v>6728</v>
      </c>
      <c r="B2699" s="104" t="s">
        <v>6739</v>
      </c>
      <c r="C2699" s="105" t="s">
        <v>20</v>
      </c>
      <c r="D2699" s="105">
        <v>0</v>
      </c>
      <c r="E2699" s="124" t="s">
        <v>523</v>
      </c>
      <c r="F2699" s="125" t="str">
        <f t="shared" si="141"/>
        <v/>
      </c>
      <c r="G2699" s="126" t="e">
        <f>IF(A2699&lt;&gt;"",IF(AND(#REF!="Padrão",$H$4=#REF!),BDI!$B$17,IF(AND(#REF!="Padrão",$H$4=#REF!),BDI!#REF!,IF(AND(#REF!="Diferenciado",$H$4=#REF!),BDI!$E$17,IF(AND(#REF!="Diferenciado",$H$4=#REF!),BDI!#REF!,IF(#REF!="ZERO",0))))),"")</f>
        <v>#REF!</v>
      </c>
      <c r="H2699" s="127" t="str">
        <f t="shared" si="142"/>
        <v/>
      </c>
      <c r="I2699" s="125" t="str">
        <f t="shared" si="143"/>
        <v/>
      </c>
    </row>
    <row r="2700" spans="1:9" hidden="1" x14ac:dyDescent="0.25">
      <c r="A2700" s="103" t="s">
        <v>6729</v>
      </c>
      <c r="B2700" s="104" t="s">
        <v>6740</v>
      </c>
      <c r="C2700" s="105" t="s">
        <v>20</v>
      </c>
      <c r="D2700" s="105">
        <v>0</v>
      </c>
      <c r="E2700" s="124" t="s">
        <v>523</v>
      </c>
      <c r="F2700" s="125" t="str">
        <f t="shared" si="141"/>
        <v/>
      </c>
      <c r="G2700" s="126" t="e">
        <f>IF(A2700&lt;&gt;"",IF(AND(#REF!="Padrão",$H$4=#REF!),BDI!$B$17,IF(AND(#REF!="Padrão",$H$4=#REF!),BDI!#REF!,IF(AND(#REF!="Diferenciado",$H$4=#REF!),BDI!$E$17,IF(AND(#REF!="Diferenciado",$H$4=#REF!),BDI!#REF!,IF(#REF!="ZERO",0))))),"")</f>
        <v>#REF!</v>
      </c>
      <c r="H2700" s="127" t="str">
        <f t="shared" si="142"/>
        <v/>
      </c>
      <c r="I2700" s="125" t="str">
        <f t="shared" si="143"/>
        <v/>
      </c>
    </row>
    <row r="2701" spans="1:9" ht="25.5" hidden="1" x14ac:dyDescent="0.25">
      <c r="A2701" s="103" t="s">
        <v>6730</v>
      </c>
      <c r="B2701" s="104" t="s">
        <v>6741</v>
      </c>
      <c r="C2701" s="105" t="s">
        <v>5021</v>
      </c>
      <c r="D2701" s="105">
        <v>0</v>
      </c>
      <c r="E2701" s="124" t="s">
        <v>523</v>
      </c>
      <c r="F2701" s="125" t="str">
        <f t="shared" si="141"/>
        <v/>
      </c>
      <c r="G2701" s="126" t="e">
        <f>IF(A2701&lt;&gt;"",IF(AND(#REF!="Padrão",$H$4=#REF!),BDI!$B$17,IF(AND(#REF!="Padrão",$H$4=#REF!),BDI!#REF!,IF(AND(#REF!="Diferenciado",$H$4=#REF!),BDI!$E$17,IF(AND(#REF!="Diferenciado",$H$4=#REF!),BDI!#REF!,IF(#REF!="ZERO",0))))),"")</f>
        <v>#REF!</v>
      </c>
      <c r="H2701" s="127" t="str">
        <f t="shared" si="142"/>
        <v/>
      </c>
      <c r="I2701" s="125" t="str">
        <f t="shared" si="143"/>
        <v/>
      </c>
    </row>
    <row r="2702" spans="1:9" ht="25.5" hidden="1" x14ac:dyDescent="0.25">
      <c r="A2702" s="103" t="s">
        <v>6731</v>
      </c>
      <c r="B2702" s="104" t="s">
        <v>6742</v>
      </c>
      <c r="C2702" s="105" t="s">
        <v>20</v>
      </c>
      <c r="D2702" s="105">
        <v>0</v>
      </c>
      <c r="E2702" s="124" t="s">
        <v>523</v>
      </c>
      <c r="F2702" s="125" t="str">
        <f t="shared" si="141"/>
        <v/>
      </c>
      <c r="G2702" s="126" t="e">
        <f>IF(A2702&lt;&gt;"",IF(AND(#REF!="Padrão",$H$4=#REF!),BDI!$B$17,IF(AND(#REF!="Padrão",$H$4=#REF!),BDI!#REF!,IF(AND(#REF!="Diferenciado",$H$4=#REF!),BDI!$E$17,IF(AND(#REF!="Diferenciado",$H$4=#REF!),BDI!#REF!,IF(#REF!="ZERO",0))))),"")</f>
        <v>#REF!</v>
      </c>
      <c r="H2702" s="127" t="str">
        <f t="shared" si="142"/>
        <v/>
      </c>
      <c r="I2702" s="125" t="str">
        <f t="shared" si="143"/>
        <v/>
      </c>
    </row>
    <row r="2703" spans="1:9" hidden="1" x14ac:dyDescent="0.25">
      <c r="A2703" s="103" t="s">
        <v>6732</v>
      </c>
      <c r="B2703" s="104" t="s">
        <v>6743</v>
      </c>
      <c r="C2703" s="105" t="s">
        <v>95</v>
      </c>
      <c r="D2703" s="105">
        <v>0</v>
      </c>
      <c r="E2703" s="124" t="s">
        <v>523</v>
      </c>
      <c r="F2703" s="125" t="str">
        <f t="shared" si="141"/>
        <v/>
      </c>
      <c r="G2703" s="126" t="e">
        <f>IF(A2703&lt;&gt;"",IF(AND(#REF!="Padrão",$H$4=#REF!),BDI!$B$17,IF(AND(#REF!="Padrão",$H$4=#REF!),BDI!#REF!,IF(AND(#REF!="Diferenciado",$H$4=#REF!),BDI!$E$17,IF(AND(#REF!="Diferenciado",$H$4=#REF!),BDI!#REF!,IF(#REF!="ZERO",0))))),"")</f>
        <v>#REF!</v>
      </c>
      <c r="H2703" s="127" t="str">
        <f t="shared" si="142"/>
        <v/>
      </c>
      <c r="I2703" s="125" t="str">
        <f t="shared" si="143"/>
        <v/>
      </c>
    </row>
    <row r="2704" spans="1:9" hidden="1" x14ac:dyDescent="0.25">
      <c r="A2704" s="103" t="s">
        <v>6733</v>
      </c>
      <c r="B2704" s="104" t="s">
        <v>6744</v>
      </c>
      <c r="C2704" s="105" t="s">
        <v>95</v>
      </c>
      <c r="D2704" s="105">
        <v>0</v>
      </c>
      <c r="E2704" s="124" t="s">
        <v>523</v>
      </c>
      <c r="F2704" s="125" t="str">
        <f t="shared" si="141"/>
        <v/>
      </c>
      <c r="G2704" s="126" t="e">
        <f>IF(A2704&lt;&gt;"",IF(AND(#REF!="Padrão",$H$4=#REF!),BDI!$B$17,IF(AND(#REF!="Padrão",$H$4=#REF!),BDI!#REF!,IF(AND(#REF!="Diferenciado",$H$4=#REF!),BDI!$E$17,IF(AND(#REF!="Diferenciado",$H$4=#REF!),BDI!#REF!,IF(#REF!="ZERO",0))))),"")</f>
        <v>#REF!</v>
      </c>
      <c r="H2704" s="127" t="str">
        <f t="shared" si="142"/>
        <v/>
      </c>
      <c r="I2704" s="125" t="str">
        <f t="shared" si="143"/>
        <v/>
      </c>
    </row>
    <row r="2705" spans="1:9" hidden="1" x14ac:dyDescent="0.25">
      <c r="A2705" s="103" t="s">
        <v>6734</v>
      </c>
      <c r="B2705" s="104" t="s">
        <v>6745</v>
      </c>
      <c r="C2705" s="105" t="s">
        <v>95</v>
      </c>
      <c r="D2705" s="105">
        <v>0</v>
      </c>
      <c r="E2705" s="124" t="s">
        <v>523</v>
      </c>
      <c r="F2705" s="125" t="str">
        <f t="shared" si="141"/>
        <v/>
      </c>
      <c r="G2705" s="126" t="e">
        <f>IF(A2705&lt;&gt;"",IF(AND(#REF!="Padrão",$H$4=#REF!),BDI!$B$17,IF(AND(#REF!="Padrão",$H$4=#REF!),BDI!#REF!,IF(AND(#REF!="Diferenciado",$H$4=#REF!),BDI!$E$17,IF(AND(#REF!="Diferenciado",$H$4=#REF!),BDI!#REF!,IF(#REF!="ZERO",0))))),"")</f>
        <v>#REF!</v>
      </c>
      <c r="H2705" s="127" t="str">
        <f t="shared" si="142"/>
        <v/>
      </c>
      <c r="I2705" s="125" t="str">
        <f t="shared" si="143"/>
        <v/>
      </c>
    </row>
    <row r="2706" spans="1:9" hidden="1" x14ac:dyDescent="0.25">
      <c r="A2706" s="103" t="s">
        <v>6735</v>
      </c>
      <c r="B2706" s="104" t="s">
        <v>6746</v>
      </c>
      <c r="C2706" s="105" t="s">
        <v>95</v>
      </c>
      <c r="D2706" s="105">
        <v>0</v>
      </c>
      <c r="E2706" s="124">
        <f ca="1">OFFSET(INDEX(Composições!A:J,MATCH(Orçamentária!A2706,Composições!A:A,0),8),2,0)</f>
        <v>13.48191645</v>
      </c>
      <c r="F2706" s="125">
        <f t="shared" ca="1" si="141"/>
        <v>0</v>
      </c>
      <c r="G2706" s="126" t="e">
        <f>IF(A2706&lt;&gt;"",IF(AND(#REF!="Padrão",$H$4=#REF!),BDI!$B$17,IF(AND(#REF!="Padrão",$H$4=#REF!),BDI!#REF!,IF(AND(#REF!="Diferenciado",$H$4=#REF!),BDI!$E$17,IF(AND(#REF!="Diferenciado",$H$4=#REF!),BDI!#REF!,IF(#REF!="ZERO",0))))),"")</f>
        <v>#REF!</v>
      </c>
      <c r="H2706" s="127" t="e">
        <f t="shared" ca="1" si="142"/>
        <v>#REF!</v>
      </c>
      <c r="I2706" s="125" t="e">
        <f t="shared" ca="1" si="143"/>
        <v>#REF!</v>
      </c>
    </row>
    <row r="2707" spans="1:9" hidden="1" x14ac:dyDescent="0.25">
      <c r="A2707" s="103" t="s">
        <v>6736</v>
      </c>
      <c r="B2707" s="104" t="s">
        <v>6747</v>
      </c>
      <c r="C2707" s="105" t="s">
        <v>95</v>
      </c>
      <c r="D2707" s="105">
        <v>0</v>
      </c>
      <c r="E2707" s="124">
        <f ca="1">OFFSET(INDEX(Composições!A:J,MATCH(Orçamentária!A2707,Composições!A:A,0),8),2,0)</f>
        <v>18.580691850000001</v>
      </c>
      <c r="F2707" s="125">
        <f t="shared" ca="1" si="141"/>
        <v>0</v>
      </c>
      <c r="G2707" s="126" t="e">
        <f>IF(A2707&lt;&gt;"",IF(AND(#REF!="Padrão",$H$4=#REF!),BDI!$B$17,IF(AND(#REF!="Padrão",$H$4=#REF!),BDI!#REF!,IF(AND(#REF!="Diferenciado",$H$4=#REF!),BDI!$E$17,IF(AND(#REF!="Diferenciado",$H$4=#REF!),BDI!#REF!,IF(#REF!="ZERO",0))))),"")</f>
        <v>#REF!</v>
      </c>
      <c r="H2707" s="127" t="e">
        <f t="shared" ca="1" si="142"/>
        <v>#REF!</v>
      </c>
      <c r="I2707" s="125" t="e">
        <f t="shared" ca="1" si="143"/>
        <v>#REF!</v>
      </c>
    </row>
    <row r="2708" spans="1:9" s="184" customFormat="1" x14ac:dyDescent="0.25">
      <c r="A2708" s="185" t="s">
        <v>6737</v>
      </c>
      <c r="B2708" s="186" t="s">
        <v>6811</v>
      </c>
      <c r="C2708" s="187" t="s">
        <v>20</v>
      </c>
      <c r="D2708" s="187">
        <v>59</v>
      </c>
      <c r="E2708" s="124">
        <f ca="1">OFFSET(INDEX(Composições!A:J,MATCH(Orçamentária!A2708,Composições!A:A,0),8),2,0)</f>
        <v>93.667463499999997</v>
      </c>
      <c r="F2708" s="125">
        <f t="shared" ref="F2708:F2710" ca="1" si="144">IF(ISNUMBER(E2708),D2708*E2708,"")</f>
        <v>5526.3803465000001</v>
      </c>
      <c r="G2708" s="126">
        <f>BDI!$B$17</f>
        <v>0.191</v>
      </c>
      <c r="H2708" s="127">
        <f t="shared" ref="H2708:H2710" ca="1" si="145">IF(ISNUMBER(E2708),ROUND(E2708*(1+G2708),2),"")</f>
        <v>111.56</v>
      </c>
      <c r="I2708" s="204">
        <f t="shared" ref="I2708:I2710" ca="1" si="146">IF(ISNUMBER(E2708),ROUND(H2708*D2708,2),"")</f>
        <v>6582.04</v>
      </c>
    </row>
    <row r="2709" spans="1:9" hidden="1" x14ac:dyDescent="0.25">
      <c r="A2709" s="103" t="s">
        <v>6748</v>
      </c>
      <c r="B2709" s="104" t="s">
        <v>6812</v>
      </c>
      <c r="C2709" s="105" t="s">
        <v>20</v>
      </c>
      <c r="D2709" s="105">
        <v>0</v>
      </c>
      <c r="E2709" s="124">
        <f ca="1">OFFSET(INDEX(Composições!A:J,MATCH(Orçamentária!A2709,Composições!A:A,0),8),2,0)</f>
        <v>193.60271349999999</v>
      </c>
      <c r="F2709" s="125">
        <f t="shared" ca="1" si="144"/>
        <v>0</v>
      </c>
      <c r="G2709" s="126" t="e">
        <f>IF(A2709&lt;&gt;"",IF(AND(#REF!="Padrão",$H$4=#REF!),BDI!$B$17,IF(AND(#REF!="Padrão",$H$4=#REF!),BDI!#REF!,IF(AND(#REF!="Diferenciado",$H$4=#REF!),BDI!$E$17,IF(AND(#REF!="Diferenciado",$H$4=#REF!),BDI!#REF!,IF(#REF!="ZERO",0))))),"")</f>
        <v>#REF!</v>
      </c>
      <c r="H2709" s="127" t="e">
        <f t="shared" ca="1" si="145"/>
        <v>#REF!</v>
      </c>
      <c r="I2709" s="125" t="e">
        <f t="shared" ca="1" si="146"/>
        <v>#REF!</v>
      </c>
    </row>
    <row r="2710" spans="1:9" hidden="1" x14ac:dyDescent="0.25">
      <c r="A2710" s="103" t="s">
        <v>6749</v>
      </c>
      <c r="B2710" s="104" t="s">
        <v>6813</v>
      </c>
      <c r="C2710" s="105" t="s">
        <v>20</v>
      </c>
      <c r="D2710" s="105">
        <v>0</v>
      </c>
      <c r="E2710" s="124">
        <f ca="1">OFFSET(INDEX(Composições!A:J,MATCH(Orçamentária!A2710,Composições!A:A,0),8),2,0)</f>
        <v>42.706477200991998</v>
      </c>
      <c r="F2710" s="125">
        <f t="shared" ca="1" si="144"/>
        <v>0</v>
      </c>
      <c r="G2710" s="126" t="e">
        <f>IF(A2710&lt;&gt;"",IF(AND(#REF!="Padrão",$H$4=#REF!),BDI!$B$17,IF(AND(#REF!="Padrão",$H$4=#REF!),BDI!#REF!,IF(AND(#REF!="Diferenciado",$H$4=#REF!),BDI!$E$17,IF(AND(#REF!="Diferenciado",$H$4=#REF!),BDI!#REF!,IF(#REF!="ZERO",0))))),"")</f>
        <v>#REF!</v>
      </c>
      <c r="H2710" s="127" t="e">
        <f t="shared" ca="1" si="145"/>
        <v>#REF!</v>
      </c>
      <c r="I2710" s="125" t="e">
        <f t="shared" ca="1" si="146"/>
        <v>#REF!</v>
      </c>
    </row>
    <row r="2711" spans="1:9" s="184" customFormat="1" x14ac:dyDescent="0.25">
      <c r="A2711" s="185" t="s">
        <v>6750</v>
      </c>
      <c r="B2711" s="186" t="s">
        <v>6818</v>
      </c>
      <c r="C2711" s="187" t="s">
        <v>20</v>
      </c>
      <c r="D2711" s="187">
        <v>1</v>
      </c>
      <c r="E2711" s="202">
        <v>9340</v>
      </c>
      <c r="F2711" s="125">
        <f t="shared" ref="F2711:F2774" si="147">IF(ISNUMBER(E2711),D2711*E2711,"")</f>
        <v>9340</v>
      </c>
      <c r="G2711" s="126">
        <v>0</v>
      </c>
      <c r="H2711" s="127">
        <f t="shared" ref="H2711:H2774" si="148">IF(ISNUMBER(E2711),ROUND(E2711*(1+G2711),2),"")</f>
        <v>9340</v>
      </c>
      <c r="I2711" s="204">
        <f t="shared" ref="I2711:I2774" si="149">IF(ISNUMBER(E2711),ROUND(H2711*D2711,2),"")</f>
        <v>9340</v>
      </c>
    </row>
    <row r="2712" spans="1:9" s="184" customFormat="1" x14ac:dyDescent="0.25">
      <c r="A2712" s="185" t="s">
        <v>6751</v>
      </c>
      <c r="B2712" s="186" t="s">
        <v>6819</v>
      </c>
      <c r="C2712" s="187" t="s">
        <v>20</v>
      </c>
      <c r="D2712" s="187">
        <v>67</v>
      </c>
      <c r="E2712" s="202">
        <v>1153.51</v>
      </c>
      <c r="F2712" s="125">
        <f t="shared" si="147"/>
        <v>77285.17</v>
      </c>
      <c r="G2712" s="126">
        <v>0</v>
      </c>
      <c r="H2712" s="127">
        <f t="shared" si="148"/>
        <v>1153.51</v>
      </c>
      <c r="I2712" s="204">
        <f t="shared" si="149"/>
        <v>77285.17</v>
      </c>
    </row>
    <row r="2713" spans="1:9" s="184" customFormat="1" x14ac:dyDescent="0.25">
      <c r="A2713" s="185" t="s">
        <v>6752</v>
      </c>
      <c r="B2713" s="186" t="s">
        <v>6820</v>
      </c>
      <c r="C2713" s="187" t="s">
        <v>20</v>
      </c>
      <c r="D2713" s="187">
        <v>104</v>
      </c>
      <c r="E2713" s="202">
        <v>7299</v>
      </c>
      <c r="F2713" s="125">
        <f t="shared" si="147"/>
        <v>759096</v>
      </c>
      <c r="G2713" s="126">
        <f>BDI!$E$17</f>
        <v>0.11260000000000001</v>
      </c>
      <c r="H2713" s="127">
        <f t="shared" si="148"/>
        <v>8120.87</v>
      </c>
      <c r="I2713" s="204">
        <f t="shared" si="149"/>
        <v>844570.48</v>
      </c>
    </row>
    <row r="2714" spans="1:9" s="184" customFormat="1" x14ac:dyDescent="0.25">
      <c r="A2714" s="185" t="s">
        <v>6753</v>
      </c>
      <c r="B2714" s="186" t="s">
        <v>6821</v>
      </c>
      <c r="C2714" s="187" t="s">
        <v>20</v>
      </c>
      <c r="D2714" s="187">
        <v>6</v>
      </c>
      <c r="E2714" s="202">
        <v>9064.3799999999992</v>
      </c>
      <c r="F2714" s="125">
        <f t="shared" si="147"/>
        <v>54386.28</v>
      </c>
      <c r="G2714" s="126">
        <v>0</v>
      </c>
      <c r="H2714" s="127">
        <f t="shared" si="148"/>
        <v>9064.3799999999992</v>
      </c>
      <c r="I2714" s="204">
        <f t="shared" si="149"/>
        <v>54386.28</v>
      </c>
    </row>
    <row r="2715" spans="1:9" s="184" customFormat="1" x14ac:dyDescent="0.25">
      <c r="A2715" s="185" t="s">
        <v>6754</v>
      </c>
      <c r="B2715" s="186" t="s">
        <v>6822</v>
      </c>
      <c r="C2715" s="187" t="s">
        <v>20</v>
      </c>
      <c r="D2715" s="187">
        <v>64</v>
      </c>
      <c r="E2715" s="202">
        <v>6821</v>
      </c>
      <c r="F2715" s="125">
        <f t="shared" si="147"/>
        <v>436544</v>
      </c>
      <c r="G2715" s="126">
        <v>0</v>
      </c>
      <c r="H2715" s="127">
        <f t="shared" si="148"/>
        <v>6821</v>
      </c>
      <c r="I2715" s="204">
        <f t="shared" si="149"/>
        <v>436544</v>
      </c>
    </row>
    <row r="2716" spans="1:9" hidden="1" x14ac:dyDescent="0.25">
      <c r="A2716" s="103" t="s">
        <v>6755</v>
      </c>
      <c r="B2716" s="104" t="s">
        <v>6823</v>
      </c>
      <c r="C2716" s="105" t="s">
        <v>20</v>
      </c>
      <c r="D2716" s="105">
        <v>0</v>
      </c>
      <c r="E2716" s="124" t="s">
        <v>523</v>
      </c>
      <c r="F2716" s="125" t="str">
        <f t="shared" si="147"/>
        <v/>
      </c>
      <c r="G2716" s="126" t="e">
        <f>IF(A2716&lt;&gt;"",IF(AND(#REF!="Padrão",$H$4=#REF!),BDI!$B$17,IF(AND(#REF!="Padrão",$H$4=#REF!),BDI!#REF!,IF(AND(#REF!="Diferenciado",$H$4=#REF!),BDI!$E$17,IF(AND(#REF!="Diferenciado",$H$4=#REF!),BDI!#REF!,IF(#REF!="ZERO",0))))),"")</f>
        <v>#REF!</v>
      </c>
      <c r="H2716" s="127" t="str">
        <f t="shared" si="148"/>
        <v/>
      </c>
      <c r="I2716" s="125" t="str">
        <f t="shared" si="149"/>
        <v/>
      </c>
    </row>
    <row r="2717" spans="1:9" hidden="1" x14ac:dyDescent="0.25">
      <c r="A2717" s="103" t="s">
        <v>6756</v>
      </c>
      <c r="B2717" s="104" t="s">
        <v>6824</v>
      </c>
      <c r="C2717" s="105" t="s">
        <v>20</v>
      </c>
      <c r="D2717" s="105">
        <v>0</v>
      </c>
      <c r="E2717" s="124" t="s">
        <v>523</v>
      </c>
      <c r="F2717" s="125" t="str">
        <f t="shared" si="147"/>
        <v/>
      </c>
      <c r="G2717" s="126" t="e">
        <f>IF(A2717&lt;&gt;"",IF(AND(#REF!="Padrão",$H$4=#REF!),BDI!$B$17,IF(AND(#REF!="Padrão",$H$4=#REF!),BDI!#REF!,IF(AND(#REF!="Diferenciado",$H$4=#REF!),BDI!$E$17,IF(AND(#REF!="Diferenciado",$H$4=#REF!),BDI!#REF!,IF(#REF!="ZERO",0))))),"")</f>
        <v>#REF!</v>
      </c>
      <c r="H2717" s="127" t="str">
        <f t="shared" si="148"/>
        <v/>
      </c>
      <c r="I2717" s="125" t="str">
        <f t="shared" si="149"/>
        <v/>
      </c>
    </row>
    <row r="2718" spans="1:9" hidden="1" x14ac:dyDescent="0.25">
      <c r="A2718" s="103" t="s">
        <v>6757</v>
      </c>
      <c r="B2718" s="104" t="s">
        <v>6825</v>
      </c>
      <c r="C2718" s="105" t="s">
        <v>20</v>
      </c>
      <c r="D2718" s="105">
        <v>0</v>
      </c>
      <c r="E2718" s="124" t="s">
        <v>523</v>
      </c>
      <c r="F2718" s="125" t="str">
        <f t="shared" si="147"/>
        <v/>
      </c>
      <c r="G2718" s="126" t="e">
        <f>IF(A2718&lt;&gt;"",IF(AND(#REF!="Padrão",$H$4=#REF!),BDI!$B$17,IF(AND(#REF!="Padrão",$H$4=#REF!),BDI!#REF!,IF(AND(#REF!="Diferenciado",$H$4=#REF!),BDI!$E$17,IF(AND(#REF!="Diferenciado",$H$4=#REF!),BDI!#REF!,IF(#REF!="ZERO",0))))),"")</f>
        <v>#REF!</v>
      </c>
      <c r="H2718" s="127" t="str">
        <f t="shared" si="148"/>
        <v/>
      </c>
      <c r="I2718" s="125" t="str">
        <f t="shared" si="149"/>
        <v/>
      </c>
    </row>
    <row r="2719" spans="1:9" hidden="1" x14ac:dyDescent="0.25">
      <c r="A2719" s="103" t="s">
        <v>6758</v>
      </c>
      <c r="B2719" s="104" t="s">
        <v>6826</v>
      </c>
      <c r="C2719" s="105" t="s">
        <v>20</v>
      </c>
      <c r="D2719" s="105">
        <v>0</v>
      </c>
      <c r="E2719" s="124" t="s">
        <v>523</v>
      </c>
      <c r="F2719" s="125" t="str">
        <f t="shared" si="147"/>
        <v/>
      </c>
      <c r="G2719" s="126" t="e">
        <f>IF(A2719&lt;&gt;"",IF(AND(#REF!="Padrão",$H$4=#REF!),BDI!$B$17,IF(AND(#REF!="Padrão",$H$4=#REF!),BDI!#REF!,IF(AND(#REF!="Diferenciado",$H$4=#REF!),BDI!$E$17,IF(AND(#REF!="Diferenciado",$H$4=#REF!),BDI!#REF!,IF(#REF!="ZERO",0))))),"")</f>
        <v>#REF!</v>
      </c>
      <c r="H2719" s="127" t="str">
        <f t="shared" si="148"/>
        <v/>
      </c>
      <c r="I2719" s="125" t="str">
        <f t="shared" si="149"/>
        <v/>
      </c>
    </row>
    <row r="2720" spans="1:9" hidden="1" x14ac:dyDescent="0.25">
      <c r="A2720" s="103" t="s">
        <v>6759</v>
      </c>
      <c r="B2720" s="104" t="s">
        <v>6279</v>
      </c>
      <c r="C2720" s="105" t="s">
        <v>20</v>
      </c>
      <c r="D2720" s="105">
        <v>0</v>
      </c>
      <c r="E2720" s="124" t="s">
        <v>523</v>
      </c>
      <c r="F2720" s="125" t="str">
        <f t="shared" si="147"/>
        <v/>
      </c>
      <c r="G2720" s="126" t="e">
        <f>IF(A2720&lt;&gt;"",IF(AND(#REF!="Padrão",$H$4=#REF!),BDI!$B$17,IF(AND(#REF!="Padrão",$H$4=#REF!),BDI!#REF!,IF(AND(#REF!="Diferenciado",$H$4=#REF!),BDI!$E$17,IF(AND(#REF!="Diferenciado",$H$4=#REF!),BDI!#REF!,IF(#REF!="ZERO",0))))),"")</f>
        <v>#REF!</v>
      </c>
      <c r="H2720" s="127" t="str">
        <f t="shared" si="148"/>
        <v/>
      </c>
      <c r="I2720" s="125" t="str">
        <f t="shared" si="149"/>
        <v/>
      </c>
    </row>
    <row r="2721" spans="1:9" hidden="1" x14ac:dyDescent="0.25">
      <c r="A2721" s="103" t="s">
        <v>6760</v>
      </c>
      <c r="B2721" s="104" t="s">
        <v>6280</v>
      </c>
      <c r="C2721" s="105" t="s">
        <v>20</v>
      </c>
      <c r="D2721" s="105">
        <v>0</v>
      </c>
      <c r="E2721" s="124" t="s">
        <v>523</v>
      </c>
      <c r="F2721" s="125" t="str">
        <f t="shared" si="147"/>
        <v/>
      </c>
      <c r="G2721" s="126" t="e">
        <f>IF(A2721&lt;&gt;"",IF(AND(#REF!="Padrão",$H$4=#REF!),BDI!$B$17,IF(AND(#REF!="Padrão",$H$4=#REF!),BDI!#REF!,IF(AND(#REF!="Diferenciado",$H$4=#REF!),BDI!$E$17,IF(AND(#REF!="Diferenciado",$H$4=#REF!),BDI!#REF!,IF(#REF!="ZERO",0))))),"")</f>
        <v>#REF!</v>
      </c>
      <c r="H2721" s="127" t="str">
        <f t="shared" si="148"/>
        <v/>
      </c>
      <c r="I2721" s="125" t="str">
        <f t="shared" si="149"/>
        <v/>
      </c>
    </row>
    <row r="2722" spans="1:9" hidden="1" x14ac:dyDescent="0.25">
      <c r="A2722" s="103" t="s">
        <v>6761</v>
      </c>
      <c r="B2722" s="104" t="s">
        <v>6827</v>
      </c>
      <c r="C2722" s="105" t="s">
        <v>20</v>
      </c>
      <c r="D2722" s="105">
        <v>0</v>
      </c>
      <c r="E2722" s="124">
        <f ca="1">OFFSET(INDEX(Composições!A:J,MATCH(Orçamentária!A2722,Composições!A:A,0),8),2,0)</f>
        <v>13.2905</v>
      </c>
      <c r="F2722" s="125">
        <f t="shared" ca="1" si="147"/>
        <v>0</v>
      </c>
      <c r="G2722" s="126" t="e">
        <f>IF(A2722&lt;&gt;"",IF(AND(#REF!="Padrão",$H$4=#REF!),BDI!$B$17,IF(AND(#REF!="Padrão",$H$4=#REF!),BDI!#REF!,IF(AND(#REF!="Diferenciado",$H$4=#REF!),BDI!$E$17,IF(AND(#REF!="Diferenciado",$H$4=#REF!),BDI!#REF!,IF(#REF!="ZERO",0))))),"")</f>
        <v>#REF!</v>
      </c>
      <c r="H2722" s="127" t="e">
        <f t="shared" ca="1" si="148"/>
        <v>#REF!</v>
      </c>
      <c r="I2722" s="125" t="e">
        <f t="shared" ca="1" si="149"/>
        <v>#REF!</v>
      </c>
    </row>
    <row r="2723" spans="1:9" hidden="1" x14ac:dyDescent="0.25">
      <c r="A2723" s="103" t="s">
        <v>6762</v>
      </c>
      <c r="B2723" s="104" t="s">
        <v>6828</v>
      </c>
      <c r="C2723" s="105" t="s">
        <v>20</v>
      </c>
      <c r="D2723" s="105">
        <v>0</v>
      </c>
      <c r="E2723" s="124" t="s">
        <v>523</v>
      </c>
      <c r="F2723" s="125" t="str">
        <f t="shared" si="147"/>
        <v/>
      </c>
      <c r="G2723" s="126" t="e">
        <f>IF(A2723&lt;&gt;"",IF(AND(#REF!="Padrão",$H$4=#REF!),BDI!$B$17,IF(AND(#REF!="Padrão",$H$4=#REF!),BDI!#REF!,IF(AND(#REF!="Diferenciado",$H$4=#REF!),BDI!$E$17,IF(AND(#REF!="Diferenciado",$H$4=#REF!),BDI!#REF!,IF(#REF!="ZERO",0))))),"")</f>
        <v>#REF!</v>
      </c>
      <c r="H2723" s="127" t="str">
        <f t="shared" si="148"/>
        <v/>
      </c>
      <c r="I2723" s="125" t="str">
        <f t="shared" si="149"/>
        <v/>
      </c>
    </row>
    <row r="2724" spans="1:9" hidden="1" x14ac:dyDescent="0.25">
      <c r="A2724" s="103" t="s">
        <v>6763</v>
      </c>
      <c r="B2724" s="104" t="s">
        <v>3485</v>
      </c>
      <c r="C2724" s="105" t="s">
        <v>20</v>
      </c>
      <c r="D2724" s="105">
        <v>0</v>
      </c>
      <c r="E2724" s="124">
        <f ca="1">OFFSET(INDEX(Composições!A:J,MATCH(Orçamentária!A2724,Composições!A:A,0),8),2,0)</f>
        <v>3.306</v>
      </c>
      <c r="F2724" s="125">
        <f t="shared" ca="1" si="147"/>
        <v>0</v>
      </c>
      <c r="G2724" s="126" t="e">
        <f>IF(A2724&lt;&gt;"",IF(AND(#REF!="Padrão",$H$4=#REF!),BDI!$B$17,IF(AND(#REF!="Padrão",$H$4=#REF!),BDI!#REF!,IF(AND(#REF!="Diferenciado",$H$4=#REF!),BDI!$E$17,IF(AND(#REF!="Diferenciado",$H$4=#REF!),BDI!#REF!,IF(#REF!="ZERO",0))))),"")</f>
        <v>#REF!</v>
      </c>
      <c r="H2724" s="127" t="e">
        <f t="shared" ca="1" si="148"/>
        <v>#REF!</v>
      </c>
      <c r="I2724" s="125" t="e">
        <f t="shared" ca="1" si="149"/>
        <v>#REF!</v>
      </c>
    </row>
    <row r="2725" spans="1:9" hidden="1" x14ac:dyDescent="0.25">
      <c r="A2725" s="103" t="s">
        <v>6764</v>
      </c>
      <c r="B2725" s="104" t="s">
        <v>6829</v>
      </c>
      <c r="C2725" s="105" t="s">
        <v>42</v>
      </c>
      <c r="D2725" s="105">
        <v>0</v>
      </c>
      <c r="E2725" s="124">
        <f ca="1">OFFSET(INDEX(Composições!A:J,MATCH(Orçamentária!A2725,Composições!A:A,0),8),2,0)</f>
        <v>3.0590000000000002</v>
      </c>
      <c r="F2725" s="125">
        <f t="shared" ca="1" si="147"/>
        <v>0</v>
      </c>
      <c r="G2725" s="126" t="e">
        <f>IF(A2725&lt;&gt;"",IF(AND(#REF!="Padrão",$H$4=#REF!),BDI!$B$17,IF(AND(#REF!="Padrão",$H$4=#REF!),BDI!#REF!,IF(AND(#REF!="Diferenciado",$H$4=#REF!),BDI!$E$17,IF(AND(#REF!="Diferenciado",$H$4=#REF!),BDI!#REF!,IF(#REF!="ZERO",0))))),"")</f>
        <v>#REF!</v>
      </c>
      <c r="H2725" s="127" t="e">
        <f t="shared" ca="1" si="148"/>
        <v>#REF!</v>
      </c>
      <c r="I2725" s="125" t="e">
        <f t="shared" ca="1" si="149"/>
        <v>#REF!</v>
      </c>
    </row>
    <row r="2726" spans="1:9" hidden="1" x14ac:dyDescent="0.25">
      <c r="A2726" s="103" t="s">
        <v>6765</v>
      </c>
      <c r="B2726" s="104" t="s">
        <v>6830</v>
      </c>
      <c r="C2726" s="105" t="s">
        <v>42</v>
      </c>
      <c r="D2726" s="105">
        <v>0</v>
      </c>
      <c r="E2726" s="124" t="s">
        <v>523</v>
      </c>
      <c r="F2726" s="125" t="str">
        <f t="shared" si="147"/>
        <v/>
      </c>
      <c r="G2726" s="126" t="e">
        <f>IF(A2726&lt;&gt;"",IF(AND(#REF!="Padrão",$H$4=#REF!),BDI!$B$17,IF(AND(#REF!="Padrão",$H$4=#REF!),BDI!#REF!,IF(AND(#REF!="Diferenciado",$H$4=#REF!),BDI!$E$17,IF(AND(#REF!="Diferenciado",$H$4=#REF!),BDI!#REF!,IF(#REF!="ZERO",0))))),"")</f>
        <v>#REF!</v>
      </c>
      <c r="H2726" s="127" t="str">
        <f t="shared" si="148"/>
        <v/>
      </c>
      <c r="I2726" s="125" t="str">
        <f t="shared" si="149"/>
        <v/>
      </c>
    </row>
    <row r="2727" spans="1:9" hidden="1" x14ac:dyDescent="0.25">
      <c r="A2727" s="103" t="s">
        <v>6766</v>
      </c>
      <c r="B2727" s="104" t="s">
        <v>3498</v>
      </c>
      <c r="C2727" s="105" t="s">
        <v>20</v>
      </c>
      <c r="D2727" s="105">
        <v>0</v>
      </c>
      <c r="E2727" s="124" t="s">
        <v>523</v>
      </c>
      <c r="F2727" s="125" t="str">
        <f t="shared" si="147"/>
        <v/>
      </c>
      <c r="G2727" s="126" t="e">
        <f>IF(A2727&lt;&gt;"",IF(AND(#REF!="Padrão",$H$4=#REF!),BDI!$B$17,IF(AND(#REF!="Padrão",$H$4=#REF!),BDI!#REF!,IF(AND(#REF!="Diferenciado",$H$4=#REF!),BDI!$E$17,IF(AND(#REF!="Diferenciado",$H$4=#REF!),BDI!#REF!,IF(#REF!="ZERO",0))))),"")</f>
        <v>#REF!</v>
      </c>
      <c r="H2727" s="127" t="str">
        <f t="shared" si="148"/>
        <v/>
      </c>
      <c r="I2727" s="125" t="str">
        <f t="shared" si="149"/>
        <v/>
      </c>
    </row>
    <row r="2728" spans="1:9" hidden="1" x14ac:dyDescent="0.25">
      <c r="A2728" s="103" t="s">
        <v>6767</v>
      </c>
      <c r="B2728" s="104" t="s">
        <v>6831</v>
      </c>
      <c r="C2728" s="105" t="s">
        <v>20</v>
      </c>
      <c r="D2728" s="105">
        <v>0</v>
      </c>
      <c r="E2728" s="124" t="s">
        <v>523</v>
      </c>
      <c r="F2728" s="125" t="str">
        <f t="shared" si="147"/>
        <v/>
      </c>
      <c r="G2728" s="126" t="e">
        <f>IF(A2728&lt;&gt;"",IF(AND(#REF!="Padrão",$H$4=#REF!),BDI!$B$17,IF(AND(#REF!="Padrão",$H$4=#REF!),BDI!#REF!,IF(AND(#REF!="Diferenciado",$H$4=#REF!),BDI!$E$17,IF(AND(#REF!="Diferenciado",$H$4=#REF!),BDI!#REF!,IF(#REF!="ZERO",0))))),"")</f>
        <v>#REF!</v>
      </c>
      <c r="H2728" s="127" t="str">
        <f t="shared" si="148"/>
        <v/>
      </c>
      <c r="I2728" s="125" t="str">
        <f t="shared" si="149"/>
        <v/>
      </c>
    </row>
    <row r="2729" spans="1:9" hidden="1" x14ac:dyDescent="0.25">
      <c r="A2729" s="103" t="s">
        <v>6768</v>
      </c>
      <c r="B2729" s="104" t="s">
        <v>6276</v>
      </c>
      <c r="C2729" s="105" t="s">
        <v>20</v>
      </c>
      <c r="D2729" s="105">
        <v>0</v>
      </c>
      <c r="E2729" s="124">
        <f ca="1">OFFSET(INDEX(Composições!A:J,MATCH(Orçamentária!A2729,Composições!A:A,0),8),2,0)</f>
        <v>38.76</v>
      </c>
      <c r="F2729" s="125">
        <f t="shared" ca="1" si="147"/>
        <v>0</v>
      </c>
      <c r="G2729" s="126" t="e">
        <f>IF(A2729&lt;&gt;"",IF(AND(#REF!="Padrão",$H$4=#REF!),BDI!$B$17,IF(AND(#REF!="Padrão",$H$4=#REF!),BDI!#REF!,IF(AND(#REF!="Diferenciado",$H$4=#REF!),BDI!$E$17,IF(AND(#REF!="Diferenciado",$H$4=#REF!),BDI!#REF!,IF(#REF!="ZERO",0))))),"")</f>
        <v>#REF!</v>
      </c>
      <c r="H2729" s="127" t="e">
        <f t="shared" ca="1" si="148"/>
        <v>#REF!</v>
      </c>
      <c r="I2729" s="125" t="e">
        <f t="shared" ca="1" si="149"/>
        <v>#REF!</v>
      </c>
    </row>
    <row r="2730" spans="1:9" hidden="1" x14ac:dyDescent="0.25">
      <c r="A2730" s="103" t="s">
        <v>6769</v>
      </c>
      <c r="B2730" s="104" t="s">
        <v>2783</v>
      </c>
      <c r="C2730" s="105" t="s">
        <v>20</v>
      </c>
      <c r="D2730" s="105">
        <v>0</v>
      </c>
      <c r="E2730" s="124" t="s">
        <v>523</v>
      </c>
      <c r="F2730" s="125" t="str">
        <f t="shared" si="147"/>
        <v/>
      </c>
      <c r="G2730" s="126" t="e">
        <f>IF(A2730&lt;&gt;"",IF(AND(#REF!="Padrão",$H$4=#REF!),BDI!$B$17,IF(AND(#REF!="Padrão",$H$4=#REF!),BDI!#REF!,IF(AND(#REF!="Diferenciado",$H$4=#REF!),BDI!$E$17,IF(AND(#REF!="Diferenciado",$H$4=#REF!),BDI!#REF!,IF(#REF!="ZERO",0))))),"")</f>
        <v>#REF!</v>
      </c>
      <c r="H2730" s="127" t="str">
        <f t="shared" si="148"/>
        <v/>
      </c>
      <c r="I2730" s="125" t="str">
        <f t="shared" si="149"/>
        <v/>
      </c>
    </row>
    <row r="2731" spans="1:9" hidden="1" x14ac:dyDescent="0.25">
      <c r="A2731" s="103" t="s">
        <v>6770</v>
      </c>
      <c r="B2731" s="104" t="s">
        <v>6832</v>
      </c>
      <c r="C2731" s="105" t="s">
        <v>20</v>
      </c>
      <c r="D2731" s="105">
        <v>0</v>
      </c>
      <c r="E2731" s="124" t="s">
        <v>523</v>
      </c>
      <c r="F2731" s="125" t="str">
        <f t="shared" si="147"/>
        <v/>
      </c>
      <c r="G2731" s="126" t="e">
        <f>IF(A2731&lt;&gt;"",IF(AND(#REF!="Padrão",$H$4=#REF!),BDI!$B$17,IF(AND(#REF!="Padrão",$H$4=#REF!),BDI!#REF!,IF(AND(#REF!="Diferenciado",$H$4=#REF!),BDI!$E$17,IF(AND(#REF!="Diferenciado",$H$4=#REF!),BDI!#REF!,IF(#REF!="ZERO",0))))),"")</f>
        <v>#REF!</v>
      </c>
      <c r="H2731" s="127" t="str">
        <f t="shared" si="148"/>
        <v/>
      </c>
      <c r="I2731" s="125" t="str">
        <f t="shared" si="149"/>
        <v/>
      </c>
    </row>
    <row r="2732" spans="1:9" hidden="1" x14ac:dyDescent="0.25">
      <c r="A2732" s="103" t="s">
        <v>6771</v>
      </c>
      <c r="B2732" s="104" t="s">
        <v>6833</v>
      </c>
      <c r="C2732" s="105" t="s">
        <v>20</v>
      </c>
      <c r="D2732" s="105">
        <v>0</v>
      </c>
      <c r="E2732" s="124" t="s">
        <v>523</v>
      </c>
      <c r="F2732" s="125" t="str">
        <f t="shared" si="147"/>
        <v/>
      </c>
      <c r="G2732" s="126" t="e">
        <f>IF(A2732&lt;&gt;"",IF(AND(#REF!="Padrão",$H$4=#REF!),BDI!$B$17,IF(AND(#REF!="Padrão",$H$4=#REF!),BDI!#REF!,IF(AND(#REF!="Diferenciado",$H$4=#REF!),BDI!$E$17,IF(AND(#REF!="Diferenciado",$H$4=#REF!),BDI!#REF!,IF(#REF!="ZERO",0))))),"")</f>
        <v>#REF!</v>
      </c>
      <c r="H2732" s="127" t="str">
        <f t="shared" si="148"/>
        <v/>
      </c>
      <c r="I2732" s="125" t="str">
        <f t="shared" si="149"/>
        <v/>
      </c>
    </row>
    <row r="2733" spans="1:9" hidden="1" x14ac:dyDescent="0.25">
      <c r="A2733" s="103" t="s">
        <v>6772</v>
      </c>
      <c r="B2733" s="104" t="s">
        <v>6834</v>
      </c>
      <c r="C2733" s="105" t="s">
        <v>20</v>
      </c>
      <c r="D2733" s="105">
        <v>0</v>
      </c>
      <c r="E2733" s="124" t="s">
        <v>523</v>
      </c>
      <c r="F2733" s="125" t="str">
        <f t="shared" si="147"/>
        <v/>
      </c>
      <c r="G2733" s="126" t="e">
        <f>IF(A2733&lt;&gt;"",IF(AND(#REF!="Padrão",$H$4=#REF!),BDI!$B$17,IF(AND(#REF!="Padrão",$H$4=#REF!),BDI!#REF!,IF(AND(#REF!="Diferenciado",$H$4=#REF!),BDI!$E$17,IF(AND(#REF!="Diferenciado",$H$4=#REF!),BDI!#REF!,IF(#REF!="ZERO",0))))),"")</f>
        <v>#REF!</v>
      </c>
      <c r="H2733" s="127" t="str">
        <f t="shared" si="148"/>
        <v/>
      </c>
      <c r="I2733" s="125" t="str">
        <f t="shared" si="149"/>
        <v/>
      </c>
    </row>
    <row r="2734" spans="1:9" hidden="1" x14ac:dyDescent="0.25">
      <c r="A2734" s="103" t="s">
        <v>6773</v>
      </c>
      <c r="B2734" s="104" t="s">
        <v>6835</v>
      </c>
      <c r="C2734" s="105" t="s">
        <v>20</v>
      </c>
      <c r="D2734" s="105">
        <v>0</v>
      </c>
      <c r="E2734" s="124" t="s">
        <v>523</v>
      </c>
      <c r="F2734" s="125" t="str">
        <f t="shared" si="147"/>
        <v/>
      </c>
      <c r="G2734" s="126" t="e">
        <f>IF(A2734&lt;&gt;"",IF(AND(#REF!="Padrão",$H$4=#REF!),BDI!$B$17,IF(AND(#REF!="Padrão",$H$4=#REF!),BDI!#REF!,IF(AND(#REF!="Diferenciado",$H$4=#REF!),BDI!$E$17,IF(AND(#REF!="Diferenciado",$H$4=#REF!),BDI!#REF!,IF(#REF!="ZERO",0))))),"")</f>
        <v>#REF!</v>
      </c>
      <c r="H2734" s="127" t="str">
        <f t="shared" si="148"/>
        <v/>
      </c>
      <c r="I2734" s="125" t="str">
        <f t="shared" si="149"/>
        <v/>
      </c>
    </row>
    <row r="2735" spans="1:9" hidden="1" x14ac:dyDescent="0.25">
      <c r="A2735" s="103" t="s">
        <v>6774</v>
      </c>
      <c r="B2735" s="104" t="s">
        <v>6836</v>
      </c>
      <c r="C2735" s="105" t="s">
        <v>20</v>
      </c>
      <c r="D2735" s="105">
        <v>0</v>
      </c>
      <c r="E2735" s="124">
        <f ca="1">OFFSET(INDEX(Composições!A:J,MATCH(Orçamentária!A2735,Composições!A:A,0),8),2,0)</f>
        <v>134.53899999999999</v>
      </c>
      <c r="F2735" s="125">
        <f t="shared" ca="1" si="147"/>
        <v>0</v>
      </c>
      <c r="G2735" s="126" t="e">
        <f>IF(A2735&lt;&gt;"",IF(AND(#REF!="Padrão",$H$4=#REF!),BDI!$B$17,IF(AND(#REF!="Padrão",$H$4=#REF!),BDI!#REF!,IF(AND(#REF!="Diferenciado",$H$4=#REF!),BDI!$E$17,IF(AND(#REF!="Diferenciado",$H$4=#REF!),BDI!#REF!,IF(#REF!="ZERO",0))))),"")</f>
        <v>#REF!</v>
      </c>
      <c r="H2735" s="127" t="e">
        <f t="shared" ca="1" si="148"/>
        <v>#REF!</v>
      </c>
      <c r="I2735" s="125" t="e">
        <f t="shared" ca="1" si="149"/>
        <v>#REF!</v>
      </c>
    </row>
    <row r="2736" spans="1:9" hidden="1" x14ac:dyDescent="0.25">
      <c r="A2736" s="103" t="s">
        <v>6775</v>
      </c>
      <c r="B2736" s="104" t="s">
        <v>6837</v>
      </c>
      <c r="C2736" s="105" t="s">
        <v>20</v>
      </c>
      <c r="D2736" s="105">
        <v>0</v>
      </c>
      <c r="E2736" s="124">
        <f ca="1">OFFSET(INDEX(Composições!A:J,MATCH(Orçamentária!A2736,Composições!A:A,0),8),2,0)</f>
        <v>143.44999999999999</v>
      </c>
      <c r="F2736" s="125">
        <f t="shared" ca="1" si="147"/>
        <v>0</v>
      </c>
      <c r="G2736" s="126" t="e">
        <f>IF(A2736&lt;&gt;"",IF(AND(#REF!="Padrão",$H$4=#REF!),BDI!$B$17,IF(AND(#REF!="Padrão",$H$4=#REF!),BDI!#REF!,IF(AND(#REF!="Diferenciado",$H$4=#REF!),BDI!$E$17,IF(AND(#REF!="Diferenciado",$H$4=#REF!),BDI!#REF!,IF(#REF!="ZERO",0))))),"")</f>
        <v>#REF!</v>
      </c>
      <c r="H2736" s="127" t="e">
        <f t="shared" ca="1" si="148"/>
        <v>#REF!</v>
      </c>
      <c r="I2736" s="125" t="e">
        <f t="shared" ca="1" si="149"/>
        <v>#REF!</v>
      </c>
    </row>
    <row r="2737" spans="1:9" hidden="1" x14ac:dyDescent="0.25">
      <c r="A2737" s="103" t="s">
        <v>6776</v>
      </c>
      <c r="B2737" s="104" t="s">
        <v>6838</v>
      </c>
      <c r="C2737" s="105" t="s">
        <v>20</v>
      </c>
      <c r="D2737" s="105">
        <v>0</v>
      </c>
      <c r="E2737" s="124" t="s">
        <v>523</v>
      </c>
      <c r="F2737" s="125" t="str">
        <f t="shared" si="147"/>
        <v/>
      </c>
      <c r="G2737" s="126" t="e">
        <f>IF(A2737&lt;&gt;"",IF(AND(#REF!="Padrão",$H$4=#REF!),BDI!$B$17,IF(AND(#REF!="Padrão",$H$4=#REF!),BDI!#REF!,IF(AND(#REF!="Diferenciado",$H$4=#REF!),BDI!$E$17,IF(AND(#REF!="Diferenciado",$H$4=#REF!),BDI!#REF!,IF(#REF!="ZERO",0))))),"")</f>
        <v>#REF!</v>
      </c>
      <c r="H2737" s="127" t="str">
        <f t="shared" si="148"/>
        <v/>
      </c>
      <c r="I2737" s="125" t="str">
        <f t="shared" si="149"/>
        <v/>
      </c>
    </row>
    <row r="2738" spans="1:9" hidden="1" x14ac:dyDescent="0.25">
      <c r="A2738" s="103" t="s">
        <v>6777</v>
      </c>
      <c r="B2738" s="104" t="s">
        <v>6839</v>
      </c>
      <c r="C2738" s="105" t="s">
        <v>20</v>
      </c>
      <c r="D2738" s="105">
        <v>0</v>
      </c>
      <c r="E2738" s="124" t="s">
        <v>523</v>
      </c>
      <c r="F2738" s="125" t="str">
        <f t="shared" si="147"/>
        <v/>
      </c>
      <c r="G2738" s="126" t="e">
        <f>IF(A2738&lt;&gt;"",IF(AND(#REF!="Padrão",$H$4=#REF!),BDI!$B$17,IF(AND(#REF!="Padrão",$H$4=#REF!),BDI!#REF!,IF(AND(#REF!="Diferenciado",$H$4=#REF!),BDI!$E$17,IF(AND(#REF!="Diferenciado",$H$4=#REF!),BDI!#REF!,IF(#REF!="ZERO",0))))),"")</f>
        <v>#REF!</v>
      </c>
      <c r="H2738" s="127" t="str">
        <f t="shared" si="148"/>
        <v/>
      </c>
      <c r="I2738" s="125" t="str">
        <f t="shared" si="149"/>
        <v/>
      </c>
    </row>
    <row r="2739" spans="1:9" hidden="1" x14ac:dyDescent="0.25">
      <c r="A2739" s="103" t="s">
        <v>6778</v>
      </c>
      <c r="B2739" s="104" t="s">
        <v>6840</v>
      </c>
      <c r="C2739" s="105" t="s">
        <v>20</v>
      </c>
      <c r="D2739" s="105">
        <v>0</v>
      </c>
      <c r="E2739" s="124" t="s">
        <v>523</v>
      </c>
      <c r="F2739" s="125" t="str">
        <f t="shared" si="147"/>
        <v/>
      </c>
      <c r="G2739" s="126" t="e">
        <f>IF(A2739&lt;&gt;"",IF(AND(#REF!="Padrão",$H$4=#REF!),BDI!$B$17,IF(AND(#REF!="Padrão",$H$4=#REF!),BDI!#REF!,IF(AND(#REF!="Diferenciado",$H$4=#REF!),BDI!$E$17,IF(AND(#REF!="Diferenciado",$H$4=#REF!),BDI!#REF!,IF(#REF!="ZERO",0))))),"")</f>
        <v>#REF!</v>
      </c>
      <c r="H2739" s="127" t="str">
        <f t="shared" si="148"/>
        <v/>
      </c>
      <c r="I2739" s="125" t="str">
        <f t="shared" si="149"/>
        <v/>
      </c>
    </row>
    <row r="2740" spans="1:9" hidden="1" x14ac:dyDescent="0.25">
      <c r="A2740" s="103" t="s">
        <v>6779</v>
      </c>
      <c r="B2740" s="104" t="s">
        <v>6841</v>
      </c>
      <c r="C2740" s="105" t="s">
        <v>20</v>
      </c>
      <c r="D2740" s="105">
        <v>0</v>
      </c>
      <c r="E2740" s="124">
        <f ca="1">OFFSET(INDEX(Composições!A:J,MATCH(Orçamentária!A2740,Composições!A:A,0),8),2,0)</f>
        <v>3.2204999999999999</v>
      </c>
      <c r="F2740" s="125">
        <f t="shared" ca="1" si="147"/>
        <v>0</v>
      </c>
      <c r="G2740" s="126" t="e">
        <f>IF(A2740&lt;&gt;"",IF(AND(#REF!="Padrão",$H$4=#REF!),BDI!$B$17,IF(AND(#REF!="Padrão",$H$4=#REF!),BDI!#REF!,IF(AND(#REF!="Diferenciado",$H$4=#REF!),BDI!$E$17,IF(AND(#REF!="Diferenciado",$H$4=#REF!),BDI!#REF!,IF(#REF!="ZERO",0))))),"")</f>
        <v>#REF!</v>
      </c>
      <c r="H2740" s="127" t="e">
        <f t="shared" ca="1" si="148"/>
        <v>#REF!</v>
      </c>
      <c r="I2740" s="125" t="e">
        <f t="shared" ca="1" si="149"/>
        <v>#REF!</v>
      </c>
    </row>
    <row r="2741" spans="1:9" hidden="1" x14ac:dyDescent="0.25">
      <c r="A2741" s="103" t="s">
        <v>6780</v>
      </c>
      <c r="B2741" s="104" t="s">
        <v>6842</v>
      </c>
      <c r="C2741" s="105" t="s">
        <v>20</v>
      </c>
      <c r="D2741" s="105">
        <v>0</v>
      </c>
      <c r="E2741" s="124" t="s">
        <v>523</v>
      </c>
      <c r="F2741" s="125" t="str">
        <f t="shared" si="147"/>
        <v/>
      </c>
      <c r="G2741" s="126" t="e">
        <f>IF(A2741&lt;&gt;"",IF(AND(#REF!="Padrão",$H$4=#REF!),BDI!$B$17,IF(AND(#REF!="Padrão",$H$4=#REF!),BDI!#REF!,IF(AND(#REF!="Diferenciado",$H$4=#REF!),BDI!$E$17,IF(AND(#REF!="Diferenciado",$H$4=#REF!),BDI!#REF!,IF(#REF!="ZERO",0))))),"")</f>
        <v>#REF!</v>
      </c>
      <c r="H2741" s="127" t="str">
        <f t="shared" si="148"/>
        <v/>
      </c>
      <c r="I2741" s="125" t="str">
        <f t="shared" si="149"/>
        <v/>
      </c>
    </row>
    <row r="2742" spans="1:9" hidden="1" x14ac:dyDescent="0.25">
      <c r="A2742" s="103" t="s">
        <v>6781</v>
      </c>
      <c r="B2742" s="104" t="s">
        <v>6843</v>
      </c>
      <c r="C2742" s="105" t="s">
        <v>20</v>
      </c>
      <c r="D2742" s="105">
        <v>0</v>
      </c>
      <c r="E2742" s="124">
        <f ca="1">OFFSET(INDEX(Composições!A:J,MATCH(Orçamentária!A2742,Composições!A:A,0),8),2,0)</f>
        <v>224.5515</v>
      </c>
      <c r="F2742" s="125">
        <f t="shared" ca="1" si="147"/>
        <v>0</v>
      </c>
      <c r="G2742" s="126" t="e">
        <f>IF(A2742&lt;&gt;"",IF(AND(#REF!="Padrão",$H$4=#REF!),BDI!$B$17,IF(AND(#REF!="Padrão",$H$4=#REF!),BDI!#REF!,IF(AND(#REF!="Diferenciado",$H$4=#REF!),BDI!$E$17,IF(AND(#REF!="Diferenciado",$H$4=#REF!),BDI!#REF!,IF(#REF!="ZERO",0))))),"")</f>
        <v>#REF!</v>
      </c>
      <c r="H2742" s="127" t="e">
        <f t="shared" ca="1" si="148"/>
        <v>#REF!</v>
      </c>
      <c r="I2742" s="125" t="e">
        <f t="shared" ca="1" si="149"/>
        <v>#REF!</v>
      </c>
    </row>
    <row r="2743" spans="1:9" hidden="1" x14ac:dyDescent="0.25">
      <c r="A2743" s="103" t="s">
        <v>6782</v>
      </c>
      <c r="B2743" s="104" t="s">
        <v>6844</v>
      </c>
      <c r="C2743" s="105" t="s">
        <v>20</v>
      </c>
      <c r="D2743" s="105">
        <v>0</v>
      </c>
      <c r="E2743" s="124" t="s">
        <v>523</v>
      </c>
      <c r="F2743" s="125" t="str">
        <f t="shared" si="147"/>
        <v/>
      </c>
      <c r="G2743" s="126" t="e">
        <f>IF(A2743&lt;&gt;"",IF(AND(#REF!="Padrão",$H$4=#REF!),BDI!$B$17,IF(AND(#REF!="Padrão",$H$4=#REF!),BDI!#REF!,IF(AND(#REF!="Diferenciado",$H$4=#REF!),BDI!$E$17,IF(AND(#REF!="Diferenciado",$H$4=#REF!),BDI!#REF!,IF(#REF!="ZERO",0))))),"")</f>
        <v>#REF!</v>
      </c>
      <c r="H2743" s="127" t="str">
        <f t="shared" si="148"/>
        <v/>
      </c>
      <c r="I2743" s="125" t="str">
        <f t="shared" si="149"/>
        <v/>
      </c>
    </row>
    <row r="2744" spans="1:9" hidden="1" x14ac:dyDescent="0.25">
      <c r="A2744" s="103" t="s">
        <v>6783</v>
      </c>
      <c r="B2744" s="104" t="s">
        <v>6845</v>
      </c>
      <c r="C2744" s="105" t="s">
        <v>20</v>
      </c>
      <c r="D2744" s="105">
        <v>0</v>
      </c>
      <c r="E2744" s="124">
        <f ca="1">OFFSET(INDEX(Composições!A:J,MATCH(Orçamentária!A2744,Composições!A:A,0),8),2,0)</f>
        <v>26.22</v>
      </c>
      <c r="F2744" s="125">
        <f t="shared" ca="1" si="147"/>
        <v>0</v>
      </c>
      <c r="G2744" s="126" t="e">
        <f>IF(A2744&lt;&gt;"",IF(AND(#REF!="Padrão",$H$4=#REF!),BDI!$B$17,IF(AND(#REF!="Padrão",$H$4=#REF!),BDI!#REF!,IF(AND(#REF!="Diferenciado",$H$4=#REF!),BDI!$E$17,IF(AND(#REF!="Diferenciado",$H$4=#REF!),BDI!#REF!,IF(#REF!="ZERO",0))))),"")</f>
        <v>#REF!</v>
      </c>
      <c r="H2744" s="127" t="e">
        <f t="shared" ca="1" si="148"/>
        <v>#REF!</v>
      </c>
      <c r="I2744" s="125" t="e">
        <f t="shared" ca="1" si="149"/>
        <v>#REF!</v>
      </c>
    </row>
    <row r="2745" spans="1:9" hidden="1" x14ac:dyDescent="0.25">
      <c r="A2745" s="103" t="s">
        <v>6784</v>
      </c>
      <c r="B2745" s="104" t="s">
        <v>6291</v>
      </c>
      <c r="C2745" s="105" t="s">
        <v>20</v>
      </c>
      <c r="D2745" s="105">
        <v>0</v>
      </c>
      <c r="E2745" s="124" t="s">
        <v>523</v>
      </c>
      <c r="F2745" s="125" t="str">
        <f t="shared" si="147"/>
        <v/>
      </c>
      <c r="G2745" s="126" t="e">
        <f>IF(A2745&lt;&gt;"",IF(AND(#REF!="Padrão",$H$4=#REF!),BDI!$B$17,IF(AND(#REF!="Padrão",$H$4=#REF!),BDI!#REF!,IF(AND(#REF!="Diferenciado",$H$4=#REF!),BDI!$E$17,IF(AND(#REF!="Diferenciado",$H$4=#REF!),BDI!#REF!,IF(#REF!="ZERO",0))))),"")</f>
        <v>#REF!</v>
      </c>
      <c r="H2745" s="127" t="str">
        <f t="shared" si="148"/>
        <v/>
      </c>
      <c r="I2745" s="125" t="str">
        <f t="shared" si="149"/>
        <v/>
      </c>
    </row>
    <row r="2746" spans="1:9" hidden="1" x14ac:dyDescent="0.25">
      <c r="A2746" s="103" t="s">
        <v>6785</v>
      </c>
      <c r="B2746" s="104" t="s">
        <v>6846</v>
      </c>
      <c r="C2746" s="105" t="s">
        <v>20</v>
      </c>
      <c r="D2746" s="105">
        <v>0</v>
      </c>
      <c r="E2746" s="124" t="s">
        <v>523</v>
      </c>
      <c r="F2746" s="125" t="str">
        <f t="shared" si="147"/>
        <v/>
      </c>
      <c r="G2746" s="126" t="e">
        <f>IF(A2746&lt;&gt;"",IF(AND(#REF!="Padrão",$H$4=#REF!),BDI!$B$17,IF(AND(#REF!="Padrão",$H$4=#REF!),BDI!#REF!,IF(AND(#REF!="Diferenciado",$H$4=#REF!),BDI!$E$17,IF(AND(#REF!="Diferenciado",$H$4=#REF!),BDI!#REF!,IF(#REF!="ZERO",0))))),"")</f>
        <v>#REF!</v>
      </c>
      <c r="H2746" s="127" t="str">
        <f t="shared" si="148"/>
        <v/>
      </c>
      <c r="I2746" s="125" t="str">
        <f t="shared" si="149"/>
        <v/>
      </c>
    </row>
    <row r="2747" spans="1:9" hidden="1" x14ac:dyDescent="0.25">
      <c r="A2747" s="103" t="s">
        <v>6786</v>
      </c>
      <c r="B2747" s="104" t="s">
        <v>6847</v>
      </c>
      <c r="C2747" s="105" t="s">
        <v>20</v>
      </c>
      <c r="D2747" s="105">
        <v>0</v>
      </c>
      <c r="E2747" s="124">
        <f ca="1">OFFSET(INDEX(Composições!A:J,MATCH(Orçamentária!A2747,Composições!A:A,0),8),2,0)</f>
        <v>37.049999999999997</v>
      </c>
      <c r="F2747" s="125">
        <f t="shared" ca="1" si="147"/>
        <v>0</v>
      </c>
      <c r="G2747" s="126" t="e">
        <f>IF(A2747&lt;&gt;"",IF(AND(#REF!="Padrão",$H$4=#REF!),BDI!$B$17,IF(AND(#REF!="Padrão",$H$4=#REF!),BDI!#REF!,IF(AND(#REF!="Diferenciado",$H$4=#REF!),BDI!$E$17,IF(AND(#REF!="Diferenciado",$H$4=#REF!),BDI!#REF!,IF(#REF!="ZERO",0))))),"")</f>
        <v>#REF!</v>
      </c>
      <c r="H2747" s="127" t="e">
        <f t="shared" ca="1" si="148"/>
        <v>#REF!</v>
      </c>
      <c r="I2747" s="125" t="e">
        <f t="shared" ca="1" si="149"/>
        <v>#REF!</v>
      </c>
    </row>
    <row r="2748" spans="1:9" hidden="1" x14ac:dyDescent="0.25">
      <c r="A2748" s="103" t="s">
        <v>6787</v>
      </c>
      <c r="B2748" s="104" t="s">
        <v>6848</v>
      </c>
      <c r="C2748" s="105" t="s">
        <v>20</v>
      </c>
      <c r="D2748" s="105">
        <v>0</v>
      </c>
      <c r="E2748" s="124">
        <f ca="1">OFFSET(INDEX(Composições!A:J,MATCH(Orçamentária!A2748,Composições!A:A,0),8),2,0)</f>
        <v>436.29699999999997</v>
      </c>
      <c r="F2748" s="125">
        <f t="shared" ca="1" si="147"/>
        <v>0</v>
      </c>
      <c r="G2748" s="126" t="e">
        <f>IF(A2748&lt;&gt;"",IF(AND(#REF!="Padrão",$H$4=#REF!),BDI!$B$17,IF(AND(#REF!="Padrão",$H$4=#REF!),BDI!#REF!,IF(AND(#REF!="Diferenciado",$H$4=#REF!),BDI!$E$17,IF(AND(#REF!="Diferenciado",$H$4=#REF!),BDI!#REF!,IF(#REF!="ZERO",0))))),"")</f>
        <v>#REF!</v>
      </c>
      <c r="H2748" s="127" t="e">
        <f t="shared" ca="1" si="148"/>
        <v>#REF!</v>
      </c>
      <c r="I2748" s="125" t="e">
        <f t="shared" ca="1" si="149"/>
        <v>#REF!</v>
      </c>
    </row>
    <row r="2749" spans="1:9" hidden="1" x14ac:dyDescent="0.25">
      <c r="A2749" s="103" t="s">
        <v>6788</v>
      </c>
      <c r="B2749" s="104" t="s">
        <v>6849</v>
      </c>
      <c r="C2749" s="105" t="s">
        <v>20</v>
      </c>
      <c r="D2749" s="105">
        <v>0</v>
      </c>
      <c r="E2749" s="124" t="s">
        <v>523</v>
      </c>
      <c r="F2749" s="125" t="str">
        <f t="shared" si="147"/>
        <v/>
      </c>
      <c r="G2749" s="126" t="e">
        <f>IF(A2749&lt;&gt;"",IF(AND(#REF!="Padrão",$H$4=#REF!),BDI!$B$17,IF(AND(#REF!="Padrão",$H$4=#REF!),BDI!#REF!,IF(AND(#REF!="Diferenciado",$H$4=#REF!),BDI!$E$17,IF(AND(#REF!="Diferenciado",$H$4=#REF!),BDI!#REF!,IF(#REF!="ZERO",0))))),"")</f>
        <v>#REF!</v>
      </c>
      <c r="H2749" s="127" t="str">
        <f t="shared" si="148"/>
        <v/>
      </c>
      <c r="I2749" s="125" t="str">
        <f t="shared" si="149"/>
        <v/>
      </c>
    </row>
    <row r="2750" spans="1:9" hidden="1" x14ac:dyDescent="0.25">
      <c r="A2750" s="103" t="s">
        <v>6789</v>
      </c>
      <c r="B2750" s="104" t="s">
        <v>6850</v>
      </c>
      <c r="C2750" s="105" t="s">
        <v>20</v>
      </c>
      <c r="D2750" s="105">
        <v>0</v>
      </c>
      <c r="E2750" s="124">
        <f ca="1">OFFSET(INDEX(Composições!A:J,MATCH(Orçamentária!A2750,Composições!A:A,0),8),2,0)</f>
        <v>332.63299999999998</v>
      </c>
      <c r="F2750" s="125">
        <f t="shared" ca="1" si="147"/>
        <v>0</v>
      </c>
      <c r="G2750" s="126" t="e">
        <f>IF(A2750&lt;&gt;"",IF(AND(#REF!="Padrão",$H$4=#REF!),BDI!$B$17,IF(AND(#REF!="Padrão",$H$4=#REF!),BDI!#REF!,IF(AND(#REF!="Diferenciado",$H$4=#REF!),BDI!$E$17,IF(AND(#REF!="Diferenciado",$H$4=#REF!),BDI!#REF!,IF(#REF!="ZERO",0))))),"")</f>
        <v>#REF!</v>
      </c>
      <c r="H2750" s="127" t="e">
        <f t="shared" ca="1" si="148"/>
        <v>#REF!</v>
      </c>
      <c r="I2750" s="125" t="e">
        <f t="shared" ca="1" si="149"/>
        <v>#REF!</v>
      </c>
    </row>
    <row r="2751" spans="1:9" hidden="1" x14ac:dyDescent="0.25">
      <c r="A2751" s="103" t="s">
        <v>6790</v>
      </c>
      <c r="B2751" s="104" t="s">
        <v>6851</v>
      </c>
      <c r="C2751" s="105" t="s">
        <v>20</v>
      </c>
      <c r="D2751" s="105">
        <v>0</v>
      </c>
      <c r="E2751" s="124" t="s">
        <v>523</v>
      </c>
      <c r="F2751" s="125" t="str">
        <f t="shared" si="147"/>
        <v/>
      </c>
      <c r="G2751" s="126" t="e">
        <f>IF(A2751&lt;&gt;"",IF(AND(#REF!="Padrão",$H$4=#REF!),BDI!$B$17,IF(AND(#REF!="Padrão",$H$4=#REF!),BDI!#REF!,IF(AND(#REF!="Diferenciado",$H$4=#REF!),BDI!$E$17,IF(AND(#REF!="Diferenciado",$H$4=#REF!),BDI!#REF!,IF(#REF!="ZERO",0))))),"")</f>
        <v>#REF!</v>
      </c>
      <c r="H2751" s="127" t="str">
        <f t="shared" si="148"/>
        <v/>
      </c>
      <c r="I2751" s="125" t="str">
        <f t="shared" si="149"/>
        <v/>
      </c>
    </row>
    <row r="2752" spans="1:9" hidden="1" x14ac:dyDescent="0.25">
      <c r="A2752" s="103" t="s">
        <v>6791</v>
      </c>
      <c r="B2752" s="104" t="s">
        <v>6852</v>
      </c>
      <c r="C2752" s="105" t="s">
        <v>20</v>
      </c>
      <c r="D2752" s="105">
        <v>0</v>
      </c>
      <c r="E2752" s="124">
        <f ca="1">OFFSET(INDEX(Composições!A:J,MATCH(Orçamentária!A2752,Composições!A:A,0),8),2,0)</f>
        <v>62.300999999999995</v>
      </c>
      <c r="F2752" s="125">
        <f t="shared" ca="1" si="147"/>
        <v>0</v>
      </c>
      <c r="G2752" s="126" t="e">
        <f>IF(A2752&lt;&gt;"",IF(AND(#REF!="Padrão",$H$4=#REF!),BDI!$B$17,IF(AND(#REF!="Padrão",$H$4=#REF!),BDI!#REF!,IF(AND(#REF!="Diferenciado",$H$4=#REF!),BDI!$E$17,IF(AND(#REF!="Diferenciado",$H$4=#REF!),BDI!#REF!,IF(#REF!="ZERO",0))))),"")</f>
        <v>#REF!</v>
      </c>
      <c r="H2752" s="127" t="e">
        <f t="shared" ca="1" si="148"/>
        <v>#REF!</v>
      </c>
      <c r="I2752" s="125" t="e">
        <f t="shared" ca="1" si="149"/>
        <v>#REF!</v>
      </c>
    </row>
    <row r="2753" spans="1:9" hidden="1" x14ac:dyDescent="0.25">
      <c r="A2753" s="103" t="s">
        <v>6792</v>
      </c>
      <c r="B2753" s="104" t="s">
        <v>6853</v>
      </c>
      <c r="C2753" s="105" t="s">
        <v>20</v>
      </c>
      <c r="D2753" s="105">
        <v>0</v>
      </c>
      <c r="E2753" s="124">
        <f ca="1">OFFSET(INDEX(Composições!A:J,MATCH(Orçamentária!A2753,Composições!A:A,0),8),2,0)</f>
        <v>116.1755</v>
      </c>
      <c r="F2753" s="125">
        <f t="shared" ca="1" si="147"/>
        <v>0</v>
      </c>
      <c r="G2753" s="126" t="e">
        <f>IF(A2753&lt;&gt;"",IF(AND(#REF!="Padrão",$H$4=#REF!),BDI!$B$17,IF(AND(#REF!="Padrão",$H$4=#REF!),BDI!#REF!,IF(AND(#REF!="Diferenciado",$H$4=#REF!),BDI!$E$17,IF(AND(#REF!="Diferenciado",$H$4=#REF!),BDI!#REF!,IF(#REF!="ZERO",0))))),"")</f>
        <v>#REF!</v>
      </c>
      <c r="H2753" s="127" t="e">
        <f t="shared" ca="1" si="148"/>
        <v>#REF!</v>
      </c>
      <c r="I2753" s="125" t="e">
        <f t="shared" ca="1" si="149"/>
        <v>#REF!</v>
      </c>
    </row>
    <row r="2754" spans="1:9" hidden="1" x14ac:dyDescent="0.25">
      <c r="A2754" s="103" t="s">
        <v>6793</v>
      </c>
      <c r="B2754" s="104" t="s">
        <v>6854</v>
      </c>
      <c r="C2754" s="105" t="s">
        <v>20</v>
      </c>
      <c r="D2754" s="105">
        <v>0</v>
      </c>
      <c r="E2754" s="124" t="s">
        <v>523</v>
      </c>
      <c r="F2754" s="125" t="str">
        <f t="shared" si="147"/>
        <v/>
      </c>
      <c r="G2754" s="126" t="e">
        <f>IF(A2754&lt;&gt;"",IF(AND(#REF!="Padrão",$H$4=#REF!),BDI!$B$17,IF(AND(#REF!="Padrão",$H$4=#REF!),BDI!#REF!,IF(AND(#REF!="Diferenciado",$H$4=#REF!),BDI!$E$17,IF(AND(#REF!="Diferenciado",$H$4=#REF!),BDI!#REF!,IF(#REF!="ZERO",0))))),"")</f>
        <v>#REF!</v>
      </c>
      <c r="H2754" s="127" t="str">
        <f t="shared" si="148"/>
        <v/>
      </c>
      <c r="I2754" s="125" t="str">
        <f t="shared" si="149"/>
        <v/>
      </c>
    </row>
    <row r="2755" spans="1:9" hidden="1" x14ac:dyDescent="0.25">
      <c r="A2755" s="103" t="s">
        <v>6794</v>
      </c>
      <c r="B2755" s="104" t="s">
        <v>6855</v>
      </c>
      <c r="C2755" s="105" t="s">
        <v>20</v>
      </c>
      <c r="D2755" s="105">
        <v>0</v>
      </c>
      <c r="E2755" s="124" t="s">
        <v>523</v>
      </c>
      <c r="F2755" s="125" t="str">
        <f t="shared" si="147"/>
        <v/>
      </c>
      <c r="G2755" s="126" t="e">
        <f>IF(A2755&lt;&gt;"",IF(AND(#REF!="Padrão",$H$4=#REF!),BDI!$B$17,IF(AND(#REF!="Padrão",$H$4=#REF!),BDI!#REF!,IF(AND(#REF!="Diferenciado",$H$4=#REF!),BDI!$E$17,IF(AND(#REF!="Diferenciado",$H$4=#REF!),BDI!#REF!,IF(#REF!="ZERO",0))))),"")</f>
        <v>#REF!</v>
      </c>
      <c r="H2755" s="127" t="str">
        <f t="shared" si="148"/>
        <v/>
      </c>
      <c r="I2755" s="125" t="str">
        <f t="shared" si="149"/>
        <v/>
      </c>
    </row>
    <row r="2756" spans="1:9" hidden="1" x14ac:dyDescent="0.25">
      <c r="A2756" s="103" t="s">
        <v>6856</v>
      </c>
      <c r="B2756" s="104" t="s">
        <v>6857</v>
      </c>
      <c r="C2756" s="105" t="s">
        <v>20</v>
      </c>
      <c r="D2756" s="105">
        <v>0</v>
      </c>
      <c r="E2756" s="124" t="s">
        <v>523</v>
      </c>
      <c r="F2756" s="125" t="str">
        <f t="shared" si="147"/>
        <v/>
      </c>
      <c r="G2756" s="126" t="e">
        <f>IF(A2756&lt;&gt;"",IF(AND(#REF!="Padrão",$H$4=#REF!),BDI!$B$17,IF(AND(#REF!="Padrão",$H$4=#REF!),BDI!#REF!,IF(AND(#REF!="Diferenciado",$H$4=#REF!),BDI!$E$17,IF(AND(#REF!="Diferenciado",$H$4=#REF!),BDI!#REF!,IF(#REF!="ZERO",0))))),"")</f>
        <v>#REF!</v>
      </c>
      <c r="H2756" s="127" t="str">
        <f t="shared" si="148"/>
        <v/>
      </c>
      <c r="I2756" s="125" t="str">
        <f t="shared" si="149"/>
        <v/>
      </c>
    </row>
    <row r="2757" spans="1:9" hidden="1" x14ac:dyDescent="0.25">
      <c r="A2757" s="103" t="s">
        <v>6858</v>
      </c>
      <c r="B2757" s="104" t="s">
        <v>6859</v>
      </c>
      <c r="C2757" s="105" t="s">
        <v>20</v>
      </c>
      <c r="D2757" s="105">
        <v>0</v>
      </c>
      <c r="E2757" s="124">
        <f ca="1">OFFSET(INDEX(Composições!A:J,MATCH(Orçamentária!A2757,Composições!A:A,0),8),2,0)</f>
        <v>67.183999999999997</v>
      </c>
      <c r="F2757" s="125">
        <f t="shared" ca="1" si="147"/>
        <v>0</v>
      </c>
      <c r="G2757" s="126" t="e">
        <f>IF(A2757&lt;&gt;"",IF(AND(#REF!="Padrão",$H$4=#REF!),BDI!$B$17,IF(AND(#REF!="Padrão",$H$4=#REF!),BDI!#REF!,IF(AND(#REF!="Diferenciado",$H$4=#REF!),BDI!$E$17,IF(AND(#REF!="Diferenciado",$H$4=#REF!),BDI!#REF!,IF(#REF!="ZERO",0))))),"")</f>
        <v>#REF!</v>
      </c>
      <c r="H2757" s="127" t="e">
        <f t="shared" ca="1" si="148"/>
        <v>#REF!</v>
      </c>
      <c r="I2757" s="125" t="e">
        <f t="shared" ca="1" si="149"/>
        <v>#REF!</v>
      </c>
    </row>
    <row r="2758" spans="1:9" hidden="1" x14ac:dyDescent="0.25">
      <c r="A2758" s="103" t="s">
        <v>6860</v>
      </c>
      <c r="B2758" s="104" t="s">
        <v>6861</v>
      </c>
      <c r="C2758" s="105" t="s">
        <v>20</v>
      </c>
      <c r="D2758" s="105">
        <v>0</v>
      </c>
      <c r="E2758" s="124" t="s">
        <v>523</v>
      </c>
      <c r="F2758" s="125" t="str">
        <f t="shared" si="147"/>
        <v/>
      </c>
      <c r="G2758" s="126" t="e">
        <f>IF(A2758&lt;&gt;"",IF(AND(#REF!="Padrão",$H$4=#REF!),BDI!$B$17,IF(AND(#REF!="Padrão",$H$4=#REF!),BDI!#REF!,IF(AND(#REF!="Diferenciado",$H$4=#REF!),BDI!$E$17,IF(AND(#REF!="Diferenciado",$H$4=#REF!),BDI!#REF!,IF(#REF!="ZERO",0))))),"")</f>
        <v>#REF!</v>
      </c>
      <c r="H2758" s="127" t="str">
        <f t="shared" si="148"/>
        <v/>
      </c>
      <c r="I2758" s="125" t="str">
        <f t="shared" si="149"/>
        <v/>
      </c>
    </row>
    <row r="2759" spans="1:9" hidden="1" x14ac:dyDescent="0.25">
      <c r="A2759" s="103" t="s">
        <v>6862</v>
      </c>
      <c r="B2759" s="104" t="s">
        <v>3475</v>
      </c>
      <c r="C2759" s="105" t="s">
        <v>20</v>
      </c>
      <c r="D2759" s="105">
        <v>0</v>
      </c>
      <c r="E2759" s="124" t="s">
        <v>523</v>
      </c>
      <c r="F2759" s="125" t="str">
        <f t="shared" si="147"/>
        <v/>
      </c>
      <c r="G2759" s="126" t="e">
        <f>IF(A2759&lt;&gt;"",IF(AND(#REF!="Padrão",$H$4=#REF!),BDI!$B$17,IF(AND(#REF!="Padrão",$H$4=#REF!),BDI!#REF!,IF(AND(#REF!="Diferenciado",$H$4=#REF!),BDI!$E$17,IF(AND(#REF!="Diferenciado",$H$4=#REF!),BDI!#REF!,IF(#REF!="ZERO",0))))),"")</f>
        <v>#REF!</v>
      </c>
      <c r="H2759" s="127" t="str">
        <f t="shared" si="148"/>
        <v/>
      </c>
      <c r="I2759" s="125" t="str">
        <f t="shared" si="149"/>
        <v/>
      </c>
    </row>
    <row r="2760" spans="1:9" hidden="1" x14ac:dyDescent="0.25">
      <c r="A2760" s="103" t="s">
        <v>6863</v>
      </c>
      <c r="B2760" s="104" t="s">
        <v>6864</v>
      </c>
      <c r="C2760" s="105" t="s">
        <v>20</v>
      </c>
      <c r="D2760" s="105">
        <v>0</v>
      </c>
      <c r="E2760" s="124" t="s">
        <v>523</v>
      </c>
      <c r="F2760" s="125" t="str">
        <f t="shared" si="147"/>
        <v/>
      </c>
      <c r="G2760" s="126" t="e">
        <f>IF(A2760&lt;&gt;"",IF(AND(#REF!="Padrão",$H$4=#REF!),BDI!$B$17,IF(AND(#REF!="Padrão",$H$4=#REF!),BDI!#REF!,IF(AND(#REF!="Diferenciado",$H$4=#REF!),BDI!$E$17,IF(AND(#REF!="Diferenciado",$H$4=#REF!),BDI!#REF!,IF(#REF!="ZERO",0))))),"")</f>
        <v>#REF!</v>
      </c>
      <c r="H2760" s="127" t="str">
        <f t="shared" si="148"/>
        <v/>
      </c>
      <c r="I2760" s="125" t="str">
        <f t="shared" si="149"/>
        <v/>
      </c>
    </row>
    <row r="2761" spans="1:9" hidden="1" x14ac:dyDescent="0.25">
      <c r="A2761" s="103" t="s">
        <v>6865</v>
      </c>
      <c r="B2761" s="104" t="s">
        <v>6866</v>
      </c>
      <c r="C2761" s="105" t="s">
        <v>20</v>
      </c>
      <c r="D2761" s="105">
        <v>0</v>
      </c>
      <c r="E2761" s="124" t="s">
        <v>523</v>
      </c>
      <c r="F2761" s="125" t="str">
        <f t="shared" si="147"/>
        <v/>
      </c>
      <c r="G2761" s="126" t="e">
        <f>IF(A2761&lt;&gt;"",IF(AND(#REF!="Padrão",$H$4=#REF!),BDI!$B$17,IF(AND(#REF!="Padrão",$H$4=#REF!),BDI!#REF!,IF(AND(#REF!="Diferenciado",$H$4=#REF!),BDI!$E$17,IF(AND(#REF!="Diferenciado",$H$4=#REF!),BDI!#REF!,IF(#REF!="ZERO",0))))),"")</f>
        <v>#REF!</v>
      </c>
      <c r="H2761" s="127" t="str">
        <f t="shared" si="148"/>
        <v/>
      </c>
      <c r="I2761" s="125" t="str">
        <f t="shared" si="149"/>
        <v/>
      </c>
    </row>
    <row r="2762" spans="1:9" hidden="1" x14ac:dyDescent="0.25">
      <c r="A2762" s="103" t="s">
        <v>6867</v>
      </c>
      <c r="B2762" s="104" t="s">
        <v>6868</v>
      </c>
      <c r="C2762" s="105" t="s">
        <v>20</v>
      </c>
      <c r="D2762" s="105">
        <v>0</v>
      </c>
      <c r="E2762" s="124" t="s">
        <v>523</v>
      </c>
      <c r="F2762" s="125" t="str">
        <f t="shared" si="147"/>
        <v/>
      </c>
      <c r="G2762" s="126" t="e">
        <f>IF(A2762&lt;&gt;"",IF(AND(#REF!="Padrão",$H$4=#REF!),BDI!$B$17,IF(AND(#REF!="Padrão",$H$4=#REF!),BDI!#REF!,IF(AND(#REF!="Diferenciado",$H$4=#REF!),BDI!$E$17,IF(AND(#REF!="Diferenciado",$H$4=#REF!),BDI!#REF!,IF(#REF!="ZERO",0))))),"")</f>
        <v>#REF!</v>
      </c>
      <c r="H2762" s="127" t="str">
        <f t="shared" si="148"/>
        <v/>
      </c>
      <c r="I2762" s="125" t="str">
        <f t="shared" si="149"/>
        <v/>
      </c>
    </row>
    <row r="2763" spans="1:9" hidden="1" x14ac:dyDescent="0.25">
      <c r="A2763" s="103" t="s">
        <v>6869</v>
      </c>
      <c r="B2763" s="104" t="s">
        <v>6870</v>
      </c>
      <c r="C2763" s="105" t="s">
        <v>20</v>
      </c>
      <c r="D2763" s="105">
        <v>0</v>
      </c>
      <c r="E2763" s="124" t="s">
        <v>523</v>
      </c>
      <c r="F2763" s="125" t="str">
        <f t="shared" si="147"/>
        <v/>
      </c>
      <c r="G2763" s="126" t="e">
        <f>IF(A2763&lt;&gt;"",IF(AND(#REF!="Padrão",$H$4=#REF!),BDI!$B$17,IF(AND(#REF!="Padrão",$H$4=#REF!),BDI!#REF!,IF(AND(#REF!="Diferenciado",$H$4=#REF!),BDI!$E$17,IF(AND(#REF!="Diferenciado",$H$4=#REF!),BDI!#REF!,IF(#REF!="ZERO",0))))),"")</f>
        <v>#REF!</v>
      </c>
      <c r="H2763" s="127" t="str">
        <f t="shared" si="148"/>
        <v/>
      </c>
      <c r="I2763" s="125" t="str">
        <f t="shared" si="149"/>
        <v/>
      </c>
    </row>
    <row r="2764" spans="1:9" hidden="1" x14ac:dyDescent="0.25">
      <c r="A2764" s="103" t="s">
        <v>6871</v>
      </c>
      <c r="B2764" s="104" t="s">
        <v>1666</v>
      </c>
      <c r="C2764" s="105" t="s">
        <v>20</v>
      </c>
      <c r="D2764" s="105">
        <v>0</v>
      </c>
      <c r="E2764" s="124" t="s">
        <v>523</v>
      </c>
      <c r="F2764" s="125" t="str">
        <f t="shared" si="147"/>
        <v/>
      </c>
      <c r="G2764" s="126" t="e">
        <f>IF(A2764&lt;&gt;"",IF(AND(#REF!="Padrão",$H$4=#REF!),BDI!$B$17,IF(AND(#REF!="Padrão",$H$4=#REF!),BDI!#REF!,IF(AND(#REF!="Diferenciado",$H$4=#REF!),BDI!$E$17,IF(AND(#REF!="Diferenciado",$H$4=#REF!),BDI!#REF!,IF(#REF!="ZERO",0))))),"")</f>
        <v>#REF!</v>
      </c>
      <c r="H2764" s="127" t="str">
        <f t="shared" si="148"/>
        <v/>
      </c>
      <c r="I2764" s="125" t="str">
        <f t="shared" si="149"/>
        <v/>
      </c>
    </row>
    <row r="2765" spans="1:9" hidden="1" x14ac:dyDescent="0.25">
      <c r="A2765" s="103" t="s">
        <v>6872</v>
      </c>
      <c r="B2765" s="104" t="s">
        <v>6277</v>
      </c>
      <c r="C2765" s="105" t="s">
        <v>20</v>
      </c>
      <c r="D2765" s="105">
        <v>0</v>
      </c>
      <c r="E2765" s="124">
        <f ca="1">OFFSET(INDEX(Composições!A:J,MATCH(Orçamentária!A2765,Composições!A:A,0),8),2,0)</f>
        <v>102.9515</v>
      </c>
      <c r="F2765" s="125">
        <f t="shared" ca="1" si="147"/>
        <v>0</v>
      </c>
      <c r="G2765" s="126" t="e">
        <f>IF(A2765&lt;&gt;"",IF(AND(#REF!="Padrão",$H$4=#REF!),BDI!$B$17,IF(AND(#REF!="Padrão",$H$4=#REF!),BDI!#REF!,IF(AND(#REF!="Diferenciado",$H$4=#REF!),BDI!$E$17,IF(AND(#REF!="Diferenciado",$H$4=#REF!),BDI!#REF!,IF(#REF!="ZERO",0))))),"")</f>
        <v>#REF!</v>
      </c>
      <c r="H2765" s="127" t="e">
        <f t="shared" ca="1" si="148"/>
        <v>#REF!</v>
      </c>
      <c r="I2765" s="125" t="e">
        <f t="shared" ca="1" si="149"/>
        <v>#REF!</v>
      </c>
    </row>
    <row r="2766" spans="1:9" hidden="1" x14ac:dyDescent="0.25">
      <c r="A2766" s="103" t="s">
        <v>6873</v>
      </c>
      <c r="B2766" s="104" t="s">
        <v>1667</v>
      </c>
      <c r="C2766" s="105" t="s">
        <v>20</v>
      </c>
      <c r="D2766" s="105">
        <v>0</v>
      </c>
      <c r="E2766" s="124" t="s">
        <v>523</v>
      </c>
      <c r="F2766" s="125" t="str">
        <f t="shared" si="147"/>
        <v/>
      </c>
      <c r="G2766" s="126" t="e">
        <f>IF(A2766&lt;&gt;"",IF(AND(#REF!="Padrão",$H$4=#REF!),BDI!$B$17,IF(AND(#REF!="Padrão",$H$4=#REF!),BDI!#REF!,IF(AND(#REF!="Diferenciado",$H$4=#REF!),BDI!$E$17,IF(AND(#REF!="Diferenciado",$H$4=#REF!),BDI!#REF!,IF(#REF!="ZERO",0))))),"")</f>
        <v>#REF!</v>
      </c>
      <c r="H2766" s="127" t="str">
        <f t="shared" si="148"/>
        <v/>
      </c>
      <c r="I2766" s="125" t="str">
        <f t="shared" si="149"/>
        <v/>
      </c>
    </row>
    <row r="2767" spans="1:9" hidden="1" x14ac:dyDescent="0.25">
      <c r="A2767" s="103" t="s">
        <v>6874</v>
      </c>
      <c r="B2767" s="104" t="s">
        <v>6281</v>
      </c>
      <c r="C2767" s="105" t="s">
        <v>20</v>
      </c>
      <c r="D2767" s="105">
        <v>0</v>
      </c>
      <c r="E2767" s="124" t="s">
        <v>523</v>
      </c>
      <c r="F2767" s="125" t="str">
        <f t="shared" si="147"/>
        <v/>
      </c>
      <c r="G2767" s="126" t="e">
        <f>IF(A2767&lt;&gt;"",IF(AND(#REF!="Padrão",$H$4=#REF!),BDI!$B$17,IF(AND(#REF!="Padrão",$H$4=#REF!),BDI!#REF!,IF(AND(#REF!="Diferenciado",$H$4=#REF!),BDI!$E$17,IF(AND(#REF!="Diferenciado",$H$4=#REF!),BDI!#REF!,IF(#REF!="ZERO",0))))),"")</f>
        <v>#REF!</v>
      </c>
      <c r="H2767" s="127" t="str">
        <f t="shared" si="148"/>
        <v/>
      </c>
      <c r="I2767" s="125" t="str">
        <f t="shared" si="149"/>
        <v/>
      </c>
    </row>
    <row r="2768" spans="1:9" hidden="1" x14ac:dyDescent="0.25">
      <c r="A2768" s="103" t="s">
        <v>6875</v>
      </c>
      <c r="B2768" s="104" t="s">
        <v>6282</v>
      </c>
      <c r="C2768" s="105" t="s">
        <v>20</v>
      </c>
      <c r="D2768" s="105">
        <v>0</v>
      </c>
      <c r="E2768" s="124" t="s">
        <v>523</v>
      </c>
      <c r="F2768" s="125" t="str">
        <f t="shared" si="147"/>
        <v/>
      </c>
      <c r="G2768" s="126" t="e">
        <f>IF(A2768&lt;&gt;"",IF(AND(#REF!="Padrão",$H$4=#REF!),BDI!$B$17,IF(AND(#REF!="Padrão",$H$4=#REF!),BDI!#REF!,IF(AND(#REF!="Diferenciado",$H$4=#REF!),BDI!$E$17,IF(AND(#REF!="Diferenciado",$H$4=#REF!),BDI!#REF!,IF(#REF!="ZERO",0))))),"")</f>
        <v>#REF!</v>
      </c>
      <c r="H2768" s="127" t="str">
        <f t="shared" si="148"/>
        <v/>
      </c>
      <c r="I2768" s="125" t="str">
        <f t="shared" si="149"/>
        <v/>
      </c>
    </row>
    <row r="2769" spans="1:9" hidden="1" x14ac:dyDescent="0.25">
      <c r="A2769" s="103" t="s">
        <v>6876</v>
      </c>
      <c r="B2769" s="104" t="s">
        <v>6877</v>
      </c>
      <c r="C2769" s="105" t="s">
        <v>20</v>
      </c>
      <c r="D2769" s="105">
        <v>0</v>
      </c>
      <c r="E2769" s="124" t="s">
        <v>523</v>
      </c>
      <c r="F2769" s="125" t="str">
        <f t="shared" si="147"/>
        <v/>
      </c>
      <c r="G2769" s="126" t="e">
        <f>IF(A2769&lt;&gt;"",IF(AND(#REF!="Padrão",$H$4=#REF!),BDI!$B$17,IF(AND(#REF!="Padrão",$H$4=#REF!),BDI!#REF!,IF(AND(#REF!="Diferenciado",$H$4=#REF!),BDI!$E$17,IF(AND(#REF!="Diferenciado",$H$4=#REF!),BDI!#REF!,IF(#REF!="ZERO",0))))),"")</f>
        <v>#REF!</v>
      </c>
      <c r="H2769" s="127" t="str">
        <f t="shared" si="148"/>
        <v/>
      </c>
      <c r="I2769" s="125" t="str">
        <f t="shared" si="149"/>
        <v/>
      </c>
    </row>
    <row r="2770" spans="1:9" hidden="1" x14ac:dyDescent="0.25">
      <c r="A2770" s="103" t="s">
        <v>6878</v>
      </c>
      <c r="B2770" s="104" t="s">
        <v>6879</v>
      </c>
      <c r="C2770" s="105" t="s">
        <v>20</v>
      </c>
      <c r="D2770" s="105">
        <v>0</v>
      </c>
      <c r="E2770" s="124" t="s">
        <v>523</v>
      </c>
      <c r="F2770" s="125" t="str">
        <f t="shared" si="147"/>
        <v/>
      </c>
      <c r="G2770" s="126" t="e">
        <f>IF(A2770&lt;&gt;"",IF(AND(#REF!="Padrão",$H$4=#REF!),BDI!$B$17,IF(AND(#REF!="Padrão",$H$4=#REF!),BDI!#REF!,IF(AND(#REF!="Diferenciado",$H$4=#REF!),BDI!$E$17,IF(AND(#REF!="Diferenciado",$H$4=#REF!),BDI!#REF!,IF(#REF!="ZERO",0))))),"")</f>
        <v>#REF!</v>
      </c>
      <c r="H2770" s="127" t="str">
        <f t="shared" si="148"/>
        <v/>
      </c>
      <c r="I2770" s="125" t="str">
        <f t="shared" si="149"/>
        <v/>
      </c>
    </row>
    <row r="2771" spans="1:9" hidden="1" x14ac:dyDescent="0.25">
      <c r="A2771" s="103" t="s">
        <v>6880</v>
      </c>
      <c r="B2771" s="104" t="s">
        <v>6881</v>
      </c>
      <c r="C2771" s="105" t="s">
        <v>20</v>
      </c>
      <c r="D2771" s="105">
        <v>0</v>
      </c>
      <c r="E2771" s="124" t="s">
        <v>523</v>
      </c>
      <c r="F2771" s="125" t="str">
        <f t="shared" si="147"/>
        <v/>
      </c>
      <c r="G2771" s="126" t="e">
        <f>IF(A2771&lt;&gt;"",IF(AND(#REF!="Padrão",$H$4=#REF!),BDI!$B$17,IF(AND(#REF!="Padrão",$H$4=#REF!),BDI!#REF!,IF(AND(#REF!="Diferenciado",$H$4=#REF!),BDI!$E$17,IF(AND(#REF!="Diferenciado",$H$4=#REF!),BDI!#REF!,IF(#REF!="ZERO",0))))),"")</f>
        <v>#REF!</v>
      </c>
      <c r="H2771" s="127" t="str">
        <f t="shared" si="148"/>
        <v/>
      </c>
      <c r="I2771" s="125" t="str">
        <f t="shared" si="149"/>
        <v/>
      </c>
    </row>
    <row r="2772" spans="1:9" hidden="1" x14ac:dyDescent="0.25">
      <c r="A2772" s="103" t="s">
        <v>6882</v>
      </c>
      <c r="B2772" s="104" t="s">
        <v>6883</v>
      </c>
      <c r="C2772" s="105" t="s">
        <v>20</v>
      </c>
      <c r="D2772" s="105">
        <v>0</v>
      </c>
      <c r="E2772" s="124" t="s">
        <v>523</v>
      </c>
      <c r="F2772" s="125" t="str">
        <f t="shared" si="147"/>
        <v/>
      </c>
      <c r="G2772" s="126" t="e">
        <f>IF(A2772&lt;&gt;"",IF(AND(#REF!="Padrão",$H$4=#REF!),BDI!$B$17,IF(AND(#REF!="Padrão",$H$4=#REF!),BDI!#REF!,IF(AND(#REF!="Diferenciado",$H$4=#REF!),BDI!$E$17,IF(AND(#REF!="Diferenciado",$H$4=#REF!),BDI!#REF!,IF(#REF!="ZERO",0))))),"")</f>
        <v>#REF!</v>
      </c>
      <c r="H2772" s="127" t="str">
        <f t="shared" si="148"/>
        <v/>
      </c>
      <c r="I2772" s="125" t="str">
        <f t="shared" si="149"/>
        <v/>
      </c>
    </row>
    <row r="2773" spans="1:9" hidden="1" x14ac:dyDescent="0.25">
      <c r="A2773" s="103" t="s">
        <v>6884</v>
      </c>
      <c r="B2773" s="104" t="s">
        <v>6885</v>
      </c>
      <c r="C2773" s="105" t="s">
        <v>20</v>
      </c>
      <c r="D2773" s="105">
        <v>0</v>
      </c>
      <c r="E2773" s="124" t="s">
        <v>523</v>
      </c>
      <c r="F2773" s="125" t="str">
        <f t="shared" si="147"/>
        <v/>
      </c>
      <c r="G2773" s="126" t="e">
        <f>IF(A2773&lt;&gt;"",IF(AND(#REF!="Padrão",$H$4=#REF!),BDI!$B$17,IF(AND(#REF!="Padrão",$H$4=#REF!),BDI!#REF!,IF(AND(#REF!="Diferenciado",$H$4=#REF!),BDI!$E$17,IF(AND(#REF!="Diferenciado",$H$4=#REF!),BDI!#REF!,IF(#REF!="ZERO",0))))),"")</f>
        <v>#REF!</v>
      </c>
      <c r="H2773" s="127" t="str">
        <f t="shared" si="148"/>
        <v/>
      </c>
      <c r="I2773" s="125" t="str">
        <f t="shared" si="149"/>
        <v/>
      </c>
    </row>
    <row r="2774" spans="1:9" hidden="1" x14ac:dyDescent="0.25">
      <c r="A2774" s="103" t="s">
        <v>6886</v>
      </c>
      <c r="B2774" s="104" t="s">
        <v>6887</v>
      </c>
      <c r="C2774" s="105" t="s">
        <v>20</v>
      </c>
      <c r="D2774" s="105">
        <v>0</v>
      </c>
      <c r="E2774" s="124" t="s">
        <v>523</v>
      </c>
      <c r="F2774" s="125" t="str">
        <f t="shared" si="147"/>
        <v/>
      </c>
      <c r="G2774" s="126" t="e">
        <f>IF(A2774&lt;&gt;"",IF(AND(#REF!="Padrão",$H$4=#REF!),BDI!$B$17,IF(AND(#REF!="Padrão",$H$4=#REF!),BDI!#REF!,IF(AND(#REF!="Diferenciado",$H$4=#REF!),BDI!$E$17,IF(AND(#REF!="Diferenciado",$H$4=#REF!),BDI!#REF!,IF(#REF!="ZERO",0))))),"")</f>
        <v>#REF!</v>
      </c>
      <c r="H2774" s="127" t="str">
        <f t="shared" si="148"/>
        <v/>
      </c>
      <c r="I2774" s="125" t="str">
        <f t="shared" si="149"/>
        <v/>
      </c>
    </row>
    <row r="2775" spans="1:9" hidden="1" x14ac:dyDescent="0.25">
      <c r="A2775" s="103" t="s">
        <v>6888</v>
      </c>
      <c r="B2775" s="104" t="s">
        <v>1662</v>
      </c>
      <c r="C2775" s="105" t="s">
        <v>20</v>
      </c>
      <c r="D2775" s="105">
        <v>0</v>
      </c>
      <c r="E2775" s="124" t="s">
        <v>523</v>
      </c>
      <c r="F2775" s="125" t="str">
        <f t="shared" ref="F2775:F2838" si="150">IF(ISNUMBER(E2775),D2775*E2775,"")</f>
        <v/>
      </c>
      <c r="G2775" s="126" t="e">
        <f>IF(A2775&lt;&gt;"",IF(AND(#REF!="Padrão",$H$4=#REF!),BDI!$B$17,IF(AND(#REF!="Padrão",$H$4=#REF!),BDI!#REF!,IF(AND(#REF!="Diferenciado",$H$4=#REF!),BDI!$E$17,IF(AND(#REF!="Diferenciado",$H$4=#REF!),BDI!#REF!,IF(#REF!="ZERO",0))))),"")</f>
        <v>#REF!</v>
      </c>
      <c r="H2775" s="127" t="str">
        <f t="shared" ref="H2775:H2838" si="151">IF(ISNUMBER(E2775),ROUND(E2775*(1+G2775),2),"")</f>
        <v/>
      </c>
      <c r="I2775" s="125" t="str">
        <f t="shared" ref="I2775:I2838" si="152">IF(ISNUMBER(E2775),ROUND(H2775*D2775,2),"")</f>
        <v/>
      </c>
    </row>
    <row r="2776" spans="1:9" hidden="1" x14ac:dyDescent="0.25">
      <c r="A2776" s="103" t="s">
        <v>6889</v>
      </c>
      <c r="B2776" s="104" t="s">
        <v>1661</v>
      </c>
      <c r="C2776" s="105" t="s">
        <v>20</v>
      </c>
      <c r="D2776" s="105">
        <v>0</v>
      </c>
      <c r="E2776" s="124" t="s">
        <v>523</v>
      </c>
      <c r="F2776" s="125" t="str">
        <f t="shared" si="150"/>
        <v/>
      </c>
      <c r="G2776" s="126" t="e">
        <f>IF(A2776&lt;&gt;"",IF(AND(#REF!="Padrão",$H$4=#REF!),BDI!$B$17,IF(AND(#REF!="Padrão",$H$4=#REF!),BDI!#REF!,IF(AND(#REF!="Diferenciado",$H$4=#REF!),BDI!$E$17,IF(AND(#REF!="Diferenciado",$H$4=#REF!),BDI!#REF!,IF(#REF!="ZERO",0))))),"")</f>
        <v>#REF!</v>
      </c>
      <c r="H2776" s="127" t="str">
        <f t="shared" si="151"/>
        <v/>
      </c>
      <c r="I2776" s="125" t="str">
        <f t="shared" si="152"/>
        <v/>
      </c>
    </row>
    <row r="2777" spans="1:9" hidden="1" x14ac:dyDescent="0.25">
      <c r="A2777" s="103" t="s">
        <v>6890</v>
      </c>
      <c r="B2777" s="104" t="s">
        <v>6891</v>
      </c>
      <c r="C2777" s="105" t="s">
        <v>20</v>
      </c>
      <c r="D2777" s="105">
        <v>0</v>
      </c>
      <c r="E2777" s="124" t="s">
        <v>523</v>
      </c>
      <c r="F2777" s="125" t="str">
        <f t="shared" si="150"/>
        <v/>
      </c>
      <c r="G2777" s="126" t="e">
        <f>IF(A2777&lt;&gt;"",IF(AND(#REF!="Padrão",$H$4=#REF!),BDI!$B$17,IF(AND(#REF!="Padrão",$H$4=#REF!),BDI!#REF!,IF(AND(#REF!="Diferenciado",$H$4=#REF!),BDI!$E$17,IF(AND(#REF!="Diferenciado",$H$4=#REF!),BDI!#REF!,IF(#REF!="ZERO",0))))),"")</f>
        <v>#REF!</v>
      </c>
      <c r="H2777" s="127" t="str">
        <f t="shared" si="151"/>
        <v/>
      </c>
      <c r="I2777" s="125" t="str">
        <f t="shared" si="152"/>
        <v/>
      </c>
    </row>
    <row r="2778" spans="1:9" hidden="1" x14ac:dyDescent="0.25">
      <c r="A2778" s="103" t="s">
        <v>6892</v>
      </c>
      <c r="B2778" s="104" t="s">
        <v>1685</v>
      </c>
      <c r="C2778" s="105" t="s">
        <v>20</v>
      </c>
      <c r="D2778" s="105">
        <v>0</v>
      </c>
      <c r="E2778" s="124" t="s">
        <v>523</v>
      </c>
      <c r="F2778" s="125" t="str">
        <f t="shared" si="150"/>
        <v/>
      </c>
      <c r="G2778" s="126" t="e">
        <f>IF(A2778&lt;&gt;"",IF(AND(#REF!="Padrão",$H$4=#REF!),BDI!$B$17,IF(AND(#REF!="Padrão",$H$4=#REF!),BDI!#REF!,IF(AND(#REF!="Diferenciado",$H$4=#REF!),BDI!$E$17,IF(AND(#REF!="Diferenciado",$H$4=#REF!),BDI!#REF!,IF(#REF!="ZERO",0))))),"")</f>
        <v>#REF!</v>
      </c>
      <c r="H2778" s="127" t="str">
        <f t="shared" si="151"/>
        <v/>
      </c>
      <c r="I2778" s="125" t="str">
        <f t="shared" si="152"/>
        <v/>
      </c>
    </row>
    <row r="2779" spans="1:9" hidden="1" x14ac:dyDescent="0.25">
      <c r="A2779" s="103" t="s">
        <v>6893</v>
      </c>
      <c r="B2779" s="104" t="s">
        <v>6894</v>
      </c>
      <c r="C2779" s="105" t="s">
        <v>20</v>
      </c>
      <c r="D2779" s="105">
        <v>0</v>
      </c>
      <c r="E2779" s="124" t="s">
        <v>523</v>
      </c>
      <c r="F2779" s="125" t="str">
        <f t="shared" si="150"/>
        <v/>
      </c>
      <c r="G2779" s="126" t="e">
        <f>IF(A2779&lt;&gt;"",IF(AND(#REF!="Padrão",$H$4=#REF!),BDI!$B$17,IF(AND(#REF!="Padrão",$H$4=#REF!),BDI!#REF!,IF(AND(#REF!="Diferenciado",$H$4=#REF!),BDI!$E$17,IF(AND(#REF!="Diferenciado",$H$4=#REF!),BDI!#REF!,IF(#REF!="ZERO",0))))),"")</f>
        <v>#REF!</v>
      </c>
      <c r="H2779" s="127" t="str">
        <f t="shared" si="151"/>
        <v/>
      </c>
      <c r="I2779" s="125" t="str">
        <f t="shared" si="152"/>
        <v/>
      </c>
    </row>
    <row r="2780" spans="1:9" hidden="1" x14ac:dyDescent="0.25">
      <c r="A2780" s="103" t="s">
        <v>6895</v>
      </c>
      <c r="B2780" s="104" t="s">
        <v>6896</v>
      </c>
      <c r="C2780" s="105" t="s">
        <v>20</v>
      </c>
      <c r="D2780" s="105">
        <v>0</v>
      </c>
      <c r="E2780" s="124" t="s">
        <v>523</v>
      </c>
      <c r="F2780" s="125" t="str">
        <f t="shared" si="150"/>
        <v/>
      </c>
      <c r="G2780" s="126" t="e">
        <f>IF(A2780&lt;&gt;"",IF(AND(#REF!="Padrão",$H$4=#REF!),BDI!$B$17,IF(AND(#REF!="Padrão",$H$4=#REF!),BDI!#REF!,IF(AND(#REF!="Diferenciado",$H$4=#REF!),BDI!$E$17,IF(AND(#REF!="Diferenciado",$H$4=#REF!),BDI!#REF!,IF(#REF!="ZERO",0))))),"")</f>
        <v>#REF!</v>
      </c>
      <c r="H2780" s="127" t="str">
        <f t="shared" si="151"/>
        <v/>
      </c>
      <c r="I2780" s="125" t="str">
        <f t="shared" si="152"/>
        <v/>
      </c>
    </row>
    <row r="2781" spans="1:9" hidden="1" x14ac:dyDescent="0.25">
      <c r="A2781" s="103" t="s">
        <v>6897</v>
      </c>
      <c r="B2781" s="104" t="s">
        <v>6898</v>
      </c>
      <c r="C2781" s="105" t="s">
        <v>20</v>
      </c>
      <c r="D2781" s="105">
        <v>0</v>
      </c>
      <c r="E2781" s="124" t="s">
        <v>523</v>
      </c>
      <c r="F2781" s="125" t="str">
        <f t="shared" si="150"/>
        <v/>
      </c>
      <c r="G2781" s="126" t="e">
        <f>IF(A2781&lt;&gt;"",IF(AND(#REF!="Padrão",$H$4=#REF!),BDI!$B$17,IF(AND(#REF!="Padrão",$H$4=#REF!),BDI!#REF!,IF(AND(#REF!="Diferenciado",$H$4=#REF!),BDI!$E$17,IF(AND(#REF!="Diferenciado",$H$4=#REF!),BDI!#REF!,IF(#REF!="ZERO",0))))),"")</f>
        <v>#REF!</v>
      </c>
      <c r="H2781" s="127" t="str">
        <f t="shared" si="151"/>
        <v/>
      </c>
      <c r="I2781" s="125" t="str">
        <f t="shared" si="152"/>
        <v/>
      </c>
    </row>
    <row r="2782" spans="1:9" hidden="1" x14ac:dyDescent="0.25">
      <c r="A2782" s="103" t="s">
        <v>6899</v>
      </c>
      <c r="B2782" s="104" t="s">
        <v>6900</v>
      </c>
      <c r="C2782" s="105" t="s">
        <v>20</v>
      </c>
      <c r="D2782" s="105">
        <v>0</v>
      </c>
      <c r="E2782" s="124" t="s">
        <v>523</v>
      </c>
      <c r="F2782" s="125" t="str">
        <f t="shared" si="150"/>
        <v/>
      </c>
      <c r="G2782" s="126" t="e">
        <f>IF(A2782&lt;&gt;"",IF(AND(#REF!="Padrão",$H$4=#REF!),BDI!$B$17,IF(AND(#REF!="Padrão",$H$4=#REF!),BDI!#REF!,IF(AND(#REF!="Diferenciado",$H$4=#REF!),BDI!$E$17,IF(AND(#REF!="Diferenciado",$H$4=#REF!),BDI!#REF!,IF(#REF!="ZERO",0))))),"")</f>
        <v>#REF!</v>
      </c>
      <c r="H2782" s="127" t="str">
        <f t="shared" si="151"/>
        <v/>
      </c>
      <c r="I2782" s="125" t="str">
        <f t="shared" si="152"/>
        <v/>
      </c>
    </row>
    <row r="2783" spans="1:9" hidden="1" x14ac:dyDescent="0.25">
      <c r="A2783" s="103" t="s">
        <v>6901</v>
      </c>
      <c r="B2783" s="104" t="s">
        <v>6902</v>
      </c>
      <c r="C2783" s="105" t="s">
        <v>20</v>
      </c>
      <c r="D2783" s="105">
        <v>0</v>
      </c>
      <c r="E2783" s="124">
        <f ca="1">OFFSET(INDEX(Composições!A:J,MATCH(Orçamentária!A2783,Composições!A:A,0),8),2,0)</f>
        <v>101.77349999999998</v>
      </c>
      <c r="F2783" s="125">
        <f t="shared" ca="1" si="150"/>
        <v>0</v>
      </c>
      <c r="G2783" s="126" t="e">
        <f>IF(A2783&lt;&gt;"",IF(AND(#REF!="Padrão",$H$4=#REF!),BDI!$B$17,IF(AND(#REF!="Padrão",$H$4=#REF!),BDI!#REF!,IF(AND(#REF!="Diferenciado",$H$4=#REF!),BDI!$E$17,IF(AND(#REF!="Diferenciado",$H$4=#REF!),BDI!#REF!,IF(#REF!="ZERO",0))))),"")</f>
        <v>#REF!</v>
      </c>
      <c r="H2783" s="127" t="e">
        <f t="shared" ca="1" si="151"/>
        <v>#REF!</v>
      </c>
      <c r="I2783" s="125" t="e">
        <f t="shared" ca="1" si="152"/>
        <v>#REF!</v>
      </c>
    </row>
    <row r="2784" spans="1:9" hidden="1" x14ac:dyDescent="0.25">
      <c r="A2784" s="103" t="s">
        <v>6903</v>
      </c>
      <c r="B2784" s="104" t="s">
        <v>6904</v>
      </c>
      <c r="C2784" s="105" t="s">
        <v>20</v>
      </c>
      <c r="D2784" s="105">
        <v>0</v>
      </c>
      <c r="E2784" s="124" t="s">
        <v>523</v>
      </c>
      <c r="F2784" s="125" t="str">
        <f t="shared" si="150"/>
        <v/>
      </c>
      <c r="G2784" s="126" t="e">
        <f>IF(A2784&lt;&gt;"",IF(AND(#REF!="Padrão",$H$4=#REF!),BDI!$B$17,IF(AND(#REF!="Padrão",$H$4=#REF!),BDI!#REF!,IF(AND(#REF!="Diferenciado",$H$4=#REF!),BDI!$E$17,IF(AND(#REF!="Diferenciado",$H$4=#REF!),BDI!#REF!,IF(#REF!="ZERO",0))))),"")</f>
        <v>#REF!</v>
      </c>
      <c r="H2784" s="127" t="str">
        <f t="shared" si="151"/>
        <v/>
      </c>
      <c r="I2784" s="125" t="str">
        <f t="shared" si="152"/>
        <v/>
      </c>
    </row>
    <row r="2785" spans="1:9" hidden="1" x14ac:dyDescent="0.25">
      <c r="A2785" s="103" t="s">
        <v>6905</v>
      </c>
      <c r="B2785" s="104" t="s">
        <v>6906</v>
      </c>
      <c r="C2785" s="105" t="s">
        <v>20</v>
      </c>
      <c r="D2785" s="105">
        <v>0</v>
      </c>
      <c r="E2785" s="124" t="s">
        <v>523</v>
      </c>
      <c r="F2785" s="125" t="str">
        <f t="shared" si="150"/>
        <v/>
      </c>
      <c r="G2785" s="126" t="e">
        <f>IF(A2785&lt;&gt;"",IF(AND(#REF!="Padrão",$H$4=#REF!),BDI!$B$17,IF(AND(#REF!="Padrão",$H$4=#REF!),BDI!#REF!,IF(AND(#REF!="Diferenciado",$H$4=#REF!),BDI!$E$17,IF(AND(#REF!="Diferenciado",$H$4=#REF!),BDI!#REF!,IF(#REF!="ZERO",0))))),"")</f>
        <v>#REF!</v>
      </c>
      <c r="H2785" s="127" t="str">
        <f t="shared" si="151"/>
        <v/>
      </c>
      <c r="I2785" s="125" t="str">
        <f t="shared" si="152"/>
        <v/>
      </c>
    </row>
    <row r="2786" spans="1:9" hidden="1" x14ac:dyDescent="0.25">
      <c r="A2786" s="103" t="s">
        <v>6907</v>
      </c>
      <c r="B2786" s="104" t="s">
        <v>6908</v>
      </c>
      <c r="C2786" s="105" t="s">
        <v>20</v>
      </c>
      <c r="D2786" s="105">
        <v>0</v>
      </c>
      <c r="E2786" s="124" t="s">
        <v>523</v>
      </c>
      <c r="F2786" s="125" t="str">
        <f t="shared" si="150"/>
        <v/>
      </c>
      <c r="G2786" s="126" t="e">
        <f>IF(A2786&lt;&gt;"",IF(AND(#REF!="Padrão",$H$4=#REF!),BDI!$B$17,IF(AND(#REF!="Padrão",$H$4=#REF!),BDI!#REF!,IF(AND(#REF!="Diferenciado",$H$4=#REF!),BDI!$E$17,IF(AND(#REF!="Diferenciado",$H$4=#REF!),BDI!#REF!,IF(#REF!="ZERO",0))))),"")</f>
        <v>#REF!</v>
      </c>
      <c r="H2786" s="127" t="str">
        <f t="shared" si="151"/>
        <v/>
      </c>
      <c r="I2786" s="125" t="str">
        <f t="shared" si="152"/>
        <v/>
      </c>
    </row>
    <row r="2787" spans="1:9" hidden="1" x14ac:dyDescent="0.25">
      <c r="A2787" s="103" t="s">
        <v>6909</v>
      </c>
      <c r="B2787" s="104" t="s">
        <v>6910</v>
      </c>
      <c r="C2787" s="105" t="s">
        <v>20</v>
      </c>
      <c r="D2787" s="105">
        <v>0</v>
      </c>
      <c r="E2787" s="124" t="s">
        <v>523</v>
      </c>
      <c r="F2787" s="125" t="str">
        <f t="shared" si="150"/>
        <v/>
      </c>
      <c r="G2787" s="126" t="e">
        <f>IF(A2787&lt;&gt;"",IF(AND(#REF!="Padrão",$H$4=#REF!),BDI!$B$17,IF(AND(#REF!="Padrão",$H$4=#REF!),BDI!#REF!,IF(AND(#REF!="Diferenciado",$H$4=#REF!),BDI!$E$17,IF(AND(#REF!="Diferenciado",$H$4=#REF!),BDI!#REF!,IF(#REF!="ZERO",0))))),"")</f>
        <v>#REF!</v>
      </c>
      <c r="H2787" s="127" t="str">
        <f t="shared" si="151"/>
        <v/>
      </c>
      <c r="I2787" s="125" t="str">
        <f t="shared" si="152"/>
        <v/>
      </c>
    </row>
    <row r="2788" spans="1:9" hidden="1" x14ac:dyDescent="0.25">
      <c r="A2788" s="103" t="s">
        <v>6911</v>
      </c>
      <c r="B2788" s="104" t="s">
        <v>6912</v>
      </c>
      <c r="C2788" s="105" t="s">
        <v>20</v>
      </c>
      <c r="D2788" s="105">
        <v>0</v>
      </c>
      <c r="E2788" s="124" t="s">
        <v>523</v>
      </c>
      <c r="F2788" s="125" t="str">
        <f t="shared" si="150"/>
        <v/>
      </c>
      <c r="G2788" s="126" t="e">
        <f>IF(A2788&lt;&gt;"",IF(AND(#REF!="Padrão",$H$4=#REF!),BDI!$B$17,IF(AND(#REF!="Padrão",$H$4=#REF!),BDI!#REF!,IF(AND(#REF!="Diferenciado",$H$4=#REF!),BDI!$E$17,IF(AND(#REF!="Diferenciado",$H$4=#REF!),BDI!#REF!,IF(#REF!="ZERO",0))))),"")</f>
        <v>#REF!</v>
      </c>
      <c r="H2788" s="127" t="str">
        <f t="shared" si="151"/>
        <v/>
      </c>
      <c r="I2788" s="125" t="str">
        <f t="shared" si="152"/>
        <v/>
      </c>
    </row>
    <row r="2789" spans="1:9" hidden="1" x14ac:dyDescent="0.25">
      <c r="A2789" s="103" t="s">
        <v>6913</v>
      </c>
      <c r="B2789" s="104" t="s">
        <v>3482</v>
      </c>
      <c r="C2789" s="105" t="s">
        <v>20</v>
      </c>
      <c r="D2789" s="105">
        <v>0</v>
      </c>
      <c r="E2789" s="124">
        <f ca="1">OFFSET(INDEX(Composições!A:J,MATCH(Orçamentária!A2789,Composições!A:A,0),8),2,0)</f>
        <v>172.672</v>
      </c>
      <c r="F2789" s="125">
        <f t="shared" ca="1" si="150"/>
        <v>0</v>
      </c>
      <c r="G2789" s="126" t="e">
        <f>IF(A2789&lt;&gt;"",IF(AND(#REF!="Padrão",$H$4=#REF!),BDI!$B$17,IF(AND(#REF!="Padrão",$H$4=#REF!),BDI!#REF!,IF(AND(#REF!="Diferenciado",$H$4=#REF!),BDI!$E$17,IF(AND(#REF!="Diferenciado",$H$4=#REF!),BDI!#REF!,IF(#REF!="ZERO",0))))),"")</f>
        <v>#REF!</v>
      </c>
      <c r="H2789" s="127" t="e">
        <f t="shared" ca="1" si="151"/>
        <v>#REF!</v>
      </c>
      <c r="I2789" s="125" t="e">
        <f t="shared" ca="1" si="152"/>
        <v>#REF!</v>
      </c>
    </row>
    <row r="2790" spans="1:9" hidden="1" x14ac:dyDescent="0.25">
      <c r="A2790" s="103" t="s">
        <v>6914</v>
      </c>
      <c r="B2790" s="104" t="s">
        <v>3476</v>
      </c>
      <c r="C2790" s="105" t="s">
        <v>20</v>
      </c>
      <c r="D2790" s="105">
        <v>0</v>
      </c>
      <c r="E2790" s="124" t="s">
        <v>523</v>
      </c>
      <c r="F2790" s="125" t="str">
        <f t="shared" si="150"/>
        <v/>
      </c>
      <c r="G2790" s="126" t="e">
        <f>IF(A2790&lt;&gt;"",IF(AND(#REF!="Padrão",$H$4=#REF!),BDI!$B$17,IF(AND(#REF!="Padrão",$H$4=#REF!),BDI!#REF!,IF(AND(#REF!="Diferenciado",$H$4=#REF!),BDI!$E$17,IF(AND(#REF!="Diferenciado",$H$4=#REF!),BDI!#REF!,IF(#REF!="ZERO",0))))),"")</f>
        <v>#REF!</v>
      </c>
      <c r="H2790" s="127" t="str">
        <f t="shared" si="151"/>
        <v/>
      </c>
      <c r="I2790" s="125" t="str">
        <f t="shared" si="152"/>
        <v/>
      </c>
    </row>
    <row r="2791" spans="1:9" hidden="1" x14ac:dyDescent="0.25">
      <c r="A2791" s="103" t="s">
        <v>6915</v>
      </c>
      <c r="B2791" s="104" t="s">
        <v>3477</v>
      </c>
      <c r="C2791" s="105" t="s">
        <v>20</v>
      </c>
      <c r="D2791" s="105">
        <v>0</v>
      </c>
      <c r="E2791" s="124" t="s">
        <v>523</v>
      </c>
      <c r="F2791" s="125" t="str">
        <f t="shared" si="150"/>
        <v/>
      </c>
      <c r="G2791" s="126" t="e">
        <f>IF(A2791&lt;&gt;"",IF(AND(#REF!="Padrão",$H$4=#REF!),BDI!$B$17,IF(AND(#REF!="Padrão",$H$4=#REF!),BDI!#REF!,IF(AND(#REF!="Diferenciado",$H$4=#REF!),BDI!$E$17,IF(AND(#REF!="Diferenciado",$H$4=#REF!),BDI!#REF!,IF(#REF!="ZERO",0))))),"")</f>
        <v>#REF!</v>
      </c>
      <c r="H2791" s="127" t="str">
        <f t="shared" si="151"/>
        <v/>
      </c>
      <c r="I2791" s="125" t="str">
        <f t="shared" si="152"/>
        <v/>
      </c>
    </row>
    <row r="2792" spans="1:9" hidden="1" x14ac:dyDescent="0.25">
      <c r="A2792" s="103" t="s">
        <v>6916</v>
      </c>
      <c r="B2792" s="104" t="s">
        <v>3479</v>
      </c>
      <c r="C2792" s="105" t="s">
        <v>20</v>
      </c>
      <c r="D2792" s="105">
        <v>0</v>
      </c>
      <c r="E2792" s="124" t="s">
        <v>523</v>
      </c>
      <c r="F2792" s="125" t="str">
        <f t="shared" si="150"/>
        <v/>
      </c>
      <c r="G2792" s="126" t="e">
        <f>IF(A2792&lt;&gt;"",IF(AND(#REF!="Padrão",$H$4=#REF!),BDI!$B$17,IF(AND(#REF!="Padrão",$H$4=#REF!),BDI!#REF!,IF(AND(#REF!="Diferenciado",$H$4=#REF!),BDI!$E$17,IF(AND(#REF!="Diferenciado",$H$4=#REF!),BDI!#REF!,IF(#REF!="ZERO",0))))),"")</f>
        <v>#REF!</v>
      </c>
      <c r="H2792" s="127" t="str">
        <f t="shared" si="151"/>
        <v/>
      </c>
      <c r="I2792" s="125" t="str">
        <f t="shared" si="152"/>
        <v/>
      </c>
    </row>
    <row r="2793" spans="1:9" hidden="1" x14ac:dyDescent="0.25">
      <c r="A2793" s="103" t="s">
        <v>6917</v>
      </c>
      <c r="B2793" s="104" t="s">
        <v>3478</v>
      </c>
      <c r="C2793" s="105" t="s">
        <v>20</v>
      </c>
      <c r="D2793" s="105">
        <v>0</v>
      </c>
      <c r="E2793" s="124" t="s">
        <v>523</v>
      </c>
      <c r="F2793" s="125" t="str">
        <f t="shared" si="150"/>
        <v/>
      </c>
      <c r="G2793" s="126" t="e">
        <f>IF(A2793&lt;&gt;"",IF(AND(#REF!="Padrão",$H$4=#REF!),BDI!$B$17,IF(AND(#REF!="Padrão",$H$4=#REF!),BDI!#REF!,IF(AND(#REF!="Diferenciado",$H$4=#REF!),BDI!$E$17,IF(AND(#REF!="Diferenciado",$H$4=#REF!),BDI!#REF!,IF(#REF!="ZERO",0))))),"")</f>
        <v>#REF!</v>
      </c>
      <c r="H2793" s="127" t="str">
        <f t="shared" si="151"/>
        <v/>
      </c>
      <c r="I2793" s="125" t="str">
        <f t="shared" si="152"/>
        <v/>
      </c>
    </row>
    <row r="2794" spans="1:9" hidden="1" x14ac:dyDescent="0.25">
      <c r="A2794" s="103" t="s">
        <v>6918</v>
      </c>
      <c r="B2794" s="104" t="s">
        <v>6292</v>
      </c>
      <c r="C2794" s="105" t="s">
        <v>20</v>
      </c>
      <c r="D2794" s="105">
        <v>0</v>
      </c>
      <c r="E2794" s="124" t="s">
        <v>523</v>
      </c>
      <c r="F2794" s="125" t="str">
        <f t="shared" si="150"/>
        <v/>
      </c>
      <c r="G2794" s="126" t="e">
        <f>IF(A2794&lt;&gt;"",IF(AND(#REF!="Padrão",$H$4=#REF!),BDI!$B$17,IF(AND(#REF!="Padrão",$H$4=#REF!),BDI!#REF!,IF(AND(#REF!="Diferenciado",$H$4=#REF!),BDI!$E$17,IF(AND(#REF!="Diferenciado",$H$4=#REF!),BDI!#REF!,IF(#REF!="ZERO",0))))),"")</f>
        <v>#REF!</v>
      </c>
      <c r="H2794" s="127" t="str">
        <f t="shared" si="151"/>
        <v/>
      </c>
      <c r="I2794" s="125" t="str">
        <f t="shared" si="152"/>
        <v/>
      </c>
    </row>
    <row r="2795" spans="1:9" hidden="1" x14ac:dyDescent="0.25">
      <c r="A2795" s="103" t="s">
        <v>6919</v>
      </c>
      <c r="B2795" s="104" t="s">
        <v>6920</v>
      </c>
      <c r="C2795" s="105" t="s">
        <v>20</v>
      </c>
      <c r="D2795" s="105">
        <v>0</v>
      </c>
      <c r="E2795" s="124" t="s">
        <v>523</v>
      </c>
      <c r="F2795" s="125" t="str">
        <f t="shared" si="150"/>
        <v/>
      </c>
      <c r="G2795" s="126" t="e">
        <f>IF(A2795&lt;&gt;"",IF(AND(#REF!="Padrão",$H$4=#REF!),BDI!$B$17,IF(AND(#REF!="Padrão",$H$4=#REF!),BDI!#REF!,IF(AND(#REF!="Diferenciado",$H$4=#REF!),BDI!$E$17,IF(AND(#REF!="Diferenciado",$H$4=#REF!),BDI!#REF!,IF(#REF!="ZERO",0))))),"")</f>
        <v>#REF!</v>
      </c>
      <c r="H2795" s="127" t="str">
        <f t="shared" si="151"/>
        <v/>
      </c>
      <c r="I2795" s="125" t="str">
        <f t="shared" si="152"/>
        <v/>
      </c>
    </row>
    <row r="2796" spans="1:9" hidden="1" x14ac:dyDescent="0.25">
      <c r="A2796" s="103" t="s">
        <v>6921</v>
      </c>
      <c r="B2796" s="104" t="s">
        <v>6922</v>
      </c>
      <c r="C2796" s="105" t="s">
        <v>20</v>
      </c>
      <c r="D2796" s="105">
        <v>0</v>
      </c>
      <c r="E2796" s="124" t="s">
        <v>523</v>
      </c>
      <c r="F2796" s="125" t="str">
        <f t="shared" si="150"/>
        <v/>
      </c>
      <c r="G2796" s="126" t="e">
        <f>IF(A2796&lt;&gt;"",IF(AND(#REF!="Padrão",$H$4=#REF!),BDI!$B$17,IF(AND(#REF!="Padrão",$H$4=#REF!),BDI!#REF!,IF(AND(#REF!="Diferenciado",$H$4=#REF!),BDI!$E$17,IF(AND(#REF!="Diferenciado",$H$4=#REF!),BDI!#REF!,IF(#REF!="ZERO",0))))),"")</f>
        <v>#REF!</v>
      </c>
      <c r="H2796" s="127" t="str">
        <f t="shared" si="151"/>
        <v/>
      </c>
      <c r="I2796" s="125" t="str">
        <f t="shared" si="152"/>
        <v/>
      </c>
    </row>
    <row r="2797" spans="1:9" hidden="1" x14ac:dyDescent="0.25">
      <c r="A2797" s="103" t="s">
        <v>6923</v>
      </c>
      <c r="B2797" s="104" t="s">
        <v>6924</v>
      </c>
      <c r="C2797" s="105" t="s">
        <v>20</v>
      </c>
      <c r="D2797" s="105">
        <v>0</v>
      </c>
      <c r="E2797" s="124" t="s">
        <v>523</v>
      </c>
      <c r="F2797" s="125" t="str">
        <f t="shared" si="150"/>
        <v/>
      </c>
      <c r="G2797" s="126" t="e">
        <f>IF(A2797&lt;&gt;"",IF(AND(#REF!="Padrão",$H$4=#REF!),BDI!$B$17,IF(AND(#REF!="Padrão",$H$4=#REF!),BDI!#REF!,IF(AND(#REF!="Diferenciado",$H$4=#REF!),BDI!$E$17,IF(AND(#REF!="Diferenciado",$H$4=#REF!),BDI!#REF!,IF(#REF!="ZERO",0))))),"")</f>
        <v>#REF!</v>
      </c>
      <c r="H2797" s="127" t="str">
        <f t="shared" si="151"/>
        <v/>
      </c>
      <c r="I2797" s="125" t="str">
        <f t="shared" si="152"/>
        <v/>
      </c>
    </row>
    <row r="2798" spans="1:9" hidden="1" x14ac:dyDescent="0.25">
      <c r="A2798" s="103" t="s">
        <v>6925</v>
      </c>
      <c r="B2798" s="104" t="s">
        <v>6926</v>
      </c>
      <c r="C2798" s="105" t="s">
        <v>20</v>
      </c>
      <c r="D2798" s="105">
        <v>0</v>
      </c>
      <c r="E2798" s="124" t="s">
        <v>523</v>
      </c>
      <c r="F2798" s="125" t="str">
        <f t="shared" si="150"/>
        <v/>
      </c>
      <c r="G2798" s="126" t="e">
        <f>IF(A2798&lt;&gt;"",IF(AND(#REF!="Padrão",$H$4=#REF!),BDI!$B$17,IF(AND(#REF!="Padrão",$H$4=#REF!),BDI!#REF!,IF(AND(#REF!="Diferenciado",$H$4=#REF!),BDI!$E$17,IF(AND(#REF!="Diferenciado",$H$4=#REF!),BDI!#REF!,IF(#REF!="ZERO",0))))),"")</f>
        <v>#REF!</v>
      </c>
      <c r="H2798" s="127" t="str">
        <f t="shared" si="151"/>
        <v/>
      </c>
      <c r="I2798" s="125" t="str">
        <f t="shared" si="152"/>
        <v/>
      </c>
    </row>
    <row r="2799" spans="1:9" hidden="1" x14ac:dyDescent="0.25">
      <c r="A2799" s="103" t="s">
        <v>6927</v>
      </c>
      <c r="B2799" s="104" t="s">
        <v>6293</v>
      </c>
      <c r="C2799" s="105" t="s">
        <v>20</v>
      </c>
      <c r="D2799" s="105">
        <v>0</v>
      </c>
      <c r="E2799" s="124" t="s">
        <v>523</v>
      </c>
      <c r="F2799" s="125" t="str">
        <f t="shared" si="150"/>
        <v/>
      </c>
      <c r="G2799" s="126" t="e">
        <f>IF(A2799&lt;&gt;"",IF(AND(#REF!="Padrão",$H$4=#REF!),BDI!$B$17,IF(AND(#REF!="Padrão",$H$4=#REF!),BDI!#REF!,IF(AND(#REF!="Diferenciado",$H$4=#REF!),BDI!$E$17,IF(AND(#REF!="Diferenciado",$H$4=#REF!),BDI!#REF!,IF(#REF!="ZERO",0))))),"")</f>
        <v>#REF!</v>
      </c>
      <c r="H2799" s="127" t="str">
        <f t="shared" si="151"/>
        <v/>
      </c>
      <c r="I2799" s="125" t="str">
        <f t="shared" si="152"/>
        <v/>
      </c>
    </row>
    <row r="2800" spans="1:9" hidden="1" x14ac:dyDescent="0.25">
      <c r="A2800" s="103" t="s">
        <v>6928</v>
      </c>
      <c r="B2800" s="104" t="s">
        <v>6294</v>
      </c>
      <c r="C2800" s="105" t="s">
        <v>20</v>
      </c>
      <c r="D2800" s="105">
        <v>0</v>
      </c>
      <c r="E2800" s="124" t="s">
        <v>523</v>
      </c>
      <c r="F2800" s="125" t="str">
        <f t="shared" si="150"/>
        <v/>
      </c>
      <c r="G2800" s="126" t="e">
        <f>IF(A2800&lt;&gt;"",IF(AND(#REF!="Padrão",$H$4=#REF!),BDI!$B$17,IF(AND(#REF!="Padrão",$H$4=#REF!),BDI!#REF!,IF(AND(#REF!="Diferenciado",$H$4=#REF!),BDI!$E$17,IF(AND(#REF!="Diferenciado",$H$4=#REF!),BDI!#REF!,IF(#REF!="ZERO",0))))),"")</f>
        <v>#REF!</v>
      </c>
      <c r="H2800" s="127" t="str">
        <f t="shared" si="151"/>
        <v/>
      </c>
      <c r="I2800" s="125" t="str">
        <f t="shared" si="152"/>
        <v/>
      </c>
    </row>
    <row r="2801" spans="1:9" hidden="1" x14ac:dyDescent="0.25">
      <c r="A2801" s="103" t="s">
        <v>6929</v>
      </c>
      <c r="B2801" s="104" t="s">
        <v>3501</v>
      </c>
      <c r="C2801" s="105" t="s">
        <v>20</v>
      </c>
      <c r="D2801" s="105">
        <v>0</v>
      </c>
      <c r="E2801" s="124" t="s">
        <v>523</v>
      </c>
      <c r="F2801" s="125" t="str">
        <f t="shared" si="150"/>
        <v/>
      </c>
      <c r="G2801" s="126" t="e">
        <f>IF(A2801&lt;&gt;"",IF(AND(#REF!="Padrão",$H$4=#REF!),BDI!$B$17,IF(AND(#REF!="Padrão",$H$4=#REF!),BDI!#REF!,IF(AND(#REF!="Diferenciado",$H$4=#REF!),BDI!$E$17,IF(AND(#REF!="Diferenciado",$H$4=#REF!),BDI!#REF!,IF(#REF!="ZERO",0))))),"")</f>
        <v>#REF!</v>
      </c>
      <c r="H2801" s="127" t="str">
        <f t="shared" si="151"/>
        <v/>
      </c>
      <c r="I2801" s="125" t="str">
        <f t="shared" si="152"/>
        <v/>
      </c>
    </row>
    <row r="2802" spans="1:9" hidden="1" x14ac:dyDescent="0.25">
      <c r="A2802" s="103" t="s">
        <v>6930</v>
      </c>
      <c r="B2802" s="104" t="s">
        <v>6931</v>
      </c>
      <c r="C2802" s="105" t="s">
        <v>20</v>
      </c>
      <c r="D2802" s="105">
        <v>0</v>
      </c>
      <c r="E2802" s="124" t="s">
        <v>523</v>
      </c>
      <c r="F2802" s="125" t="str">
        <f t="shared" si="150"/>
        <v/>
      </c>
      <c r="G2802" s="126" t="e">
        <f>IF(A2802&lt;&gt;"",IF(AND(#REF!="Padrão",$H$4=#REF!),BDI!$B$17,IF(AND(#REF!="Padrão",$H$4=#REF!),BDI!#REF!,IF(AND(#REF!="Diferenciado",$H$4=#REF!),BDI!$E$17,IF(AND(#REF!="Diferenciado",$H$4=#REF!),BDI!#REF!,IF(#REF!="ZERO",0))))),"")</f>
        <v>#REF!</v>
      </c>
      <c r="H2802" s="127" t="str">
        <f t="shared" si="151"/>
        <v/>
      </c>
      <c r="I2802" s="125" t="str">
        <f t="shared" si="152"/>
        <v/>
      </c>
    </row>
    <row r="2803" spans="1:9" hidden="1" x14ac:dyDescent="0.25">
      <c r="A2803" s="103" t="s">
        <v>6932</v>
      </c>
      <c r="B2803" s="104" t="s">
        <v>6933</v>
      </c>
      <c r="C2803" s="105" t="s">
        <v>20</v>
      </c>
      <c r="D2803" s="105">
        <v>0</v>
      </c>
      <c r="E2803" s="124" t="s">
        <v>523</v>
      </c>
      <c r="F2803" s="125" t="str">
        <f t="shared" si="150"/>
        <v/>
      </c>
      <c r="G2803" s="126" t="e">
        <f>IF(A2803&lt;&gt;"",IF(AND(#REF!="Padrão",$H$4=#REF!),BDI!$B$17,IF(AND(#REF!="Padrão",$H$4=#REF!),BDI!#REF!,IF(AND(#REF!="Diferenciado",$H$4=#REF!),BDI!$E$17,IF(AND(#REF!="Diferenciado",$H$4=#REF!),BDI!#REF!,IF(#REF!="ZERO",0))))),"")</f>
        <v>#REF!</v>
      </c>
      <c r="H2803" s="127" t="str">
        <f t="shared" si="151"/>
        <v/>
      </c>
      <c r="I2803" s="125" t="str">
        <f t="shared" si="152"/>
        <v/>
      </c>
    </row>
    <row r="2804" spans="1:9" hidden="1" x14ac:dyDescent="0.25">
      <c r="A2804" s="103" t="s">
        <v>6934</v>
      </c>
      <c r="B2804" s="104" t="s">
        <v>6935</v>
      </c>
      <c r="C2804" s="105" t="s">
        <v>20</v>
      </c>
      <c r="D2804" s="105">
        <v>0</v>
      </c>
      <c r="E2804" s="124" t="s">
        <v>523</v>
      </c>
      <c r="F2804" s="125" t="str">
        <f t="shared" si="150"/>
        <v/>
      </c>
      <c r="G2804" s="126" t="e">
        <f>IF(A2804&lt;&gt;"",IF(AND(#REF!="Padrão",$H$4=#REF!),BDI!$B$17,IF(AND(#REF!="Padrão",$H$4=#REF!),BDI!#REF!,IF(AND(#REF!="Diferenciado",$H$4=#REF!),BDI!$E$17,IF(AND(#REF!="Diferenciado",$H$4=#REF!),BDI!#REF!,IF(#REF!="ZERO",0))))),"")</f>
        <v>#REF!</v>
      </c>
      <c r="H2804" s="127" t="str">
        <f t="shared" si="151"/>
        <v/>
      </c>
      <c r="I2804" s="125" t="str">
        <f t="shared" si="152"/>
        <v/>
      </c>
    </row>
    <row r="2805" spans="1:9" hidden="1" x14ac:dyDescent="0.25">
      <c r="A2805" s="103" t="s">
        <v>6936</v>
      </c>
      <c r="B2805" s="104" t="s">
        <v>6937</v>
      </c>
      <c r="C2805" s="105" t="s">
        <v>20</v>
      </c>
      <c r="D2805" s="105">
        <v>0</v>
      </c>
      <c r="E2805" s="124" t="s">
        <v>523</v>
      </c>
      <c r="F2805" s="125" t="str">
        <f t="shared" si="150"/>
        <v/>
      </c>
      <c r="G2805" s="126" t="e">
        <f>IF(A2805&lt;&gt;"",IF(AND(#REF!="Padrão",$H$4=#REF!),BDI!$B$17,IF(AND(#REF!="Padrão",$H$4=#REF!),BDI!#REF!,IF(AND(#REF!="Diferenciado",$H$4=#REF!),BDI!$E$17,IF(AND(#REF!="Diferenciado",$H$4=#REF!),BDI!#REF!,IF(#REF!="ZERO",0))))),"")</f>
        <v>#REF!</v>
      </c>
      <c r="H2805" s="127" t="str">
        <f t="shared" si="151"/>
        <v/>
      </c>
      <c r="I2805" s="125" t="str">
        <f t="shared" si="152"/>
        <v/>
      </c>
    </row>
    <row r="2806" spans="1:9" hidden="1" x14ac:dyDescent="0.25">
      <c r="A2806" s="103" t="s">
        <v>6938</v>
      </c>
      <c r="B2806" s="104" t="s">
        <v>6939</v>
      </c>
      <c r="C2806" s="105" t="s">
        <v>20</v>
      </c>
      <c r="D2806" s="105">
        <v>0</v>
      </c>
      <c r="E2806" s="124">
        <f ca="1">OFFSET(INDEX(Composições!A:J,MATCH(Orçamentária!A2806,Composições!A:A,0),8),2,0)</f>
        <v>20.244499999999999</v>
      </c>
      <c r="F2806" s="125">
        <f t="shared" ca="1" si="150"/>
        <v>0</v>
      </c>
      <c r="G2806" s="126" t="e">
        <f>IF(A2806&lt;&gt;"",IF(AND(#REF!="Padrão",$H$4=#REF!),BDI!$B$17,IF(AND(#REF!="Padrão",$H$4=#REF!),BDI!#REF!,IF(AND(#REF!="Diferenciado",$H$4=#REF!),BDI!$E$17,IF(AND(#REF!="Diferenciado",$H$4=#REF!),BDI!#REF!,IF(#REF!="ZERO",0))))),"")</f>
        <v>#REF!</v>
      </c>
      <c r="H2806" s="127" t="e">
        <f t="shared" ca="1" si="151"/>
        <v>#REF!</v>
      </c>
      <c r="I2806" s="125" t="e">
        <f t="shared" ca="1" si="152"/>
        <v>#REF!</v>
      </c>
    </row>
    <row r="2807" spans="1:9" hidden="1" x14ac:dyDescent="0.25">
      <c r="A2807" s="103" t="s">
        <v>6940</v>
      </c>
      <c r="B2807" s="104" t="s">
        <v>6941</v>
      </c>
      <c r="C2807" s="105" t="s">
        <v>20</v>
      </c>
      <c r="D2807" s="105">
        <v>0</v>
      </c>
      <c r="E2807" s="124" t="s">
        <v>523</v>
      </c>
      <c r="F2807" s="125" t="str">
        <f t="shared" si="150"/>
        <v/>
      </c>
      <c r="G2807" s="126" t="e">
        <f>IF(A2807&lt;&gt;"",IF(AND(#REF!="Padrão",$H$4=#REF!),BDI!$B$17,IF(AND(#REF!="Padrão",$H$4=#REF!),BDI!#REF!,IF(AND(#REF!="Diferenciado",$H$4=#REF!),BDI!$E$17,IF(AND(#REF!="Diferenciado",$H$4=#REF!),BDI!#REF!,IF(#REF!="ZERO",0))))),"")</f>
        <v>#REF!</v>
      </c>
      <c r="H2807" s="127" t="str">
        <f t="shared" si="151"/>
        <v/>
      </c>
      <c r="I2807" s="125" t="str">
        <f t="shared" si="152"/>
        <v/>
      </c>
    </row>
    <row r="2808" spans="1:9" hidden="1" x14ac:dyDescent="0.25">
      <c r="A2808" s="103" t="s">
        <v>6942</v>
      </c>
      <c r="B2808" s="104" t="s">
        <v>6943</v>
      </c>
      <c r="C2808" s="105" t="s">
        <v>20</v>
      </c>
      <c r="D2808" s="105">
        <v>0</v>
      </c>
      <c r="E2808" s="124" t="s">
        <v>523</v>
      </c>
      <c r="F2808" s="125" t="str">
        <f t="shared" si="150"/>
        <v/>
      </c>
      <c r="G2808" s="126" t="e">
        <f>IF(A2808&lt;&gt;"",IF(AND(#REF!="Padrão",$H$4=#REF!),BDI!$B$17,IF(AND(#REF!="Padrão",$H$4=#REF!),BDI!#REF!,IF(AND(#REF!="Diferenciado",$H$4=#REF!),BDI!$E$17,IF(AND(#REF!="Diferenciado",$H$4=#REF!),BDI!#REF!,IF(#REF!="ZERO",0))))),"")</f>
        <v>#REF!</v>
      </c>
      <c r="H2808" s="127" t="str">
        <f t="shared" si="151"/>
        <v/>
      </c>
      <c r="I2808" s="125" t="str">
        <f t="shared" si="152"/>
        <v/>
      </c>
    </row>
    <row r="2809" spans="1:9" hidden="1" x14ac:dyDescent="0.25">
      <c r="A2809" s="103" t="s">
        <v>6944</v>
      </c>
      <c r="B2809" s="104" t="s">
        <v>6945</v>
      </c>
      <c r="C2809" s="105" t="s">
        <v>20</v>
      </c>
      <c r="D2809" s="105">
        <v>0</v>
      </c>
      <c r="E2809" s="124" t="s">
        <v>523</v>
      </c>
      <c r="F2809" s="125" t="str">
        <f t="shared" si="150"/>
        <v/>
      </c>
      <c r="G2809" s="126" t="e">
        <f>IF(A2809&lt;&gt;"",IF(AND(#REF!="Padrão",$H$4=#REF!),BDI!$B$17,IF(AND(#REF!="Padrão",$H$4=#REF!),BDI!#REF!,IF(AND(#REF!="Diferenciado",$H$4=#REF!),BDI!$E$17,IF(AND(#REF!="Diferenciado",$H$4=#REF!),BDI!#REF!,IF(#REF!="ZERO",0))))),"")</f>
        <v>#REF!</v>
      </c>
      <c r="H2809" s="127" t="str">
        <f t="shared" si="151"/>
        <v/>
      </c>
      <c r="I2809" s="125" t="str">
        <f t="shared" si="152"/>
        <v/>
      </c>
    </row>
    <row r="2810" spans="1:9" hidden="1" x14ac:dyDescent="0.25">
      <c r="A2810" s="103" t="s">
        <v>6946</v>
      </c>
      <c r="B2810" s="104" t="s">
        <v>6947</v>
      </c>
      <c r="C2810" s="105" t="s">
        <v>20</v>
      </c>
      <c r="D2810" s="105">
        <v>0</v>
      </c>
      <c r="E2810" s="124" t="s">
        <v>523</v>
      </c>
      <c r="F2810" s="125" t="str">
        <f t="shared" si="150"/>
        <v/>
      </c>
      <c r="G2810" s="126" t="e">
        <f>IF(A2810&lt;&gt;"",IF(AND(#REF!="Padrão",$H$4=#REF!),BDI!$B$17,IF(AND(#REF!="Padrão",$H$4=#REF!),BDI!#REF!,IF(AND(#REF!="Diferenciado",$H$4=#REF!),BDI!$E$17,IF(AND(#REF!="Diferenciado",$H$4=#REF!),BDI!#REF!,IF(#REF!="ZERO",0))))),"")</f>
        <v>#REF!</v>
      </c>
      <c r="H2810" s="127" t="str">
        <f t="shared" si="151"/>
        <v/>
      </c>
      <c r="I2810" s="125" t="str">
        <f t="shared" si="152"/>
        <v/>
      </c>
    </row>
    <row r="2811" spans="1:9" hidden="1" x14ac:dyDescent="0.25">
      <c r="A2811" s="103" t="s">
        <v>6948</v>
      </c>
      <c r="B2811" s="104" t="s">
        <v>6949</v>
      </c>
      <c r="C2811" s="105" t="s">
        <v>20</v>
      </c>
      <c r="D2811" s="105">
        <v>0</v>
      </c>
      <c r="E2811" s="124" t="s">
        <v>523</v>
      </c>
      <c r="F2811" s="125" t="str">
        <f t="shared" si="150"/>
        <v/>
      </c>
      <c r="G2811" s="126" t="e">
        <f>IF(A2811&lt;&gt;"",IF(AND(#REF!="Padrão",$H$4=#REF!),BDI!$B$17,IF(AND(#REF!="Padrão",$H$4=#REF!),BDI!#REF!,IF(AND(#REF!="Diferenciado",$H$4=#REF!),BDI!$E$17,IF(AND(#REF!="Diferenciado",$H$4=#REF!),BDI!#REF!,IF(#REF!="ZERO",0))))),"")</f>
        <v>#REF!</v>
      </c>
      <c r="H2811" s="127" t="str">
        <f t="shared" si="151"/>
        <v/>
      </c>
      <c r="I2811" s="125" t="str">
        <f t="shared" si="152"/>
        <v/>
      </c>
    </row>
    <row r="2812" spans="1:9" hidden="1" x14ac:dyDescent="0.25">
      <c r="A2812" s="103" t="s">
        <v>6950</v>
      </c>
      <c r="B2812" s="104" t="s">
        <v>3655</v>
      </c>
      <c r="C2812" s="105" t="s">
        <v>20</v>
      </c>
      <c r="D2812" s="105">
        <v>0</v>
      </c>
      <c r="E2812" s="124">
        <f ca="1">OFFSET(INDEX(Composições!A:J,MATCH(Orçamentária!A2812,Composições!A:A,0),8),2,0)</f>
        <v>46.730499999999992</v>
      </c>
      <c r="F2812" s="125">
        <f t="shared" ca="1" si="150"/>
        <v>0</v>
      </c>
      <c r="G2812" s="126" t="e">
        <f>IF(A2812&lt;&gt;"",IF(AND(#REF!="Padrão",$H$4=#REF!),BDI!$B$17,IF(AND(#REF!="Padrão",$H$4=#REF!),BDI!#REF!,IF(AND(#REF!="Diferenciado",$H$4=#REF!),BDI!$E$17,IF(AND(#REF!="Diferenciado",$H$4=#REF!),BDI!#REF!,IF(#REF!="ZERO",0))))),"")</f>
        <v>#REF!</v>
      </c>
      <c r="H2812" s="127" t="e">
        <f t="shared" ca="1" si="151"/>
        <v>#REF!</v>
      </c>
      <c r="I2812" s="125" t="e">
        <f t="shared" ca="1" si="152"/>
        <v>#REF!</v>
      </c>
    </row>
    <row r="2813" spans="1:9" hidden="1" x14ac:dyDescent="0.25">
      <c r="A2813" s="103" t="s">
        <v>6951</v>
      </c>
      <c r="B2813" s="104" t="s">
        <v>6952</v>
      </c>
      <c r="C2813" s="105" t="s">
        <v>20</v>
      </c>
      <c r="D2813" s="105">
        <v>0</v>
      </c>
      <c r="E2813" s="124">
        <f ca="1">OFFSET(INDEX(Composições!A:J,MATCH(Orçamentária!A2813,Composições!A:A,0),8),2,0)</f>
        <v>53.940999999999995</v>
      </c>
      <c r="F2813" s="125">
        <f t="shared" ca="1" si="150"/>
        <v>0</v>
      </c>
      <c r="G2813" s="126" t="e">
        <f>IF(A2813&lt;&gt;"",IF(AND(#REF!="Padrão",$H$4=#REF!),BDI!$B$17,IF(AND(#REF!="Padrão",$H$4=#REF!),BDI!#REF!,IF(AND(#REF!="Diferenciado",$H$4=#REF!),BDI!$E$17,IF(AND(#REF!="Diferenciado",$H$4=#REF!),BDI!#REF!,IF(#REF!="ZERO",0))))),"")</f>
        <v>#REF!</v>
      </c>
      <c r="H2813" s="127" t="e">
        <f t="shared" ca="1" si="151"/>
        <v>#REF!</v>
      </c>
      <c r="I2813" s="125" t="e">
        <f t="shared" ca="1" si="152"/>
        <v>#REF!</v>
      </c>
    </row>
    <row r="2814" spans="1:9" hidden="1" x14ac:dyDescent="0.25">
      <c r="A2814" s="103" t="s">
        <v>6953</v>
      </c>
      <c r="B2814" s="104" t="s">
        <v>6954</v>
      </c>
      <c r="C2814" s="105" t="s">
        <v>20</v>
      </c>
      <c r="D2814" s="105">
        <v>0</v>
      </c>
      <c r="E2814" s="124">
        <f ca="1">OFFSET(INDEX(Composições!A:J,MATCH(Orçamentária!A2814,Composições!A:A,0),8),2,0)</f>
        <v>130.79599999999999</v>
      </c>
      <c r="F2814" s="125">
        <f t="shared" ca="1" si="150"/>
        <v>0</v>
      </c>
      <c r="G2814" s="126" t="e">
        <f>IF(A2814&lt;&gt;"",IF(AND(#REF!="Padrão",$H$4=#REF!),BDI!$B$17,IF(AND(#REF!="Padrão",$H$4=#REF!),BDI!#REF!,IF(AND(#REF!="Diferenciado",$H$4=#REF!),BDI!$E$17,IF(AND(#REF!="Diferenciado",$H$4=#REF!),BDI!#REF!,IF(#REF!="ZERO",0))))),"")</f>
        <v>#REF!</v>
      </c>
      <c r="H2814" s="127" t="e">
        <f t="shared" ca="1" si="151"/>
        <v>#REF!</v>
      </c>
      <c r="I2814" s="125" t="e">
        <f t="shared" ca="1" si="152"/>
        <v>#REF!</v>
      </c>
    </row>
    <row r="2815" spans="1:9" hidden="1" x14ac:dyDescent="0.25">
      <c r="A2815" s="103" t="s">
        <v>6955</v>
      </c>
      <c r="B2815" s="104" t="s">
        <v>6956</v>
      </c>
      <c r="C2815" s="105" t="s">
        <v>20</v>
      </c>
      <c r="D2815" s="105">
        <v>0</v>
      </c>
      <c r="E2815" s="124">
        <f ca="1">OFFSET(INDEX(Composições!A:J,MATCH(Orçamentária!A2815,Composições!A:A,0),8),2,0)</f>
        <v>201.69450000000001</v>
      </c>
      <c r="F2815" s="125">
        <f t="shared" ca="1" si="150"/>
        <v>0</v>
      </c>
      <c r="G2815" s="126" t="e">
        <f>IF(A2815&lt;&gt;"",IF(AND(#REF!="Padrão",$H$4=#REF!),BDI!$B$17,IF(AND(#REF!="Padrão",$H$4=#REF!),BDI!#REF!,IF(AND(#REF!="Diferenciado",$H$4=#REF!),BDI!$E$17,IF(AND(#REF!="Diferenciado",$H$4=#REF!),BDI!#REF!,IF(#REF!="ZERO",0))))),"")</f>
        <v>#REF!</v>
      </c>
      <c r="H2815" s="127" t="e">
        <f t="shared" ca="1" si="151"/>
        <v>#REF!</v>
      </c>
      <c r="I2815" s="125" t="e">
        <f t="shared" ca="1" si="152"/>
        <v>#REF!</v>
      </c>
    </row>
    <row r="2816" spans="1:9" hidden="1" x14ac:dyDescent="0.25">
      <c r="A2816" s="103" t="s">
        <v>6957</v>
      </c>
      <c r="B2816" s="104" t="s">
        <v>6958</v>
      </c>
      <c r="C2816" s="105" t="s">
        <v>20</v>
      </c>
      <c r="D2816" s="105">
        <v>0</v>
      </c>
      <c r="E2816" s="124">
        <f ca="1">OFFSET(INDEX(Composições!A:J,MATCH(Orçamentária!A2816,Composições!A:A,0),8),2,0)</f>
        <v>46.730499999999992</v>
      </c>
      <c r="F2816" s="125">
        <f t="shared" ca="1" si="150"/>
        <v>0</v>
      </c>
      <c r="G2816" s="126" t="e">
        <f>IF(A2816&lt;&gt;"",IF(AND(#REF!="Padrão",$H$4=#REF!),BDI!$B$17,IF(AND(#REF!="Padrão",$H$4=#REF!),BDI!#REF!,IF(AND(#REF!="Diferenciado",$H$4=#REF!),BDI!$E$17,IF(AND(#REF!="Diferenciado",$H$4=#REF!),BDI!#REF!,IF(#REF!="ZERO",0))))),"")</f>
        <v>#REF!</v>
      </c>
      <c r="H2816" s="127" t="e">
        <f t="shared" ca="1" si="151"/>
        <v>#REF!</v>
      </c>
      <c r="I2816" s="125" t="e">
        <f t="shared" ca="1" si="152"/>
        <v>#REF!</v>
      </c>
    </row>
    <row r="2817" spans="1:9" hidden="1" x14ac:dyDescent="0.25">
      <c r="A2817" s="103" t="s">
        <v>6959</v>
      </c>
      <c r="B2817" s="104" t="s">
        <v>6960</v>
      </c>
      <c r="C2817" s="105" t="s">
        <v>20</v>
      </c>
      <c r="D2817" s="105">
        <v>0</v>
      </c>
      <c r="E2817" s="124">
        <f ca="1">OFFSET(INDEX(Composições!A:J,MATCH(Orçamentária!A2817,Composições!A:A,0),8),2,0)</f>
        <v>89.3095</v>
      </c>
      <c r="F2817" s="125">
        <f t="shared" ca="1" si="150"/>
        <v>0</v>
      </c>
      <c r="G2817" s="126" t="e">
        <f>IF(A2817&lt;&gt;"",IF(AND(#REF!="Padrão",$H$4=#REF!),BDI!$B$17,IF(AND(#REF!="Padrão",$H$4=#REF!),BDI!#REF!,IF(AND(#REF!="Diferenciado",$H$4=#REF!),BDI!$E$17,IF(AND(#REF!="Diferenciado",$H$4=#REF!),BDI!#REF!,IF(#REF!="ZERO",0))))),"")</f>
        <v>#REF!</v>
      </c>
      <c r="H2817" s="127" t="e">
        <f t="shared" ca="1" si="151"/>
        <v>#REF!</v>
      </c>
      <c r="I2817" s="125" t="e">
        <f t="shared" ca="1" si="152"/>
        <v>#REF!</v>
      </c>
    </row>
    <row r="2818" spans="1:9" hidden="1" x14ac:dyDescent="0.25">
      <c r="A2818" s="103" t="s">
        <v>6961</v>
      </c>
      <c r="B2818" s="104" t="s">
        <v>6962</v>
      </c>
      <c r="C2818" s="105" t="s">
        <v>20</v>
      </c>
      <c r="D2818" s="105">
        <v>0</v>
      </c>
      <c r="E2818" s="124">
        <f ca="1">OFFSET(INDEX(Composições!A:J,MATCH(Orçamentária!A2818,Composições!A:A,0),8),2,0)</f>
        <v>70.746499999999997</v>
      </c>
      <c r="F2818" s="125">
        <f t="shared" ca="1" si="150"/>
        <v>0</v>
      </c>
      <c r="G2818" s="126" t="e">
        <f>IF(A2818&lt;&gt;"",IF(AND(#REF!="Padrão",$H$4=#REF!),BDI!$B$17,IF(AND(#REF!="Padrão",$H$4=#REF!),BDI!#REF!,IF(AND(#REF!="Diferenciado",$H$4=#REF!),BDI!$E$17,IF(AND(#REF!="Diferenciado",$H$4=#REF!),BDI!#REF!,IF(#REF!="ZERO",0))))),"")</f>
        <v>#REF!</v>
      </c>
      <c r="H2818" s="127" t="e">
        <f t="shared" ca="1" si="151"/>
        <v>#REF!</v>
      </c>
      <c r="I2818" s="125" t="e">
        <f t="shared" ca="1" si="152"/>
        <v>#REF!</v>
      </c>
    </row>
    <row r="2819" spans="1:9" hidden="1" x14ac:dyDescent="0.25">
      <c r="A2819" s="103" t="s">
        <v>6963</v>
      </c>
      <c r="B2819" s="104" t="s">
        <v>6964</v>
      </c>
      <c r="C2819" s="105" t="s">
        <v>20</v>
      </c>
      <c r="D2819" s="105">
        <v>0</v>
      </c>
      <c r="E2819" s="124">
        <f ca="1">OFFSET(INDEX(Composições!A:J,MATCH(Orçamentária!A2819,Composições!A:A,0),8),2,0)</f>
        <v>51.908000000000001</v>
      </c>
      <c r="F2819" s="125">
        <f t="shared" ca="1" si="150"/>
        <v>0</v>
      </c>
      <c r="G2819" s="126" t="e">
        <f>IF(A2819&lt;&gt;"",IF(AND(#REF!="Padrão",$H$4=#REF!),BDI!$B$17,IF(AND(#REF!="Padrão",$H$4=#REF!),BDI!#REF!,IF(AND(#REF!="Diferenciado",$H$4=#REF!),BDI!$E$17,IF(AND(#REF!="Diferenciado",$H$4=#REF!),BDI!#REF!,IF(#REF!="ZERO",0))))),"")</f>
        <v>#REF!</v>
      </c>
      <c r="H2819" s="127" t="e">
        <f t="shared" ca="1" si="151"/>
        <v>#REF!</v>
      </c>
      <c r="I2819" s="125" t="e">
        <f t="shared" ca="1" si="152"/>
        <v>#REF!</v>
      </c>
    </row>
    <row r="2820" spans="1:9" hidden="1" x14ac:dyDescent="0.25">
      <c r="A2820" s="103" t="s">
        <v>6965</v>
      </c>
      <c r="B2820" s="104" t="s">
        <v>6966</v>
      </c>
      <c r="C2820" s="105" t="s">
        <v>20</v>
      </c>
      <c r="D2820" s="105">
        <v>0</v>
      </c>
      <c r="E2820" s="124">
        <f ca="1">OFFSET(INDEX(Composições!A:J,MATCH(Orçamentária!A2820,Composições!A:A,0),8),2,0)</f>
        <v>31.178999999999998</v>
      </c>
      <c r="F2820" s="125">
        <f t="shared" ca="1" si="150"/>
        <v>0</v>
      </c>
      <c r="G2820" s="126" t="e">
        <f>IF(A2820&lt;&gt;"",IF(AND(#REF!="Padrão",$H$4=#REF!),BDI!$B$17,IF(AND(#REF!="Padrão",$H$4=#REF!),BDI!#REF!,IF(AND(#REF!="Diferenciado",$H$4=#REF!),BDI!$E$17,IF(AND(#REF!="Diferenciado",$H$4=#REF!),BDI!#REF!,IF(#REF!="ZERO",0))))),"")</f>
        <v>#REF!</v>
      </c>
      <c r="H2820" s="127" t="e">
        <f t="shared" ca="1" si="151"/>
        <v>#REF!</v>
      </c>
      <c r="I2820" s="125" t="e">
        <f t="shared" ca="1" si="152"/>
        <v>#REF!</v>
      </c>
    </row>
    <row r="2821" spans="1:9" hidden="1" x14ac:dyDescent="0.25">
      <c r="A2821" s="103" t="s">
        <v>6967</v>
      </c>
      <c r="B2821" s="104" t="s">
        <v>6968</v>
      </c>
      <c r="C2821" s="105" t="s">
        <v>20</v>
      </c>
      <c r="D2821" s="105">
        <v>0</v>
      </c>
      <c r="E2821" s="124">
        <f ca="1">OFFSET(INDEX(Composições!A:J,MATCH(Orçamentária!A2821,Composições!A:A,0),8),2,0)</f>
        <v>258.00099999999998</v>
      </c>
      <c r="F2821" s="125">
        <f t="shared" ca="1" si="150"/>
        <v>0</v>
      </c>
      <c r="G2821" s="126" t="e">
        <f>IF(A2821&lt;&gt;"",IF(AND(#REF!="Padrão",$H$4=#REF!),BDI!$B$17,IF(AND(#REF!="Padrão",$H$4=#REF!),BDI!#REF!,IF(AND(#REF!="Diferenciado",$H$4=#REF!),BDI!$E$17,IF(AND(#REF!="Diferenciado",$H$4=#REF!),BDI!#REF!,IF(#REF!="ZERO",0))))),"")</f>
        <v>#REF!</v>
      </c>
      <c r="H2821" s="127" t="e">
        <f t="shared" ca="1" si="151"/>
        <v>#REF!</v>
      </c>
      <c r="I2821" s="125" t="e">
        <f t="shared" ca="1" si="152"/>
        <v>#REF!</v>
      </c>
    </row>
    <row r="2822" spans="1:9" hidden="1" x14ac:dyDescent="0.25">
      <c r="A2822" s="103" t="s">
        <v>6969</v>
      </c>
      <c r="B2822" s="104" t="s">
        <v>6970</v>
      </c>
      <c r="C2822" s="105" t="s">
        <v>20</v>
      </c>
      <c r="D2822" s="105">
        <v>0</v>
      </c>
      <c r="E2822" s="124">
        <f ca="1">OFFSET(INDEX(Composições!A:J,MATCH(Orçamentária!A2822,Composições!A:A,0),8),2,0)</f>
        <v>124.40249999999999</v>
      </c>
      <c r="F2822" s="125">
        <f t="shared" ca="1" si="150"/>
        <v>0</v>
      </c>
      <c r="G2822" s="126" t="e">
        <f>IF(A2822&lt;&gt;"",IF(AND(#REF!="Padrão",$H$4=#REF!),BDI!$B$17,IF(AND(#REF!="Padrão",$H$4=#REF!),BDI!#REF!,IF(AND(#REF!="Diferenciado",$H$4=#REF!),BDI!$E$17,IF(AND(#REF!="Diferenciado",$H$4=#REF!),BDI!#REF!,IF(#REF!="ZERO",0))))),"")</f>
        <v>#REF!</v>
      </c>
      <c r="H2822" s="127" t="e">
        <f t="shared" ca="1" si="151"/>
        <v>#REF!</v>
      </c>
      <c r="I2822" s="125" t="e">
        <f t="shared" ca="1" si="152"/>
        <v>#REF!</v>
      </c>
    </row>
    <row r="2823" spans="1:9" hidden="1" x14ac:dyDescent="0.25">
      <c r="A2823" s="103" t="s">
        <v>6971</v>
      </c>
      <c r="B2823" s="104" t="s">
        <v>6972</v>
      </c>
      <c r="C2823" s="105" t="s">
        <v>20</v>
      </c>
      <c r="D2823" s="105">
        <v>0</v>
      </c>
      <c r="E2823" s="124">
        <f ca="1">OFFSET(INDEX(Composições!A:J,MATCH(Orçamentária!A2823,Composições!A:A,0),8),2,0)</f>
        <v>312.35050000000001</v>
      </c>
      <c r="F2823" s="125">
        <f t="shared" ca="1" si="150"/>
        <v>0</v>
      </c>
      <c r="G2823" s="126" t="e">
        <f>IF(A2823&lt;&gt;"",IF(AND(#REF!="Padrão",$H$4=#REF!),BDI!$B$17,IF(AND(#REF!="Padrão",$H$4=#REF!),BDI!#REF!,IF(AND(#REF!="Diferenciado",$H$4=#REF!),BDI!$E$17,IF(AND(#REF!="Diferenciado",$H$4=#REF!),BDI!#REF!,IF(#REF!="ZERO",0))))),"")</f>
        <v>#REF!</v>
      </c>
      <c r="H2823" s="127" t="e">
        <f t="shared" ca="1" si="151"/>
        <v>#REF!</v>
      </c>
      <c r="I2823" s="125" t="e">
        <f t="shared" ca="1" si="152"/>
        <v>#REF!</v>
      </c>
    </row>
    <row r="2824" spans="1:9" hidden="1" x14ac:dyDescent="0.25">
      <c r="A2824" s="103" t="s">
        <v>6973</v>
      </c>
      <c r="B2824" s="104" t="s">
        <v>6974</v>
      </c>
      <c r="C2824" s="105" t="s">
        <v>20</v>
      </c>
      <c r="D2824" s="105">
        <v>0</v>
      </c>
      <c r="E2824" s="124">
        <f ca="1">OFFSET(INDEX(Composições!A:J,MATCH(Orçamentária!A2824,Composições!A:A,0),8),2,0)</f>
        <v>32.8795</v>
      </c>
      <c r="F2824" s="125">
        <f t="shared" ca="1" si="150"/>
        <v>0</v>
      </c>
      <c r="G2824" s="126" t="e">
        <f>IF(A2824&lt;&gt;"",IF(AND(#REF!="Padrão",$H$4=#REF!),BDI!$B$17,IF(AND(#REF!="Padrão",$H$4=#REF!),BDI!#REF!,IF(AND(#REF!="Diferenciado",$H$4=#REF!),BDI!$E$17,IF(AND(#REF!="Diferenciado",$H$4=#REF!),BDI!#REF!,IF(#REF!="ZERO",0))))),"")</f>
        <v>#REF!</v>
      </c>
      <c r="H2824" s="127" t="e">
        <f t="shared" ca="1" si="151"/>
        <v>#REF!</v>
      </c>
      <c r="I2824" s="125" t="e">
        <f t="shared" ca="1" si="152"/>
        <v>#REF!</v>
      </c>
    </row>
    <row r="2825" spans="1:9" hidden="1" x14ac:dyDescent="0.25">
      <c r="A2825" s="103" t="s">
        <v>6975</v>
      </c>
      <c r="B2825" s="104" t="s">
        <v>6976</v>
      </c>
      <c r="C2825" s="105" t="s">
        <v>20</v>
      </c>
      <c r="D2825" s="105">
        <v>0</v>
      </c>
      <c r="E2825" s="124">
        <f ca="1">OFFSET(INDEX(Composições!A:J,MATCH(Orçamentária!A2825,Composições!A:A,0),8),2,0)</f>
        <v>650.83550000000002</v>
      </c>
      <c r="F2825" s="125">
        <f t="shared" ca="1" si="150"/>
        <v>0</v>
      </c>
      <c r="G2825" s="126" t="e">
        <f>IF(A2825&lt;&gt;"",IF(AND(#REF!="Padrão",$H$4=#REF!),BDI!$B$17,IF(AND(#REF!="Padrão",$H$4=#REF!),BDI!#REF!,IF(AND(#REF!="Diferenciado",$H$4=#REF!),BDI!$E$17,IF(AND(#REF!="Diferenciado",$H$4=#REF!),BDI!#REF!,IF(#REF!="ZERO",0))))),"")</f>
        <v>#REF!</v>
      </c>
      <c r="H2825" s="127" t="e">
        <f t="shared" ca="1" si="151"/>
        <v>#REF!</v>
      </c>
      <c r="I2825" s="125" t="e">
        <f t="shared" ca="1" si="152"/>
        <v>#REF!</v>
      </c>
    </row>
    <row r="2826" spans="1:9" hidden="1" x14ac:dyDescent="0.25">
      <c r="A2826" s="103" t="s">
        <v>6977</v>
      </c>
      <c r="B2826" s="104" t="s">
        <v>6978</v>
      </c>
      <c r="C2826" s="105" t="s">
        <v>20</v>
      </c>
      <c r="D2826" s="105">
        <v>0</v>
      </c>
      <c r="E2826" s="124" t="s">
        <v>523</v>
      </c>
      <c r="F2826" s="125" t="str">
        <f t="shared" si="150"/>
        <v/>
      </c>
      <c r="G2826" s="126" t="e">
        <f>IF(A2826&lt;&gt;"",IF(AND(#REF!="Padrão",$H$4=#REF!),BDI!$B$17,IF(AND(#REF!="Padrão",$H$4=#REF!),BDI!#REF!,IF(AND(#REF!="Diferenciado",$H$4=#REF!),BDI!$E$17,IF(AND(#REF!="Diferenciado",$H$4=#REF!),BDI!#REF!,IF(#REF!="ZERO",0))))),"")</f>
        <v>#REF!</v>
      </c>
      <c r="H2826" s="127" t="str">
        <f t="shared" si="151"/>
        <v/>
      </c>
      <c r="I2826" s="125" t="str">
        <f t="shared" si="152"/>
        <v/>
      </c>
    </row>
    <row r="2827" spans="1:9" hidden="1" x14ac:dyDescent="0.25">
      <c r="A2827" s="103" t="s">
        <v>6979</v>
      </c>
      <c r="B2827" s="104" t="s">
        <v>6980</v>
      </c>
      <c r="C2827" s="105" t="s">
        <v>20</v>
      </c>
      <c r="D2827" s="105">
        <v>0</v>
      </c>
      <c r="E2827" s="124" t="s">
        <v>523</v>
      </c>
      <c r="F2827" s="125" t="str">
        <f t="shared" si="150"/>
        <v/>
      </c>
      <c r="G2827" s="126" t="e">
        <f>IF(A2827&lt;&gt;"",IF(AND(#REF!="Padrão",$H$4=#REF!),BDI!$B$17,IF(AND(#REF!="Padrão",$H$4=#REF!),BDI!#REF!,IF(AND(#REF!="Diferenciado",$H$4=#REF!),BDI!$E$17,IF(AND(#REF!="Diferenciado",$H$4=#REF!),BDI!#REF!,IF(#REF!="ZERO",0))))),"")</f>
        <v>#REF!</v>
      </c>
      <c r="H2827" s="127" t="str">
        <f t="shared" si="151"/>
        <v/>
      </c>
      <c r="I2827" s="125" t="str">
        <f t="shared" si="152"/>
        <v/>
      </c>
    </row>
    <row r="2828" spans="1:9" hidden="1" x14ac:dyDescent="0.25">
      <c r="A2828" s="103" t="s">
        <v>6981</v>
      </c>
      <c r="B2828" s="104" t="s">
        <v>6982</v>
      </c>
      <c r="C2828" s="105" t="s">
        <v>20</v>
      </c>
      <c r="D2828" s="105">
        <v>0</v>
      </c>
      <c r="E2828" s="124">
        <f ca="1">OFFSET(INDEX(Composições!A:J,MATCH(Orçamentária!A2828,Composições!A:A,0),8),2,0)</f>
        <v>22.097000000000001</v>
      </c>
      <c r="F2828" s="125">
        <f t="shared" ca="1" si="150"/>
        <v>0</v>
      </c>
      <c r="G2828" s="126" t="e">
        <f>IF(A2828&lt;&gt;"",IF(AND(#REF!="Padrão",$H$4=#REF!),BDI!$B$17,IF(AND(#REF!="Padrão",$H$4=#REF!),BDI!#REF!,IF(AND(#REF!="Diferenciado",$H$4=#REF!),BDI!$E$17,IF(AND(#REF!="Diferenciado",$H$4=#REF!),BDI!#REF!,IF(#REF!="ZERO",0))))),"")</f>
        <v>#REF!</v>
      </c>
      <c r="H2828" s="127" t="e">
        <f t="shared" ca="1" si="151"/>
        <v>#REF!</v>
      </c>
      <c r="I2828" s="125" t="e">
        <f t="shared" ca="1" si="152"/>
        <v>#REF!</v>
      </c>
    </row>
    <row r="2829" spans="1:9" hidden="1" x14ac:dyDescent="0.25">
      <c r="A2829" s="103" t="s">
        <v>6983</v>
      </c>
      <c r="B2829" s="104" t="s">
        <v>6984</v>
      </c>
      <c r="C2829" s="105" t="s">
        <v>20</v>
      </c>
      <c r="D2829" s="105">
        <v>0</v>
      </c>
      <c r="E2829" s="124">
        <f ca="1">OFFSET(INDEX(Composições!A:J,MATCH(Orçamentária!A2829,Composições!A:A,0),8),2,0)</f>
        <v>26.372</v>
      </c>
      <c r="F2829" s="125">
        <f t="shared" ca="1" si="150"/>
        <v>0</v>
      </c>
      <c r="G2829" s="126" t="e">
        <f>IF(A2829&lt;&gt;"",IF(AND(#REF!="Padrão",$H$4=#REF!),BDI!$B$17,IF(AND(#REF!="Padrão",$H$4=#REF!),BDI!#REF!,IF(AND(#REF!="Diferenciado",$H$4=#REF!),BDI!$E$17,IF(AND(#REF!="Diferenciado",$H$4=#REF!),BDI!#REF!,IF(#REF!="ZERO",0))))),"")</f>
        <v>#REF!</v>
      </c>
      <c r="H2829" s="127" t="e">
        <f t="shared" ca="1" si="151"/>
        <v>#REF!</v>
      </c>
      <c r="I2829" s="125" t="e">
        <f t="shared" ca="1" si="152"/>
        <v>#REF!</v>
      </c>
    </row>
    <row r="2830" spans="1:9" hidden="1" x14ac:dyDescent="0.25">
      <c r="A2830" s="103" t="s">
        <v>6985</v>
      </c>
      <c r="B2830" s="104" t="s">
        <v>6986</v>
      </c>
      <c r="C2830" s="105" t="s">
        <v>20</v>
      </c>
      <c r="D2830" s="105">
        <v>0</v>
      </c>
      <c r="E2830" s="124">
        <f ca="1">OFFSET(INDEX(Composições!A:J,MATCH(Orçamentária!A2830,Composições!A:A,0),8),2,0)</f>
        <v>32.166999999999994</v>
      </c>
      <c r="F2830" s="125">
        <f t="shared" ca="1" si="150"/>
        <v>0</v>
      </c>
      <c r="G2830" s="126" t="e">
        <f>IF(A2830&lt;&gt;"",IF(AND(#REF!="Padrão",$H$4=#REF!),BDI!$B$17,IF(AND(#REF!="Padrão",$H$4=#REF!),BDI!#REF!,IF(AND(#REF!="Diferenciado",$H$4=#REF!),BDI!$E$17,IF(AND(#REF!="Diferenciado",$H$4=#REF!),BDI!#REF!,IF(#REF!="ZERO",0))))),"")</f>
        <v>#REF!</v>
      </c>
      <c r="H2830" s="127" t="e">
        <f t="shared" ca="1" si="151"/>
        <v>#REF!</v>
      </c>
      <c r="I2830" s="125" t="e">
        <f t="shared" ca="1" si="152"/>
        <v>#REF!</v>
      </c>
    </row>
    <row r="2831" spans="1:9" hidden="1" x14ac:dyDescent="0.25">
      <c r="A2831" s="103" t="s">
        <v>6987</v>
      </c>
      <c r="B2831" s="104" t="s">
        <v>6988</v>
      </c>
      <c r="C2831" s="105" t="s">
        <v>20</v>
      </c>
      <c r="D2831" s="105">
        <v>0</v>
      </c>
      <c r="E2831" s="124">
        <f ca="1">OFFSET(INDEX(Composições!A:J,MATCH(Orçamentária!A2831,Composições!A:A,0),8),2,0)</f>
        <v>88.169499999999999</v>
      </c>
      <c r="F2831" s="125">
        <f t="shared" ca="1" si="150"/>
        <v>0</v>
      </c>
      <c r="G2831" s="126" t="e">
        <f>IF(A2831&lt;&gt;"",IF(AND(#REF!="Padrão",$H$4=#REF!),BDI!$B$17,IF(AND(#REF!="Padrão",$H$4=#REF!),BDI!#REF!,IF(AND(#REF!="Diferenciado",$H$4=#REF!),BDI!$E$17,IF(AND(#REF!="Diferenciado",$H$4=#REF!),BDI!#REF!,IF(#REF!="ZERO",0))))),"")</f>
        <v>#REF!</v>
      </c>
      <c r="H2831" s="127" t="e">
        <f t="shared" ca="1" si="151"/>
        <v>#REF!</v>
      </c>
      <c r="I2831" s="125" t="e">
        <f t="shared" ca="1" si="152"/>
        <v>#REF!</v>
      </c>
    </row>
    <row r="2832" spans="1:9" hidden="1" x14ac:dyDescent="0.25">
      <c r="A2832" s="103" t="s">
        <v>6989</v>
      </c>
      <c r="B2832" s="104" t="s">
        <v>6990</v>
      </c>
      <c r="C2832" s="105" t="s">
        <v>20</v>
      </c>
      <c r="D2832" s="105">
        <v>0</v>
      </c>
      <c r="E2832" s="124">
        <f ca="1">OFFSET(INDEX(Composições!A:J,MATCH(Orçamentária!A2832,Composições!A:A,0),8),2,0)</f>
        <v>156.959</v>
      </c>
      <c r="F2832" s="125">
        <f t="shared" ca="1" si="150"/>
        <v>0</v>
      </c>
      <c r="G2832" s="126" t="e">
        <f>IF(A2832&lt;&gt;"",IF(AND(#REF!="Padrão",$H$4=#REF!),BDI!$B$17,IF(AND(#REF!="Padrão",$H$4=#REF!),BDI!#REF!,IF(AND(#REF!="Diferenciado",$H$4=#REF!),BDI!$E$17,IF(AND(#REF!="Diferenciado",$H$4=#REF!),BDI!#REF!,IF(#REF!="ZERO",0))))),"")</f>
        <v>#REF!</v>
      </c>
      <c r="H2832" s="127" t="e">
        <f t="shared" ca="1" si="151"/>
        <v>#REF!</v>
      </c>
      <c r="I2832" s="125" t="e">
        <f t="shared" ca="1" si="152"/>
        <v>#REF!</v>
      </c>
    </row>
    <row r="2833" spans="1:9" hidden="1" x14ac:dyDescent="0.25">
      <c r="A2833" s="103" t="s">
        <v>6991</v>
      </c>
      <c r="B2833" s="104" t="s">
        <v>6992</v>
      </c>
      <c r="C2833" s="105" t="s">
        <v>20</v>
      </c>
      <c r="D2833" s="105">
        <v>0</v>
      </c>
      <c r="E2833" s="124">
        <f ca="1">OFFSET(INDEX(Composições!A:J,MATCH(Orçamentária!A2833,Composições!A:A,0),8),2,0)</f>
        <v>152</v>
      </c>
      <c r="F2833" s="125">
        <f t="shared" ca="1" si="150"/>
        <v>0</v>
      </c>
      <c r="G2833" s="126" t="e">
        <f>IF(A2833&lt;&gt;"",IF(AND(#REF!="Padrão",$H$4=#REF!),BDI!$B$17,IF(AND(#REF!="Padrão",$H$4=#REF!),BDI!#REF!,IF(AND(#REF!="Diferenciado",$H$4=#REF!),BDI!$E$17,IF(AND(#REF!="Diferenciado",$H$4=#REF!),BDI!#REF!,IF(#REF!="ZERO",0))))),"")</f>
        <v>#REF!</v>
      </c>
      <c r="H2833" s="127" t="e">
        <f t="shared" ca="1" si="151"/>
        <v>#REF!</v>
      </c>
      <c r="I2833" s="125" t="e">
        <f t="shared" ca="1" si="152"/>
        <v>#REF!</v>
      </c>
    </row>
    <row r="2834" spans="1:9" hidden="1" x14ac:dyDescent="0.25">
      <c r="A2834" s="103" t="s">
        <v>6993</v>
      </c>
      <c r="B2834" s="104" t="s">
        <v>6994</v>
      </c>
      <c r="C2834" s="105" t="s">
        <v>20</v>
      </c>
      <c r="D2834" s="105">
        <v>0</v>
      </c>
      <c r="E2834" s="124" t="s">
        <v>523</v>
      </c>
      <c r="F2834" s="125" t="str">
        <f t="shared" si="150"/>
        <v/>
      </c>
      <c r="G2834" s="126" t="e">
        <f>IF(A2834&lt;&gt;"",IF(AND(#REF!="Padrão",$H$4=#REF!),BDI!$B$17,IF(AND(#REF!="Padrão",$H$4=#REF!),BDI!#REF!,IF(AND(#REF!="Diferenciado",$H$4=#REF!),BDI!$E$17,IF(AND(#REF!="Diferenciado",$H$4=#REF!),BDI!#REF!,IF(#REF!="ZERO",0))))),"")</f>
        <v>#REF!</v>
      </c>
      <c r="H2834" s="127" t="str">
        <f t="shared" si="151"/>
        <v/>
      </c>
      <c r="I2834" s="125" t="str">
        <f t="shared" si="152"/>
        <v/>
      </c>
    </row>
    <row r="2835" spans="1:9" hidden="1" x14ac:dyDescent="0.25">
      <c r="A2835" s="103" t="s">
        <v>6995</v>
      </c>
      <c r="B2835" s="104" t="s">
        <v>6996</v>
      </c>
      <c r="C2835" s="105" t="s">
        <v>20</v>
      </c>
      <c r="D2835" s="105">
        <v>0</v>
      </c>
      <c r="E2835" s="124" t="s">
        <v>523</v>
      </c>
      <c r="F2835" s="125" t="str">
        <f t="shared" si="150"/>
        <v/>
      </c>
      <c r="G2835" s="126" t="e">
        <f>IF(A2835&lt;&gt;"",IF(AND(#REF!="Padrão",$H$4=#REF!),BDI!$B$17,IF(AND(#REF!="Padrão",$H$4=#REF!),BDI!#REF!,IF(AND(#REF!="Diferenciado",$H$4=#REF!),BDI!$E$17,IF(AND(#REF!="Diferenciado",$H$4=#REF!),BDI!#REF!,IF(#REF!="ZERO",0))))),"")</f>
        <v>#REF!</v>
      </c>
      <c r="H2835" s="127" t="str">
        <f t="shared" si="151"/>
        <v/>
      </c>
      <c r="I2835" s="125" t="str">
        <f t="shared" si="152"/>
        <v/>
      </c>
    </row>
    <row r="2836" spans="1:9" hidden="1" x14ac:dyDescent="0.25">
      <c r="A2836" s="103" t="s">
        <v>6997</v>
      </c>
      <c r="B2836" s="104" t="s">
        <v>6998</v>
      </c>
      <c r="C2836" s="105" t="s">
        <v>20</v>
      </c>
      <c r="D2836" s="105">
        <v>0</v>
      </c>
      <c r="E2836" s="124" t="s">
        <v>523</v>
      </c>
      <c r="F2836" s="125" t="str">
        <f t="shared" si="150"/>
        <v/>
      </c>
      <c r="G2836" s="126" t="e">
        <f>IF(A2836&lt;&gt;"",IF(AND(#REF!="Padrão",$H$4=#REF!),BDI!$B$17,IF(AND(#REF!="Padrão",$H$4=#REF!),BDI!#REF!,IF(AND(#REF!="Diferenciado",$H$4=#REF!),BDI!$E$17,IF(AND(#REF!="Diferenciado",$H$4=#REF!),BDI!#REF!,IF(#REF!="ZERO",0))))),"")</f>
        <v>#REF!</v>
      </c>
      <c r="H2836" s="127" t="str">
        <f t="shared" si="151"/>
        <v/>
      </c>
      <c r="I2836" s="125" t="str">
        <f t="shared" si="152"/>
        <v/>
      </c>
    </row>
    <row r="2837" spans="1:9" hidden="1" x14ac:dyDescent="0.25">
      <c r="A2837" s="103" t="s">
        <v>6999</v>
      </c>
      <c r="B2837" s="104" t="s">
        <v>7000</v>
      </c>
      <c r="C2837" s="105" t="s">
        <v>20</v>
      </c>
      <c r="D2837" s="105">
        <v>0</v>
      </c>
      <c r="E2837" s="124" t="s">
        <v>523</v>
      </c>
      <c r="F2837" s="125" t="str">
        <f t="shared" si="150"/>
        <v/>
      </c>
      <c r="G2837" s="126" t="e">
        <f>IF(A2837&lt;&gt;"",IF(AND(#REF!="Padrão",$H$4=#REF!),BDI!$B$17,IF(AND(#REF!="Padrão",$H$4=#REF!),BDI!#REF!,IF(AND(#REF!="Diferenciado",$H$4=#REF!),BDI!$E$17,IF(AND(#REF!="Diferenciado",$H$4=#REF!),BDI!#REF!,IF(#REF!="ZERO",0))))),"")</f>
        <v>#REF!</v>
      </c>
      <c r="H2837" s="127" t="str">
        <f t="shared" si="151"/>
        <v/>
      </c>
      <c r="I2837" s="125" t="str">
        <f t="shared" si="152"/>
        <v/>
      </c>
    </row>
    <row r="2838" spans="1:9" hidden="1" x14ac:dyDescent="0.25">
      <c r="A2838" s="103" t="s">
        <v>7001</v>
      </c>
      <c r="B2838" s="104" t="s">
        <v>7002</v>
      </c>
      <c r="C2838" s="105" t="s">
        <v>20</v>
      </c>
      <c r="D2838" s="105">
        <v>0</v>
      </c>
      <c r="E2838" s="124" t="s">
        <v>523</v>
      </c>
      <c r="F2838" s="125" t="str">
        <f t="shared" si="150"/>
        <v/>
      </c>
      <c r="G2838" s="126" t="e">
        <f>IF(A2838&lt;&gt;"",IF(AND(#REF!="Padrão",$H$4=#REF!),BDI!$B$17,IF(AND(#REF!="Padrão",$H$4=#REF!),BDI!#REF!,IF(AND(#REF!="Diferenciado",$H$4=#REF!),BDI!$E$17,IF(AND(#REF!="Diferenciado",$H$4=#REF!),BDI!#REF!,IF(#REF!="ZERO",0))))),"")</f>
        <v>#REF!</v>
      </c>
      <c r="H2838" s="127" t="str">
        <f t="shared" si="151"/>
        <v/>
      </c>
      <c r="I2838" s="125" t="str">
        <f t="shared" si="152"/>
        <v/>
      </c>
    </row>
    <row r="2839" spans="1:9" hidden="1" x14ac:dyDescent="0.25">
      <c r="A2839" s="103" t="s">
        <v>7003</v>
      </c>
      <c r="B2839" s="104" t="s">
        <v>7004</v>
      </c>
      <c r="C2839" s="105" t="s">
        <v>20</v>
      </c>
      <c r="D2839" s="105">
        <v>0</v>
      </c>
      <c r="E2839" s="124" t="s">
        <v>523</v>
      </c>
      <c r="F2839" s="125" t="str">
        <f t="shared" ref="F2839:F2902" si="153">IF(ISNUMBER(E2839),D2839*E2839,"")</f>
        <v/>
      </c>
      <c r="G2839" s="126" t="e">
        <f>IF(A2839&lt;&gt;"",IF(AND(#REF!="Padrão",$H$4=#REF!),BDI!$B$17,IF(AND(#REF!="Padrão",$H$4=#REF!),BDI!#REF!,IF(AND(#REF!="Diferenciado",$H$4=#REF!),BDI!$E$17,IF(AND(#REF!="Diferenciado",$H$4=#REF!),BDI!#REF!,IF(#REF!="ZERO",0))))),"")</f>
        <v>#REF!</v>
      </c>
      <c r="H2839" s="127" t="str">
        <f t="shared" ref="H2839:H2902" si="154">IF(ISNUMBER(E2839),ROUND(E2839*(1+G2839),2),"")</f>
        <v/>
      </c>
      <c r="I2839" s="125" t="str">
        <f t="shared" ref="I2839:I2902" si="155">IF(ISNUMBER(E2839),ROUND(H2839*D2839,2),"")</f>
        <v/>
      </c>
    </row>
    <row r="2840" spans="1:9" ht="25.5" hidden="1" x14ac:dyDescent="0.25">
      <c r="A2840" s="103" t="s">
        <v>7005</v>
      </c>
      <c r="B2840" s="104" t="s">
        <v>7006</v>
      </c>
      <c r="C2840" s="105" t="s">
        <v>20</v>
      </c>
      <c r="D2840" s="105">
        <v>0</v>
      </c>
      <c r="E2840" s="124" t="s">
        <v>523</v>
      </c>
      <c r="F2840" s="125" t="str">
        <f t="shared" si="153"/>
        <v/>
      </c>
      <c r="G2840" s="126" t="e">
        <f>IF(A2840&lt;&gt;"",IF(AND(#REF!="Padrão",$H$4=#REF!),BDI!$B$17,IF(AND(#REF!="Padrão",$H$4=#REF!),BDI!#REF!,IF(AND(#REF!="Diferenciado",$H$4=#REF!),BDI!$E$17,IF(AND(#REF!="Diferenciado",$H$4=#REF!),BDI!#REF!,IF(#REF!="ZERO",0))))),"")</f>
        <v>#REF!</v>
      </c>
      <c r="H2840" s="127" t="str">
        <f t="shared" si="154"/>
        <v/>
      </c>
      <c r="I2840" s="125" t="str">
        <f t="shared" si="155"/>
        <v/>
      </c>
    </row>
    <row r="2841" spans="1:9" ht="25.5" hidden="1" x14ac:dyDescent="0.25">
      <c r="A2841" s="103" t="s">
        <v>7007</v>
      </c>
      <c r="B2841" s="104" t="s">
        <v>7008</v>
      </c>
      <c r="C2841" s="105" t="s">
        <v>20</v>
      </c>
      <c r="D2841" s="105">
        <v>0</v>
      </c>
      <c r="E2841" s="124" t="s">
        <v>523</v>
      </c>
      <c r="F2841" s="125" t="str">
        <f t="shared" si="153"/>
        <v/>
      </c>
      <c r="G2841" s="126" t="e">
        <f>IF(A2841&lt;&gt;"",IF(AND(#REF!="Padrão",$H$4=#REF!),BDI!$B$17,IF(AND(#REF!="Padrão",$H$4=#REF!),BDI!#REF!,IF(AND(#REF!="Diferenciado",$H$4=#REF!),BDI!$E$17,IF(AND(#REF!="Diferenciado",$H$4=#REF!),BDI!#REF!,IF(#REF!="ZERO",0))))),"")</f>
        <v>#REF!</v>
      </c>
      <c r="H2841" s="127" t="str">
        <f t="shared" si="154"/>
        <v/>
      </c>
      <c r="I2841" s="125" t="str">
        <f t="shared" si="155"/>
        <v/>
      </c>
    </row>
    <row r="2842" spans="1:9" hidden="1" x14ac:dyDescent="0.25">
      <c r="A2842" s="103" t="s">
        <v>7009</v>
      </c>
      <c r="B2842" s="104" t="s">
        <v>3502</v>
      </c>
      <c r="C2842" s="105" t="s">
        <v>20</v>
      </c>
      <c r="D2842" s="105">
        <v>0</v>
      </c>
      <c r="E2842" s="124" t="s">
        <v>523</v>
      </c>
      <c r="F2842" s="125" t="str">
        <f t="shared" si="153"/>
        <v/>
      </c>
      <c r="G2842" s="126" t="e">
        <f>IF(A2842&lt;&gt;"",IF(AND(#REF!="Padrão",$H$4=#REF!),BDI!$B$17,IF(AND(#REF!="Padrão",$H$4=#REF!),BDI!#REF!,IF(AND(#REF!="Diferenciado",$H$4=#REF!),BDI!$E$17,IF(AND(#REF!="Diferenciado",$H$4=#REF!),BDI!#REF!,IF(#REF!="ZERO",0))))),"")</f>
        <v>#REF!</v>
      </c>
      <c r="H2842" s="127" t="str">
        <f t="shared" si="154"/>
        <v/>
      </c>
      <c r="I2842" s="125" t="str">
        <f t="shared" si="155"/>
        <v/>
      </c>
    </row>
    <row r="2843" spans="1:9" hidden="1" x14ac:dyDescent="0.25">
      <c r="A2843" s="103" t="s">
        <v>7010</v>
      </c>
      <c r="B2843" s="104" t="s">
        <v>6283</v>
      </c>
      <c r="C2843" s="105" t="s">
        <v>20</v>
      </c>
      <c r="D2843" s="105">
        <v>0</v>
      </c>
      <c r="E2843" s="124" t="s">
        <v>523</v>
      </c>
      <c r="F2843" s="125" t="str">
        <f t="shared" si="153"/>
        <v/>
      </c>
      <c r="G2843" s="126" t="e">
        <f>IF(A2843&lt;&gt;"",IF(AND(#REF!="Padrão",$H$4=#REF!),BDI!$B$17,IF(AND(#REF!="Padrão",$H$4=#REF!),BDI!#REF!,IF(AND(#REF!="Diferenciado",$H$4=#REF!),BDI!$E$17,IF(AND(#REF!="Diferenciado",$H$4=#REF!),BDI!#REF!,IF(#REF!="ZERO",0))))),"")</f>
        <v>#REF!</v>
      </c>
      <c r="H2843" s="127" t="str">
        <f t="shared" si="154"/>
        <v/>
      </c>
      <c r="I2843" s="125" t="str">
        <f t="shared" si="155"/>
        <v/>
      </c>
    </row>
    <row r="2844" spans="1:9" hidden="1" x14ac:dyDescent="0.25">
      <c r="A2844" s="103" t="s">
        <v>7011</v>
      </c>
      <c r="B2844" s="104" t="s">
        <v>7012</v>
      </c>
      <c r="C2844" s="105" t="s">
        <v>20</v>
      </c>
      <c r="D2844" s="105">
        <v>0</v>
      </c>
      <c r="E2844" s="124" t="s">
        <v>523</v>
      </c>
      <c r="F2844" s="125" t="str">
        <f t="shared" si="153"/>
        <v/>
      </c>
      <c r="G2844" s="126" t="e">
        <f>IF(A2844&lt;&gt;"",IF(AND(#REF!="Padrão",$H$4=#REF!),BDI!$B$17,IF(AND(#REF!="Padrão",$H$4=#REF!),BDI!#REF!,IF(AND(#REF!="Diferenciado",$H$4=#REF!),BDI!$E$17,IF(AND(#REF!="Diferenciado",$H$4=#REF!),BDI!#REF!,IF(#REF!="ZERO",0))))),"")</f>
        <v>#REF!</v>
      </c>
      <c r="H2844" s="127" t="str">
        <f t="shared" si="154"/>
        <v/>
      </c>
      <c r="I2844" s="125" t="str">
        <f t="shared" si="155"/>
        <v/>
      </c>
    </row>
    <row r="2845" spans="1:9" hidden="1" x14ac:dyDescent="0.25">
      <c r="A2845" s="103" t="s">
        <v>7013</v>
      </c>
      <c r="B2845" s="104" t="s">
        <v>7014</v>
      </c>
      <c r="C2845" s="105" t="s">
        <v>20</v>
      </c>
      <c r="D2845" s="105">
        <v>0</v>
      </c>
      <c r="E2845" s="124" t="s">
        <v>523</v>
      </c>
      <c r="F2845" s="125" t="str">
        <f t="shared" si="153"/>
        <v/>
      </c>
      <c r="G2845" s="126" t="e">
        <f>IF(A2845&lt;&gt;"",IF(AND(#REF!="Padrão",$H$4=#REF!),BDI!$B$17,IF(AND(#REF!="Padrão",$H$4=#REF!),BDI!#REF!,IF(AND(#REF!="Diferenciado",$H$4=#REF!),BDI!$E$17,IF(AND(#REF!="Diferenciado",$H$4=#REF!),BDI!#REF!,IF(#REF!="ZERO",0))))),"")</f>
        <v>#REF!</v>
      </c>
      <c r="H2845" s="127" t="str">
        <f t="shared" si="154"/>
        <v/>
      </c>
      <c r="I2845" s="125" t="str">
        <f t="shared" si="155"/>
        <v/>
      </c>
    </row>
    <row r="2846" spans="1:9" hidden="1" x14ac:dyDescent="0.25">
      <c r="A2846" s="103" t="s">
        <v>7015</v>
      </c>
      <c r="B2846" s="104" t="s">
        <v>7016</v>
      </c>
      <c r="C2846" s="105" t="s">
        <v>20</v>
      </c>
      <c r="D2846" s="105">
        <v>0</v>
      </c>
      <c r="E2846" s="124" t="s">
        <v>523</v>
      </c>
      <c r="F2846" s="125" t="str">
        <f t="shared" si="153"/>
        <v/>
      </c>
      <c r="G2846" s="126" t="e">
        <f>IF(A2846&lt;&gt;"",IF(AND(#REF!="Padrão",$H$4=#REF!),BDI!$B$17,IF(AND(#REF!="Padrão",$H$4=#REF!),BDI!#REF!,IF(AND(#REF!="Diferenciado",$H$4=#REF!),BDI!$E$17,IF(AND(#REF!="Diferenciado",$H$4=#REF!),BDI!#REF!,IF(#REF!="ZERO",0))))),"")</f>
        <v>#REF!</v>
      </c>
      <c r="H2846" s="127" t="str">
        <f t="shared" si="154"/>
        <v/>
      </c>
      <c r="I2846" s="125" t="str">
        <f t="shared" si="155"/>
        <v/>
      </c>
    </row>
    <row r="2847" spans="1:9" hidden="1" x14ac:dyDescent="0.25">
      <c r="A2847" s="103" t="s">
        <v>7017</v>
      </c>
      <c r="B2847" s="104" t="s">
        <v>7018</v>
      </c>
      <c r="C2847" s="105" t="s">
        <v>20</v>
      </c>
      <c r="D2847" s="105">
        <v>0</v>
      </c>
      <c r="E2847" s="124" t="s">
        <v>523</v>
      </c>
      <c r="F2847" s="125" t="str">
        <f t="shared" si="153"/>
        <v/>
      </c>
      <c r="G2847" s="126" t="e">
        <f>IF(A2847&lt;&gt;"",IF(AND(#REF!="Padrão",$H$4=#REF!),BDI!$B$17,IF(AND(#REF!="Padrão",$H$4=#REF!),BDI!#REF!,IF(AND(#REF!="Diferenciado",$H$4=#REF!),BDI!$E$17,IF(AND(#REF!="Diferenciado",$H$4=#REF!),BDI!#REF!,IF(#REF!="ZERO",0))))),"")</f>
        <v>#REF!</v>
      </c>
      <c r="H2847" s="127" t="str">
        <f t="shared" si="154"/>
        <v/>
      </c>
      <c r="I2847" s="125" t="str">
        <f t="shared" si="155"/>
        <v/>
      </c>
    </row>
    <row r="2848" spans="1:9" hidden="1" x14ac:dyDescent="0.25">
      <c r="A2848" s="103" t="s">
        <v>7019</v>
      </c>
      <c r="B2848" s="104" t="s">
        <v>7020</v>
      </c>
      <c r="C2848" s="105" t="s">
        <v>20</v>
      </c>
      <c r="D2848" s="105">
        <v>0</v>
      </c>
      <c r="E2848" s="124" t="s">
        <v>523</v>
      </c>
      <c r="F2848" s="125" t="str">
        <f t="shared" si="153"/>
        <v/>
      </c>
      <c r="G2848" s="126" t="e">
        <f>IF(A2848&lt;&gt;"",IF(AND(#REF!="Padrão",$H$4=#REF!),BDI!$B$17,IF(AND(#REF!="Padrão",$H$4=#REF!),BDI!#REF!,IF(AND(#REF!="Diferenciado",$H$4=#REF!),BDI!$E$17,IF(AND(#REF!="Diferenciado",$H$4=#REF!),BDI!#REF!,IF(#REF!="ZERO",0))))),"")</f>
        <v>#REF!</v>
      </c>
      <c r="H2848" s="127" t="str">
        <f t="shared" si="154"/>
        <v/>
      </c>
      <c r="I2848" s="125" t="str">
        <f t="shared" si="155"/>
        <v/>
      </c>
    </row>
    <row r="2849" spans="1:9" hidden="1" x14ac:dyDescent="0.25">
      <c r="A2849" s="103" t="s">
        <v>7021</v>
      </c>
      <c r="B2849" s="104" t="s">
        <v>7022</v>
      </c>
      <c r="C2849" s="105" t="s">
        <v>20</v>
      </c>
      <c r="D2849" s="105">
        <v>0</v>
      </c>
      <c r="E2849" s="124" t="s">
        <v>523</v>
      </c>
      <c r="F2849" s="125" t="str">
        <f t="shared" si="153"/>
        <v/>
      </c>
      <c r="G2849" s="126" t="e">
        <f>IF(A2849&lt;&gt;"",IF(AND(#REF!="Padrão",$H$4=#REF!),BDI!$B$17,IF(AND(#REF!="Padrão",$H$4=#REF!),BDI!#REF!,IF(AND(#REF!="Diferenciado",$H$4=#REF!),BDI!$E$17,IF(AND(#REF!="Diferenciado",$H$4=#REF!),BDI!#REF!,IF(#REF!="ZERO",0))))),"")</f>
        <v>#REF!</v>
      </c>
      <c r="H2849" s="127" t="str">
        <f t="shared" si="154"/>
        <v/>
      </c>
      <c r="I2849" s="125" t="str">
        <f t="shared" si="155"/>
        <v/>
      </c>
    </row>
    <row r="2850" spans="1:9" hidden="1" x14ac:dyDescent="0.25">
      <c r="A2850" s="103" t="s">
        <v>7023</v>
      </c>
      <c r="B2850" s="104" t="s">
        <v>7024</v>
      </c>
      <c r="C2850" s="105" t="s">
        <v>20</v>
      </c>
      <c r="D2850" s="105">
        <v>0</v>
      </c>
      <c r="E2850" s="124" t="s">
        <v>523</v>
      </c>
      <c r="F2850" s="125" t="str">
        <f t="shared" si="153"/>
        <v/>
      </c>
      <c r="G2850" s="126" t="e">
        <f>IF(A2850&lt;&gt;"",IF(AND(#REF!="Padrão",$H$4=#REF!),BDI!$B$17,IF(AND(#REF!="Padrão",$H$4=#REF!),BDI!#REF!,IF(AND(#REF!="Diferenciado",$H$4=#REF!),BDI!$E$17,IF(AND(#REF!="Diferenciado",$H$4=#REF!),BDI!#REF!,IF(#REF!="ZERO",0))))),"")</f>
        <v>#REF!</v>
      </c>
      <c r="H2850" s="127" t="str">
        <f t="shared" si="154"/>
        <v/>
      </c>
      <c r="I2850" s="125" t="str">
        <f t="shared" si="155"/>
        <v/>
      </c>
    </row>
    <row r="2851" spans="1:9" hidden="1" x14ac:dyDescent="0.25">
      <c r="A2851" s="103" t="s">
        <v>7025</v>
      </c>
      <c r="B2851" s="104" t="s">
        <v>6278</v>
      </c>
      <c r="C2851" s="105" t="s">
        <v>20</v>
      </c>
      <c r="D2851" s="105">
        <v>0</v>
      </c>
      <c r="E2851" s="124" t="s">
        <v>523</v>
      </c>
      <c r="F2851" s="125" t="str">
        <f t="shared" si="153"/>
        <v/>
      </c>
      <c r="G2851" s="126" t="e">
        <f>IF(A2851&lt;&gt;"",IF(AND(#REF!="Padrão",$H$4=#REF!),BDI!$B$17,IF(AND(#REF!="Padrão",$H$4=#REF!),BDI!#REF!,IF(AND(#REF!="Diferenciado",$H$4=#REF!),BDI!$E$17,IF(AND(#REF!="Diferenciado",$H$4=#REF!),BDI!#REF!,IF(#REF!="ZERO",0))))),"")</f>
        <v>#REF!</v>
      </c>
      <c r="H2851" s="127" t="str">
        <f t="shared" si="154"/>
        <v/>
      </c>
      <c r="I2851" s="125" t="str">
        <f t="shared" si="155"/>
        <v/>
      </c>
    </row>
    <row r="2852" spans="1:9" hidden="1" x14ac:dyDescent="0.25">
      <c r="A2852" s="103" t="s">
        <v>7026</v>
      </c>
      <c r="B2852" s="104" t="s">
        <v>7027</v>
      </c>
      <c r="C2852" s="105" t="s">
        <v>20</v>
      </c>
      <c r="D2852" s="105">
        <v>0</v>
      </c>
      <c r="E2852" s="124" t="s">
        <v>523</v>
      </c>
      <c r="F2852" s="125" t="str">
        <f t="shared" si="153"/>
        <v/>
      </c>
      <c r="G2852" s="126" t="e">
        <f>IF(A2852&lt;&gt;"",IF(AND(#REF!="Padrão",$H$4=#REF!),BDI!$B$17,IF(AND(#REF!="Padrão",$H$4=#REF!),BDI!#REF!,IF(AND(#REF!="Diferenciado",$H$4=#REF!),BDI!$E$17,IF(AND(#REF!="Diferenciado",$H$4=#REF!),BDI!#REF!,IF(#REF!="ZERO",0))))),"")</f>
        <v>#REF!</v>
      </c>
      <c r="H2852" s="127" t="str">
        <f t="shared" si="154"/>
        <v/>
      </c>
      <c r="I2852" s="125" t="str">
        <f t="shared" si="155"/>
        <v/>
      </c>
    </row>
    <row r="2853" spans="1:9" hidden="1" x14ac:dyDescent="0.25">
      <c r="A2853" s="103" t="s">
        <v>7028</v>
      </c>
      <c r="B2853" s="104" t="s">
        <v>7029</v>
      </c>
      <c r="C2853" s="105" t="s">
        <v>20</v>
      </c>
      <c r="D2853" s="105">
        <v>0</v>
      </c>
      <c r="E2853" s="124">
        <f ca="1">OFFSET(INDEX(Composições!A:J,MATCH(Orçamentária!A2853,Composições!A:A,0),8),2,0)</f>
        <v>21.650499999999997</v>
      </c>
      <c r="F2853" s="125">
        <f t="shared" ca="1" si="153"/>
        <v>0</v>
      </c>
      <c r="G2853" s="126" t="e">
        <f>IF(A2853&lt;&gt;"",IF(AND(#REF!="Padrão",$H$4=#REF!),BDI!$B$17,IF(AND(#REF!="Padrão",$H$4=#REF!),BDI!#REF!,IF(AND(#REF!="Diferenciado",$H$4=#REF!),BDI!$E$17,IF(AND(#REF!="Diferenciado",$H$4=#REF!),BDI!#REF!,IF(#REF!="ZERO",0))))),"")</f>
        <v>#REF!</v>
      </c>
      <c r="H2853" s="127" t="e">
        <f t="shared" ca="1" si="154"/>
        <v>#REF!</v>
      </c>
      <c r="I2853" s="125" t="e">
        <f t="shared" ca="1" si="155"/>
        <v>#REF!</v>
      </c>
    </row>
    <row r="2854" spans="1:9" hidden="1" x14ac:dyDescent="0.25">
      <c r="A2854" s="103" t="s">
        <v>7030</v>
      </c>
      <c r="B2854" s="104" t="s">
        <v>7031</v>
      </c>
      <c r="C2854" s="105" t="s">
        <v>20</v>
      </c>
      <c r="D2854" s="105">
        <v>0</v>
      </c>
      <c r="E2854" s="124">
        <f ca="1">OFFSET(INDEX(Composições!A:J,MATCH(Orçamentária!A2854,Composições!A:A,0),8),2,0)</f>
        <v>8.4550000000000001</v>
      </c>
      <c r="F2854" s="125">
        <f t="shared" ca="1" si="153"/>
        <v>0</v>
      </c>
      <c r="G2854" s="126" t="e">
        <f>IF(A2854&lt;&gt;"",IF(AND(#REF!="Padrão",$H$4=#REF!),BDI!$B$17,IF(AND(#REF!="Padrão",$H$4=#REF!),BDI!#REF!,IF(AND(#REF!="Diferenciado",$H$4=#REF!),BDI!$E$17,IF(AND(#REF!="Diferenciado",$H$4=#REF!),BDI!#REF!,IF(#REF!="ZERO",0))))),"")</f>
        <v>#REF!</v>
      </c>
      <c r="H2854" s="127" t="e">
        <f t="shared" ca="1" si="154"/>
        <v>#REF!</v>
      </c>
      <c r="I2854" s="125" t="e">
        <f t="shared" ca="1" si="155"/>
        <v>#REF!</v>
      </c>
    </row>
    <row r="2855" spans="1:9" hidden="1" x14ac:dyDescent="0.25">
      <c r="A2855" s="103" t="s">
        <v>7032</v>
      </c>
      <c r="B2855" s="104" t="s">
        <v>7033</v>
      </c>
      <c r="C2855" s="105" t="s">
        <v>20</v>
      </c>
      <c r="D2855" s="105">
        <v>0</v>
      </c>
      <c r="E2855" s="124">
        <f ca="1">OFFSET(INDEX(Composições!A:J,MATCH(Orçamentária!A2855,Composições!A:A,0),8),2,0)</f>
        <v>14.050499999999998</v>
      </c>
      <c r="F2855" s="125">
        <f t="shared" ca="1" si="153"/>
        <v>0</v>
      </c>
      <c r="G2855" s="126" t="e">
        <f>IF(A2855&lt;&gt;"",IF(AND(#REF!="Padrão",$H$4=#REF!),BDI!$B$17,IF(AND(#REF!="Padrão",$H$4=#REF!),BDI!#REF!,IF(AND(#REF!="Diferenciado",$H$4=#REF!),BDI!$E$17,IF(AND(#REF!="Diferenciado",$H$4=#REF!),BDI!#REF!,IF(#REF!="ZERO",0))))),"")</f>
        <v>#REF!</v>
      </c>
      <c r="H2855" s="127" t="e">
        <f t="shared" ca="1" si="154"/>
        <v>#REF!</v>
      </c>
      <c r="I2855" s="125" t="e">
        <f t="shared" ca="1" si="155"/>
        <v>#REF!</v>
      </c>
    </row>
    <row r="2856" spans="1:9" hidden="1" x14ac:dyDescent="0.25">
      <c r="A2856" s="103" t="s">
        <v>7034</v>
      </c>
      <c r="B2856" s="104" t="s">
        <v>7035</v>
      </c>
      <c r="C2856" s="105" t="s">
        <v>20</v>
      </c>
      <c r="D2856" s="105">
        <v>0</v>
      </c>
      <c r="E2856" s="124" t="s">
        <v>523</v>
      </c>
      <c r="F2856" s="125" t="str">
        <f t="shared" si="153"/>
        <v/>
      </c>
      <c r="G2856" s="126" t="e">
        <f>IF(A2856&lt;&gt;"",IF(AND(#REF!="Padrão",$H$4=#REF!),BDI!$B$17,IF(AND(#REF!="Padrão",$H$4=#REF!),BDI!#REF!,IF(AND(#REF!="Diferenciado",$H$4=#REF!),BDI!$E$17,IF(AND(#REF!="Diferenciado",$H$4=#REF!),BDI!#REF!,IF(#REF!="ZERO",0))))),"")</f>
        <v>#REF!</v>
      </c>
      <c r="H2856" s="127" t="str">
        <f t="shared" si="154"/>
        <v/>
      </c>
      <c r="I2856" s="125" t="str">
        <f t="shared" si="155"/>
        <v/>
      </c>
    </row>
    <row r="2857" spans="1:9" hidden="1" x14ac:dyDescent="0.25">
      <c r="A2857" s="103" t="s">
        <v>7036</v>
      </c>
      <c r="B2857" s="104" t="s">
        <v>7037</v>
      </c>
      <c r="C2857" s="105" t="s">
        <v>20</v>
      </c>
      <c r="D2857" s="105">
        <v>0</v>
      </c>
      <c r="E2857" s="124">
        <f ca="1">OFFSET(INDEX(Composições!A:J,MATCH(Orçamentária!A2857,Composições!A:A,0),8),2,0)</f>
        <v>409.32650000000001</v>
      </c>
      <c r="F2857" s="125">
        <f t="shared" ca="1" si="153"/>
        <v>0</v>
      </c>
      <c r="G2857" s="126" t="e">
        <f>IF(A2857&lt;&gt;"",IF(AND(#REF!="Padrão",$H$4=#REF!),BDI!$B$17,IF(AND(#REF!="Padrão",$H$4=#REF!),BDI!#REF!,IF(AND(#REF!="Diferenciado",$H$4=#REF!),BDI!$E$17,IF(AND(#REF!="Diferenciado",$H$4=#REF!),BDI!#REF!,IF(#REF!="ZERO",0))))),"")</f>
        <v>#REF!</v>
      </c>
      <c r="H2857" s="127" t="e">
        <f t="shared" ca="1" si="154"/>
        <v>#REF!</v>
      </c>
      <c r="I2857" s="125" t="e">
        <f t="shared" ca="1" si="155"/>
        <v>#REF!</v>
      </c>
    </row>
    <row r="2858" spans="1:9" hidden="1" x14ac:dyDescent="0.25">
      <c r="A2858" s="103" t="s">
        <v>7038</v>
      </c>
      <c r="B2858" s="104" t="s">
        <v>7039</v>
      </c>
      <c r="C2858" s="105" t="s">
        <v>20</v>
      </c>
      <c r="D2858" s="105">
        <v>0</v>
      </c>
      <c r="E2858" s="124">
        <f ca="1">OFFSET(INDEX(Composições!A:J,MATCH(Orçamentária!A2858,Composições!A:A,0),8),2,0)</f>
        <v>335.83449999999999</v>
      </c>
      <c r="F2858" s="125">
        <f t="shared" ca="1" si="153"/>
        <v>0</v>
      </c>
      <c r="G2858" s="126" t="e">
        <f>IF(A2858&lt;&gt;"",IF(AND(#REF!="Padrão",$H$4=#REF!),BDI!$B$17,IF(AND(#REF!="Padrão",$H$4=#REF!),BDI!#REF!,IF(AND(#REF!="Diferenciado",$H$4=#REF!),BDI!$E$17,IF(AND(#REF!="Diferenciado",$H$4=#REF!),BDI!#REF!,IF(#REF!="ZERO",0))))),"")</f>
        <v>#REF!</v>
      </c>
      <c r="H2858" s="127" t="e">
        <f t="shared" ca="1" si="154"/>
        <v>#REF!</v>
      </c>
      <c r="I2858" s="125" t="e">
        <f t="shared" ca="1" si="155"/>
        <v>#REF!</v>
      </c>
    </row>
    <row r="2859" spans="1:9" hidden="1" x14ac:dyDescent="0.25">
      <c r="A2859" s="103" t="s">
        <v>7040</v>
      </c>
      <c r="B2859" s="104" t="s">
        <v>7041</v>
      </c>
      <c r="C2859" s="105" t="s">
        <v>20</v>
      </c>
      <c r="D2859" s="105">
        <v>0</v>
      </c>
      <c r="E2859" s="124">
        <f ca="1">OFFSET(INDEX(Composições!A:J,MATCH(Orçamentária!A2859,Composições!A:A,0),8),2,0)</f>
        <v>197.18199999999999</v>
      </c>
      <c r="F2859" s="125">
        <f t="shared" ca="1" si="153"/>
        <v>0</v>
      </c>
      <c r="G2859" s="126" t="e">
        <f>IF(A2859&lt;&gt;"",IF(AND(#REF!="Padrão",$H$4=#REF!),BDI!$B$17,IF(AND(#REF!="Padrão",$H$4=#REF!),BDI!#REF!,IF(AND(#REF!="Diferenciado",$H$4=#REF!),BDI!$E$17,IF(AND(#REF!="Diferenciado",$H$4=#REF!),BDI!#REF!,IF(#REF!="ZERO",0))))),"")</f>
        <v>#REF!</v>
      </c>
      <c r="H2859" s="127" t="e">
        <f t="shared" ca="1" si="154"/>
        <v>#REF!</v>
      </c>
      <c r="I2859" s="125" t="e">
        <f t="shared" ca="1" si="155"/>
        <v>#REF!</v>
      </c>
    </row>
    <row r="2860" spans="1:9" hidden="1" x14ac:dyDescent="0.25">
      <c r="A2860" s="103" t="s">
        <v>7042</v>
      </c>
      <c r="B2860" s="104" t="s">
        <v>7043</v>
      </c>
      <c r="C2860" s="105" t="s">
        <v>20</v>
      </c>
      <c r="D2860" s="105">
        <v>0</v>
      </c>
      <c r="E2860" s="124">
        <f ca="1">OFFSET(INDEX(Composições!A:J,MATCH(Orçamentária!A2860,Composições!A:A,0),8),2,0)</f>
        <v>525.18849999999998</v>
      </c>
      <c r="F2860" s="125">
        <f t="shared" ca="1" si="153"/>
        <v>0</v>
      </c>
      <c r="G2860" s="126" t="e">
        <f>IF(A2860&lt;&gt;"",IF(AND(#REF!="Padrão",$H$4=#REF!),BDI!$B$17,IF(AND(#REF!="Padrão",$H$4=#REF!),BDI!#REF!,IF(AND(#REF!="Diferenciado",$H$4=#REF!),BDI!$E$17,IF(AND(#REF!="Diferenciado",$H$4=#REF!),BDI!#REF!,IF(#REF!="ZERO",0))))),"")</f>
        <v>#REF!</v>
      </c>
      <c r="H2860" s="127" t="e">
        <f t="shared" ca="1" si="154"/>
        <v>#REF!</v>
      </c>
      <c r="I2860" s="125" t="e">
        <f t="shared" ca="1" si="155"/>
        <v>#REF!</v>
      </c>
    </row>
    <row r="2861" spans="1:9" hidden="1" x14ac:dyDescent="0.25">
      <c r="A2861" s="103" t="s">
        <v>7044</v>
      </c>
      <c r="B2861" s="104" t="s">
        <v>7045</v>
      </c>
      <c r="C2861" s="105" t="s">
        <v>20</v>
      </c>
      <c r="D2861" s="105">
        <v>0</v>
      </c>
      <c r="E2861" s="124">
        <f ca="1">OFFSET(INDEX(Composições!A:J,MATCH(Orçamentária!A2861,Composições!A:A,0),8),2,0)</f>
        <v>87.647000000000006</v>
      </c>
      <c r="F2861" s="125">
        <f t="shared" ca="1" si="153"/>
        <v>0</v>
      </c>
      <c r="G2861" s="126" t="e">
        <f>IF(A2861&lt;&gt;"",IF(AND(#REF!="Padrão",$H$4=#REF!),BDI!$B$17,IF(AND(#REF!="Padrão",$H$4=#REF!),BDI!#REF!,IF(AND(#REF!="Diferenciado",$H$4=#REF!),BDI!$E$17,IF(AND(#REF!="Diferenciado",$H$4=#REF!),BDI!#REF!,IF(#REF!="ZERO",0))))),"")</f>
        <v>#REF!</v>
      </c>
      <c r="H2861" s="127" t="e">
        <f t="shared" ca="1" si="154"/>
        <v>#REF!</v>
      </c>
      <c r="I2861" s="125" t="e">
        <f t="shared" ca="1" si="155"/>
        <v>#REF!</v>
      </c>
    </row>
    <row r="2862" spans="1:9" hidden="1" x14ac:dyDescent="0.25">
      <c r="A2862" s="103" t="s">
        <v>7046</v>
      </c>
      <c r="B2862" s="104" t="s">
        <v>6289</v>
      </c>
      <c r="C2862" s="105" t="s">
        <v>20</v>
      </c>
      <c r="D2862" s="105">
        <v>0</v>
      </c>
      <c r="E2862" s="124" t="s">
        <v>523</v>
      </c>
      <c r="F2862" s="125" t="str">
        <f t="shared" si="153"/>
        <v/>
      </c>
      <c r="G2862" s="126" t="e">
        <f>IF(A2862&lt;&gt;"",IF(AND(#REF!="Padrão",$H$4=#REF!),BDI!$B$17,IF(AND(#REF!="Padrão",$H$4=#REF!),BDI!#REF!,IF(AND(#REF!="Diferenciado",$H$4=#REF!),BDI!$E$17,IF(AND(#REF!="Diferenciado",$H$4=#REF!),BDI!#REF!,IF(#REF!="ZERO",0))))),"")</f>
        <v>#REF!</v>
      </c>
      <c r="H2862" s="127" t="str">
        <f t="shared" si="154"/>
        <v/>
      </c>
      <c r="I2862" s="125" t="str">
        <f t="shared" si="155"/>
        <v/>
      </c>
    </row>
    <row r="2863" spans="1:9" hidden="1" x14ac:dyDescent="0.25">
      <c r="A2863" s="103" t="s">
        <v>7047</v>
      </c>
      <c r="B2863" s="104" t="s">
        <v>6288</v>
      </c>
      <c r="C2863" s="105" t="s">
        <v>20</v>
      </c>
      <c r="D2863" s="105">
        <v>0</v>
      </c>
      <c r="E2863" s="124" t="s">
        <v>523</v>
      </c>
      <c r="F2863" s="125" t="str">
        <f t="shared" si="153"/>
        <v/>
      </c>
      <c r="G2863" s="126" t="e">
        <f>IF(A2863&lt;&gt;"",IF(AND(#REF!="Padrão",$H$4=#REF!),BDI!$B$17,IF(AND(#REF!="Padrão",$H$4=#REF!),BDI!#REF!,IF(AND(#REF!="Diferenciado",$H$4=#REF!),BDI!$E$17,IF(AND(#REF!="Diferenciado",$H$4=#REF!),BDI!#REF!,IF(#REF!="ZERO",0))))),"")</f>
        <v>#REF!</v>
      </c>
      <c r="H2863" s="127" t="str">
        <f t="shared" si="154"/>
        <v/>
      </c>
      <c r="I2863" s="125" t="str">
        <f t="shared" si="155"/>
        <v/>
      </c>
    </row>
    <row r="2864" spans="1:9" hidden="1" x14ac:dyDescent="0.25">
      <c r="A2864" s="103" t="s">
        <v>7048</v>
      </c>
      <c r="B2864" s="104" t="s">
        <v>1675</v>
      </c>
      <c r="C2864" s="105" t="s">
        <v>20</v>
      </c>
      <c r="D2864" s="105">
        <v>0</v>
      </c>
      <c r="E2864" s="124" t="s">
        <v>523</v>
      </c>
      <c r="F2864" s="125" t="str">
        <f t="shared" si="153"/>
        <v/>
      </c>
      <c r="G2864" s="126" t="e">
        <f>IF(A2864&lt;&gt;"",IF(AND(#REF!="Padrão",$H$4=#REF!),BDI!$B$17,IF(AND(#REF!="Padrão",$H$4=#REF!),BDI!#REF!,IF(AND(#REF!="Diferenciado",$H$4=#REF!),BDI!$E$17,IF(AND(#REF!="Diferenciado",$H$4=#REF!),BDI!#REF!,IF(#REF!="ZERO",0))))),"")</f>
        <v>#REF!</v>
      </c>
      <c r="H2864" s="127" t="str">
        <f t="shared" si="154"/>
        <v/>
      </c>
      <c r="I2864" s="125" t="str">
        <f t="shared" si="155"/>
        <v/>
      </c>
    </row>
    <row r="2865" spans="1:9" hidden="1" x14ac:dyDescent="0.25">
      <c r="A2865" s="103" t="s">
        <v>7049</v>
      </c>
      <c r="B2865" s="104" t="s">
        <v>6286</v>
      </c>
      <c r="C2865" s="105" t="s">
        <v>20</v>
      </c>
      <c r="D2865" s="105">
        <v>0</v>
      </c>
      <c r="E2865" s="124" t="s">
        <v>523</v>
      </c>
      <c r="F2865" s="125" t="str">
        <f t="shared" si="153"/>
        <v/>
      </c>
      <c r="G2865" s="126" t="e">
        <f>IF(A2865&lt;&gt;"",IF(AND(#REF!="Padrão",$H$4=#REF!),BDI!$B$17,IF(AND(#REF!="Padrão",$H$4=#REF!),BDI!#REF!,IF(AND(#REF!="Diferenciado",$H$4=#REF!),BDI!$E$17,IF(AND(#REF!="Diferenciado",$H$4=#REF!),BDI!#REF!,IF(#REF!="ZERO",0))))),"")</f>
        <v>#REF!</v>
      </c>
      <c r="H2865" s="127" t="str">
        <f t="shared" si="154"/>
        <v/>
      </c>
      <c r="I2865" s="125" t="str">
        <f t="shared" si="155"/>
        <v/>
      </c>
    </row>
    <row r="2866" spans="1:9" hidden="1" x14ac:dyDescent="0.25">
      <c r="A2866" s="103" t="s">
        <v>7050</v>
      </c>
      <c r="B2866" s="104" t="s">
        <v>1677</v>
      </c>
      <c r="C2866" s="105" t="s">
        <v>20</v>
      </c>
      <c r="D2866" s="105">
        <v>0</v>
      </c>
      <c r="E2866" s="124" t="s">
        <v>523</v>
      </c>
      <c r="F2866" s="125" t="str">
        <f t="shared" si="153"/>
        <v/>
      </c>
      <c r="G2866" s="126" t="e">
        <f>IF(A2866&lt;&gt;"",IF(AND(#REF!="Padrão",$H$4=#REF!),BDI!$B$17,IF(AND(#REF!="Padrão",$H$4=#REF!),BDI!#REF!,IF(AND(#REF!="Diferenciado",$H$4=#REF!),BDI!$E$17,IF(AND(#REF!="Diferenciado",$H$4=#REF!),BDI!#REF!,IF(#REF!="ZERO",0))))),"")</f>
        <v>#REF!</v>
      </c>
      <c r="H2866" s="127" t="str">
        <f t="shared" si="154"/>
        <v/>
      </c>
      <c r="I2866" s="125" t="str">
        <f t="shared" si="155"/>
        <v/>
      </c>
    </row>
    <row r="2867" spans="1:9" hidden="1" x14ac:dyDescent="0.25">
      <c r="A2867" s="103" t="s">
        <v>7051</v>
      </c>
      <c r="B2867" s="104" t="s">
        <v>1676</v>
      </c>
      <c r="C2867" s="105" t="s">
        <v>20</v>
      </c>
      <c r="D2867" s="105">
        <v>0</v>
      </c>
      <c r="E2867" s="124" t="s">
        <v>523</v>
      </c>
      <c r="F2867" s="125" t="str">
        <f t="shared" si="153"/>
        <v/>
      </c>
      <c r="G2867" s="126" t="e">
        <f>IF(A2867&lt;&gt;"",IF(AND(#REF!="Padrão",$H$4=#REF!),BDI!$B$17,IF(AND(#REF!="Padrão",$H$4=#REF!),BDI!#REF!,IF(AND(#REF!="Diferenciado",$H$4=#REF!),BDI!$E$17,IF(AND(#REF!="Diferenciado",$H$4=#REF!),BDI!#REF!,IF(#REF!="ZERO",0))))),"")</f>
        <v>#REF!</v>
      </c>
      <c r="H2867" s="127" t="str">
        <f t="shared" si="154"/>
        <v/>
      </c>
      <c r="I2867" s="125" t="str">
        <f t="shared" si="155"/>
        <v/>
      </c>
    </row>
    <row r="2868" spans="1:9" hidden="1" x14ac:dyDescent="0.25">
      <c r="A2868" s="103" t="s">
        <v>7052</v>
      </c>
      <c r="B2868" s="104" t="s">
        <v>7053</v>
      </c>
      <c r="C2868" s="105" t="s">
        <v>93</v>
      </c>
      <c r="D2868" s="105">
        <v>0</v>
      </c>
      <c r="E2868" s="124">
        <f ca="1">OFFSET(INDEX(Composições!A:J,MATCH(Orçamentária!A2868,Composições!A:A,0),8),2,0)</f>
        <v>53.7605</v>
      </c>
      <c r="F2868" s="125">
        <f t="shared" ca="1" si="153"/>
        <v>0</v>
      </c>
      <c r="G2868" s="126" t="e">
        <f>IF(A2868&lt;&gt;"",IF(AND(#REF!="Padrão",$H$4=#REF!),BDI!$B$17,IF(AND(#REF!="Padrão",$H$4=#REF!),BDI!#REF!,IF(AND(#REF!="Diferenciado",$H$4=#REF!),BDI!$E$17,IF(AND(#REF!="Diferenciado",$H$4=#REF!),BDI!#REF!,IF(#REF!="ZERO",0))))),"")</f>
        <v>#REF!</v>
      </c>
      <c r="H2868" s="127" t="e">
        <f t="shared" ca="1" si="154"/>
        <v>#REF!</v>
      </c>
      <c r="I2868" s="125" t="e">
        <f t="shared" ca="1" si="155"/>
        <v>#REF!</v>
      </c>
    </row>
    <row r="2869" spans="1:9" hidden="1" x14ac:dyDescent="0.25">
      <c r="A2869" s="103" t="s">
        <v>7054</v>
      </c>
      <c r="B2869" s="104" t="s">
        <v>7055</v>
      </c>
      <c r="C2869" s="105" t="s">
        <v>93</v>
      </c>
      <c r="D2869" s="105">
        <v>0</v>
      </c>
      <c r="E2869" s="124">
        <f ca="1">OFFSET(INDEX(Composições!A:J,MATCH(Orçamentária!A2869,Composições!A:A,0),8),2,0)</f>
        <v>68.238500000000002</v>
      </c>
      <c r="F2869" s="125">
        <f t="shared" ca="1" si="153"/>
        <v>0</v>
      </c>
      <c r="G2869" s="126" t="e">
        <f>IF(A2869&lt;&gt;"",IF(AND(#REF!="Padrão",$H$4=#REF!),BDI!$B$17,IF(AND(#REF!="Padrão",$H$4=#REF!),BDI!#REF!,IF(AND(#REF!="Diferenciado",$H$4=#REF!),BDI!$E$17,IF(AND(#REF!="Diferenciado",$H$4=#REF!),BDI!#REF!,IF(#REF!="ZERO",0))))),"")</f>
        <v>#REF!</v>
      </c>
      <c r="H2869" s="127" t="e">
        <f t="shared" ca="1" si="154"/>
        <v>#REF!</v>
      </c>
      <c r="I2869" s="125" t="e">
        <f t="shared" ca="1" si="155"/>
        <v>#REF!</v>
      </c>
    </row>
    <row r="2870" spans="1:9" hidden="1" x14ac:dyDescent="0.25">
      <c r="A2870" s="103" t="s">
        <v>7056</v>
      </c>
      <c r="B2870" s="104" t="s">
        <v>7057</v>
      </c>
      <c r="C2870" s="105" t="s">
        <v>93</v>
      </c>
      <c r="D2870" s="105">
        <v>0</v>
      </c>
      <c r="E2870" s="124">
        <f ca="1">OFFSET(INDEX(Composições!A:J,MATCH(Orçamentária!A2870,Composições!A:A,0),8),2,0)</f>
        <v>133.80749999999998</v>
      </c>
      <c r="F2870" s="125">
        <f t="shared" ca="1" si="153"/>
        <v>0</v>
      </c>
      <c r="G2870" s="126" t="e">
        <f>IF(A2870&lt;&gt;"",IF(AND(#REF!="Padrão",$H$4=#REF!),BDI!$B$17,IF(AND(#REF!="Padrão",$H$4=#REF!),BDI!#REF!,IF(AND(#REF!="Diferenciado",$H$4=#REF!),BDI!$E$17,IF(AND(#REF!="Diferenciado",$H$4=#REF!),BDI!#REF!,IF(#REF!="ZERO",0))))),"")</f>
        <v>#REF!</v>
      </c>
      <c r="H2870" s="127" t="e">
        <f t="shared" ca="1" si="154"/>
        <v>#REF!</v>
      </c>
      <c r="I2870" s="125" t="e">
        <f t="shared" ca="1" si="155"/>
        <v>#REF!</v>
      </c>
    </row>
    <row r="2871" spans="1:9" hidden="1" x14ac:dyDescent="0.25">
      <c r="A2871" s="103" t="s">
        <v>7058</v>
      </c>
      <c r="B2871" s="104" t="s">
        <v>7059</v>
      </c>
      <c r="C2871" s="105" t="s">
        <v>93</v>
      </c>
      <c r="D2871" s="105">
        <v>0</v>
      </c>
      <c r="E2871" s="124">
        <f ca="1">OFFSET(INDEX(Composições!A:J,MATCH(Orçamentária!A2871,Composições!A:A,0),8),2,0)</f>
        <v>99.094499999999996</v>
      </c>
      <c r="F2871" s="125">
        <f t="shared" ca="1" si="153"/>
        <v>0</v>
      </c>
      <c r="G2871" s="126" t="e">
        <f>IF(A2871&lt;&gt;"",IF(AND(#REF!="Padrão",$H$4=#REF!),BDI!$B$17,IF(AND(#REF!="Padrão",$H$4=#REF!),BDI!#REF!,IF(AND(#REF!="Diferenciado",$H$4=#REF!),BDI!$E$17,IF(AND(#REF!="Diferenciado",$H$4=#REF!),BDI!#REF!,IF(#REF!="ZERO",0))))),"")</f>
        <v>#REF!</v>
      </c>
      <c r="H2871" s="127" t="e">
        <f t="shared" ca="1" si="154"/>
        <v>#REF!</v>
      </c>
      <c r="I2871" s="125" t="e">
        <f t="shared" ca="1" si="155"/>
        <v>#REF!</v>
      </c>
    </row>
    <row r="2872" spans="1:9" hidden="1" x14ac:dyDescent="0.25">
      <c r="A2872" s="103" t="s">
        <v>7060</v>
      </c>
      <c r="B2872" s="104" t="s">
        <v>7061</v>
      </c>
      <c r="C2872" s="105" t="s">
        <v>93</v>
      </c>
      <c r="D2872" s="105">
        <v>0</v>
      </c>
      <c r="E2872" s="124">
        <f ca="1">OFFSET(INDEX(Composições!A:J,MATCH(Orçamentária!A2872,Composições!A:A,0),8),2,0)</f>
        <v>194.0565</v>
      </c>
      <c r="F2872" s="125">
        <f t="shared" ca="1" si="153"/>
        <v>0</v>
      </c>
      <c r="G2872" s="126" t="e">
        <f>IF(A2872&lt;&gt;"",IF(AND(#REF!="Padrão",$H$4=#REF!),BDI!$B$17,IF(AND(#REF!="Padrão",$H$4=#REF!),BDI!#REF!,IF(AND(#REF!="Diferenciado",$H$4=#REF!),BDI!$E$17,IF(AND(#REF!="Diferenciado",$H$4=#REF!),BDI!#REF!,IF(#REF!="ZERO",0))))),"")</f>
        <v>#REF!</v>
      </c>
      <c r="H2872" s="127" t="e">
        <f t="shared" ca="1" si="154"/>
        <v>#REF!</v>
      </c>
      <c r="I2872" s="125" t="e">
        <f t="shared" ca="1" si="155"/>
        <v>#REF!</v>
      </c>
    </row>
    <row r="2873" spans="1:9" hidden="1" x14ac:dyDescent="0.25">
      <c r="A2873" s="103" t="s">
        <v>7062</v>
      </c>
      <c r="B2873" s="104" t="s">
        <v>7063</v>
      </c>
      <c r="C2873" s="105" t="s">
        <v>93</v>
      </c>
      <c r="D2873" s="105">
        <v>0</v>
      </c>
      <c r="E2873" s="124">
        <f ca="1">OFFSET(INDEX(Composições!A:J,MATCH(Orçamentária!A2873,Composições!A:A,0),8),2,0)</f>
        <v>273.39099999999996</v>
      </c>
      <c r="F2873" s="125">
        <f t="shared" ca="1" si="153"/>
        <v>0</v>
      </c>
      <c r="G2873" s="126" t="e">
        <f>IF(A2873&lt;&gt;"",IF(AND(#REF!="Padrão",$H$4=#REF!),BDI!$B$17,IF(AND(#REF!="Padrão",$H$4=#REF!),BDI!#REF!,IF(AND(#REF!="Diferenciado",$H$4=#REF!),BDI!$E$17,IF(AND(#REF!="Diferenciado",$H$4=#REF!),BDI!#REF!,IF(#REF!="ZERO",0))))),"")</f>
        <v>#REF!</v>
      </c>
      <c r="H2873" s="127" t="e">
        <f t="shared" ca="1" si="154"/>
        <v>#REF!</v>
      </c>
      <c r="I2873" s="125" t="e">
        <f t="shared" ca="1" si="155"/>
        <v>#REF!</v>
      </c>
    </row>
    <row r="2874" spans="1:9" hidden="1" x14ac:dyDescent="0.25">
      <c r="A2874" s="103" t="s">
        <v>7064</v>
      </c>
      <c r="B2874" s="104" t="s">
        <v>7065</v>
      </c>
      <c r="C2874" s="105" t="s">
        <v>93</v>
      </c>
      <c r="D2874" s="105">
        <v>0</v>
      </c>
      <c r="E2874" s="124">
        <f ca="1">OFFSET(INDEX(Composições!A:J,MATCH(Orçamentária!A2874,Composições!A:A,0),8),2,0)</f>
        <v>399.65549999999996</v>
      </c>
      <c r="F2874" s="125">
        <f t="shared" ca="1" si="153"/>
        <v>0</v>
      </c>
      <c r="G2874" s="126" t="e">
        <f>IF(A2874&lt;&gt;"",IF(AND(#REF!="Padrão",$H$4=#REF!),BDI!$B$17,IF(AND(#REF!="Padrão",$H$4=#REF!),BDI!#REF!,IF(AND(#REF!="Diferenciado",$H$4=#REF!),BDI!$E$17,IF(AND(#REF!="Diferenciado",$H$4=#REF!),BDI!#REF!,IF(#REF!="ZERO",0))))),"")</f>
        <v>#REF!</v>
      </c>
      <c r="H2874" s="127" t="e">
        <f t="shared" ca="1" si="154"/>
        <v>#REF!</v>
      </c>
      <c r="I2874" s="125" t="e">
        <f t="shared" ca="1" si="155"/>
        <v>#REF!</v>
      </c>
    </row>
    <row r="2875" spans="1:9" hidden="1" x14ac:dyDescent="0.25">
      <c r="A2875" s="103" t="s">
        <v>7066</v>
      </c>
      <c r="B2875" s="104" t="s">
        <v>7067</v>
      </c>
      <c r="C2875" s="105" t="s">
        <v>93</v>
      </c>
      <c r="D2875" s="105">
        <v>0</v>
      </c>
      <c r="E2875" s="124">
        <f ca="1">OFFSET(INDEX(Composições!A:J,MATCH(Orçamentária!A2875,Composições!A:A,0),8),2,0)</f>
        <v>589.31349999999998</v>
      </c>
      <c r="F2875" s="125">
        <f t="shared" ca="1" si="153"/>
        <v>0</v>
      </c>
      <c r="G2875" s="126" t="e">
        <f>IF(A2875&lt;&gt;"",IF(AND(#REF!="Padrão",$H$4=#REF!),BDI!$B$17,IF(AND(#REF!="Padrão",$H$4=#REF!),BDI!#REF!,IF(AND(#REF!="Diferenciado",$H$4=#REF!),BDI!$E$17,IF(AND(#REF!="Diferenciado",$H$4=#REF!),BDI!#REF!,IF(#REF!="ZERO",0))))),"")</f>
        <v>#REF!</v>
      </c>
      <c r="H2875" s="127" t="e">
        <f t="shared" ca="1" si="154"/>
        <v>#REF!</v>
      </c>
      <c r="I2875" s="125" t="e">
        <f t="shared" ca="1" si="155"/>
        <v>#REF!</v>
      </c>
    </row>
    <row r="2876" spans="1:9" hidden="1" x14ac:dyDescent="0.25">
      <c r="A2876" s="103" t="s">
        <v>7068</v>
      </c>
      <c r="B2876" s="104" t="s">
        <v>7069</v>
      </c>
      <c r="C2876" s="105" t="s">
        <v>93</v>
      </c>
      <c r="D2876" s="105">
        <v>0</v>
      </c>
      <c r="E2876" s="124">
        <f ca="1">OFFSET(INDEX(Composições!A:J,MATCH(Orçamentária!A2876,Composições!A:A,0),8),2,0)</f>
        <v>15.798499999999999</v>
      </c>
      <c r="F2876" s="125">
        <f t="shared" ca="1" si="153"/>
        <v>0</v>
      </c>
      <c r="G2876" s="126" t="e">
        <f>IF(A2876&lt;&gt;"",IF(AND(#REF!="Padrão",$H$4=#REF!),BDI!$B$17,IF(AND(#REF!="Padrão",$H$4=#REF!),BDI!#REF!,IF(AND(#REF!="Diferenciado",$H$4=#REF!),BDI!$E$17,IF(AND(#REF!="Diferenciado",$H$4=#REF!),BDI!#REF!,IF(#REF!="ZERO",0))))),"")</f>
        <v>#REF!</v>
      </c>
      <c r="H2876" s="127" t="e">
        <f t="shared" ca="1" si="154"/>
        <v>#REF!</v>
      </c>
      <c r="I2876" s="125" t="e">
        <f t="shared" ca="1" si="155"/>
        <v>#REF!</v>
      </c>
    </row>
    <row r="2877" spans="1:9" hidden="1" x14ac:dyDescent="0.25">
      <c r="A2877" s="103" t="s">
        <v>7070</v>
      </c>
      <c r="B2877" s="104" t="s">
        <v>7071</v>
      </c>
      <c r="C2877" s="105" t="s">
        <v>93</v>
      </c>
      <c r="D2877" s="105">
        <v>0</v>
      </c>
      <c r="E2877" s="124">
        <f ca="1">OFFSET(INDEX(Composições!A:J,MATCH(Orçamentária!A2877,Composições!A:A,0),8),2,0)</f>
        <v>25.355499999999999</v>
      </c>
      <c r="F2877" s="125">
        <f t="shared" ca="1" si="153"/>
        <v>0</v>
      </c>
      <c r="G2877" s="126" t="e">
        <f>IF(A2877&lt;&gt;"",IF(AND(#REF!="Padrão",$H$4=#REF!),BDI!$B$17,IF(AND(#REF!="Padrão",$H$4=#REF!),BDI!#REF!,IF(AND(#REF!="Diferenciado",$H$4=#REF!),BDI!$E$17,IF(AND(#REF!="Diferenciado",$H$4=#REF!),BDI!#REF!,IF(#REF!="ZERO",0))))),"")</f>
        <v>#REF!</v>
      </c>
      <c r="H2877" s="127" t="e">
        <f t="shared" ca="1" si="154"/>
        <v>#REF!</v>
      </c>
      <c r="I2877" s="125" t="e">
        <f t="shared" ca="1" si="155"/>
        <v>#REF!</v>
      </c>
    </row>
    <row r="2878" spans="1:9" hidden="1" x14ac:dyDescent="0.25">
      <c r="A2878" s="103" t="s">
        <v>7072</v>
      </c>
      <c r="B2878" s="104" t="s">
        <v>7073</v>
      </c>
      <c r="C2878" s="105" t="s">
        <v>93</v>
      </c>
      <c r="D2878" s="105">
        <v>0</v>
      </c>
      <c r="E2878" s="124">
        <f ca="1">OFFSET(INDEX(Composições!A:J,MATCH(Orçamentária!A2878,Composições!A:A,0),8),2,0)</f>
        <v>58.111499999999999</v>
      </c>
      <c r="F2878" s="125">
        <f t="shared" ca="1" si="153"/>
        <v>0</v>
      </c>
      <c r="G2878" s="126" t="e">
        <f>IF(A2878&lt;&gt;"",IF(AND(#REF!="Padrão",$H$4=#REF!),BDI!$B$17,IF(AND(#REF!="Padrão",$H$4=#REF!),BDI!#REF!,IF(AND(#REF!="Diferenciado",$H$4=#REF!),BDI!$E$17,IF(AND(#REF!="Diferenciado",$H$4=#REF!),BDI!#REF!,IF(#REF!="ZERO",0))))),"")</f>
        <v>#REF!</v>
      </c>
      <c r="H2878" s="127" t="e">
        <f t="shared" ca="1" si="154"/>
        <v>#REF!</v>
      </c>
      <c r="I2878" s="125" t="e">
        <f t="shared" ca="1" si="155"/>
        <v>#REF!</v>
      </c>
    </row>
    <row r="2879" spans="1:9" hidden="1" x14ac:dyDescent="0.25">
      <c r="A2879" s="103" t="s">
        <v>7074</v>
      </c>
      <c r="B2879" s="104" t="s">
        <v>7075</v>
      </c>
      <c r="C2879" s="105" t="s">
        <v>93</v>
      </c>
      <c r="D2879" s="105">
        <v>0</v>
      </c>
      <c r="E2879" s="124">
        <f ca="1">OFFSET(INDEX(Composições!A:J,MATCH(Orçamentária!A2879,Composições!A:A,0),8),2,0)</f>
        <v>22.8095</v>
      </c>
      <c r="F2879" s="125">
        <f t="shared" ca="1" si="153"/>
        <v>0</v>
      </c>
      <c r="G2879" s="126" t="e">
        <f>IF(A2879&lt;&gt;"",IF(AND(#REF!="Padrão",$H$4=#REF!),BDI!$B$17,IF(AND(#REF!="Padrão",$H$4=#REF!),BDI!#REF!,IF(AND(#REF!="Diferenciado",$H$4=#REF!),BDI!$E$17,IF(AND(#REF!="Diferenciado",$H$4=#REF!),BDI!#REF!,IF(#REF!="ZERO",0))))),"")</f>
        <v>#REF!</v>
      </c>
      <c r="H2879" s="127" t="e">
        <f t="shared" ca="1" si="154"/>
        <v>#REF!</v>
      </c>
      <c r="I2879" s="125" t="e">
        <f t="shared" ca="1" si="155"/>
        <v>#REF!</v>
      </c>
    </row>
    <row r="2880" spans="1:9" hidden="1" x14ac:dyDescent="0.25">
      <c r="A2880" s="103" t="s">
        <v>7076</v>
      </c>
      <c r="B2880" s="104" t="s">
        <v>7077</v>
      </c>
      <c r="C2880" s="105" t="s">
        <v>93</v>
      </c>
      <c r="D2880" s="105">
        <v>0</v>
      </c>
      <c r="E2880" s="124">
        <f ca="1">OFFSET(INDEX(Composições!A:J,MATCH(Orçamentária!A2880,Composições!A:A,0),8),2,0)</f>
        <v>29.696999999999999</v>
      </c>
      <c r="F2880" s="125">
        <f t="shared" ca="1" si="153"/>
        <v>0</v>
      </c>
      <c r="G2880" s="126" t="e">
        <f>IF(A2880&lt;&gt;"",IF(AND(#REF!="Padrão",$H$4=#REF!),BDI!$B$17,IF(AND(#REF!="Padrão",$H$4=#REF!),BDI!#REF!,IF(AND(#REF!="Diferenciado",$H$4=#REF!),BDI!$E$17,IF(AND(#REF!="Diferenciado",$H$4=#REF!),BDI!#REF!,IF(#REF!="ZERO",0))))),"")</f>
        <v>#REF!</v>
      </c>
      <c r="H2880" s="127" t="e">
        <f t="shared" ca="1" si="154"/>
        <v>#REF!</v>
      </c>
      <c r="I2880" s="125" t="e">
        <f t="shared" ca="1" si="155"/>
        <v>#REF!</v>
      </c>
    </row>
    <row r="2881" spans="1:9" hidden="1" x14ac:dyDescent="0.25">
      <c r="A2881" s="103" t="s">
        <v>7078</v>
      </c>
      <c r="B2881" s="104" t="s">
        <v>7079</v>
      </c>
      <c r="C2881" s="105" t="s">
        <v>93</v>
      </c>
      <c r="D2881" s="105">
        <v>0</v>
      </c>
      <c r="E2881" s="124">
        <f ca="1">OFFSET(INDEX(Composições!A:J,MATCH(Orçamentária!A2881,Composições!A:A,0),8),2,0)</f>
        <v>39.871499999999997</v>
      </c>
      <c r="F2881" s="125">
        <f t="shared" ca="1" si="153"/>
        <v>0</v>
      </c>
      <c r="G2881" s="126" t="e">
        <f>IF(A2881&lt;&gt;"",IF(AND(#REF!="Padrão",$H$4=#REF!),BDI!$B$17,IF(AND(#REF!="Padrão",$H$4=#REF!),BDI!#REF!,IF(AND(#REF!="Diferenciado",$H$4=#REF!),BDI!$E$17,IF(AND(#REF!="Diferenciado",$H$4=#REF!),BDI!#REF!,IF(#REF!="ZERO",0))))),"")</f>
        <v>#REF!</v>
      </c>
      <c r="H2881" s="127" t="e">
        <f t="shared" ca="1" si="154"/>
        <v>#REF!</v>
      </c>
      <c r="I2881" s="125" t="e">
        <f t="shared" ca="1" si="155"/>
        <v>#REF!</v>
      </c>
    </row>
    <row r="2882" spans="1:9" hidden="1" x14ac:dyDescent="0.25">
      <c r="A2882" s="103" t="s">
        <v>7080</v>
      </c>
      <c r="B2882" s="104" t="s">
        <v>7081</v>
      </c>
      <c r="C2882" s="105" t="s">
        <v>93</v>
      </c>
      <c r="D2882" s="105">
        <v>0</v>
      </c>
      <c r="E2882" s="124">
        <f ca="1">OFFSET(INDEX(Composições!A:J,MATCH(Orçamentária!A2882,Composições!A:A,0),8),2,0)</f>
        <v>83.799499999999995</v>
      </c>
      <c r="F2882" s="125">
        <f t="shared" ca="1" si="153"/>
        <v>0</v>
      </c>
      <c r="G2882" s="126" t="e">
        <f>IF(A2882&lt;&gt;"",IF(AND(#REF!="Padrão",$H$4=#REF!),BDI!$B$17,IF(AND(#REF!="Padrão",$H$4=#REF!),BDI!#REF!,IF(AND(#REF!="Diferenciado",$H$4=#REF!),BDI!$E$17,IF(AND(#REF!="Diferenciado",$H$4=#REF!),BDI!#REF!,IF(#REF!="ZERO",0))))),"")</f>
        <v>#REF!</v>
      </c>
      <c r="H2882" s="127" t="e">
        <f t="shared" ca="1" si="154"/>
        <v>#REF!</v>
      </c>
      <c r="I2882" s="125" t="e">
        <f t="shared" ca="1" si="155"/>
        <v>#REF!</v>
      </c>
    </row>
    <row r="2883" spans="1:9" hidden="1" x14ac:dyDescent="0.25">
      <c r="A2883" s="103" t="s">
        <v>7082</v>
      </c>
      <c r="B2883" s="104" t="s">
        <v>7083</v>
      </c>
      <c r="C2883" s="105" t="s">
        <v>93</v>
      </c>
      <c r="D2883" s="105">
        <v>0</v>
      </c>
      <c r="E2883" s="124">
        <f ca="1">OFFSET(INDEX(Composições!A:J,MATCH(Orçamentária!A2883,Composições!A:A,0),8),2,0)</f>
        <v>117.2585</v>
      </c>
      <c r="F2883" s="125">
        <f t="shared" ca="1" si="153"/>
        <v>0</v>
      </c>
      <c r="G2883" s="126" t="e">
        <f>IF(A2883&lt;&gt;"",IF(AND(#REF!="Padrão",$H$4=#REF!),BDI!$B$17,IF(AND(#REF!="Padrão",$H$4=#REF!),BDI!#REF!,IF(AND(#REF!="Diferenciado",$H$4=#REF!),BDI!$E$17,IF(AND(#REF!="Diferenciado",$H$4=#REF!),BDI!#REF!,IF(#REF!="ZERO",0))))),"")</f>
        <v>#REF!</v>
      </c>
      <c r="H2883" s="127" t="e">
        <f t="shared" ca="1" si="154"/>
        <v>#REF!</v>
      </c>
      <c r="I2883" s="125" t="e">
        <f t="shared" ca="1" si="155"/>
        <v>#REF!</v>
      </c>
    </row>
    <row r="2884" spans="1:9" hidden="1" x14ac:dyDescent="0.25">
      <c r="A2884" s="103" t="s">
        <v>7084</v>
      </c>
      <c r="B2884" s="104" t="s">
        <v>7085</v>
      </c>
      <c r="C2884" s="105" t="s">
        <v>93</v>
      </c>
      <c r="D2884" s="105">
        <v>0</v>
      </c>
      <c r="E2884" s="124">
        <f ca="1">OFFSET(INDEX(Composições!A:J,MATCH(Orçamentária!A2884,Composições!A:A,0),8),2,0)</f>
        <v>134.71</v>
      </c>
      <c r="F2884" s="125">
        <f t="shared" ca="1" si="153"/>
        <v>0</v>
      </c>
      <c r="G2884" s="126" t="e">
        <f>IF(A2884&lt;&gt;"",IF(AND(#REF!="Padrão",$H$4=#REF!),BDI!$B$17,IF(AND(#REF!="Padrão",$H$4=#REF!),BDI!#REF!,IF(AND(#REF!="Diferenciado",$H$4=#REF!),BDI!$E$17,IF(AND(#REF!="Diferenciado",$H$4=#REF!),BDI!#REF!,IF(#REF!="ZERO",0))))),"")</f>
        <v>#REF!</v>
      </c>
      <c r="H2884" s="127" t="e">
        <f t="shared" ca="1" si="154"/>
        <v>#REF!</v>
      </c>
      <c r="I2884" s="125" t="e">
        <f t="shared" ca="1" si="155"/>
        <v>#REF!</v>
      </c>
    </row>
    <row r="2885" spans="1:9" hidden="1" x14ac:dyDescent="0.25">
      <c r="A2885" s="103" t="s">
        <v>7086</v>
      </c>
      <c r="B2885" s="104" t="s">
        <v>7087</v>
      </c>
      <c r="C2885" s="105" t="s">
        <v>20</v>
      </c>
      <c r="D2885" s="105">
        <v>0</v>
      </c>
      <c r="E2885" s="124">
        <f ca="1">OFFSET(INDEX(Composições!A:J,MATCH(Orçamentária!A2885,Composições!A:A,0),8),2,0)</f>
        <v>35.0075</v>
      </c>
      <c r="F2885" s="125">
        <f t="shared" ca="1" si="153"/>
        <v>0</v>
      </c>
      <c r="G2885" s="126" t="e">
        <f>IF(A2885&lt;&gt;"",IF(AND(#REF!="Padrão",$H$4=#REF!),BDI!$B$17,IF(AND(#REF!="Padrão",$H$4=#REF!),BDI!#REF!,IF(AND(#REF!="Diferenciado",$H$4=#REF!),BDI!$E$17,IF(AND(#REF!="Diferenciado",$H$4=#REF!),BDI!#REF!,IF(#REF!="ZERO",0))))),"")</f>
        <v>#REF!</v>
      </c>
      <c r="H2885" s="127" t="e">
        <f t="shared" ca="1" si="154"/>
        <v>#REF!</v>
      </c>
      <c r="I2885" s="125" t="e">
        <f t="shared" ca="1" si="155"/>
        <v>#REF!</v>
      </c>
    </row>
    <row r="2886" spans="1:9" hidden="1" x14ac:dyDescent="0.25">
      <c r="A2886" s="103" t="s">
        <v>7088</v>
      </c>
      <c r="B2886" s="104" t="s">
        <v>7089</v>
      </c>
      <c r="C2886" s="105" t="s">
        <v>20</v>
      </c>
      <c r="D2886" s="105">
        <v>0</v>
      </c>
      <c r="E2886" s="124">
        <f ca="1">OFFSET(INDEX(Composições!A:J,MATCH(Orçamentária!A2886,Composições!A:A,0),8),2,0)</f>
        <v>53.58</v>
      </c>
      <c r="F2886" s="125">
        <f t="shared" ca="1" si="153"/>
        <v>0</v>
      </c>
      <c r="G2886" s="126" t="e">
        <f>IF(A2886&lt;&gt;"",IF(AND(#REF!="Padrão",$H$4=#REF!),BDI!$B$17,IF(AND(#REF!="Padrão",$H$4=#REF!),BDI!#REF!,IF(AND(#REF!="Diferenciado",$H$4=#REF!),BDI!$E$17,IF(AND(#REF!="Diferenciado",$H$4=#REF!),BDI!#REF!,IF(#REF!="ZERO",0))))),"")</f>
        <v>#REF!</v>
      </c>
      <c r="H2886" s="127" t="e">
        <f t="shared" ca="1" si="154"/>
        <v>#REF!</v>
      </c>
      <c r="I2886" s="125" t="e">
        <f t="shared" ca="1" si="155"/>
        <v>#REF!</v>
      </c>
    </row>
    <row r="2887" spans="1:9" hidden="1" x14ac:dyDescent="0.25">
      <c r="A2887" s="103" t="s">
        <v>7090</v>
      </c>
      <c r="B2887" s="104" t="s">
        <v>7091</v>
      </c>
      <c r="C2887" s="105" t="s">
        <v>20</v>
      </c>
      <c r="D2887" s="105">
        <v>0</v>
      </c>
      <c r="E2887" s="124">
        <f ca="1">OFFSET(INDEX(Composições!A:J,MATCH(Orçamentária!A2887,Composições!A:A,0),8),2,0)</f>
        <v>87.162499999999994</v>
      </c>
      <c r="F2887" s="125">
        <f t="shared" ca="1" si="153"/>
        <v>0</v>
      </c>
      <c r="G2887" s="126" t="e">
        <f>IF(A2887&lt;&gt;"",IF(AND(#REF!="Padrão",$H$4=#REF!),BDI!$B$17,IF(AND(#REF!="Padrão",$H$4=#REF!),BDI!#REF!,IF(AND(#REF!="Diferenciado",$H$4=#REF!),BDI!$E$17,IF(AND(#REF!="Diferenciado",$H$4=#REF!),BDI!#REF!,IF(#REF!="ZERO",0))))),"")</f>
        <v>#REF!</v>
      </c>
      <c r="H2887" s="127" t="e">
        <f t="shared" ca="1" si="154"/>
        <v>#REF!</v>
      </c>
      <c r="I2887" s="125" t="e">
        <f t="shared" ca="1" si="155"/>
        <v>#REF!</v>
      </c>
    </row>
    <row r="2888" spans="1:9" hidden="1" x14ac:dyDescent="0.25">
      <c r="A2888" s="103" t="s">
        <v>7092</v>
      </c>
      <c r="B2888" s="104" t="s">
        <v>7093</v>
      </c>
      <c r="C2888" s="105" t="s">
        <v>20</v>
      </c>
      <c r="D2888" s="105">
        <v>0</v>
      </c>
      <c r="E2888" s="124" t="s">
        <v>523</v>
      </c>
      <c r="F2888" s="125" t="str">
        <f t="shared" si="153"/>
        <v/>
      </c>
      <c r="G2888" s="126" t="e">
        <f>IF(A2888&lt;&gt;"",IF(AND(#REF!="Padrão",$H$4=#REF!),BDI!$B$17,IF(AND(#REF!="Padrão",$H$4=#REF!),BDI!#REF!,IF(AND(#REF!="Diferenciado",$H$4=#REF!),BDI!$E$17,IF(AND(#REF!="Diferenciado",$H$4=#REF!),BDI!#REF!,IF(#REF!="ZERO",0))))),"")</f>
        <v>#REF!</v>
      </c>
      <c r="H2888" s="127" t="str">
        <f t="shared" si="154"/>
        <v/>
      </c>
      <c r="I2888" s="125" t="str">
        <f t="shared" si="155"/>
        <v/>
      </c>
    </row>
    <row r="2889" spans="1:9" hidden="1" x14ac:dyDescent="0.25">
      <c r="A2889" s="103" t="s">
        <v>7094</v>
      </c>
      <c r="B2889" s="104" t="s">
        <v>7095</v>
      </c>
      <c r="C2889" s="105" t="s">
        <v>20</v>
      </c>
      <c r="D2889" s="105">
        <v>0</v>
      </c>
      <c r="E2889" s="124" t="s">
        <v>523</v>
      </c>
      <c r="F2889" s="125" t="str">
        <f t="shared" si="153"/>
        <v/>
      </c>
      <c r="G2889" s="126" t="e">
        <f>IF(A2889&lt;&gt;"",IF(AND(#REF!="Padrão",$H$4=#REF!),BDI!$B$17,IF(AND(#REF!="Padrão",$H$4=#REF!),BDI!#REF!,IF(AND(#REF!="Diferenciado",$H$4=#REF!),BDI!$E$17,IF(AND(#REF!="Diferenciado",$H$4=#REF!),BDI!#REF!,IF(#REF!="ZERO",0))))),"")</f>
        <v>#REF!</v>
      </c>
      <c r="H2889" s="127" t="str">
        <f t="shared" si="154"/>
        <v/>
      </c>
      <c r="I2889" s="125" t="str">
        <f t="shared" si="155"/>
        <v/>
      </c>
    </row>
    <row r="2890" spans="1:9" hidden="1" x14ac:dyDescent="0.25">
      <c r="A2890" s="103" t="s">
        <v>7096</v>
      </c>
      <c r="B2890" s="104" t="s">
        <v>7097</v>
      </c>
      <c r="C2890" s="105" t="s">
        <v>93</v>
      </c>
      <c r="D2890" s="105">
        <v>0</v>
      </c>
      <c r="E2890" s="124">
        <f ca="1">OFFSET(INDEX(Composições!A:J,MATCH(Orçamentária!A2890,Composições!A:A,0),8),2,0)</f>
        <v>350.74949999999995</v>
      </c>
      <c r="F2890" s="125">
        <f t="shared" ca="1" si="153"/>
        <v>0</v>
      </c>
      <c r="G2890" s="126" t="e">
        <f>IF(A2890&lt;&gt;"",IF(AND(#REF!="Padrão",$H$4=#REF!),BDI!$B$17,IF(AND(#REF!="Padrão",$H$4=#REF!),BDI!#REF!,IF(AND(#REF!="Diferenciado",$H$4=#REF!),BDI!$E$17,IF(AND(#REF!="Diferenciado",$H$4=#REF!),BDI!#REF!,IF(#REF!="ZERO",0))))),"")</f>
        <v>#REF!</v>
      </c>
      <c r="H2890" s="127" t="e">
        <f t="shared" ca="1" si="154"/>
        <v>#REF!</v>
      </c>
      <c r="I2890" s="125" t="e">
        <f t="shared" ca="1" si="155"/>
        <v>#REF!</v>
      </c>
    </row>
    <row r="2891" spans="1:9" hidden="1" x14ac:dyDescent="0.25">
      <c r="A2891" s="103" t="s">
        <v>7098</v>
      </c>
      <c r="B2891" s="104" t="s">
        <v>7099</v>
      </c>
      <c r="C2891" s="105" t="s">
        <v>93</v>
      </c>
      <c r="D2891" s="105">
        <v>0</v>
      </c>
      <c r="E2891" s="124">
        <f ca="1">OFFSET(INDEX(Composições!A:J,MATCH(Orçamentária!A2891,Composições!A:A,0),8),2,0)</f>
        <v>18.012</v>
      </c>
      <c r="F2891" s="125">
        <f t="shared" ca="1" si="153"/>
        <v>0</v>
      </c>
      <c r="G2891" s="126" t="e">
        <f>IF(A2891&lt;&gt;"",IF(AND(#REF!="Padrão",$H$4=#REF!),BDI!$B$17,IF(AND(#REF!="Padrão",$H$4=#REF!),BDI!#REF!,IF(AND(#REF!="Diferenciado",$H$4=#REF!),BDI!$E$17,IF(AND(#REF!="Diferenciado",$H$4=#REF!),BDI!#REF!,IF(#REF!="ZERO",0))))),"")</f>
        <v>#REF!</v>
      </c>
      <c r="H2891" s="127" t="e">
        <f t="shared" ca="1" si="154"/>
        <v>#REF!</v>
      </c>
      <c r="I2891" s="125" t="e">
        <f t="shared" ca="1" si="155"/>
        <v>#REF!</v>
      </c>
    </row>
    <row r="2892" spans="1:9" hidden="1" x14ac:dyDescent="0.25">
      <c r="A2892" s="103" t="s">
        <v>7100</v>
      </c>
      <c r="B2892" s="104" t="s">
        <v>5010</v>
      </c>
      <c r="C2892" s="105" t="s">
        <v>93</v>
      </c>
      <c r="D2892" s="105">
        <v>0</v>
      </c>
      <c r="E2892" s="124">
        <f ca="1">OFFSET(INDEX(Composições!A:J,MATCH(Orçamentária!A2892,Composições!A:A,0),8),2,0)</f>
        <v>46.074999999999996</v>
      </c>
      <c r="F2892" s="125">
        <f t="shared" ca="1" si="153"/>
        <v>0</v>
      </c>
      <c r="G2892" s="126" t="e">
        <f>IF(A2892&lt;&gt;"",IF(AND(#REF!="Padrão",$H$4=#REF!),BDI!$B$17,IF(AND(#REF!="Padrão",$H$4=#REF!),BDI!#REF!,IF(AND(#REF!="Diferenciado",$H$4=#REF!),BDI!$E$17,IF(AND(#REF!="Diferenciado",$H$4=#REF!),BDI!#REF!,IF(#REF!="ZERO",0))))),"")</f>
        <v>#REF!</v>
      </c>
      <c r="H2892" s="127" t="e">
        <f t="shared" ca="1" si="154"/>
        <v>#REF!</v>
      </c>
      <c r="I2892" s="125" t="e">
        <f t="shared" ca="1" si="155"/>
        <v>#REF!</v>
      </c>
    </row>
    <row r="2893" spans="1:9" hidden="1" x14ac:dyDescent="0.25">
      <c r="A2893" s="103" t="s">
        <v>7101</v>
      </c>
      <c r="B2893" s="104" t="s">
        <v>7102</v>
      </c>
      <c r="C2893" s="105" t="s">
        <v>93</v>
      </c>
      <c r="D2893" s="105">
        <v>0</v>
      </c>
      <c r="E2893" s="124">
        <f ca="1">OFFSET(INDEX(Composições!A:J,MATCH(Orçamentária!A2893,Composições!A:A,0),8),2,0)</f>
        <v>6.4979999999999993</v>
      </c>
      <c r="F2893" s="125">
        <f t="shared" ca="1" si="153"/>
        <v>0</v>
      </c>
      <c r="G2893" s="126" t="e">
        <f>IF(A2893&lt;&gt;"",IF(AND(#REF!="Padrão",$H$4=#REF!),BDI!$B$17,IF(AND(#REF!="Padrão",$H$4=#REF!),BDI!#REF!,IF(AND(#REF!="Diferenciado",$H$4=#REF!),BDI!$E$17,IF(AND(#REF!="Diferenciado",$H$4=#REF!),BDI!#REF!,IF(#REF!="ZERO",0))))),"")</f>
        <v>#REF!</v>
      </c>
      <c r="H2893" s="127" t="e">
        <f t="shared" ca="1" si="154"/>
        <v>#REF!</v>
      </c>
      <c r="I2893" s="125" t="e">
        <f t="shared" ca="1" si="155"/>
        <v>#REF!</v>
      </c>
    </row>
    <row r="2894" spans="1:9" hidden="1" x14ac:dyDescent="0.25">
      <c r="A2894" s="103" t="s">
        <v>7103</v>
      </c>
      <c r="B2894" s="104" t="s">
        <v>7104</v>
      </c>
      <c r="C2894" s="105" t="s">
        <v>93</v>
      </c>
      <c r="D2894" s="105">
        <v>0</v>
      </c>
      <c r="E2894" s="124">
        <f ca="1">OFFSET(INDEX(Composições!A:J,MATCH(Orçamentária!A2894,Composições!A:A,0),8),2,0)</f>
        <v>11.058</v>
      </c>
      <c r="F2894" s="125">
        <f t="shared" ca="1" si="153"/>
        <v>0</v>
      </c>
      <c r="G2894" s="126" t="e">
        <f>IF(A2894&lt;&gt;"",IF(AND(#REF!="Padrão",$H$4=#REF!),BDI!$B$17,IF(AND(#REF!="Padrão",$H$4=#REF!),BDI!#REF!,IF(AND(#REF!="Diferenciado",$H$4=#REF!),BDI!$E$17,IF(AND(#REF!="Diferenciado",$H$4=#REF!),BDI!#REF!,IF(#REF!="ZERO",0))))),"")</f>
        <v>#REF!</v>
      </c>
      <c r="H2894" s="127" t="e">
        <f t="shared" ca="1" si="154"/>
        <v>#REF!</v>
      </c>
      <c r="I2894" s="125" t="e">
        <f t="shared" ca="1" si="155"/>
        <v>#REF!</v>
      </c>
    </row>
    <row r="2895" spans="1:9" hidden="1" x14ac:dyDescent="0.25">
      <c r="A2895" s="103" t="s">
        <v>7105</v>
      </c>
      <c r="B2895" s="104" t="s">
        <v>7106</v>
      </c>
      <c r="C2895" s="105" t="s">
        <v>93</v>
      </c>
      <c r="D2895" s="105">
        <v>0</v>
      </c>
      <c r="E2895" s="124">
        <f ca="1">OFFSET(INDEX(Composições!A:J,MATCH(Orçamentária!A2895,Composições!A:A,0),8),2,0)</f>
        <v>15.959999999999999</v>
      </c>
      <c r="F2895" s="125">
        <f t="shared" ca="1" si="153"/>
        <v>0</v>
      </c>
      <c r="G2895" s="126" t="e">
        <f>IF(A2895&lt;&gt;"",IF(AND(#REF!="Padrão",$H$4=#REF!),BDI!$B$17,IF(AND(#REF!="Padrão",$H$4=#REF!),BDI!#REF!,IF(AND(#REF!="Diferenciado",$H$4=#REF!),BDI!$E$17,IF(AND(#REF!="Diferenciado",$H$4=#REF!),BDI!#REF!,IF(#REF!="ZERO",0))))),"")</f>
        <v>#REF!</v>
      </c>
      <c r="H2895" s="127" t="e">
        <f t="shared" ca="1" si="154"/>
        <v>#REF!</v>
      </c>
      <c r="I2895" s="125" t="e">
        <f t="shared" ca="1" si="155"/>
        <v>#REF!</v>
      </c>
    </row>
    <row r="2896" spans="1:9" hidden="1" x14ac:dyDescent="0.25">
      <c r="A2896" s="103" t="s">
        <v>7107</v>
      </c>
      <c r="B2896" s="104" t="s">
        <v>7108</v>
      </c>
      <c r="C2896" s="105" t="s">
        <v>93</v>
      </c>
      <c r="D2896" s="105">
        <v>0</v>
      </c>
      <c r="E2896" s="124">
        <f ca="1">OFFSET(INDEX(Composições!A:J,MATCH(Orçamentária!A2896,Composições!A:A,0),8),2,0)</f>
        <v>39.273000000000003</v>
      </c>
      <c r="F2896" s="125">
        <f t="shared" ca="1" si="153"/>
        <v>0</v>
      </c>
      <c r="G2896" s="126" t="e">
        <f>IF(A2896&lt;&gt;"",IF(AND(#REF!="Padrão",$H$4=#REF!),BDI!$B$17,IF(AND(#REF!="Padrão",$H$4=#REF!),BDI!#REF!,IF(AND(#REF!="Diferenciado",$H$4=#REF!),BDI!$E$17,IF(AND(#REF!="Diferenciado",$H$4=#REF!),BDI!#REF!,IF(#REF!="ZERO",0))))),"")</f>
        <v>#REF!</v>
      </c>
      <c r="H2896" s="127" t="e">
        <f t="shared" ca="1" si="154"/>
        <v>#REF!</v>
      </c>
      <c r="I2896" s="125" t="e">
        <f t="shared" ca="1" si="155"/>
        <v>#REF!</v>
      </c>
    </row>
    <row r="2897" spans="1:9" hidden="1" x14ac:dyDescent="0.25">
      <c r="A2897" s="103" t="s">
        <v>7109</v>
      </c>
      <c r="B2897" s="104" t="s">
        <v>7110</v>
      </c>
      <c r="C2897" s="105" t="s">
        <v>93</v>
      </c>
      <c r="D2897" s="105">
        <v>0</v>
      </c>
      <c r="E2897" s="124">
        <f ca="1">OFFSET(INDEX(Composições!A:J,MATCH(Orçamentária!A2897,Composições!A:A,0),8),2,0)</f>
        <v>23.312999999999999</v>
      </c>
      <c r="F2897" s="125">
        <f t="shared" ca="1" si="153"/>
        <v>0</v>
      </c>
      <c r="G2897" s="126" t="e">
        <f>IF(A2897&lt;&gt;"",IF(AND(#REF!="Padrão",$H$4=#REF!),BDI!$B$17,IF(AND(#REF!="Padrão",$H$4=#REF!),BDI!#REF!,IF(AND(#REF!="Diferenciado",$H$4=#REF!),BDI!$E$17,IF(AND(#REF!="Diferenciado",$H$4=#REF!),BDI!#REF!,IF(#REF!="ZERO",0))))),"")</f>
        <v>#REF!</v>
      </c>
      <c r="H2897" s="127" t="e">
        <f t="shared" ca="1" si="154"/>
        <v>#REF!</v>
      </c>
      <c r="I2897" s="125" t="e">
        <f t="shared" ca="1" si="155"/>
        <v>#REF!</v>
      </c>
    </row>
    <row r="2898" spans="1:9" hidden="1" x14ac:dyDescent="0.25">
      <c r="A2898" s="103" t="s">
        <v>7111</v>
      </c>
      <c r="B2898" s="104" t="s">
        <v>7112</v>
      </c>
      <c r="C2898" s="105" t="s">
        <v>93</v>
      </c>
      <c r="D2898" s="105">
        <v>0</v>
      </c>
      <c r="E2898" s="124">
        <f ca="1">OFFSET(INDEX(Composições!A:J,MATCH(Orçamentária!A2898,Composições!A:A,0),8),2,0)</f>
        <v>86.6875</v>
      </c>
      <c r="F2898" s="125">
        <f t="shared" ca="1" si="153"/>
        <v>0</v>
      </c>
      <c r="G2898" s="126" t="e">
        <f>IF(A2898&lt;&gt;"",IF(AND(#REF!="Padrão",$H$4=#REF!),BDI!$B$17,IF(AND(#REF!="Padrão",$H$4=#REF!),BDI!#REF!,IF(AND(#REF!="Diferenciado",$H$4=#REF!),BDI!$E$17,IF(AND(#REF!="Diferenciado",$H$4=#REF!),BDI!#REF!,IF(#REF!="ZERO",0))))),"")</f>
        <v>#REF!</v>
      </c>
      <c r="H2898" s="127" t="e">
        <f t="shared" ca="1" si="154"/>
        <v>#REF!</v>
      </c>
      <c r="I2898" s="125" t="e">
        <f t="shared" ca="1" si="155"/>
        <v>#REF!</v>
      </c>
    </row>
    <row r="2899" spans="1:9" hidden="1" x14ac:dyDescent="0.25">
      <c r="A2899" s="103" t="s">
        <v>7113</v>
      </c>
      <c r="B2899" s="104" t="s">
        <v>7114</v>
      </c>
      <c r="C2899" s="105" t="s">
        <v>93</v>
      </c>
      <c r="D2899" s="105">
        <v>0</v>
      </c>
      <c r="E2899" s="124">
        <f ca="1">OFFSET(INDEX(Composições!A:J,MATCH(Orçamentária!A2899,Composições!A:A,0),8),2,0)</f>
        <v>55.650999999999996</v>
      </c>
      <c r="F2899" s="125">
        <f t="shared" ca="1" si="153"/>
        <v>0</v>
      </c>
      <c r="G2899" s="126" t="e">
        <f>IF(A2899&lt;&gt;"",IF(AND(#REF!="Padrão",$H$4=#REF!),BDI!$B$17,IF(AND(#REF!="Padrão",$H$4=#REF!),BDI!#REF!,IF(AND(#REF!="Diferenciado",$H$4=#REF!),BDI!$E$17,IF(AND(#REF!="Diferenciado",$H$4=#REF!),BDI!#REF!,IF(#REF!="ZERO",0))))),"")</f>
        <v>#REF!</v>
      </c>
      <c r="H2899" s="127" t="e">
        <f t="shared" ca="1" si="154"/>
        <v>#REF!</v>
      </c>
      <c r="I2899" s="125" t="e">
        <f t="shared" ca="1" si="155"/>
        <v>#REF!</v>
      </c>
    </row>
    <row r="2900" spans="1:9" hidden="1" x14ac:dyDescent="0.25">
      <c r="A2900" s="103" t="s">
        <v>7115</v>
      </c>
      <c r="B2900" s="104" t="s">
        <v>7116</v>
      </c>
      <c r="C2900" s="105" t="s">
        <v>93</v>
      </c>
      <c r="D2900" s="105">
        <v>0</v>
      </c>
      <c r="E2900" s="124">
        <f ca="1">OFFSET(INDEX(Composições!A:J,MATCH(Orçamentária!A2900,Composições!A:A,0),8),2,0)</f>
        <v>112.1095</v>
      </c>
      <c r="F2900" s="125">
        <f t="shared" ca="1" si="153"/>
        <v>0</v>
      </c>
      <c r="G2900" s="126" t="e">
        <f>IF(A2900&lt;&gt;"",IF(AND(#REF!="Padrão",$H$4=#REF!),BDI!$B$17,IF(AND(#REF!="Padrão",$H$4=#REF!),BDI!#REF!,IF(AND(#REF!="Diferenciado",$H$4=#REF!),BDI!$E$17,IF(AND(#REF!="Diferenciado",$H$4=#REF!),BDI!#REF!,IF(#REF!="ZERO",0))))),"")</f>
        <v>#REF!</v>
      </c>
      <c r="H2900" s="127" t="e">
        <f t="shared" ca="1" si="154"/>
        <v>#REF!</v>
      </c>
      <c r="I2900" s="125" t="e">
        <f t="shared" ca="1" si="155"/>
        <v>#REF!</v>
      </c>
    </row>
    <row r="2901" spans="1:9" hidden="1" x14ac:dyDescent="0.25">
      <c r="A2901" s="103" t="s">
        <v>7117</v>
      </c>
      <c r="B2901" s="104" t="s">
        <v>7118</v>
      </c>
      <c r="C2901" s="105" t="s">
        <v>93</v>
      </c>
      <c r="D2901" s="105">
        <v>0</v>
      </c>
      <c r="E2901" s="124">
        <f ca="1">OFFSET(INDEX(Composições!A:J,MATCH(Orçamentária!A2901,Composições!A:A,0),8),2,0)</f>
        <v>12.007999999999999</v>
      </c>
      <c r="F2901" s="125">
        <f t="shared" ca="1" si="153"/>
        <v>0</v>
      </c>
      <c r="G2901" s="126" t="e">
        <f>IF(A2901&lt;&gt;"",IF(AND(#REF!="Padrão",$H$4=#REF!),BDI!$B$17,IF(AND(#REF!="Padrão",$H$4=#REF!),BDI!#REF!,IF(AND(#REF!="Diferenciado",$H$4=#REF!),BDI!$E$17,IF(AND(#REF!="Diferenciado",$H$4=#REF!),BDI!#REF!,IF(#REF!="ZERO",0))))),"")</f>
        <v>#REF!</v>
      </c>
      <c r="H2901" s="127" t="e">
        <f t="shared" ca="1" si="154"/>
        <v>#REF!</v>
      </c>
      <c r="I2901" s="125" t="e">
        <f t="shared" ca="1" si="155"/>
        <v>#REF!</v>
      </c>
    </row>
    <row r="2902" spans="1:9" hidden="1" x14ac:dyDescent="0.25">
      <c r="A2902" s="103" t="s">
        <v>7119</v>
      </c>
      <c r="B2902" s="104" t="s">
        <v>7120</v>
      </c>
      <c r="C2902" s="105" t="s">
        <v>93</v>
      </c>
      <c r="D2902" s="105">
        <v>0</v>
      </c>
      <c r="E2902" s="124">
        <f ca="1">OFFSET(INDEX(Composições!A:J,MATCH(Orçamentária!A2902,Composições!A:A,0),8),2,0)</f>
        <v>135.34649999999999</v>
      </c>
      <c r="F2902" s="125">
        <f t="shared" ca="1" si="153"/>
        <v>0</v>
      </c>
      <c r="G2902" s="126" t="e">
        <f>IF(A2902&lt;&gt;"",IF(AND(#REF!="Padrão",$H$4=#REF!),BDI!$B$17,IF(AND(#REF!="Padrão",$H$4=#REF!),BDI!#REF!,IF(AND(#REF!="Diferenciado",$H$4=#REF!),BDI!$E$17,IF(AND(#REF!="Diferenciado",$H$4=#REF!),BDI!#REF!,IF(#REF!="ZERO",0))))),"")</f>
        <v>#REF!</v>
      </c>
      <c r="H2902" s="127" t="e">
        <f t="shared" ca="1" si="154"/>
        <v>#REF!</v>
      </c>
      <c r="I2902" s="125" t="e">
        <f t="shared" ca="1" si="155"/>
        <v>#REF!</v>
      </c>
    </row>
    <row r="2903" spans="1:9" hidden="1" x14ac:dyDescent="0.25">
      <c r="A2903" s="103" t="s">
        <v>7121</v>
      </c>
      <c r="B2903" s="104" t="s">
        <v>7122</v>
      </c>
      <c r="C2903" s="105" t="s">
        <v>93</v>
      </c>
      <c r="D2903" s="105">
        <v>0</v>
      </c>
      <c r="E2903" s="124">
        <f ca="1">OFFSET(INDEX(Composições!A:J,MATCH(Orçamentária!A2903,Composições!A:A,0),8),2,0)</f>
        <v>204.06</v>
      </c>
      <c r="F2903" s="125">
        <f t="shared" ref="F2903:F2966" ca="1" si="156">IF(ISNUMBER(E2903),D2903*E2903,"")</f>
        <v>0</v>
      </c>
      <c r="G2903" s="126" t="e">
        <f>IF(A2903&lt;&gt;"",IF(AND(#REF!="Padrão",$H$4=#REF!),BDI!$B$17,IF(AND(#REF!="Padrão",$H$4=#REF!),BDI!#REF!,IF(AND(#REF!="Diferenciado",$H$4=#REF!),BDI!$E$17,IF(AND(#REF!="Diferenciado",$H$4=#REF!),BDI!#REF!,IF(#REF!="ZERO",0))))),"")</f>
        <v>#REF!</v>
      </c>
      <c r="H2903" s="127" t="e">
        <f t="shared" ref="H2903:H2966" ca="1" si="157">IF(ISNUMBER(E2903),ROUND(E2903*(1+G2903),2),"")</f>
        <v>#REF!</v>
      </c>
      <c r="I2903" s="125" t="e">
        <f t="shared" ref="I2903:I2966" ca="1" si="158">IF(ISNUMBER(E2903),ROUND(H2903*D2903,2),"")</f>
        <v>#REF!</v>
      </c>
    </row>
    <row r="2904" spans="1:9" hidden="1" x14ac:dyDescent="0.25">
      <c r="A2904" s="103" t="s">
        <v>7123</v>
      </c>
      <c r="B2904" s="104" t="s">
        <v>7124</v>
      </c>
      <c r="C2904" s="105" t="s">
        <v>93</v>
      </c>
      <c r="D2904" s="105">
        <v>0</v>
      </c>
      <c r="E2904" s="124">
        <f ca="1">OFFSET(INDEX(Composições!A:J,MATCH(Orçamentária!A2904,Composições!A:A,0),8),2,0)</f>
        <v>3.4769999999999999</v>
      </c>
      <c r="F2904" s="125">
        <f t="shared" ca="1" si="156"/>
        <v>0</v>
      </c>
      <c r="G2904" s="126" t="e">
        <f>IF(A2904&lt;&gt;"",IF(AND(#REF!="Padrão",$H$4=#REF!),BDI!$B$17,IF(AND(#REF!="Padrão",$H$4=#REF!),BDI!#REF!,IF(AND(#REF!="Diferenciado",$H$4=#REF!),BDI!$E$17,IF(AND(#REF!="Diferenciado",$H$4=#REF!),BDI!#REF!,IF(#REF!="ZERO",0))))),"")</f>
        <v>#REF!</v>
      </c>
      <c r="H2904" s="127" t="e">
        <f t="shared" ca="1" si="157"/>
        <v>#REF!</v>
      </c>
      <c r="I2904" s="125" t="e">
        <f t="shared" ca="1" si="158"/>
        <v>#REF!</v>
      </c>
    </row>
    <row r="2905" spans="1:9" hidden="1" x14ac:dyDescent="0.25">
      <c r="A2905" s="103" t="s">
        <v>7125</v>
      </c>
      <c r="B2905" s="104" t="s">
        <v>6350</v>
      </c>
      <c r="C2905" s="105" t="s">
        <v>93</v>
      </c>
      <c r="D2905" s="105">
        <v>0</v>
      </c>
      <c r="E2905" s="124">
        <f ca="1">OFFSET(INDEX(Composições!A:J,MATCH(Orçamentária!A2905,Composições!A:A,0),8),2,0)</f>
        <v>4.4554999999999998</v>
      </c>
      <c r="F2905" s="125">
        <f t="shared" ca="1" si="156"/>
        <v>0</v>
      </c>
      <c r="G2905" s="126" t="e">
        <f>IF(A2905&lt;&gt;"",IF(AND(#REF!="Padrão",$H$4=#REF!),BDI!$B$17,IF(AND(#REF!="Padrão",$H$4=#REF!),BDI!#REF!,IF(AND(#REF!="Diferenciado",$H$4=#REF!),BDI!$E$17,IF(AND(#REF!="Diferenciado",$H$4=#REF!),BDI!#REF!,IF(#REF!="ZERO",0))))),"")</f>
        <v>#REF!</v>
      </c>
      <c r="H2905" s="127" t="e">
        <f t="shared" ca="1" si="157"/>
        <v>#REF!</v>
      </c>
      <c r="I2905" s="125" t="e">
        <f t="shared" ca="1" si="158"/>
        <v>#REF!</v>
      </c>
    </row>
    <row r="2906" spans="1:9" hidden="1" x14ac:dyDescent="0.25">
      <c r="A2906" s="103" t="s">
        <v>7126</v>
      </c>
      <c r="B2906" s="104" t="s">
        <v>6351</v>
      </c>
      <c r="C2906" s="105" t="s">
        <v>93</v>
      </c>
      <c r="D2906" s="105">
        <v>0</v>
      </c>
      <c r="E2906" s="124">
        <f ca="1">OFFSET(INDEX(Composições!A:J,MATCH(Orçamentária!A2906,Composições!A:A,0),8),2,0)</f>
        <v>10.003499999999999</v>
      </c>
      <c r="F2906" s="125">
        <f t="shared" ca="1" si="156"/>
        <v>0</v>
      </c>
      <c r="G2906" s="126" t="e">
        <f>IF(A2906&lt;&gt;"",IF(AND(#REF!="Padrão",$H$4=#REF!),BDI!$B$17,IF(AND(#REF!="Padrão",$H$4=#REF!),BDI!#REF!,IF(AND(#REF!="Diferenciado",$H$4=#REF!),BDI!$E$17,IF(AND(#REF!="Diferenciado",$H$4=#REF!),BDI!#REF!,IF(#REF!="ZERO",0))))),"")</f>
        <v>#REF!</v>
      </c>
      <c r="H2906" s="127" t="e">
        <f t="shared" ca="1" si="157"/>
        <v>#REF!</v>
      </c>
      <c r="I2906" s="125" t="e">
        <f t="shared" ca="1" si="158"/>
        <v>#REF!</v>
      </c>
    </row>
    <row r="2907" spans="1:9" hidden="1" x14ac:dyDescent="0.25">
      <c r="A2907" s="103" t="s">
        <v>7127</v>
      </c>
      <c r="B2907" s="104" t="s">
        <v>6352</v>
      </c>
      <c r="C2907" s="105" t="s">
        <v>93</v>
      </c>
      <c r="D2907" s="105">
        <v>0</v>
      </c>
      <c r="E2907" s="124">
        <f ca="1">OFFSET(INDEX(Composições!A:J,MATCH(Orçamentária!A2907,Composições!A:A,0),8),2,0)</f>
        <v>14.563499999999999</v>
      </c>
      <c r="F2907" s="125">
        <f t="shared" ca="1" si="156"/>
        <v>0</v>
      </c>
      <c r="G2907" s="126" t="e">
        <f>IF(A2907&lt;&gt;"",IF(AND(#REF!="Padrão",$H$4=#REF!),BDI!$B$17,IF(AND(#REF!="Padrão",$H$4=#REF!),BDI!#REF!,IF(AND(#REF!="Diferenciado",$H$4=#REF!),BDI!$E$17,IF(AND(#REF!="Diferenciado",$H$4=#REF!),BDI!#REF!,IF(#REF!="ZERO",0))))),"")</f>
        <v>#REF!</v>
      </c>
      <c r="H2907" s="127" t="e">
        <f t="shared" ca="1" si="157"/>
        <v>#REF!</v>
      </c>
      <c r="I2907" s="125" t="e">
        <f t="shared" ca="1" si="158"/>
        <v>#REF!</v>
      </c>
    </row>
    <row r="2908" spans="1:9" hidden="1" x14ac:dyDescent="0.25">
      <c r="A2908" s="103" t="s">
        <v>7128</v>
      </c>
      <c r="B2908" s="104" t="s">
        <v>6353</v>
      </c>
      <c r="C2908" s="105" t="s">
        <v>93</v>
      </c>
      <c r="D2908" s="105">
        <v>0</v>
      </c>
      <c r="E2908" s="124">
        <f ca="1">OFFSET(INDEX(Composições!A:J,MATCH(Orçamentária!A2908,Composições!A:A,0),8),2,0)</f>
        <v>16.681999999999999</v>
      </c>
      <c r="F2908" s="125">
        <f t="shared" ca="1" si="156"/>
        <v>0</v>
      </c>
      <c r="G2908" s="126" t="e">
        <f>IF(A2908&lt;&gt;"",IF(AND(#REF!="Padrão",$H$4=#REF!),BDI!$B$17,IF(AND(#REF!="Padrão",$H$4=#REF!),BDI!#REF!,IF(AND(#REF!="Diferenciado",$H$4=#REF!),BDI!$E$17,IF(AND(#REF!="Diferenciado",$H$4=#REF!),BDI!#REF!,IF(#REF!="ZERO",0))))),"")</f>
        <v>#REF!</v>
      </c>
      <c r="H2908" s="127" t="e">
        <f t="shared" ca="1" si="157"/>
        <v>#REF!</v>
      </c>
      <c r="I2908" s="125" t="e">
        <f t="shared" ca="1" si="158"/>
        <v>#REF!</v>
      </c>
    </row>
    <row r="2909" spans="1:9" hidden="1" x14ac:dyDescent="0.25">
      <c r="A2909" s="103" t="s">
        <v>7129</v>
      </c>
      <c r="B2909" s="104" t="s">
        <v>7130</v>
      </c>
      <c r="C2909" s="105" t="s">
        <v>93</v>
      </c>
      <c r="D2909" s="105">
        <v>0</v>
      </c>
      <c r="E2909" s="124">
        <f ca="1">OFFSET(INDEX(Composições!A:J,MATCH(Orçamentária!A2909,Composições!A:A,0),8),2,0)</f>
        <v>28.148499999999999</v>
      </c>
      <c r="F2909" s="125">
        <f t="shared" ca="1" si="156"/>
        <v>0</v>
      </c>
      <c r="G2909" s="126" t="e">
        <f>IF(A2909&lt;&gt;"",IF(AND(#REF!="Padrão",$H$4=#REF!),BDI!$B$17,IF(AND(#REF!="Padrão",$H$4=#REF!),BDI!#REF!,IF(AND(#REF!="Diferenciado",$H$4=#REF!),BDI!$E$17,IF(AND(#REF!="Diferenciado",$H$4=#REF!),BDI!#REF!,IF(#REF!="ZERO",0))))),"")</f>
        <v>#REF!</v>
      </c>
      <c r="H2909" s="127" t="e">
        <f t="shared" ca="1" si="157"/>
        <v>#REF!</v>
      </c>
      <c r="I2909" s="125" t="e">
        <f t="shared" ca="1" si="158"/>
        <v>#REF!</v>
      </c>
    </row>
    <row r="2910" spans="1:9" hidden="1" x14ac:dyDescent="0.25">
      <c r="A2910" s="103" t="s">
        <v>7131</v>
      </c>
      <c r="B2910" s="104" t="s">
        <v>7132</v>
      </c>
      <c r="C2910" s="105" t="s">
        <v>93</v>
      </c>
      <c r="D2910" s="105">
        <v>0</v>
      </c>
      <c r="E2910" s="124">
        <f ca="1">OFFSET(INDEX(Composições!A:J,MATCH(Orçamentária!A2910,Composições!A:A,0),8),2,0)</f>
        <v>47.158000000000001</v>
      </c>
      <c r="F2910" s="125">
        <f t="shared" ca="1" si="156"/>
        <v>0</v>
      </c>
      <c r="G2910" s="126" t="e">
        <f>IF(A2910&lt;&gt;"",IF(AND(#REF!="Padrão",$H$4=#REF!),BDI!$B$17,IF(AND(#REF!="Padrão",$H$4=#REF!),BDI!#REF!,IF(AND(#REF!="Diferenciado",$H$4=#REF!),BDI!$E$17,IF(AND(#REF!="Diferenciado",$H$4=#REF!),BDI!#REF!,IF(#REF!="ZERO",0))))),"")</f>
        <v>#REF!</v>
      </c>
      <c r="H2910" s="127" t="e">
        <f t="shared" ca="1" si="157"/>
        <v>#REF!</v>
      </c>
      <c r="I2910" s="125" t="e">
        <f t="shared" ca="1" si="158"/>
        <v>#REF!</v>
      </c>
    </row>
    <row r="2911" spans="1:9" hidden="1" x14ac:dyDescent="0.25">
      <c r="A2911" s="103" t="s">
        <v>7133</v>
      </c>
      <c r="B2911" s="104" t="s">
        <v>7134</v>
      </c>
      <c r="C2911" s="105" t="s">
        <v>93</v>
      </c>
      <c r="D2911" s="105">
        <v>0</v>
      </c>
      <c r="E2911" s="124">
        <f ca="1">OFFSET(INDEX(Composições!A:J,MATCH(Orçamentária!A2911,Composições!A:A,0),8),2,0)</f>
        <v>58.918999999999997</v>
      </c>
      <c r="F2911" s="125">
        <f t="shared" ca="1" si="156"/>
        <v>0</v>
      </c>
      <c r="G2911" s="126" t="e">
        <f>IF(A2911&lt;&gt;"",IF(AND(#REF!="Padrão",$H$4=#REF!),BDI!$B$17,IF(AND(#REF!="Padrão",$H$4=#REF!),BDI!#REF!,IF(AND(#REF!="Diferenciado",$H$4=#REF!),BDI!$E$17,IF(AND(#REF!="Diferenciado",$H$4=#REF!),BDI!#REF!,IF(#REF!="ZERO",0))))),"")</f>
        <v>#REF!</v>
      </c>
      <c r="H2911" s="127" t="e">
        <f t="shared" ca="1" si="157"/>
        <v>#REF!</v>
      </c>
      <c r="I2911" s="125" t="e">
        <f t="shared" ca="1" si="158"/>
        <v>#REF!</v>
      </c>
    </row>
    <row r="2912" spans="1:9" hidden="1" x14ac:dyDescent="0.25">
      <c r="A2912" s="103" t="s">
        <v>7135</v>
      </c>
      <c r="B2912" s="104" t="s">
        <v>7136</v>
      </c>
      <c r="C2912" s="105" t="s">
        <v>93</v>
      </c>
      <c r="D2912" s="105">
        <v>0</v>
      </c>
      <c r="E2912" s="124">
        <f ca="1">OFFSET(INDEX(Composições!A:J,MATCH(Orçamentária!A2912,Composições!A:A,0),8),2,0)</f>
        <v>94.524999999999991</v>
      </c>
      <c r="F2912" s="125">
        <f t="shared" ca="1" si="156"/>
        <v>0</v>
      </c>
      <c r="G2912" s="126" t="e">
        <f>IF(A2912&lt;&gt;"",IF(AND(#REF!="Padrão",$H$4=#REF!),BDI!$B$17,IF(AND(#REF!="Padrão",$H$4=#REF!),BDI!#REF!,IF(AND(#REF!="Diferenciado",$H$4=#REF!),BDI!$E$17,IF(AND(#REF!="Diferenciado",$H$4=#REF!),BDI!#REF!,IF(#REF!="ZERO",0))))),"")</f>
        <v>#REF!</v>
      </c>
      <c r="H2912" s="127" t="e">
        <f t="shared" ca="1" si="157"/>
        <v>#REF!</v>
      </c>
      <c r="I2912" s="125" t="e">
        <f t="shared" ca="1" si="158"/>
        <v>#REF!</v>
      </c>
    </row>
    <row r="2913" spans="1:9" hidden="1" x14ac:dyDescent="0.25">
      <c r="A2913" s="103" t="s">
        <v>7137</v>
      </c>
      <c r="B2913" s="104" t="s">
        <v>7138</v>
      </c>
      <c r="C2913" s="105" t="s">
        <v>20</v>
      </c>
      <c r="D2913" s="105">
        <v>0</v>
      </c>
      <c r="E2913" s="124" t="s">
        <v>523</v>
      </c>
      <c r="F2913" s="125" t="str">
        <f t="shared" si="156"/>
        <v/>
      </c>
      <c r="G2913" s="126" t="e">
        <f>IF(A2913&lt;&gt;"",IF(AND(#REF!="Padrão",$H$4=#REF!),BDI!$B$17,IF(AND(#REF!="Padrão",$H$4=#REF!),BDI!#REF!,IF(AND(#REF!="Diferenciado",$H$4=#REF!),BDI!$E$17,IF(AND(#REF!="Diferenciado",$H$4=#REF!),BDI!#REF!,IF(#REF!="ZERO",0))))),"")</f>
        <v>#REF!</v>
      </c>
      <c r="H2913" s="127" t="str">
        <f t="shared" si="157"/>
        <v/>
      </c>
      <c r="I2913" s="125" t="str">
        <f t="shared" si="158"/>
        <v/>
      </c>
    </row>
    <row r="2914" spans="1:9" hidden="1" x14ac:dyDescent="0.25">
      <c r="A2914" s="103" t="s">
        <v>7139</v>
      </c>
      <c r="B2914" s="104" t="s">
        <v>7140</v>
      </c>
      <c r="C2914" s="105" t="s">
        <v>20</v>
      </c>
      <c r="D2914" s="105">
        <v>0</v>
      </c>
      <c r="E2914" s="124" t="s">
        <v>523</v>
      </c>
      <c r="F2914" s="125" t="str">
        <f t="shared" si="156"/>
        <v/>
      </c>
      <c r="G2914" s="126" t="e">
        <f>IF(A2914&lt;&gt;"",IF(AND(#REF!="Padrão",$H$4=#REF!),BDI!$B$17,IF(AND(#REF!="Padrão",$H$4=#REF!),BDI!#REF!,IF(AND(#REF!="Diferenciado",$H$4=#REF!),BDI!$E$17,IF(AND(#REF!="Diferenciado",$H$4=#REF!),BDI!#REF!,IF(#REF!="ZERO",0))))),"")</f>
        <v>#REF!</v>
      </c>
      <c r="H2914" s="127" t="str">
        <f t="shared" si="157"/>
        <v/>
      </c>
      <c r="I2914" s="125" t="str">
        <f t="shared" si="158"/>
        <v/>
      </c>
    </row>
    <row r="2915" spans="1:9" hidden="1" x14ac:dyDescent="0.25">
      <c r="A2915" s="103" t="s">
        <v>7141</v>
      </c>
      <c r="B2915" s="104" t="s">
        <v>7142</v>
      </c>
      <c r="C2915" s="105" t="s">
        <v>20</v>
      </c>
      <c r="D2915" s="105">
        <v>0</v>
      </c>
      <c r="E2915" s="124" t="s">
        <v>523</v>
      </c>
      <c r="F2915" s="125" t="str">
        <f t="shared" si="156"/>
        <v/>
      </c>
      <c r="G2915" s="126" t="e">
        <f>IF(A2915&lt;&gt;"",IF(AND(#REF!="Padrão",$H$4=#REF!),BDI!$B$17,IF(AND(#REF!="Padrão",$H$4=#REF!),BDI!#REF!,IF(AND(#REF!="Diferenciado",$H$4=#REF!),BDI!$E$17,IF(AND(#REF!="Diferenciado",$H$4=#REF!),BDI!#REF!,IF(#REF!="ZERO",0))))),"")</f>
        <v>#REF!</v>
      </c>
      <c r="H2915" s="127" t="str">
        <f t="shared" si="157"/>
        <v/>
      </c>
      <c r="I2915" s="125" t="str">
        <f t="shared" si="158"/>
        <v/>
      </c>
    </row>
    <row r="2916" spans="1:9" hidden="1" x14ac:dyDescent="0.25">
      <c r="A2916" s="103" t="s">
        <v>7143</v>
      </c>
      <c r="B2916" s="104" t="s">
        <v>7144</v>
      </c>
      <c r="C2916" s="105" t="s">
        <v>20</v>
      </c>
      <c r="D2916" s="105">
        <v>0</v>
      </c>
      <c r="E2916" s="124" t="s">
        <v>523</v>
      </c>
      <c r="F2916" s="125" t="str">
        <f t="shared" si="156"/>
        <v/>
      </c>
      <c r="G2916" s="126" t="e">
        <f>IF(A2916&lt;&gt;"",IF(AND(#REF!="Padrão",$H$4=#REF!),BDI!$B$17,IF(AND(#REF!="Padrão",$H$4=#REF!),BDI!#REF!,IF(AND(#REF!="Diferenciado",$H$4=#REF!),BDI!$E$17,IF(AND(#REF!="Diferenciado",$H$4=#REF!),BDI!#REF!,IF(#REF!="ZERO",0))))),"")</f>
        <v>#REF!</v>
      </c>
      <c r="H2916" s="127" t="str">
        <f t="shared" si="157"/>
        <v/>
      </c>
      <c r="I2916" s="125" t="str">
        <f t="shared" si="158"/>
        <v/>
      </c>
    </row>
    <row r="2917" spans="1:9" hidden="1" x14ac:dyDescent="0.25">
      <c r="A2917" s="103" t="s">
        <v>7145</v>
      </c>
      <c r="B2917" s="104" t="s">
        <v>7146</v>
      </c>
      <c r="C2917" s="105" t="s">
        <v>20</v>
      </c>
      <c r="D2917" s="105">
        <v>0</v>
      </c>
      <c r="E2917" s="124" t="s">
        <v>523</v>
      </c>
      <c r="F2917" s="125" t="str">
        <f t="shared" si="156"/>
        <v/>
      </c>
      <c r="G2917" s="126" t="e">
        <f>IF(A2917&lt;&gt;"",IF(AND(#REF!="Padrão",$H$4=#REF!),BDI!$B$17,IF(AND(#REF!="Padrão",$H$4=#REF!),BDI!#REF!,IF(AND(#REF!="Diferenciado",$H$4=#REF!),BDI!$E$17,IF(AND(#REF!="Diferenciado",$H$4=#REF!),BDI!#REF!,IF(#REF!="ZERO",0))))),"")</f>
        <v>#REF!</v>
      </c>
      <c r="H2917" s="127" t="str">
        <f t="shared" si="157"/>
        <v/>
      </c>
      <c r="I2917" s="125" t="str">
        <f t="shared" si="158"/>
        <v/>
      </c>
    </row>
    <row r="2918" spans="1:9" hidden="1" x14ac:dyDescent="0.25">
      <c r="A2918" s="103" t="s">
        <v>7147</v>
      </c>
      <c r="B2918" s="104" t="s">
        <v>7747</v>
      </c>
      <c r="C2918" s="105" t="s">
        <v>1924</v>
      </c>
      <c r="D2918" s="105">
        <v>0</v>
      </c>
      <c r="E2918" s="124" t="s">
        <v>523</v>
      </c>
      <c r="F2918" s="125" t="str">
        <f t="shared" si="156"/>
        <v/>
      </c>
      <c r="G2918" s="126" t="e">
        <f>IF(A2918&lt;&gt;"",IF(AND(#REF!="Padrão",$H$4=#REF!),BDI!$B$17,IF(AND(#REF!="Padrão",$H$4=#REF!),BDI!#REF!,IF(AND(#REF!="Diferenciado",$H$4=#REF!),BDI!$E$17,IF(AND(#REF!="Diferenciado",$H$4=#REF!),BDI!#REF!,IF(#REF!="ZERO",0))))),"")</f>
        <v>#REF!</v>
      </c>
      <c r="H2918" s="127" t="str">
        <f t="shared" si="157"/>
        <v/>
      </c>
      <c r="I2918" s="125" t="str">
        <f t="shared" si="158"/>
        <v/>
      </c>
    </row>
    <row r="2919" spans="1:9" hidden="1" x14ac:dyDescent="0.25">
      <c r="A2919" s="103" t="s">
        <v>7148</v>
      </c>
      <c r="B2919" s="104" t="s">
        <v>7149</v>
      </c>
      <c r="C2919" s="105" t="s">
        <v>20</v>
      </c>
      <c r="D2919" s="105">
        <v>0</v>
      </c>
      <c r="E2919" s="124" t="s">
        <v>523</v>
      </c>
      <c r="F2919" s="125" t="str">
        <f t="shared" si="156"/>
        <v/>
      </c>
      <c r="G2919" s="126" t="e">
        <f>IF(A2919&lt;&gt;"",IF(AND(#REF!="Padrão",$H$4=#REF!),BDI!$B$17,IF(AND(#REF!="Padrão",$H$4=#REF!),BDI!#REF!,IF(AND(#REF!="Diferenciado",$H$4=#REF!),BDI!$E$17,IF(AND(#REF!="Diferenciado",$H$4=#REF!),BDI!#REF!,IF(#REF!="ZERO",0))))),"")</f>
        <v>#REF!</v>
      </c>
      <c r="H2919" s="127" t="str">
        <f t="shared" si="157"/>
        <v/>
      </c>
      <c r="I2919" s="125" t="str">
        <f t="shared" si="158"/>
        <v/>
      </c>
    </row>
    <row r="2920" spans="1:9" hidden="1" x14ac:dyDescent="0.25">
      <c r="A2920" s="103" t="s">
        <v>7150</v>
      </c>
      <c r="B2920" s="104" t="s">
        <v>7151</v>
      </c>
      <c r="C2920" s="105" t="s">
        <v>20</v>
      </c>
      <c r="D2920" s="105">
        <v>0</v>
      </c>
      <c r="E2920" s="124" t="s">
        <v>523</v>
      </c>
      <c r="F2920" s="125" t="str">
        <f t="shared" si="156"/>
        <v/>
      </c>
      <c r="G2920" s="126" t="e">
        <f>IF(A2920&lt;&gt;"",IF(AND(#REF!="Padrão",$H$4=#REF!),BDI!$B$17,IF(AND(#REF!="Padrão",$H$4=#REF!),BDI!#REF!,IF(AND(#REF!="Diferenciado",$H$4=#REF!),BDI!$E$17,IF(AND(#REF!="Diferenciado",$H$4=#REF!),BDI!#REF!,IF(#REF!="ZERO",0))))),"")</f>
        <v>#REF!</v>
      </c>
      <c r="H2920" s="127" t="str">
        <f t="shared" si="157"/>
        <v/>
      </c>
      <c r="I2920" s="125" t="str">
        <f t="shared" si="158"/>
        <v/>
      </c>
    </row>
    <row r="2921" spans="1:9" hidden="1" x14ac:dyDescent="0.25">
      <c r="A2921" s="103" t="s">
        <v>7152</v>
      </c>
      <c r="B2921" s="104" t="s">
        <v>3483</v>
      </c>
      <c r="C2921" s="105" t="s">
        <v>20</v>
      </c>
      <c r="D2921" s="105">
        <v>0</v>
      </c>
      <c r="E2921" s="124" t="s">
        <v>523</v>
      </c>
      <c r="F2921" s="125" t="str">
        <f t="shared" si="156"/>
        <v/>
      </c>
      <c r="G2921" s="126" t="e">
        <f>IF(A2921&lt;&gt;"",IF(AND(#REF!="Padrão",$H$4=#REF!),BDI!$B$17,IF(AND(#REF!="Padrão",$H$4=#REF!),BDI!#REF!,IF(AND(#REF!="Diferenciado",$H$4=#REF!),BDI!$E$17,IF(AND(#REF!="Diferenciado",$H$4=#REF!),BDI!#REF!,IF(#REF!="ZERO",0))))),"")</f>
        <v>#REF!</v>
      </c>
      <c r="H2921" s="127" t="str">
        <f t="shared" si="157"/>
        <v/>
      </c>
      <c r="I2921" s="125" t="str">
        <f t="shared" si="158"/>
        <v/>
      </c>
    </row>
    <row r="2922" spans="1:9" hidden="1" x14ac:dyDescent="0.25">
      <c r="A2922" s="103" t="s">
        <v>7153</v>
      </c>
      <c r="B2922" s="104" t="s">
        <v>3484</v>
      </c>
      <c r="C2922" s="105" t="s">
        <v>20</v>
      </c>
      <c r="D2922" s="105">
        <v>0</v>
      </c>
      <c r="E2922" s="124" t="s">
        <v>523</v>
      </c>
      <c r="F2922" s="125" t="str">
        <f t="shared" si="156"/>
        <v/>
      </c>
      <c r="G2922" s="126" t="e">
        <f>IF(A2922&lt;&gt;"",IF(AND(#REF!="Padrão",$H$4=#REF!),BDI!$B$17,IF(AND(#REF!="Padrão",$H$4=#REF!),BDI!#REF!,IF(AND(#REF!="Diferenciado",$H$4=#REF!),BDI!$E$17,IF(AND(#REF!="Diferenciado",$H$4=#REF!),BDI!#REF!,IF(#REF!="ZERO",0))))),"")</f>
        <v>#REF!</v>
      </c>
      <c r="H2922" s="127" t="str">
        <f t="shared" si="157"/>
        <v/>
      </c>
      <c r="I2922" s="125" t="str">
        <f t="shared" si="158"/>
        <v/>
      </c>
    </row>
    <row r="2923" spans="1:9" hidden="1" x14ac:dyDescent="0.25">
      <c r="A2923" s="103" t="s">
        <v>7154</v>
      </c>
      <c r="B2923" s="104" t="s">
        <v>7155</v>
      </c>
      <c r="C2923" s="105" t="s">
        <v>20</v>
      </c>
      <c r="D2923" s="105">
        <v>0</v>
      </c>
      <c r="E2923" s="124">
        <f ca="1">OFFSET(INDEX(Composições!A:J,MATCH(Orçamentária!A2923,Composições!A:A,0),8),2,0)</f>
        <v>40.536499999999997</v>
      </c>
      <c r="F2923" s="125">
        <f t="shared" ca="1" si="156"/>
        <v>0</v>
      </c>
      <c r="G2923" s="126" t="e">
        <f>IF(A2923&lt;&gt;"",IF(AND(#REF!="Padrão",$H$4=#REF!),BDI!$B$17,IF(AND(#REF!="Padrão",$H$4=#REF!),BDI!#REF!,IF(AND(#REF!="Diferenciado",$H$4=#REF!),BDI!$E$17,IF(AND(#REF!="Diferenciado",$H$4=#REF!),BDI!#REF!,IF(#REF!="ZERO",0))))),"")</f>
        <v>#REF!</v>
      </c>
      <c r="H2923" s="127" t="e">
        <f t="shared" ca="1" si="157"/>
        <v>#REF!</v>
      </c>
      <c r="I2923" s="125" t="e">
        <f t="shared" ca="1" si="158"/>
        <v>#REF!</v>
      </c>
    </row>
    <row r="2924" spans="1:9" hidden="1" x14ac:dyDescent="0.25">
      <c r="A2924" s="103" t="s">
        <v>7156</v>
      </c>
      <c r="B2924" s="104" t="s">
        <v>7157</v>
      </c>
      <c r="C2924" s="105" t="s">
        <v>20</v>
      </c>
      <c r="D2924" s="105">
        <v>0</v>
      </c>
      <c r="E2924" s="124">
        <f ca="1">OFFSET(INDEX(Composições!A:J,MATCH(Orçamentária!A2924,Composições!A:A,0),8),2,0)</f>
        <v>55.375499999999995</v>
      </c>
      <c r="F2924" s="125">
        <f t="shared" ca="1" si="156"/>
        <v>0</v>
      </c>
      <c r="G2924" s="126" t="e">
        <f>IF(A2924&lt;&gt;"",IF(AND(#REF!="Padrão",$H$4=#REF!),BDI!$B$17,IF(AND(#REF!="Padrão",$H$4=#REF!),BDI!#REF!,IF(AND(#REF!="Diferenciado",$H$4=#REF!),BDI!$E$17,IF(AND(#REF!="Diferenciado",$H$4=#REF!),BDI!#REF!,IF(#REF!="ZERO",0))))),"")</f>
        <v>#REF!</v>
      </c>
      <c r="H2924" s="127" t="e">
        <f t="shared" ca="1" si="157"/>
        <v>#REF!</v>
      </c>
      <c r="I2924" s="125" t="e">
        <f t="shared" ca="1" si="158"/>
        <v>#REF!</v>
      </c>
    </row>
    <row r="2925" spans="1:9" hidden="1" x14ac:dyDescent="0.25">
      <c r="A2925" s="103" t="s">
        <v>7158</v>
      </c>
      <c r="B2925" s="104" t="s">
        <v>1678</v>
      </c>
      <c r="C2925" s="105" t="s">
        <v>20</v>
      </c>
      <c r="D2925" s="105">
        <v>0</v>
      </c>
      <c r="E2925" s="124" t="s">
        <v>523</v>
      </c>
      <c r="F2925" s="125" t="str">
        <f t="shared" si="156"/>
        <v/>
      </c>
      <c r="G2925" s="126" t="e">
        <f>IF(A2925&lt;&gt;"",IF(AND(#REF!="Padrão",$H$4=#REF!),BDI!$B$17,IF(AND(#REF!="Padrão",$H$4=#REF!),BDI!#REF!,IF(AND(#REF!="Diferenciado",$H$4=#REF!),BDI!$E$17,IF(AND(#REF!="Diferenciado",$H$4=#REF!),BDI!#REF!,IF(#REF!="ZERO",0))))),"")</f>
        <v>#REF!</v>
      </c>
      <c r="H2925" s="127" t="str">
        <f t="shared" si="157"/>
        <v/>
      </c>
      <c r="I2925" s="125" t="str">
        <f t="shared" si="158"/>
        <v/>
      </c>
    </row>
    <row r="2926" spans="1:9" hidden="1" x14ac:dyDescent="0.25">
      <c r="A2926" s="103" t="s">
        <v>7159</v>
      </c>
      <c r="B2926" s="104" t="s">
        <v>7160</v>
      </c>
      <c r="C2926" s="105" t="s">
        <v>20</v>
      </c>
      <c r="D2926" s="105">
        <v>0</v>
      </c>
      <c r="E2926" s="124">
        <f ca="1">OFFSET(INDEX(Composições!A:J,MATCH(Orçamentária!A2926,Composições!A:A,0),8),2,0)</f>
        <v>59.355999999999995</v>
      </c>
      <c r="F2926" s="125">
        <f t="shared" ca="1" si="156"/>
        <v>0</v>
      </c>
      <c r="G2926" s="126" t="e">
        <f>IF(A2926&lt;&gt;"",IF(AND(#REF!="Padrão",$H$4=#REF!),BDI!$B$17,IF(AND(#REF!="Padrão",$H$4=#REF!),BDI!#REF!,IF(AND(#REF!="Diferenciado",$H$4=#REF!),BDI!$E$17,IF(AND(#REF!="Diferenciado",$H$4=#REF!),BDI!#REF!,IF(#REF!="ZERO",0))))),"")</f>
        <v>#REF!</v>
      </c>
      <c r="H2926" s="127" t="e">
        <f t="shared" ca="1" si="157"/>
        <v>#REF!</v>
      </c>
      <c r="I2926" s="125" t="e">
        <f t="shared" ca="1" si="158"/>
        <v>#REF!</v>
      </c>
    </row>
    <row r="2927" spans="1:9" hidden="1" x14ac:dyDescent="0.25">
      <c r="A2927" s="103" t="s">
        <v>7161</v>
      </c>
      <c r="B2927" s="104" t="s">
        <v>7162</v>
      </c>
      <c r="C2927" s="105" t="s">
        <v>20</v>
      </c>
      <c r="D2927" s="105">
        <v>0</v>
      </c>
      <c r="E2927" s="124">
        <f ca="1">OFFSET(INDEX(Composições!A:J,MATCH(Orçamentária!A2927,Composições!A:A,0),8),2,0)</f>
        <v>152.32300000000001</v>
      </c>
      <c r="F2927" s="125">
        <f t="shared" ca="1" si="156"/>
        <v>0</v>
      </c>
      <c r="G2927" s="126" t="e">
        <f>IF(A2927&lt;&gt;"",IF(AND(#REF!="Padrão",$H$4=#REF!),BDI!$B$17,IF(AND(#REF!="Padrão",$H$4=#REF!),BDI!#REF!,IF(AND(#REF!="Diferenciado",$H$4=#REF!),BDI!$E$17,IF(AND(#REF!="Diferenciado",$H$4=#REF!),BDI!#REF!,IF(#REF!="ZERO",0))))),"")</f>
        <v>#REF!</v>
      </c>
      <c r="H2927" s="127" t="e">
        <f t="shared" ca="1" si="157"/>
        <v>#REF!</v>
      </c>
      <c r="I2927" s="125" t="e">
        <f t="shared" ca="1" si="158"/>
        <v>#REF!</v>
      </c>
    </row>
    <row r="2928" spans="1:9" hidden="1" x14ac:dyDescent="0.25">
      <c r="A2928" s="103" t="s">
        <v>7163</v>
      </c>
      <c r="B2928" s="104" t="s">
        <v>7164</v>
      </c>
      <c r="C2928" s="105" t="s">
        <v>20</v>
      </c>
      <c r="D2928" s="105">
        <v>0</v>
      </c>
      <c r="E2928" s="124" t="s">
        <v>523</v>
      </c>
      <c r="F2928" s="125" t="str">
        <f t="shared" si="156"/>
        <v/>
      </c>
      <c r="G2928" s="126" t="e">
        <f>IF(A2928&lt;&gt;"",IF(AND(#REF!="Padrão",$H$4=#REF!),BDI!$B$17,IF(AND(#REF!="Padrão",$H$4=#REF!),BDI!#REF!,IF(AND(#REF!="Diferenciado",$H$4=#REF!),BDI!$E$17,IF(AND(#REF!="Diferenciado",$H$4=#REF!),BDI!#REF!,IF(#REF!="ZERO",0))))),"")</f>
        <v>#REF!</v>
      </c>
      <c r="H2928" s="127" t="str">
        <f t="shared" si="157"/>
        <v/>
      </c>
      <c r="I2928" s="125" t="str">
        <f t="shared" si="158"/>
        <v/>
      </c>
    </row>
    <row r="2929" spans="1:9" hidden="1" x14ac:dyDescent="0.25">
      <c r="A2929" s="103" t="s">
        <v>7165</v>
      </c>
      <c r="B2929" s="104" t="s">
        <v>7166</v>
      </c>
      <c r="C2929" s="105" t="s">
        <v>20</v>
      </c>
      <c r="D2929" s="105">
        <v>0</v>
      </c>
      <c r="E2929" s="124">
        <f ca="1">OFFSET(INDEX(Composições!A:J,MATCH(Orçamentária!A2929,Composições!A:A,0),8),2,0)</f>
        <v>85.803999999999988</v>
      </c>
      <c r="F2929" s="125">
        <f t="shared" ca="1" si="156"/>
        <v>0</v>
      </c>
      <c r="G2929" s="126" t="e">
        <f>IF(A2929&lt;&gt;"",IF(AND(#REF!="Padrão",$H$4=#REF!),BDI!$B$17,IF(AND(#REF!="Padrão",$H$4=#REF!),BDI!#REF!,IF(AND(#REF!="Diferenciado",$H$4=#REF!),BDI!$E$17,IF(AND(#REF!="Diferenciado",$H$4=#REF!),BDI!#REF!,IF(#REF!="ZERO",0))))),"")</f>
        <v>#REF!</v>
      </c>
      <c r="H2929" s="127" t="e">
        <f t="shared" ca="1" si="157"/>
        <v>#REF!</v>
      </c>
      <c r="I2929" s="125" t="e">
        <f t="shared" ca="1" si="158"/>
        <v>#REF!</v>
      </c>
    </row>
    <row r="2930" spans="1:9" hidden="1" x14ac:dyDescent="0.25">
      <c r="A2930" s="103" t="s">
        <v>7167</v>
      </c>
      <c r="B2930" s="104" t="s">
        <v>7168</v>
      </c>
      <c r="C2930" s="105" t="s">
        <v>20</v>
      </c>
      <c r="D2930" s="105">
        <v>0</v>
      </c>
      <c r="E2930" s="124">
        <f ca="1">OFFSET(INDEX(Composições!A:J,MATCH(Orçamentária!A2930,Composições!A:A,0),8),2,0)</f>
        <v>273.35300000000001</v>
      </c>
      <c r="F2930" s="125">
        <f t="shared" ca="1" si="156"/>
        <v>0</v>
      </c>
      <c r="G2930" s="126" t="e">
        <f>IF(A2930&lt;&gt;"",IF(AND(#REF!="Padrão",$H$4=#REF!),BDI!$B$17,IF(AND(#REF!="Padrão",$H$4=#REF!),BDI!#REF!,IF(AND(#REF!="Diferenciado",$H$4=#REF!),BDI!$E$17,IF(AND(#REF!="Diferenciado",$H$4=#REF!),BDI!#REF!,IF(#REF!="ZERO",0))))),"")</f>
        <v>#REF!</v>
      </c>
      <c r="H2930" s="127" t="e">
        <f t="shared" ca="1" si="157"/>
        <v>#REF!</v>
      </c>
      <c r="I2930" s="125" t="e">
        <f t="shared" ca="1" si="158"/>
        <v>#REF!</v>
      </c>
    </row>
    <row r="2931" spans="1:9" hidden="1" x14ac:dyDescent="0.25">
      <c r="A2931" s="103" t="s">
        <v>7169</v>
      </c>
      <c r="B2931" s="104" t="s">
        <v>7170</v>
      </c>
      <c r="C2931" s="105" t="s">
        <v>20</v>
      </c>
      <c r="D2931" s="105">
        <v>0</v>
      </c>
      <c r="E2931" s="124">
        <f ca="1">OFFSET(INDEX(Composições!A:J,MATCH(Orçamentária!A2931,Composições!A:A,0),8),2,0)</f>
        <v>331.17950000000002</v>
      </c>
      <c r="F2931" s="125">
        <f t="shared" ca="1" si="156"/>
        <v>0</v>
      </c>
      <c r="G2931" s="126" t="e">
        <f>IF(A2931&lt;&gt;"",IF(AND(#REF!="Padrão",$H$4=#REF!),BDI!$B$17,IF(AND(#REF!="Padrão",$H$4=#REF!),BDI!#REF!,IF(AND(#REF!="Diferenciado",$H$4=#REF!),BDI!$E$17,IF(AND(#REF!="Diferenciado",$H$4=#REF!),BDI!#REF!,IF(#REF!="ZERO",0))))),"")</f>
        <v>#REF!</v>
      </c>
      <c r="H2931" s="127" t="e">
        <f t="shared" ca="1" si="157"/>
        <v>#REF!</v>
      </c>
      <c r="I2931" s="125" t="e">
        <f t="shared" ca="1" si="158"/>
        <v>#REF!</v>
      </c>
    </row>
    <row r="2932" spans="1:9" hidden="1" x14ac:dyDescent="0.25">
      <c r="A2932" s="103" t="s">
        <v>7171</v>
      </c>
      <c r="B2932" s="104" t="s">
        <v>7172</v>
      </c>
      <c r="C2932" s="105" t="s">
        <v>20</v>
      </c>
      <c r="D2932" s="105">
        <v>0</v>
      </c>
      <c r="E2932" s="124">
        <f ca="1">OFFSET(INDEX(Composições!A:J,MATCH(Orçamentária!A2932,Composições!A:A,0),8),2,0)</f>
        <v>574.77849999999989</v>
      </c>
      <c r="F2932" s="125">
        <f t="shared" ca="1" si="156"/>
        <v>0</v>
      </c>
      <c r="G2932" s="126" t="e">
        <f>IF(A2932&lt;&gt;"",IF(AND(#REF!="Padrão",$H$4=#REF!),BDI!$B$17,IF(AND(#REF!="Padrão",$H$4=#REF!),BDI!#REF!,IF(AND(#REF!="Diferenciado",$H$4=#REF!),BDI!$E$17,IF(AND(#REF!="Diferenciado",$H$4=#REF!),BDI!#REF!,IF(#REF!="ZERO",0))))),"")</f>
        <v>#REF!</v>
      </c>
      <c r="H2932" s="127" t="e">
        <f t="shared" ca="1" si="157"/>
        <v>#REF!</v>
      </c>
      <c r="I2932" s="125" t="e">
        <f t="shared" ca="1" si="158"/>
        <v>#REF!</v>
      </c>
    </row>
    <row r="2933" spans="1:9" hidden="1" x14ac:dyDescent="0.25">
      <c r="A2933" s="103" t="s">
        <v>7173</v>
      </c>
      <c r="B2933" s="104" t="s">
        <v>7174</v>
      </c>
      <c r="C2933" s="105" t="s">
        <v>20</v>
      </c>
      <c r="D2933" s="105">
        <v>0</v>
      </c>
      <c r="E2933" s="124">
        <f ca="1">OFFSET(INDEX(Composições!A:J,MATCH(Orçamentária!A2933,Composições!A:A,0),8),2,0)</f>
        <v>151.34449999999998</v>
      </c>
      <c r="F2933" s="125">
        <f t="shared" ca="1" si="156"/>
        <v>0</v>
      </c>
      <c r="G2933" s="126" t="e">
        <f>IF(A2933&lt;&gt;"",IF(AND(#REF!="Padrão",$H$4=#REF!),BDI!$B$17,IF(AND(#REF!="Padrão",$H$4=#REF!),BDI!#REF!,IF(AND(#REF!="Diferenciado",$H$4=#REF!),BDI!$E$17,IF(AND(#REF!="Diferenciado",$H$4=#REF!),BDI!#REF!,IF(#REF!="ZERO",0))))),"")</f>
        <v>#REF!</v>
      </c>
      <c r="H2933" s="127" t="e">
        <f t="shared" ca="1" si="157"/>
        <v>#REF!</v>
      </c>
      <c r="I2933" s="125" t="e">
        <f t="shared" ca="1" si="158"/>
        <v>#REF!</v>
      </c>
    </row>
    <row r="2934" spans="1:9" hidden="1" x14ac:dyDescent="0.25">
      <c r="A2934" s="103" t="s">
        <v>7175</v>
      </c>
      <c r="B2934" s="104" t="s">
        <v>7176</v>
      </c>
      <c r="C2934" s="105" t="s">
        <v>20</v>
      </c>
      <c r="D2934" s="105">
        <v>0</v>
      </c>
      <c r="E2934" s="124">
        <f ca="1">OFFSET(INDEX(Composições!A:J,MATCH(Orçamentária!A2934,Composições!A:A,0),8),2,0)</f>
        <v>242.51599999999999</v>
      </c>
      <c r="F2934" s="125">
        <f t="shared" ca="1" si="156"/>
        <v>0</v>
      </c>
      <c r="G2934" s="126" t="e">
        <f>IF(A2934&lt;&gt;"",IF(AND(#REF!="Padrão",$H$4=#REF!),BDI!$B$17,IF(AND(#REF!="Padrão",$H$4=#REF!),BDI!#REF!,IF(AND(#REF!="Diferenciado",$H$4=#REF!),BDI!$E$17,IF(AND(#REF!="Diferenciado",$H$4=#REF!),BDI!#REF!,IF(#REF!="ZERO",0))))),"")</f>
        <v>#REF!</v>
      </c>
      <c r="H2934" s="127" t="e">
        <f t="shared" ca="1" si="157"/>
        <v>#REF!</v>
      </c>
      <c r="I2934" s="125" t="e">
        <f t="shared" ca="1" si="158"/>
        <v>#REF!</v>
      </c>
    </row>
    <row r="2935" spans="1:9" hidden="1" x14ac:dyDescent="0.25">
      <c r="A2935" s="103" t="s">
        <v>7177</v>
      </c>
      <c r="B2935" s="104" t="s">
        <v>7178</v>
      </c>
      <c r="C2935" s="105" t="s">
        <v>20</v>
      </c>
      <c r="D2935" s="105">
        <v>0</v>
      </c>
      <c r="E2935" s="124" t="s">
        <v>523</v>
      </c>
      <c r="F2935" s="125" t="str">
        <f t="shared" si="156"/>
        <v/>
      </c>
      <c r="G2935" s="126" t="e">
        <f>IF(A2935&lt;&gt;"",IF(AND(#REF!="Padrão",$H$4=#REF!),BDI!$B$17,IF(AND(#REF!="Padrão",$H$4=#REF!),BDI!#REF!,IF(AND(#REF!="Diferenciado",$H$4=#REF!),BDI!$E$17,IF(AND(#REF!="Diferenciado",$H$4=#REF!),BDI!#REF!,IF(#REF!="ZERO",0))))),"")</f>
        <v>#REF!</v>
      </c>
      <c r="H2935" s="127" t="str">
        <f t="shared" si="157"/>
        <v/>
      </c>
      <c r="I2935" s="125" t="str">
        <f t="shared" si="158"/>
        <v/>
      </c>
    </row>
    <row r="2936" spans="1:9" hidden="1" x14ac:dyDescent="0.25">
      <c r="A2936" s="103" t="s">
        <v>7179</v>
      </c>
      <c r="B2936" s="104" t="s">
        <v>6290</v>
      </c>
      <c r="C2936" s="105" t="s">
        <v>20</v>
      </c>
      <c r="D2936" s="105">
        <v>0</v>
      </c>
      <c r="E2936" s="124">
        <f ca="1">OFFSET(INDEX(Composições!A:J,MATCH(Orçamentária!A2936,Composições!A:A,0),8),2,0)</f>
        <v>51.005499999999998</v>
      </c>
      <c r="F2936" s="125">
        <f t="shared" ca="1" si="156"/>
        <v>0</v>
      </c>
      <c r="G2936" s="126" t="e">
        <f>IF(A2936&lt;&gt;"",IF(AND(#REF!="Padrão",$H$4=#REF!),BDI!$B$17,IF(AND(#REF!="Padrão",$H$4=#REF!),BDI!#REF!,IF(AND(#REF!="Diferenciado",$H$4=#REF!),BDI!$E$17,IF(AND(#REF!="Diferenciado",$H$4=#REF!),BDI!#REF!,IF(#REF!="ZERO",0))))),"")</f>
        <v>#REF!</v>
      </c>
      <c r="H2936" s="127" t="e">
        <f t="shared" ca="1" si="157"/>
        <v>#REF!</v>
      </c>
      <c r="I2936" s="125" t="e">
        <f t="shared" ca="1" si="158"/>
        <v>#REF!</v>
      </c>
    </row>
    <row r="2937" spans="1:9" hidden="1" x14ac:dyDescent="0.25">
      <c r="A2937" s="103" t="s">
        <v>7180</v>
      </c>
      <c r="B2937" s="104" t="s">
        <v>6284</v>
      </c>
      <c r="C2937" s="105" t="s">
        <v>20</v>
      </c>
      <c r="D2937" s="105">
        <v>0</v>
      </c>
      <c r="E2937" s="124">
        <f ca="1">OFFSET(INDEX(Composições!A:J,MATCH(Orçamentária!A2937,Composições!A:A,0),8),2,0)</f>
        <v>171.72199999999998</v>
      </c>
      <c r="F2937" s="125">
        <f t="shared" ca="1" si="156"/>
        <v>0</v>
      </c>
      <c r="G2937" s="126" t="e">
        <f>IF(A2937&lt;&gt;"",IF(AND(#REF!="Padrão",$H$4=#REF!),BDI!$B$17,IF(AND(#REF!="Padrão",$H$4=#REF!),BDI!#REF!,IF(AND(#REF!="Diferenciado",$H$4=#REF!),BDI!$E$17,IF(AND(#REF!="Diferenciado",$H$4=#REF!),BDI!#REF!,IF(#REF!="ZERO",0))))),"")</f>
        <v>#REF!</v>
      </c>
      <c r="H2937" s="127" t="e">
        <f t="shared" ca="1" si="157"/>
        <v>#REF!</v>
      </c>
      <c r="I2937" s="125" t="e">
        <f t="shared" ca="1" si="158"/>
        <v>#REF!</v>
      </c>
    </row>
    <row r="2938" spans="1:9" hidden="1" x14ac:dyDescent="0.25">
      <c r="A2938" s="103" t="s">
        <v>7181</v>
      </c>
      <c r="B2938" s="104" t="s">
        <v>2979</v>
      </c>
      <c r="C2938" s="105" t="s">
        <v>20</v>
      </c>
      <c r="D2938" s="105">
        <v>0</v>
      </c>
      <c r="E2938" s="124">
        <f ca="1">OFFSET(INDEX(Composições!A:J,MATCH(Orçamentária!A2938,Composições!A:A,0),8),2,0)</f>
        <v>82.478999999999985</v>
      </c>
      <c r="F2938" s="125">
        <f t="shared" ca="1" si="156"/>
        <v>0</v>
      </c>
      <c r="G2938" s="126" t="e">
        <f>IF(A2938&lt;&gt;"",IF(AND(#REF!="Padrão",$H$4=#REF!),BDI!$B$17,IF(AND(#REF!="Padrão",$H$4=#REF!),BDI!#REF!,IF(AND(#REF!="Diferenciado",$H$4=#REF!),BDI!$E$17,IF(AND(#REF!="Diferenciado",$H$4=#REF!),BDI!#REF!,IF(#REF!="ZERO",0))))),"")</f>
        <v>#REF!</v>
      </c>
      <c r="H2938" s="127" t="e">
        <f t="shared" ca="1" si="157"/>
        <v>#REF!</v>
      </c>
      <c r="I2938" s="125" t="e">
        <f t="shared" ca="1" si="158"/>
        <v>#REF!</v>
      </c>
    </row>
    <row r="2939" spans="1:9" hidden="1" x14ac:dyDescent="0.25">
      <c r="A2939" s="103" t="s">
        <v>7182</v>
      </c>
      <c r="B2939" s="104" t="s">
        <v>7183</v>
      </c>
      <c r="C2939" s="105" t="s">
        <v>20</v>
      </c>
      <c r="D2939" s="105">
        <v>0</v>
      </c>
      <c r="E2939" s="124">
        <f ca="1">OFFSET(INDEX(Composições!A:J,MATCH(Orçamentária!A2939,Composições!A:A,0),8),2,0)</f>
        <v>4.6360000000000001</v>
      </c>
      <c r="F2939" s="125">
        <f t="shared" ca="1" si="156"/>
        <v>0</v>
      </c>
      <c r="G2939" s="126" t="e">
        <f>IF(A2939&lt;&gt;"",IF(AND(#REF!="Padrão",$H$4=#REF!),BDI!$B$17,IF(AND(#REF!="Padrão",$H$4=#REF!),BDI!#REF!,IF(AND(#REF!="Diferenciado",$H$4=#REF!),BDI!$E$17,IF(AND(#REF!="Diferenciado",$H$4=#REF!),BDI!#REF!,IF(#REF!="ZERO",0))))),"")</f>
        <v>#REF!</v>
      </c>
      <c r="H2939" s="127" t="e">
        <f t="shared" ca="1" si="157"/>
        <v>#REF!</v>
      </c>
      <c r="I2939" s="125" t="e">
        <f t="shared" ca="1" si="158"/>
        <v>#REF!</v>
      </c>
    </row>
    <row r="2940" spans="1:9" hidden="1" x14ac:dyDescent="0.25">
      <c r="A2940" s="103" t="s">
        <v>7184</v>
      </c>
      <c r="B2940" s="104" t="s">
        <v>7185</v>
      </c>
      <c r="C2940" s="105" t="s">
        <v>20</v>
      </c>
      <c r="D2940" s="105">
        <v>0</v>
      </c>
      <c r="E2940" s="124">
        <f ca="1">OFFSET(INDEX(Composições!A:J,MATCH(Orçamentária!A2940,Composições!A:A,0),8),2,0)</f>
        <v>292.46699999999998</v>
      </c>
      <c r="F2940" s="125">
        <f t="shared" ca="1" si="156"/>
        <v>0</v>
      </c>
      <c r="G2940" s="126" t="e">
        <f>IF(A2940&lt;&gt;"",IF(AND(#REF!="Padrão",$H$4=#REF!),BDI!$B$17,IF(AND(#REF!="Padrão",$H$4=#REF!),BDI!#REF!,IF(AND(#REF!="Diferenciado",$H$4=#REF!),BDI!$E$17,IF(AND(#REF!="Diferenciado",$H$4=#REF!),BDI!#REF!,IF(#REF!="ZERO",0))))),"")</f>
        <v>#REF!</v>
      </c>
      <c r="H2940" s="127" t="e">
        <f t="shared" ca="1" si="157"/>
        <v>#REF!</v>
      </c>
      <c r="I2940" s="125" t="e">
        <f t="shared" ca="1" si="158"/>
        <v>#REF!</v>
      </c>
    </row>
    <row r="2941" spans="1:9" hidden="1" x14ac:dyDescent="0.25">
      <c r="A2941" s="103" t="s">
        <v>7186</v>
      </c>
      <c r="B2941" s="104" t="s">
        <v>7187</v>
      </c>
      <c r="C2941" s="105" t="s">
        <v>20</v>
      </c>
      <c r="D2941" s="105">
        <v>0</v>
      </c>
      <c r="E2941" s="124" t="s">
        <v>523</v>
      </c>
      <c r="F2941" s="125" t="str">
        <f t="shared" si="156"/>
        <v/>
      </c>
      <c r="G2941" s="126" t="e">
        <f>IF(A2941&lt;&gt;"",IF(AND(#REF!="Padrão",$H$4=#REF!),BDI!$B$17,IF(AND(#REF!="Padrão",$H$4=#REF!),BDI!#REF!,IF(AND(#REF!="Diferenciado",$H$4=#REF!),BDI!$E$17,IF(AND(#REF!="Diferenciado",$H$4=#REF!),BDI!#REF!,IF(#REF!="ZERO",0))))),"")</f>
        <v>#REF!</v>
      </c>
      <c r="H2941" s="127" t="str">
        <f t="shared" si="157"/>
        <v/>
      </c>
      <c r="I2941" s="125" t="str">
        <f t="shared" si="158"/>
        <v/>
      </c>
    </row>
    <row r="2942" spans="1:9" hidden="1" x14ac:dyDescent="0.25">
      <c r="A2942" s="103" t="s">
        <v>7188</v>
      </c>
      <c r="B2942" s="104" t="s">
        <v>7189</v>
      </c>
      <c r="C2942" s="105" t="s">
        <v>20</v>
      </c>
      <c r="D2942" s="105">
        <v>0</v>
      </c>
      <c r="E2942" s="124" t="s">
        <v>523</v>
      </c>
      <c r="F2942" s="125" t="str">
        <f t="shared" si="156"/>
        <v/>
      </c>
      <c r="G2942" s="126" t="e">
        <f>IF(A2942&lt;&gt;"",IF(AND(#REF!="Padrão",$H$4=#REF!),BDI!$B$17,IF(AND(#REF!="Padrão",$H$4=#REF!),BDI!#REF!,IF(AND(#REF!="Diferenciado",$H$4=#REF!),BDI!$E$17,IF(AND(#REF!="Diferenciado",$H$4=#REF!),BDI!#REF!,IF(#REF!="ZERO",0))))),"")</f>
        <v>#REF!</v>
      </c>
      <c r="H2942" s="127" t="str">
        <f t="shared" si="157"/>
        <v/>
      </c>
      <c r="I2942" s="125" t="str">
        <f t="shared" si="158"/>
        <v/>
      </c>
    </row>
    <row r="2943" spans="1:9" hidden="1" x14ac:dyDescent="0.25">
      <c r="A2943" s="103" t="s">
        <v>7190</v>
      </c>
      <c r="B2943" s="104" t="s">
        <v>7191</v>
      </c>
      <c r="C2943" s="105" t="s">
        <v>20</v>
      </c>
      <c r="D2943" s="105">
        <v>0</v>
      </c>
      <c r="E2943" s="124" t="s">
        <v>523</v>
      </c>
      <c r="F2943" s="125" t="str">
        <f t="shared" si="156"/>
        <v/>
      </c>
      <c r="G2943" s="126" t="e">
        <f>IF(A2943&lt;&gt;"",IF(AND(#REF!="Padrão",$H$4=#REF!),BDI!$B$17,IF(AND(#REF!="Padrão",$H$4=#REF!),BDI!#REF!,IF(AND(#REF!="Diferenciado",$H$4=#REF!),BDI!$E$17,IF(AND(#REF!="Diferenciado",$H$4=#REF!),BDI!#REF!,IF(#REF!="ZERO",0))))),"")</f>
        <v>#REF!</v>
      </c>
      <c r="H2943" s="127" t="str">
        <f t="shared" si="157"/>
        <v/>
      </c>
      <c r="I2943" s="125" t="str">
        <f t="shared" si="158"/>
        <v/>
      </c>
    </row>
    <row r="2944" spans="1:9" hidden="1" x14ac:dyDescent="0.25">
      <c r="A2944" s="103" t="s">
        <v>7192</v>
      </c>
      <c r="B2944" s="104" t="s">
        <v>7193</v>
      </c>
      <c r="C2944" s="105" t="s">
        <v>20</v>
      </c>
      <c r="D2944" s="105">
        <v>0</v>
      </c>
      <c r="E2944" s="124" t="s">
        <v>523</v>
      </c>
      <c r="F2944" s="125" t="str">
        <f t="shared" si="156"/>
        <v/>
      </c>
      <c r="G2944" s="126" t="e">
        <f>IF(A2944&lt;&gt;"",IF(AND(#REF!="Padrão",$H$4=#REF!),BDI!$B$17,IF(AND(#REF!="Padrão",$H$4=#REF!),BDI!#REF!,IF(AND(#REF!="Diferenciado",$H$4=#REF!),BDI!$E$17,IF(AND(#REF!="Diferenciado",$H$4=#REF!),BDI!#REF!,IF(#REF!="ZERO",0))))),"")</f>
        <v>#REF!</v>
      </c>
      <c r="H2944" s="127" t="str">
        <f t="shared" si="157"/>
        <v/>
      </c>
      <c r="I2944" s="125" t="str">
        <f t="shared" si="158"/>
        <v/>
      </c>
    </row>
    <row r="2945" spans="1:9" hidden="1" x14ac:dyDescent="0.25">
      <c r="A2945" s="103" t="s">
        <v>7194</v>
      </c>
      <c r="B2945" s="104" t="s">
        <v>7195</v>
      </c>
      <c r="C2945" s="105" t="s">
        <v>20</v>
      </c>
      <c r="D2945" s="105">
        <v>0</v>
      </c>
      <c r="E2945" s="124">
        <f ca="1">OFFSET(INDEX(Composições!A:J,MATCH(Orçamentária!A2945,Composições!A:A,0),8),2,0)</f>
        <v>14.3925</v>
      </c>
      <c r="F2945" s="125">
        <f t="shared" ca="1" si="156"/>
        <v>0</v>
      </c>
      <c r="G2945" s="126" t="e">
        <f>IF(A2945&lt;&gt;"",IF(AND(#REF!="Padrão",$H$4=#REF!),BDI!$B$17,IF(AND(#REF!="Padrão",$H$4=#REF!),BDI!#REF!,IF(AND(#REF!="Diferenciado",$H$4=#REF!),BDI!$E$17,IF(AND(#REF!="Diferenciado",$H$4=#REF!),BDI!#REF!,IF(#REF!="ZERO",0))))),"")</f>
        <v>#REF!</v>
      </c>
      <c r="H2945" s="127" t="e">
        <f t="shared" ca="1" si="157"/>
        <v>#REF!</v>
      </c>
      <c r="I2945" s="125" t="e">
        <f t="shared" ca="1" si="158"/>
        <v>#REF!</v>
      </c>
    </row>
    <row r="2946" spans="1:9" hidden="1" x14ac:dyDescent="0.25">
      <c r="A2946" s="103" t="s">
        <v>7196</v>
      </c>
      <c r="B2946" s="104" t="s">
        <v>7197</v>
      </c>
      <c r="C2946" s="105" t="s">
        <v>20</v>
      </c>
      <c r="D2946" s="105">
        <v>0</v>
      </c>
      <c r="E2946" s="124">
        <f ca="1">OFFSET(INDEX(Composições!A:J,MATCH(Orçamentária!A2946,Composições!A:A,0),8),2,0)</f>
        <v>266.53199999999998</v>
      </c>
      <c r="F2946" s="125">
        <f t="shared" ca="1" si="156"/>
        <v>0</v>
      </c>
      <c r="G2946" s="126" t="e">
        <f>IF(A2946&lt;&gt;"",IF(AND(#REF!="Padrão",$H$4=#REF!),BDI!$B$17,IF(AND(#REF!="Padrão",$H$4=#REF!),BDI!#REF!,IF(AND(#REF!="Diferenciado",$H$4=#REF!),BDI!$E$17,IF(AND(#REF!="Diferenciado",$H$4=#REF!),BDI!#REF!,IF(#REF!="ZERO",0))))),"")</f>
        <v>#REF!</v>
      </c>
      <c r="H2946" s="127" t="e">
        <f t="shared" ca="1" si="157"/>
        <v>#REF!</v>
      </c>
      <c r="I2946" s="125" t="e">
        <f t="shared" ca="1" si="158"/>
        <v>#REF!</v>
      </c>
    </row>
    <row r="2947" spans="1:9" hidden="1" x14ac:dyDescent="0.25">
      <c r="A2947" s="103" t="s">
        <v>7198</v>
      </c>
      <c r="B2947" s="104" t="s">
        <v>7199</v>
      </c>
      <c r="C2947" s="105" t="s">
        <v>20</v>
      </c>
      <c r="D2947" s="105">
        <v>0</v>
      </c>
      <c r="E2947" s="124" t="s">
        <v>523</v>
      </c>
      <c r="F2947" s="125" t="str">
        <f t="shared" si="156"/>
        <v/>
      </c>
      <c r="G2947" s="126" t="e">
        <f>IF(A2947&lt;&gt;"",IF(AND(#REF!="Padrão",$H$4=#REF!),BDI!$B$17,IF(AND(#REF!="Padrão",$H$4=#REF!),BDI!#REF!,IF(AND(#REF!="Diferenciado",$H$4=#REF!),BDI!$E$17,IF(AND(#REF!="Diferenciado",$H$4=#REF!),BDI!#REF!,IF(#REF!="ZERO",0))))),"")</f>
        <v>#REF!</v>
      </c>
      <c r="H2947" s="127" t="str">
        <f t="shared" si="157"/>
        <v/>
      </c>
      <c r="I2947" s="125" t="str">
        <f t="shared" si="158"/>
        <v/>
      </c>
    </row>
    <row r="2948" spans="1:9" hidden="1" x14ac:dyDescent="0.25">
      <c r="A2948" s="103" t="s">
        <v>7200</v>
      </c>
      <c r="B2948" s="104" t="s">
        <v>7201</v>
      </c>
      <c r="C2948" s="105" t="s">
        <v>20</v>
      </c>
      <c r="D2948" s="105">
        <v>0</v>
      </c>
      <c r="E2948" s="124">
        <f ca="1">OFFSET(INDEX(Composições!A:J,MATCH(Orçamentária!A2948,Composições!A:A,0),8),2,0)</f>
        <v>4179.7815000000001</v>
      </c>
      <c r="F2948" s="125">
        <f t="shared" ca="1" si="156"/>
        <v>0</v>
      </c>
      <c r="G2948" s="126" t="e">
        <f>IF(A2948&lt;&gt;"",IF(AND(#REF!="Padrão",$H$4=#REF!),BDI!$B$17,IF(AND(#REF!="Padrão",$H$4=#REF!),BDI!#REF!,IF(AND(#REF!="Diferenciado",$H$4=#REF!),BDI!$E$17,IF(AND(#REF!="Diferenciado",$H$4=#REF!),BDI!#REF!,IF(#REF!="ZERO",0))))),"")</f>
        <v>#REF!</v>
      </c>
      <c r="H2948" s="127" t="e">
        <f t="shared" ca="1" si="157"/>
        <v>#REF!</v>
      </c>
      <c r="I2948" s="125" t="e">
        <f t="shared" ca="1" si="158"/>
        <v>#REF!</v>
      </c>
    </row>
    <row r="2949" spans="1:9" hidden="1" x14ac:dyDescent="0.25">
      <c r="A2949" s="103" t="s">
        <v>7202</v>
      </c>
      <c r="B2949" s="104" t="s">
        <v>7203</v>
      </c>
      <c r="C2949" s="105" t="s">
        <v>20</v>
      </c>
      <c r="D2949" s="105">
        <v>0</v>
      </c>
      <c r="E2949" s="124" t="s">
        <v>523</v>
      </c>
      <c r="F2949" s="125" t="str">
        <f t="shared" si="156"/>
        <v/>
      </c>
      <c r="G2949" s="126" t="e">
        <f>IF(A2949&lt;&gt;"",IF(AND(#REF!="Padrão",$H$4=#REF!),BDI!$B$17,IF(AND(#REF!="Padrão",$H$4=#REF!),BDI!#REF!,IF(AND(#REF!="Diferenciado",$H$4=#REF!),BDI!$E$17,IF(AND(#REF!="Diferenciado",$H$4=#REF!),BDI!#REF!,IF(#REF!="ZERO",0))))),"")</f>
        <v>#REF!</v>
      </c>
      <c r="H2949" s="127" t="str">
        <f t="shared" si="157"/>
        <v/>
      </c>
      <c r="I2949" s="125" t="str">
        <f t="shared" si="158"/>
        <v/>
      </c>
    </row>
    <row r="2950" spans="1:9" hidden="1" x14ac:dyDescent="0.25">
      <c r="A2950" s="103" t="s">
        <v>7204</v>
      </c>
      <c r="B2950" s="104" t="s">
        <v>7205</v>
      </c>
      <c r="C2950" s="105" t="s">
        <v>20</v>
      </c>
      <c r="D2950" s="105">
        <v>0</v>
      </c>
      <c r="E2950" s="124" t="s">
        <v>523</v>
      </c>
      <c r="F2950" s="125" t="str">
        <f t="shared" si="156"/>
        <v/>
      </c>
      <c r="G2950" s="126" t="e">
        <f>IF(A2950&lt;&gt;"",IF(AND(#REF!="Padrão",$H$4=#REF!),BDI!$B$17,IF(AND(#REF!="Padrão",$H$4=#REF!),BDI!#REF!,IF(AND(#REF!="Diferenciado",$H$4=#REF!),BDI!$E$17,IF(AND(#REF!="Diferenciado",$H$4=#REF!),BDI!#REF!,IF(#REF!="ZERO",0))))),"")</f>
        <v>#REF!</v>
      </c>
      <c r="H2950" s="127" t="str">
        <f t="shared" si="157"/>
        <v/>
      </c>
      <c r="I2950" s="125" t="str">
        <f t="shared" si="158"/>
        <v/>
      </c>
    </row>
    <row r="2951" spans="1:9" hidden="1" x14ac:dyDescent="0.25">
      <c r="A2951" s="103" t="s">
        <v>7206</v>
      </c>
      <c r="B2951" s="104" t="s">
        <v>7207</v>
      </c>
      <c r="C2951" s="105" t="s">
        <v>20</v>
      </c>
      <c r="D2951" s="105">
        <v>0</v>
      </c>
      <c r="E2951" s="124" t="s">
        <v>523</v>
      </c>
      <c r="F2951" s="125" t="str">
        <f t="shared" si="156"/>
        <v/>
      </c>
      <c r="G2951" s="126" t="e">
        <f>IF(A2951&lt;&gt;"",IF(AND(#REF!="Padrão",$H$4=#REF!),BDI!$B$17,IF(AND(#REF!="Padrão",$H$4=#REF!),BDI!#REF!,IF(AND(#REF!="Diferenciado",$H$4=#REF!),BDI!$E$17,IF(AND(#REF!="Diferenciado",$H$4=#REF!),BDI!#REF!,IF(#REF!="ZERO",0))))),"")</f>
        <v>#REF!</v>
      </c>
      <c r="H2951" s="127" t="str">
        <f t="shared" si="157"/>
        <v/>
      </c>
      <c r="I2951" s="125" t="str">
        <f t="shared" si="158"/>
        <v/>
      </c>
    </row>
    <row r="2952" spans="1:9" hidden="1" x14ac:dyDescent="0.25">
      <c r="A2952" s="103" t="s">
        <v>7208</v>
      </c>
      <c r="B2952" s="104" t="s">
        <v>7209</v>
      </c>
      <c r="C2952" s="105" t="s">
        <v>20</v>
      </c>
      <c r="D2952" s="105">
        <v>0</v>
      </c>
      <c r="E2952" s="124" t="s">
        <v>523</v>
      </c>
      <c r="F2952" s="125" t="str">
        <f t="shared" si="156"/>
        <v/>
      </c>
      <c r="G2952" s="126" t="e">
        <f>IF(A2952&lt;&gt;"",IF(AND(#REF!="Padrão",$H$4=#REF!),BDI!$B$17,IF(AND(#REF!="Padrão",$H$4=#REF!),BDI!#REF!,IF(AND(#REF!="Diferenciado",$H$4=#REF!),BDI!$E$17,IF(AND(#REF!="Diferenciado",$H$4=#REF!),BDI!#REF!,IF(#REF!="ZERO",0))))),"")</f>
        <v>#REF!</v>
      </c>
      <c r="H2952" s="127" t="str">
        <f t="shared" si="157"/>
        <v/>
      </c>
      <c r="I2952" s="125" t="str">
        <f t="shared" si="158"/>
        <v/>
      </c>
    </row>
    <row r="2953" spans="1:9" hidden="1" x14ac:dyDescent="0.25">
      <c r="A2953" s="103" t="s">
        <v>7210</v>
      </c>
      <c r="B2953" s="104" t="s">
        <v>7211</v>
      </c>
      <c r="C2953" s="105" t="s">
        <v>20</v>
      </c>
      <c r="D2953" s="105">
        <v>0</v>
      </c>
      <c r="E2953" s="124" t="s">
        <v>523</v>
      </c>
      <c r="F2953" s="125" t="str">
        <f t="shared" si="156"/>
        <v/>
      </c>
      <c r="G2953" s="126" t="e">
        <f>IF(A2953&lt;&gt;"",IF(AND(#REF!="Padrão",$H$4=#REF!),BDI!$B$17,IF(AND(#REF!="Padrão",$H$4=#REF!),BDI!#REF!,IF(AND(#REF!="Diferenciado",$H$4=#REF!),BDI!$E$17,IF(AND(#REF!="Diferenciado",$H$4=#REF!),BDI!#REF!,IF(#REF!="ZERO",0))))),"")</f>
        <v>#REF!</v>
      </c>
      <c r="H2953" s="127" t="str">
        <f t="shared" si="157"/>
        <v/>
      </c>
      <c r="I2953" s="125" t="str">
        <f t="shared" si="158"/>
        <v/>
      </c>
    </row>
    <row r="2954" spans="1:9" hidden="1" x14ac:dyDescent="0.25">
      <c r="A2954" s="103" t="s">
        <v>7212</v>
      </c>
      <c r="B2954" s="104" t="s">
        <v>7213</v>
      </c>
      <c r="C2954" s="105" t="s">
        <v>20</v>
      </c>
      <c r="D2954" s="105">
        <v>0</v>
      </c>
      <c r="E2954" s="124" t="s">
        <v>523</v>
      </c>
      <c r="F2954" s="125" t="str">
        <f t="shared" si="156"/>
        <v/>
      </c>
      <c r="G2954" s="126" t="e">
        <f>IF(A2954&lt;&gt;"",IF(AND(#REF!="Padrão",$H$4=#REF!),BDI!$B$17,IF(AND(#REF!="Padrão",$H$4=#REF!),BDI!#REF!,IF(AND(#REF!="Diferenciado",$H$4=#REF!),BDI!$E$17,IF(AND(#REF!="Diferenciado",$H$4=#REF!),BDI!#REF!,IF(#REF!="ZERO",0))))),"")</f>
        <v>#REF!</v>
      </c>
      <c r="H2954" s="127" t="str">
        <f t="shared" si="157"/>
        <v/>
      </c>
      <c r="I2954" s="125" t="str">
        <f t="shared" si="158"/>
        <v/>
      </c>
    </row>
    <row r="2955" spans="1:9" hidden="1" x14ac:dyDescent="0.25">
      <c r="A2955" s="103" t="s">
        <v>7214</v>
      </c>
      <c r="B2955" s="104" t="s">
        <v>7215</v>
      </c>
      <c r="C2955" s="105" t="s">
        <v>20</v>
      </c>
      <c r="D2955" s="105">
        <v>0</v>
      </c>
      <c r="E2955" s="124" t="s">
        <v>523</v>
      </c>
      <c r="F2955" s="125" t="str">
        <f t="shared" si="156"/>
        <v/>
      </c>
      <c r="G2955" s="126" t="e">
        <f>IF(A2955&lt;&gt;"",IF(AND(#REF!="Padrão",$H$4=#REF!),BDI!$B$17,IF(AND(#REF!="Padrão",$H$4=#REF!),BDI!#REF!,IF(AND(#REF!="Diferenciado",$H$4=#REF!),BDI!$E$17,IF(AND(#REF!="Diferenciado",$H$4=#REF!),BDI!#REF!,IF(#REF!="ZERO",0))))),"")</f>
        <v>#REF!</v>
      </c>
      <c r="H2955" s="127" t="str">
        <f t="shared" si="157"/>
        <v/>
      </c>
      <c r="I2955" s="125" t="str">
        <f t="shared" si="158"/>
        <v/>
      </c>
    </row>
    <row r="2956" spans="1:9" hidden="1" x14ac:dyDescent="0.25">
      <c r="A2956" s="103" t="s">
        <v>7216</v>
      </c>
      <c r="B2956" s="104" t="s">
        <v>7217</v>
      </c>
      <c r="C2956" s="105" t="s">
        <v>20</v>
      </c>
      <c r="D2956" s="105">
        <v>0</v>
      </c>
      <c r="E2956" s="124" t="s">
        <v>523</v>
      </c>
      <c r="F2956" s="125" t="str">
        <f t="shared" si="156"/>
        <v/>
      </c>
      <c r="G2956" s="126" t="e">
        <f>IF(A2956&lt;&gt;"",IF(AND(#REF!="Padrão",$H$4=#REF!),BDI!$B$17,IF(AND(#REF!="Padrão",$H$4=#REF!),BDI!#REF!,IF(AND(#REF!="Diferenciado",$H$4=#REF!),BDI!$E$17,IF(AND(#REF!="Diferenciado",$H$4=#REF!),BDI!#REF!,IF(#REF!="ZERO",0))))),"")</f>
        <v>#REF!</v>
      </c>
      <c r="H2956" s="127" t="str">
        <f t="shared" si="157"/>
        <v/>
      </c>
      <c r="I2956" s="125" t="str">
        <f t="shared" si="158"/>
        <v/>
      </c>
    </row>
    <row r="2957" spans="1:9" hidden="1" x14ac:dyDescent="0.25">
      <c r="A2957" s="103" t="s">
        <v>7218</v>
      </c>
      <c r="B2957" s="104" t="s">
        <v>7219</v>
      </c>
      <c r="C2957" s="105" t="s">
        <v>20</v>
      </c>
      <c r="D2957" s="105">
        <v>0</v>
      </c>
      <c r="E2957" s="124" t="s">
        <v>523</v>
      </c>
      <c r="F2957" s="125" t="str">
        <f t="shared" si="156"/>
        <v/>
      </c>
      <c r="G2957" s="126" t="e">
        <f>IF(A2957&lt;&gt;"",IF(AND(#REF!="Padrão",$H$4=#REF!),BDI!$B$17,IF(AND(#REF!="Padrão",$H$4=#REF!),BDI!#REF!,IF(AND(#REF!="Diferenciado",$H$4=#REF!),BDI!$E$17,IF(AND(#REF!="Diferenciado",$H$4=#REF!),BDI!#REF!,IF(#REF!="ZERO",0))))),"")</f>
        <v>#REF!</v>
      </c>
      <c r="H2957" s="127" t="str">
        <f t="shared" si="157"/>
        <v/>
      </c>
      <c r="I2957" s="125" t="str">
        <f t="shared" si="158"/>
        <v/>
      </c>
    </row>
    <row r="2958" spans="1:9" hidden="1" x14ac:dyDescent="0.25">
      <c r="A2958" s="103" t="s">
        <v>7220</v>
      </c>
      <c r="B2958" s="104" t="s">
        <v>7221</v>
      </c>
      <c r="C2958" s="105" t="s">
        <v>20</v>
      </c>
      <c r="D2958" s="105">
        <v>0</v>
      </c>
      <c r="E2958" s="124" t="s">
        <v>523</v>
      </c>
      <c r="F2958" s="125" t="str">
        <f t="shared" si="156"/>
        <v/>
      </c>
      <c r="G2958" s="126" t="e">
        <f>IF(A2958&lt;&gt;"",IF(AND(#REF!="Padrão",$H$4=#REF!),BDI!$B$17,IF(AND(#REF!="Padrão",$H$4=#REF!),BDI!#REF!,IF(AND(#REF!="Diferenciado",$H$4=#REF!),BDI!$E$17,IF(AND(#REF!="Diferenciado",$H$4=#REF!),BDI!#REF!,IF(#REF!="ZERO",0))))),"")</f>
        <v>#REF!</v>
      </c>
      <c r="H2958" s="127" t="str">
        <f t="shared" si="157"/>
        <v/>
      </c>
      <c r="I2958" s="125" t="str">
        <f t="shared" si="158"/>
        <v/>
      </c>
    </row>
    <row r="2959" spans="1:9" hidden="1" x14ac:dyDescent="0.25">
      <c r="A2959" s="103" t="s">
        <v>7222</v>
      </c>
      <c r="B2959" s="104" t="s">
        <v>7223</v>
      </c>
      <c r="C2959" s="105" t="s">
        <v>20</v>
      </c>
      <c r="D2959" s="105">
        <v>0</v>
      </c>
      <c r="E2959" s="124" t="s">
        <v>523</v>
      </c>
      <c r="F2959" s="125" t="str">
        <f t="shared" si="156"/>
        <v/>
      </c>
      <c r="G2959" s="126" t="e">
        <f>IF(A2959&lt;&gt;"",IF(AND(#REF!="Padrão",$H$4=#REF!),BDI!$B$17,IF(AND(#REF!="Padrão",$H$4=#REF!),BDI!#REF!,IF(AND(#REF!="Diferenciado",$H$4=#REF!),BDI!$E$17,IF(AND(#REF!="Diferenciado",$H$4=#REF!),BDI!#REF!,IF(#REF!="ZERO",0))))),"")</f>
        <v>#REF!</v>
      </c>
      <c r="H2959" s="127" t="str">
        <f t="shared" si="157"/>
        <v/>
      </c>
      <c r="I2959" s="125" t="str">
        <f t="shared" si="158"/>
        <v/>
      </c>
    </row>
    <row r="2960" spans="1:9" hidden="1" x14ac:dyDescent="0.25">
      <c r="A2960" s="103" t="s">
        <v>7224</v>
      </c>
      <c r="B2960" s="104" t="s">
        <v>7225</v>
      </c>
      <c r="C2960" s="105" t="s">
        <v>20</v>
      </c>
      <c r="D2960" s="105">
        <v>0</v>
      </c>
      <c r="E2960" s="124" t="s">
        <v>523</v>
      </c>
      <c r="F2960" s="125" t="str">
        <f t="shared" si="156"/>
        <v/>
      </c>
      <c r="G2960" s="126" t="e">
        <f>IF(A2960&lt;&gt;"",IF(AND(#REF!="Padrão",$H$4=#REF!),BDI!$B$17,IF(AND(#REF!="Padrão",$H$4=#REF!),BDI!#REF!,IF(AND(#REF!="Diferenciado",$H$4=#REF!),BDI!$E$17,IF(AND(#REF!="Diferenciado",$H$4=#REF!),BDI!#REF!,IF(#REF!="ZERO",0))))),"")</f>
        <v>#REF!</v>
      </c>
      <c r="H2960" s="127" t="str">
        <f t="shared" si="157"/>
        <v/>
      </c>
      <c r="I2960" s="125" t="str">
        <f t="shared" si="158"/>
        <v/>
      </c>
    </row>
    <row r="2961" spans="1:9" hidden="1" x14ac:dyDescent="0.25">
      <c r="A2961" s="103" t="s">
        <v>7226</v>
      </c>
      <c r="B2961" s="104" t="s">
        <v>7227</v>
      </c>
      <c r="C2961" s="105" t="s">
        <v>20</v>
      </c>
      <c r="D2961" s="105">
        <v>0</v>
      </c>
      <c r="E2961" s="124" t="s">
        <v>523</v>
      </c>
      <c r="F2961" s="125" t="str">
        <f t="shared" si="156"/>
        <v/>
      </c>
      <c r="G2961" s="126" t="e">
        <f>IF(A2961&lt;&gt;"",IF(AND(#REF!="Padrão",$H$4=#REF!),BDI!$B$17,IF(AND(#REF!="Padrão",$H$4=#REF!),BDI!#REF!,IF(AND(#REF!="Diferenciado",$H$4=#REF!),BDI!$E$17,IF(AND(#REF!="Diferenciado",$H$4=#REF!),BDI!#REF!,IF(#REF!="ZERO",0))))),"")</f>
        <v>#REF!</v>
      </c>
      <c r="H2961" s="127" t="str">
        <f t="shared" si="157"/>
        <v/>
      </c>
      <c r="I2961" s="125" t="str">
        <f t="shared" si="158"/>
        <v/>
      </c>
    </row>
    <row r="2962" spans="1:9" hidden="1" x14ac:dyDescent="0.25">
      <c r="A2962" s="103" t="s">
        <v>7228</v>
      </c>
      <c r="B2962" s="104" t="s">
        <v>7229</v>
      </c>
      <c r="C2962" s="105" t="s">
        <v>20</v>
      </c>
      <c r="D2962" s="105">
        <v>0</v>
      </c>
      <c r="E2962" s="124" t="s">
        <v>523</v>
      </c>
      <c r="F2962" s="125" t="str">
        <f t="shared" si="156"/>
        <v/>
      </c>
      <c r="G2962" s="126" t="e">
        <f>IF(A2962&lt;&gt;"",IF(AND(#REF!="Padrão",$H$4=#REF!),BDI!$B$17,IF(AND(#REF!="Padrão",$H$4=#REF!),BDI!#REF!,IF(AND(#REF!="Diferenciado",$H$4=#REF!),BDI!$E$17,IF(AND(#REF!="Diferenciado",$H$4=#REF!),BDI!#REF!,IF(#REF!="ZERO",0))))),"")</f>
        <v>#REF!</v>
      </c>
      <c r="H2962" s="127" t="str">
        <f t="shared" si="157"/>
        <v/>
      </c>
      <c r="I2962" s="125" t="str">
        <f t="shared" si="158"/>
        <v/>
      </c>
    </row>
    <row r="2963" spans="1:9" hidden="1" x14ac:dyDescent="0.25">
      <c r="A2963" s="103" t="s">
        <v>7230</v>
      </c>
      <c r="B2963" s="104" t="s">
        <v>7231</v>
      </c>
      <c r="C2963" s="105" t="s">
        <v>20</v>
      </c>
      <c r="D2963" s="105">
        <v>0</v>
      </c>
      <c r="E2963" s="124" t="s">
        <v>523</v>
      </c>
      <c r="F2963" s="125" t="str">
        <f t="shared" si="156"/>
        <v/>
      </c>
      <c r="G2963" s="126" t="e">
        <f>IF(A2963&lt;&gt;"",IF(AND(#REF!="Padrão",$H$4=#REF!),BDI!$B$17,IF(AND(#REF!="Padrão",$H$4=#REF!),BDI!#REF!,IF(AND(#REF!="Diferenciado",$H$4=#REF!),BDI!$E$17,IF(AND(#REF!="Diferenciado",$H$4=#REF!),BDI!#REF!,IF(#REF!="ZERO",0))))),"")</f>
        <v>#REF!</v>
      </c>
      <c r="H2963" s="127" t="str">
        <f t="shared" si="157"/>
        <v/>
      </c>
      <c r="I2963" s="125" t="str">
        <f t="shared" si="158"/>
        <v/>
      </c>
    </row>
    <row r="2964" spans="1:9" hidden="1" x14ac:dyDescent="0.25">
      <c r="A2964" s="103" t="s">
        <v>7232</v>
      </c>
      <c r="B2964" s="104" t="s">
        <v>7233</v>
      </c>
      <c r="C2964" s="105" t="s">
        <v>20</v>
      </c>
      <c r="D2964" s="105">
        <v>0</v>
      </c>
      <c r="E2964" s="124" t="s">
        <v>523</v>
      </c>
      <c r="F2964" s="125" t="str">
        <f t="shared" si="156"/>
        <v/>
      </c>
      <c r="G2964" s="126" t="e">
        <f>IF(A2964&lt;&gt;"",IF(AND(#REF!="Padrão",$H$4=#REF!),BDI!$B$17,IF(AND(#REF!="Padrão",$H$4=#REF!),BDI!#REF!,IF(AND(#REF!="Diferenciado",$H$4=#REF!),BDI!$E$17,IF(AND(#REF!="Diferenciado",$H$4=#REF!),BDI!#REF!,IF(#REF!="ZERO",0))))),"")</f>
        <v>#REF!</v>
      </c>
      <c r="H2964" s="127" t="str">
        <f t="shared" si="157"/>
        <v/>
      </c>
      <c r="I2964" s="125" t="str">
        <f t="shared" si="158"/>
        <v/>
      </c>
    </row>
    <row r="2965" spans="1:9" hidden="1" x14ac:dyDescent="0.25">
      <c r="A2965" s="103" t="s">
        <v>7234</v>
      </c>
      <c r="B2965" s="104" t="s">
        <v>7235</v>
      </c>
      <c r="C2965" s="105" t="s">
        <v>20</v>
      </c>
      <c r="D2965" s="105">
        <v>0</v>
      </c>
      <c r="E2965" s="124" t="s">
        <v>523</v>
      </c>
      <c r="F2965" s="125" t="str">
        <f t="shared" si="156"/>
        <v/>
      </c>
      <c r="G2965" s="126" t="e">
        <f>IF(A2965&lt;&gt;"",IF(AND(#REF!="Padrão",$H$4=#REF!),BDI!$B$17,IF(AND(#REF!="Padrão",$H$4=#REF!),BDI!#REF!,IF(AND(#REF!="Diferenciado",$H$4=#REF!),BDI!$E$17,IF(AND(#REF!="Diferenciado",$H$4=#REF!),BDI!#REF!,IF(#REF!="ZERO",0))))),"")</f>
        <v>#REF!</v>
      </c>
      <c r="H2965" s="127" t="str">
        <f t="shared" si="157"/>
        <v/>
      </c>
      <c r="I2965" s="125" t="str">
        <f t="shared" si="158"/>
        <v/>
      </c>
    </row>
    <row r="2966" spans="1:9" hidden="1" x14ac:dyDescent="0.25">
      <c r="A2966" s="103" t="s">
        <v>7236</v>
      </c>
      <c r="B2966" s="104" t="s">
        <v>7237</v>
      </c>
      <c r="C2966" s="105" t="s">
        <v>20</v>
      </c>
      <c r="D2966" s="105">
        <v>0</v>
      </c>
      <c r="E2966" s="124" t="s">
        <v>523</v>
      </c>
      <c r="F2966" s="125" t="str">
        <f t="shared" si="156"/>
        <v/>
      </c>
      <c r="G2966" s="126" t="e">
        <f>IF(A2966&lt;&gt;"",IF(AND(#REF!="Padrão",$H$4=#REF!),BDI!$B$17,IF(AND(#REF!="Padrão",$H$4=#REF!),BDI!#REF!,IF(AND(#REF!="Diferenciado",$H$4=#REF!),BDI!$E$17,IF(AND(#REF!="Diferenciado",$H$4=#REF!),BDI!#REF!,IF(#REF!="ZERO",0))))),"")</f>
        <v>#REF!</v>
      </c>
      <c r="H2966" s="127" t="str">
        <f t="shared" si="157"/>
        <v/>
      </c>
      <c r="I2966" s="125" t="str">
        <f t="shared" si="158"/>
        <v/>
      </c>
    </row>
    <row r="2967" spans="1:9" hidden="1" x14ac:dyDescent="0.25">
      <c r="A2967" s="103" t="s">
        <v>7238</v>
      </c>
      <c r="B2967" s="104" t="s">
        <v>7239</v>
      </c>
      <c r="C2967" s="105" t="s">
        <v>20</v>
      </c>
      <c r="D2967" s="105">
        <v>0</v>
      </c>
      <c r="E2967" s="124" t="s">
        <v>523</v>
      </c>
      <c r="F2967" s="125" t="str">
        <f t="shared" ref="F2967:F3030" si="159">IF(ISNUMBER(E2967),D2967*E2967,"")</f>
        <v/>
      </c>
      <c r="G2967" s="126" t="e">
        <f>IF(A2967&lt;&gt;"",IF(AND(#REF!="Padrão",$H$4=#REF!),BDI!$B$17,IF(AND(#REF!="Padrão",$H$4=#REF!),BDI!#REF!,IF(AND(#REF!="Diferenciado",$H$4=#REF!),BDI!$E$17,IF(AND(#REF!="Diferenciado",$H$4=#REF!),BDI!#REF!,IF(#REF!="ZERO",0))))),"")</f>
        <v>#REF!</v>
      </c>
      <c r="H2967" s="127" t="str">
        <f t="shared" ref="H2967:H3030" si="160">IF(ISNUMBER(E2967),ROUND(E2967*(1+G2967),2),"")</f>
        <v/>
      </c>
      <c r="I2967" s="125" t="str">
        <f t="shared" ref="I2967:I3030" si="161">IF(ISNUMBER(E2967),ROUND(H2967*D2967,2),"")</f>
        <v/>
      </c>
    </row>
    <row r="2968" spans="1:9" hidden="1" x14ac:dyDescent="0.25">
      <c r="A2968" s="103" t="s">
        <v>7240</v>
      </c>
      <c r="B2968" s="104" t="s">
        <v>7241</v>
      </c>
      <c r="C2968" s="105" t="s">
        <v>20</v>
      </c>
      <c r="D2968" s="105">
        <v>0</v>
      </c>
      <c r="E2968" s="124" t="s">
        <v>523</v>
      </c>
      <c r="F2968" s="125" t="str">
        <f t="shared" si="159"/>
        <v/>
      </c>
      <c r="G2968" s="126" t="e">
        <f>IF(A2968&lt;&gt;"",IF(AND(#REF!="Padrão",$H$4=#REF!),BDI!$B$17,IF(AND(#REF!="Padrão",$H$4=#REF!),BDI!#REF!,IF(AND(#REF!="Diferenciado",$H$4=#REF!),BDI!$E$17,IF(AND(#REF!="Diferenciado",$H$4=#REF!),BDI!#REF!,IF(#REF!="ZERO",0))))),"")</f>
        <v>#REF!</v>
      </c>
      <c r="H2968" s="127" t="str">
        <f t="shared" si="160"/>
        <v/>
      </c>
      <c r="I2968" s="125" t="str">
        <f t="shared" si="161"/>
        <v/>
      </c>
    </row>
    <row r="2969" spans="1:9" hidden="1" x14ac:dyDescent="0.25">
      <c r="A2969" s="103" t="s">
        <v>7242</v>
      </c>
      <c r="B2969" s="104" t="s">
        <v>7243</v>
      </c>
      <c r="C2969" s="105" t="s">
        <v>20</v>
      </c>
      <c r="D2969" s="105">
        <v>0</v>
      </c>
      <c r="E2969" s="124" t="s">
        <v>523</v>
      </c>
      <c r="F2969" s="125" t="str">
        <f t="shared" si="159"/>
        <v/>
      </c>
      <c r="G2969" s="126" t="e">
        <f>IF(A2969&lt;&gt;"",IF(AND(#REF!="Padrão",$H$4=#REF!),BDI!$B$17,IF(AND(#REF!="Padrão",$H$4=#REF!),BDI!#REF!,IF(AND(#REF!="Diferenciado",$H$4=#REF!),BDI!$E$17,IF(AND(#REF!="Diferenciado",$H$4=#REF!),BDI!#REF!,IF(#REF!="ZERO",0))))),"")</f>
        <v>#REF!</v>
      </c>
      <c r="H2969" s="127" t="str">
        <f t="shared" si="160"/>
        <v/>
      </c>
      <c r="I2969" s="125" t="str">
        <f t="shared" si="161"/>
        <v/>
      </c>
    </row>
    <row r="2970" spans="1:9" hidden="1" x14ac:dyDescent="0.25">
      <c r="A2970" s="103" t="s">
        <v>7244</v>
      </c>
      <c r="B2970" s="104" t="s">
        <v>7245</v>
      </c>
      <c r="C2970" s="105" t="s">
        <v>20</v>
      </c>
      <c r="D2970" s="105">
        <v>0</v>
      </c>
      <c r="E2970" s="124" t="s">
        <v>523</v>
      </c>
      <c r="F2970" s="125" t="str">
        <f t="shared" si="159"/>
        <v/>
      </c>
      <c r="G2970" s="126" t="e">
        <f>IF(A2970&lt;&gt;"",IF(AND(#REF!="Padrão",$H$4=#REF!),BDI!$B$17,IF(AND(#REF!="Padrão",$H$4=#REF!),BDI!#REF!,IF(AND(#REF!="Diferenciado",$H$4=#REF!),BDI!$E$17,IF(AND(#REF!="Diferenciado",$H$4=#REF!),BDI!#REF!,IF(#REF!="ZERO",0))))),"")</f>
        <v>#REF!</v>
      </c>
      <c r="H2970" s="127" t="str">
        <f t="shared" si="160"/>
        <v/>
      </c>
      <c r="I2970" s="125" t="str">
        <f t="shared" si="161"/>
        <v/>
      </c>
    </row>
    <row r="2971" spans="1:9" hidden="1" x14ac:dyDescent="0.25">
      <c r="A2971" s="103" t="s">
        <v>7246</v>
      </c>
      <c r="B2971" s="104" t="s">
        <v>7247</v>
      </c>
      <c r="C2971" s="105" t="s">
        <v>20</v>
      </c>
      <c r="D2971" s="105">
        <v>0</v>
      </c>
      <c r="E2971" s="124" t="s">
        <v>523</v>
      </c>
      <c r="F2971" s="125" t="str">
        <f t="shared" si="159"/>
        <v/>
      </c>
      <c r="G2971" s="126" t="e">
        <f>IF(A2971&lt;&gt;"",IF(AND(#REF!="Padrão",$H$4=#REF!),BDI!$B$17,IF(AND(#REF!="Padrão",$H$4=#REF!),BDI!#REF!,IF(AND(#REF!="Diferenciado",$H$4=#REF!),BDI!$E$17,IF(AND(#REF!="Diferenciado",$H$4=#REF!),BDI!#REF!,IF(#REF!="ZERO",0))))),"")</f>
        <v>#REF!</v>
      </c>
      <c r="H2971" s="127" t="str">
        <f t="shared" si="160"/>
        <v/>
      </c>
      <c r="I2971" s="125" t="str">
        <f t="shared" si="161"/>
        <v/>
      </c>
    </row>
    <row r="2972" spans="1:9" hidden="1" x14ac:dyDescent="0.25">
      <c r="A2972" s="103" t="s">
        <v>7248</v>
      </c>
      <c r="B2972" s="104" t="s">
        <v>7249</v>
      </c>
      <c r="C2972" s="105" t="s">
        <v>20</v>
      </c>
      <c r="D2972" s="105">
        <v>0</v>
      </c>
      <c r="E2972" s="124" t="s">
        <v>523</v>
      </c>
      <c r="F2972" s="125" t="str">
        <f t="shared" si="159"/>
        <v/>
      </c>
      <c r="G2972" s="126" t="e">
        <f>IF(A2972&lt;&gt;"",IF(AND(#REF!="Padrão",$H$4=#REF!),BDI!$B$17,IF(AND(#REF!="Padrão",$H$4=#REF!),BDI!#REF!,IF(AND(#REF!="Diferenciado",$H$4=#REF!),BDI!$E$17,IF(AND(#REF!="Diferenciado",$H$4=#REF!),BDI!#REF!,IF(#REF!="ZERO",0))))),"")</f>
        <v>#REF!</v>
      </c>
      <c r="H2972" s="127" t="str">
        <f t="shared" si="160"/>
        <v/>
      </c>
      <c r="I2972" s="125" t="str">
        <f t="shared" si="161"/>
        <v/>
      </c>
    </row>
    <row r="2973" spans="1:9" hidden="1" x14ac:dyDescent="0.25">
      <c r="A2973" s="103" t="s">
        <v>7250</v>
      </c>
      <c r="B2973" s="104" t="s">
        <v>7251</v>
      </c>
      <c r="C2973" s="105" t="s">
        <v>20</v>
      </c>
      <c r="D2973" s="105">
        <v>0</v>
      </c>
      <c r="E2973" s="124" t="s">
        <v>523</v>
      </c>
      <c r="F2973" s="125" t="str">
        <f t="shared" si="159"/>
        <v/>
      </c>
      <c r="G2973" s="126" t="e">
        <f>IF(A2973&lt;&gt;"",IF(AND(#REF!="Padrão",$H$4=#REF!),BDI!$B$17,IF(AND(#REF!="Padrão",$H$4=#REF!),BDI!#REF!,IF(AND(#REF!="Diferenciado",$H$4=#REF!),BDI!$E$17,IF(AND(#REF!="Diferenciado",$H$4=#REF!),BDI!#REF!,IF(#REF!="ZERO",0))))),"")</f>
        <v>#REF!</v>
      </c>
      <c r="H2973" s="127" t="str">
        <f t="shared" si="160"/>
        <v/>
      </c>
      <c r="I2973" s="125" t="str">
        <f t="shared" si="161"/>
        <v/>
      </c>
    </row>
    <row r="2974" spans="1:9" hidden="1" x14ac:dyDescent="0.25">
      <c r="A2974" s="103" t="s">
        <v>7252</v>
      </c>
      <c r="B2974" s="104" t="s">
        <v>7253</v>
      </c>
      <c r="C2974" s="105" t="s">
        <v>20</v>
      </c>
      <c r="D2974" s="105">
        <v>0</v>
      </c>
      <c r="E2974" s="124" t="s">
        <v>523</v>
      </c>
      <c r="F2974" s="125" t="str">
        <f t="shared" si="159"/>
        <v/>
      </c>
      <c r="G2974" s="126" t="e">
        <f>IF(A2974&lt;&gt;"",IF(AND(#REF!="Padrão",$H$4=#REF!),BDI!$B$17,IF(AND(#REF!="Padrão",$H$4=#REF!),BDI!#REF!,IF(AND(#REF!="Diferenciado",$H$4=#REF!),BDI!$E$17,IF(AND(#REF!="Diferenciado",$H$4=#REF!),BDI!#REF!,IF(#REF!="ZERO",0))))),"")</f>
        <v>#REF!</v>
      </c>
      <c r="H2974" s="127" t="str">
        <f t="shared" si="160"/>
        <v/>
      </c>
      <c r="I2974" s="125" t="str">
        <f t="shared" si="161"/>
        <v/>
      </c>
    </row>
    <row r="2975" spans="1:9" hidden="1" x14ac:dyDescent="0.25">
      <c r="A2975" s="103" t="s">
        <v>7254</v>
      </c>
      <c r="B2975" s="104" t="s">
        <v>7255</v>
      </c>
      <c r="C2975" s="105" t="s">
        <v>20</v>
      </c>
      <c r="D2975" s="105">
        <v>0</v>
      </c>
      <c r="E2975" s="124">
        <f ca="1">OFFSET(INDEX(Composições!A:J,MATCH(Orçamentária!A2975,Composições!A:A,0),8),2,0)</f>
        <v>1.8144999999999998</v>
      </c>
      <c r="F2975" s="125">
        <f t="shared" ca="1" si="159"/>
        <v>0</v>
      </c>
      <c r="G2975" s="126" t="e">
        <f>IF(A2975&lt;&gt;"",IF(AND(#REF!="Padrão",$H$4=#REF!),BDI!$B$17,IF(AND(#REF!="Padrão",$H$4=#REF!),BDI!#REF!,IF(AND(#REF!="Diferenciado",$H$4=#REF!),BDI!$E$17,IF(AND(#REF!="Diferenciado",$H$4=#REF!),BDI!#REF!,IF(#REF!="ZERO",0))))),"")</f>
        <v>#REF!</v>
      </c>
      <c r="H2975" s="127" t="e">
        <f t="shared" ca="1" si="160"/>
        <v>#REF!</v>
      </c>
      <c r="I2975" s="125" t="e">
        <f t="shared" ca="1" si="161"/>
        <v>#REF!</v>
      </c>
    </row>
    <row r="2976" spans="1:9" ht="25.5" hidden="1" x14ac:dyDescent="0.25">
      <c r="A2976" s="103" t="s">
        <v>7256</v>
      </c>
      <c r="B2976" s="104" t="s">
        <v>7257</v>
      </c>
      <c r="C2976" s="105" t="s">
        <v>20</v>
      </c>
      <c r="D2976" s="105">
        <v>0</v>
      </c>
      <c r="E2976" s="124" t="s">
        <v>523</v>
      </c>
      <c r="F2976" s="125" t="str">
        <f t="shared" si="159"/>
        <v/>
      </c>
      <c r="G2976" s="126" t="e">
        <f>IF(A2976&lt;&gt;"",IF(AND(#REF!="Padrão",$H$4=#REF!),BDI!$B$17,IF(AND(#REF!="Padrão",$H$4=#REF!),BDI!#REF!,IF(AND(#REF!="Diferenciado",$H$4=#REF!),BDI!$E$17,IF(AND(#REF!="Diferenciado",$H$4=#REF!),BDI!#REF!,IF(#REF!="ZERO",0))))),"")</f>
        <v>#REF!</v>
      </c>
      <c r="H2976" s="127" t="str">
        <f t="shared" si="160"/>
        <v/>
      </c>
      <c r="I2976" s="125" t="str">
        <f t="shared" si="161"/>
        <v/>
      </c>
    </row>
    <row r="2977" spans="1:9" hidden="1" x14ac:dyDescent="0.25">
      <c r="A2977" s="103" t="s">
        <v>7258</v>
      </c>
      <c r="B2977" s="104" t="s">
        <v>7259</v>
      </c>
      <c r="C2977" s="105" t="s">
        <v>20</v>
      </c>
      <c r="D2977" s="105">
        <v>0</v>
      </c>
      <c r="E2977" s="124" t="s">
        <v>523</v>
      </c>
      <c r="F2977" s="125" t="str">
        <f t="shared" si="159"/>
        <v/>
      </c>
      <c r="G2977" s="126" t="e">
        <f>IF(A2977&lt;&gt;"",IF(AND(#REF!="Padrão",$H$4=#REF!),BDI!$B$17,IF(AND(#REF!="Padrão",$H$4=#REF!),BDI!#REF!,IF(AND(#REF!="Diferenciado",$H$4=#REF!),BDI!$E$17,IF(AND(#REF!="Diferenciado",$H$4=#REF!),BDI!#REF!,IF(#REF!="ZERO",0))))),"")</f>
        <v>#REF!</v>
      </c>
      <c r="H2977" s="127" t="str">
        <f t="shared" si="160"/>
        <v/>
      </c>
      <c r="I2977" s="125" t="str">
        <f t="shared" si="161"/>
        <v/>
      </c>
    </row>
    <row r="2978" spans="1:9" hidden="1" x14ac:dyDescent="0.25">
      <c r="A2978" s="103" t="s">
        <v>7260</v>
      </c>
      <c r="B2978" s="104" t="s">
        <v>7261</v>
      </c>
      <c r="C2978" s="105" t="s">
        <v>20</v>
      </c>
      <c r="D2978" s="105">
        <v>0</v>
      </c>
      <c r="E2978" s="124">
        <f ca="1">OFFSET(INDEX(Composições!A:J,MATCH(Orçamentária!A2978,Composições!A:A,0),8),2,0)</f>
        <v>108.05299999999998</v>
      </c>
      <c r="F2978" s="125">
        <f t="shared" ca="1" si="159"/>
        <v>0</v>
      </c>
      <c r="G2978" s="126" t="e">
        <f>IF(A2978&lt;&gt;"",IF(AND(#REF!="Padrão",$H$4=#REF!),BDI!$B$17,IF(AND(#REF!="Padrão",$H$4=#REF!),BDI!#REF!,IF(AND(#REF!="Diferenciado",$H$4=#REF!),BDI!$E$17,IF(AND(#REF!="Diferenciado",$H$4=#REF!),BDI!#REF!,IF(#REF!="ZERO",0))))),"")</f>
        <v>#REF!</v>
      </c>
      <c r="H2978" s="127" t="e">
        <f t="shared" ca="1" si="160"/>
        <v>#REF!</v>
      </c>
      <c r="I2978" s="125" t="e">
        <f t="shared" ca="1" si="161"/>
        <v>#REF!</v>
      </c>
    </row>
    <row r="2979" spans="1:9" hidden="1" x14ac:dyDescent="0.25">
      <c r="A2979" s="103" t="s">
        <v>7262</v>
      </c>
      <c r="B2979" s="104" t="s">
        <v>7263</v>
      </c>
      <c r="C2979" s="105" t="s">
        <v>20</v>
      </c>
      <c r="D2979" s="105">
        <v>0</v>
      </c>
      <c r="E2979" s="124">
        <f ca="1">OFFSET(INDEX(Composições!A:J,MATCH(Orçamentária!A2979,Composições!A:A,0),8),2,0)</f>
        <v>455.51549999999997</v>
      </c>
      <c r="F2979" s="125">
        <f t="shared" ca="1" si="159"/>
        <v>0</v>
      </c>
      <c r="G2979" s="126" t="e">
        <f>IF(A2979&lt;&gt;"",IF(AND(#REF!="Padrão",$H$4=#REF!),BDI!$B$17,IF(AND(#REF!="Padrão",$H$4=#REF!),BDI!#REF!,IF(AND(#REF!="Diferenciado",$H$4=#REF!),BDI!$E$17,IF(AND(#REF!="Diferenciado",$H$4=#REF!),BDI!#REF!,IF(#REF!="ZERO",0))))),"")</f>
        <v>#REF!</v>
      </c>
      <c r="H2979" s="127" t="e">
        <f t="shared" ca="1" si="160"/>
        <v>#REF!</v>
      </c>
      <c r="I2979" s="125" t="e">
        <f t="shared" ca="1" si="161"/>
        <v>#REF!</v>
      </c>
    </row>
    <row r="2980" spans="1:9" hidden="1" x14ac:dyDescent="0.25">
      <c r="A2980" s="103" t="s">
        <v>7264</v>
      </c>
      <c r="B2980" s="104" t="s">
        <v>7265</v>
      </c>
      <c r="C2980" s="105" t="s">
        <v>20</v>
      </c>
      <c r="D2980" s="105">
        <v>0</v>
      </c>
      <c r="E2980" s="124">
        <f ca="1">OFFSET(INDEX(Composições!A:J,MATCH(Orçamentária!A2980,Composições!A:A,0),8),2,0)</f>
        <v>5.4339999999999993</v>
      </c>
      <c r="F2980" s="125">
        <f t="shared" ca="1" si="159"/>
        <v>0</v>
      </c>
      <c r="G2980" s="126" t="e">
        <f>IF(A2980&lt;&gt;"",IF(AND(#REF!="Padrão",$H$4=#REF!),BDI!$B$17,IF(AND(#REF!="Padrão",$H$4=#REF!),BDI!#REF!,IF(AND(#REF!="Diferenciado",$H$4=#REF!),BDI!$E$17,IF(AND(#REF!="Diferenciado",$H$4=#REF!),BDI!#REF!,IF(#REF!="ZERO",0))))),"")</f>
        <v>#REF!</v>
      </c>
      <c r="H2980" s="127" t="e">
        <f t="shared" ca="1" si="160"/>
        <v>#REF!</v>
      </c>
      <c r="I2980" s="125" t="e">
        <f t="shared" ca="1" si="161"/>
        <v>#REF!</v>
      </c>
    </row>
    <row r="2981" spans="1:9" hidden="1" x14ac:dyDescent="0.25">
      <c r="A2981" s="103" t="s">
        <v>7266</v>
      </c>
      <c r="B2981" s="104" t="s">
        <v>7267</v>
      </c>
      <c r="C2981" s="105" t="s">
        <v>20</v>
      </c>
      <c r="D2981" s="105">
        <v>0</v>
      </c>
      <c r="E2981" s="124">
        <f ca="1">OFFSET(INDEX(Composições!A:J,MATCH(Orçamentária!A2981,Composições!A:A,0),8),2,0)</f>
        <v>33.981500000000004</v>
      </c>
      <c r="F2981" s="125">
        <f t="shared" ca="1" si="159"/>
        <v>0</v>
      </c>
      <c r="G2981" s="126" t="e">
        <f>IF(A2981&lt;&gt;"",IF(AND(#REF!="Padrão",$H$4=#REF!),BDI!$B$17,IF(AND(#REF!="Padrão",$H$4=#REF!),BDI!#REF!,IF(AND(#REF!="Diferenciado",$H$4=#REF!),BDI!$E$17,IF(AND(#REF!="Diferenciado",$H$4=#REF!),BDI!#REF!,IF(#REF!="ZERO",0))))),"")</f>
        <v>#REF!</v>
      </c>
      <c r="H2981" s="127" t="e">
        <f t="shared" ca="1" si="160"/>
        <v>#REF!</v>
      </c>
      <c r="I2981" s="125" t="e">
        <f t="shared" ca="1" si="161"/>
        <v>#REF!</v>
      </c>
    </row>
    <row r="2982" spans="1:9" hidden="1" x14ac:dyDescent="0.25">
      <c r="A2982" s="103" t="s">
        <v>7268</v>
      </c>
      <c r="B2982" s="104" t="s">
        <v>7269</v>
      </c>
      <c r="C2982" s="105" t="s">
        <v>20</v>
      </c>
      <c r="D2982" s="105">
        <v>0</v>
      </c>
      <c r="E2982" s="124">
        <f ca="1">OFFSET(INDEX(Composições!A:J,MATCH(Orçamentária!A2982,Composições!A:A,0),8),2,0)</f>
        <v>14.116999999999999</v>
      </c>
      <c r="F2982" s="125">
        <f t="shared" ca="1" si="159"/>
        <v>0</v>
      </c>
      <c r="G2982" s="126" t="e">
        <f>IF(A2982&lt;&gt;"",IF(AND(#REF!="Padrão",$H$4=#REF!),BDI!$B$17,IF(AND(#REF!="Padrão",$H$4=#REF!),BDI!#REF!,IF(AND(#REF!="Diferenciado",$H$4=#REF!),BDI!$E$17,IF(AND(#REF!="Diferenciado",$H$4=#REF!),BDI!#REF!,IF(#REF!="ZERO",0))))),"")</f>
        <v>#REF!</v>
      </c>
      <c r="H2982" s="127" t="e">
        <f t="shared" ca="1" si="160"/>
        <v>#REF!</v>
      </c>
      <c r="I2982" s="125" t="e">
        <f t="shared" ca="1" si="161"/>
        <v>#REF!</v>
      </c>
    </row>
    <row r="2983" spans="1:9" hidden="1" x14ac:dyDescent="0.25">
      <c r="A2983" s="103" t="s">
        <v>7270</v>
      </c>
      <c r="B2983" s="104" t="s">
        <v>7271</v>
      </c>
      <c r="C2983" s="105" t="s">
        <v>20</v>
      </c>
      <c r="D2983" s="105">
        <v>0</v>
      </c>
      <c r="E2983" s="124" t="s">
        <v>523</v>
      </c>
      <c r="F2983" s="125" t="str">
        <f t="shared" si="159"/>
        <v/>
      </c>
      <c r="G2983" s="126" t="e">
        <f>IF(A2983&lt;&gt;"",IF(AND(#REF!="Padrão",$H$4=#REF!),BDI!$B$17,IF(AND(#REF!="Padrão",$H$4=#REF!),BDI!#REF!,IF(AND(#REF!="Diferenciado",$H$4=#REF!),BDI!$E$17,IF(AND(#REF!="Diferenciado",$H$4=#REF!),BDI!#REF!,IF(#REF!="ZERO",0))))),"")</f>
        <v>#REF!</v>
      </c>
      <c r="H2983" s="127" t="str">
        <f t="shared" si="160"/>
        <v/>
      </c>
      <c r="I2983" s="125" t="str">
        <f t="shared" si="161"/>
        <v/>
      </c>
    </row>
    <row r="2984" spans="1:9" hidden="1" x14ac:dyDescent="0.25">
      <c r="A2984" s="103" t="s">
        <v>7272</v>
      </c>
      <c r="B2984" s="104" t="s">
        <v>7273</v>
      </c>
      <c r="C2984" s="105" t="s">
        <v>20</v>
      </c>
      <c r="D2984" s="105">
        <v>0</v>
      </c>
      <c r="E2984" s="124">
        <f ca="1">OFFSET(INDEX(Composições!A:J,MATCH(Orçamentária!A2984,Composições!A:A,0),8),2,0)</f>
        <v>15.2095</v>
      </c>
      <c r="F2984" s="125">
        <f t="shared" ca="1" si="159"/>
        <v>0</v>
      </c>
      <c r="G2984" s="126" t="e">
        <f>IF(A2984&lt;&gt;"",IF(AND(#REF!="Padrão",$H$4=#REF!),BDI!$B$17,IF(AND(#REF!="Padrão",$H$4=#REF!),BDI!#REF!,IF(AND(#REF!="Diferenciado",$H$4=#REF!),BDI!$E$17,IF(AND(#REF!="Diferenciado",$H$4=#REF!),BDI!#REF!,IF(#REF!="ZERO",0))))),"")</f>
        <v>#REF!</v>
      </c>
      <c r="H2984" s="127" t="e">
        <f t="shared" ca="1" si="160"/>
        <v>#REF!</v>
      </c>
      <c r="I2984" s="125" t="e">
        <f t="shared" ca="1" si="161"/>
        <v>#REF!</v>
      </c>
    </row>
    <row r="2985" spans="1:9" hidden="1" x14ac:dyDescent="0.25">
      <c r="A2985" s="103" t="s">
        <v>7274</v>
      </c>
      <c r="B2985" s="104" t="s">
        <v>7275</v>
      </c>
      <c r="C2985" s="105" t="s">
        <v>20</v>
      </c>
      <c r="D2985" s="105">
        <v>0</v>
      </c>
      <c r="E2985" s="124">
        <f ca="1">OFFSET(INDEX(Composições!A:J,MATCH(Orçamentária!A2985,Composições!A:A,0),8),2,0)</f>
        <v>17.755500000000001</v>
      </c>
      <c r="F2985" s="125">
        <f t="shared" ca="1" si="159"/>
        <v>0</v>
      </c>
      <c r="G2985" s="126" t="e">
        <f>IF(A2985&lt;&gt;"",IF(AND(#REF!="Padrão",$H$4=#REF!),BDI!$B$17,IF(AND(#REF!="Padrão",$H$4=#REF!),BDI!#REF!,IF(AND(#REF!="Diferenciado",$H$4=#REF!),BDI!$E$17,IF(AND(#REF!="Diferenciado",$H$4=#REF!),BDI!#REF!,IF(#REF!="ZERO",0))))),"")</f>
        <v>#REF!</v>
      </c>
      <c r="H2985" s="127" t="e">
        <f t="shared" ca="1" si="160"/>
        <v>#REF!</v>
      </c>
      <c r="I2985" s="125" t="e">
        <f t="shared" ca="1" si="161"/>
        <v>#REF!</v>
      </c>
    </row>
    <row r="2986" spans="1:9" hidden="1" x14ac:dyDescent="0.25">
      <c r="A2986" s="103" t="s">
        <v>7276</v>
      </c>
      <c r="B2986" s="104" t="s">
        <v>7277</v>
      </c>
      <c r="C2986" s="105" t="s">
        <v>20</v>
      </c>
      <c r="D2986" s="105">
        <v>0</v>
      </c>
      <c r="E2986" s="124" t="s">
        <v>523</v>
      </c>
      <c r="F2986" s="125" t="str">
        <f t="shared" si="159"/>
        <v/>
      </c>
      <c r="G2986" s="126" t="e">
        <f>IF(A2986&lt;&gt;"",IF(AND(#REF!="Padrão",$H$4=#REF!),BDI!$B$17,IF(AND(#REF!="Padrão",$H$4=#REF!),BDI!#REF!,IF(AND(#REF!="Diferenciado",$H$4=#REF!),BDI!$E$17,IF(AND(#REF!="Diferenciado",$H$4=#REF!),BDI!#REF!,IF(#REF!="ZERO",0))))),"")</f>
        <v>#REF!</v>
      </c>
      <c r="H2986" s="127" t="str">
        <f t="shared" si="160"/>
        <v/>
      </c>
      <c r="I2986" s="125" t="str">
        <f t="shared" si="161"/>
        <v/>
      </c>
    </row>
    <row r="2987" spans="1:9" hidden="1" x14ac:dyDescent="0.25">
      <c r="A2987" s="103" t="s">
        <v>7278</v>
      </c>
      <c r="B2987" s="104" t="s">
        <v>7279</v>
      </c>
      <c r="C2987" s="105" t="s">
        <v>20</v>
      </c>
      <c r="D2987" s="105">
        <v>0</v>
      </c>
      <c r="E2987" s="124" t="s">
        <v>523</v>
      </c>
      <c r="F2987" s="125" t="str">
        <f t="shared" si="159"/>
        <v/>
      </c>
      <c r="G2987" s="126" t="e">
        <f>IF(A2987&lt;&gt;"",IF(AND(#REF!="Padrão",$H$4=#REF!),BDI!$B$17,IF(AND(#REF!="Padrão",$H$4=#REF!),BDI!#REF!,IF(AND(#REF!="Diferenciado",$H$4=#REF!),BDI!$E$17,IF(AND(#REF!="Diferenciado",$H$4=#REF!),BDI!#REF!,IF(#REF!="ZERO",0))))),"")</f>
        <v>#REF!</v>
      </c>
      <c r="H2987" s="127" t="str">
        <f t="shared" si="160"/>
        <v/>
      </c>
      <c r="I2987" s="125" t="str">
        <f t="shared" si="161"/>
        <v/>
      </c>
    </row>
    <row r="2988" spans="1:9" hidden="1" x14ac:dyDescent="0.25">
      <c r="A2988" s="103" t="s">
        <v>7280</v>
      </c>
      <c r="B2988" s="104" t="s">
        <v>7281</v>
      </c>
      <c r="C2988" s="105" t="s">
        <v>20</v>
      </c>
      <c r="D2988" s="105">
        <v>0</v>
      </c>
      <c r="E2988" s="124" t="s">
        <v>523</v>
      </c>
      <c r="F2988" s="125" t="str">
        <f t="shared" si="159"/>
        <v/>
      </c>
      <c r="G2988" s="126" t="e">
        <f>IF(A2988&lt;&gt;"",IF(AND(#REF!="Padrão",$H$4=#REF!),BDI!$B$17,IF(AND(#REF!="Padrão",$H$4=#REF!),BDI!#REF!,IF(AND(#REF!="Diferenciado",$H$4=#REF!),BDI!$E$17,IF(AND(#REF!="Diferenciado",$H$4=#REF!),BDI!#REF!,IF(#REF!="ZERO",0))))),"")</f>
        <v>#REF!</v>
      </c>
      <c r="H2988" s="127" t="str">
        <f t="shared" si="160"/>
        <v/>
      </c>
      <c r="I2988" s="125" t="str">
        <f t="shared" si="161"/>
        <v/>
      </c>
    </row>
    <row r="2989" spans="1:9" hidden="1" x14ac:dyDescent="0.25">
      <c r="A2989" s="103" t="s">
        <v>7282</v>
      </c>
      <c r="B2989" s="104" t="s">
        <v>7283</v>
      </c>
      <c r="C2989" s="105" t="s">
        <v>20</v>
      </c>
      <c r="D2989" s="105">
        <v>0</v>
      </c>
      <c r="E2989" s="124" t="s">
        <v>523</v>
      </c>
      <c r="F2989" s="125" t="str">
        <f t="shared" si="159"/>
        <v/>
      </c>
      <c r="G2989" s="126" t="e">
        <f>IF(A2989&lt;&gt;"",IF(AND(#REF!="Padrão",$H$4=#REF!),BDI!$B$17,IF(AND(#REF!="Padrão",$H$4=#REF!),BDI!#REF!,IF(AND(#REF!="Diferenciado",$H$4=#REF!),BDI!$E$17,IF(AND(#REF!="Diferenciado",$H$4=#REF!),BDI!#REF!,IF(#REF!="ZERO",0))))),"")</f>
        <v>#REF!</v>
      </c>
      <c r="H2989" s="127" t="str">
        <f t="shared" si="160"/>
        <v/>
      </c>
      <c r="I2989" s="125" t="str">
        <f t="shared" si="161"/>
        <v/>
      </c>
    </row>
    <row r="2990" spans="1:9" hidden="1" x14ac:dyDescent="0.25">
      <c r="A2990" s="103" t="s">
        <v>7284</v>
      </c>
      <c r="B2990" s="104" t="s">
        <v>7285</v>
      </c>
      <c r="C2990" s="105" t="s">
        <v>20</v>
      </c>
      <c r="D2990" s="105">
        <v>0</v>
      </c>
      <c r="E2990" s="124">
        <f ca="1">OFFSET(INDEX(Composições!A:J,MATCH(Orçamentária!A2990,Composições!A:A,0),8),2,0)</f>
        <v>131.63200000000001</v>
      </c>
      <c r="F2990" s="125">
        <f t="shared" ca="1" si="159"/>
        <v>0</v>
      </c>
      <c r="G2990" s="126" t="e">
        <f>IF(A2990&lt;&gt;"",IF(AND(#REF!="Padrão",$H$4=#REF!),BDI!$B$17,IF(AND(#REF!="Padrão",$H$4=#REF!),BDI!#REF!,IF(AND(#REF!="Diferenciado",$H$4=#REF!),BDI!$E$17,IF(AND(#REF!="Diferenciado",$H$4=#REF!),BDI!#REF!,IF(#REF!="ZERO",0))))),"")</f>
        <v>#REF!</v>
      </c>
      <c r="H2990" s="127" t="e">
        <f t="shared" ca="1" si="160"/>
        <v>#REF!</v>
      </c>
      <c r="I2990" s="125" t="e">
        <f t="shared" ca="1" si="161"/>
        <v>#REF!</v>
      </c>
    </row>
    <row r="2991" spans="1:9" hidden="1" x14ac:dyDescent="0.25">
      <c r="A2991" s="103" t="s">
        <v>7286</v>
      </c>
      <c r="B2991" s="104" t="s">
        <v>7287</v>
      </c>
      <c r="C2991" s="105" t="s">
        <v>20</v>
      </c>
      <c r="D2991" s="105">
        <v>0</v>
      </c>
      <c r="E2991" s="124">
        <f ca="1">OFFSET(INDEX(Composições!A:J,MATCH(Orçamentária!A2991,Composições!A:A,0),8),2,0)</f>
        <v>54.957499999999996</v>
      </c>
      <c r="F2991" s="125">
        <f t="shared" ca="1" si="159"/>
        <v>0</v>
      </c>
      <c r="G2991" s="126" t="e">
        <f>IF(A2991&lt;&gt;"",IF(AND(#REF!="Padrão",$H$4=#REF!),BDI!$B$17,IF(AND(#REF!="Padrão",$H$4=#REF!),BDI!#REF!,IF(AND(#REF!="Diferenciado",$H$4=#REF!),BDI!$E$17,IF(AND(#REF!="Diferenciado",$H$4=#REF!),BDI!#REF!,IF(#REF!="ZERO",0))))),"")</f>
        <v>#REF!</v>
      </c>
      <c r="H2991" s="127" t="e">
        <f t="shared" ca="1" si="160"/>
        <v>#REF!</v>
      </c>
      <c r="I2991" s="125" t="e">
        <f t="shared" ca="1" si="161"/>
        <v>#REF!</v>
      </c>
    </row>
    <row r="2992" spans="1:9" hidden="1" x14ac:dyDescent="0.25">
      <c r="A2992" s="103" t="s">
        <v>7288</v>
      </c>
      <c r="B2992" s="104" t="s">
        <v>7289</v>
      </c>
      <c r="C2992" s="105" t="s">
        <v>20</v>
      </c>
      <c r="D2992" s="105">
        <v>0</v>
      </c>
      <c r="E2992" s="124">
        <f ca="1">OFFSET(INDEX(Composições!A:J,MATCH(Orçamentária!A2992,Composições!A:A,0),8),2,0)</f>
        <v>308.35099999999994</v>
      </c>
      <c r="F2992" s="125">
        <f t="shared" ca="1" si="159"/>
        <v>0</v>
      </c>
      <c r="G2992" s="126" t="e">
        <f>IF(A2992&lt;&gt;"",IF(AND(#REF!="Padrão",$H$4=#REF!),BDI!$B$17,IF(AND(#REF!="Padrão",$H$4=#REF!),BDI!#REF!,IF(AND(#REF!="Diferenciado",$H$4=#REF!),BDI!$E$17,IF(AND(#REF!="Diferenciado",$H$4=#REF!),BDI!#REF!,IF(#REF!="ZERO",0))))),"")</f>
        <v>#REF!</v>
      </c>
      <c r="H2992" s="127" t="e">
        <f t="shared" ca="1" si="160"/>
        <v>#REF!</v>
      </c>
      <c r="I2992" s="125" t="e">
        <f t="shared" ca="1" si="161"/>
        <v>#REF!</v>
      </c>
    </row>
    <row r="2993" spans="1:9" hidden="1" x14ac:dyDescent="0.25">
      <c r="A2993" s="103" t="s">
        <v>7290</v>
      </c>
      <c r="B2993" s="104" t="s">
        <v>7291</v>
      </c>
      <c r="C2993" s="105" t="s">
        <v>20</v>
      </c>
      <c r="D2993" s="105">
        <v>0</v>
      </c>
      <c r="E2993" s="124">
        <f ca="1">OFFSET(INDEX(Composições!A:J,MATCH(Orçamentária!A2993,Composições!A:A,0),8),2,0)</f>
        <v>70.708500000000001</v>
      </c>
      <c r="F2993" s="125">
        <f t="shared" ca="1" si="159"/>
        <v>0</v>
      </c>
      <c r="G2993" s="126" t="e">
        <f>IF(A2993&lt;&gt;"",IF(AND(#REF!="Padrão",$H$4=#REF!),BDI!$B$17,IF(AND(#REF!="Padrão",$H$4=#REF!),BDI!#REF!,IF(AND(#REF!="Diferenciado",$H$4=#REF!),BDI!$E$17,IF(AND(#REF!="Diferenciado",$H$4=#REF!),BDI!#REF!,IF(#REF!="ZERO",0))))),"")</f>
        <v>#REF!</v>
      </c>
      <c r="H2993" s="127" t="e">
        <f t="shared" ca="1" si="160"/>
        <v>#REF!</v>
      </c>
      <c r="I2993" s="125" t="e">
        <f t="shared" ca="1" si="161"/>
        <v>#REF!</v>
      </c>
    </row>
    <row r="2994" spans="1:9" hidden="1" x14ac:dyDescent="0.25">
      <c r="A2994" s="103" t="s">
        <v>7292</v>
      </c>
      <c r="B2994" s="104" t="s">
        <v>7293</v>
      </c>
      <c r="C2994" s="105" t="s">
        <v>20</v>
      </c>
      <c r="D2994" s="105">
        <v>0</v>
      </c>
      <c r="E2994" s="124">
        <f ca="1">OFFSET(INDEX(Composições!A:J,MATCH(Orçamentária!A2994,Composições!A:A,0),8),2,0)</f>
        <v>40.47</v>
      </c>
      <c r="F2994" s="125">
        <f t="shared" ca="1" si="159"/>
        <v>0</v>
      </c>
      <c r="G2994" s="126" t="e">
        <f>IF(A2994&lt;&gt;"",IF(AND(#REF!="Padrão",$H$4=#REF!),BDI!$B$17,IF(AND(#REF!="Padrão",$H$4=#REF!),BDI!#REF!,IF(AND(#REF!="Diferenciado",$H$4=#REF!),BDI!$E$17,IF(AND(#REF!="Diferenciado",$H$4=#REF!),BDI!#REF!,IF(#REF!="ZERO",0))))),"")</f>
        <v>#REF!</v>
      </c>
      <c r="H2994" s="127" t="e">
        <f t="shared" ca="1" si="160"/>
        <v>#REF!</v>
      </c>
      <c r="I2994" s="125" t="e">
        <f t="shared" ca="1" si="161"/>
        <v>#REF!</v>
      </c>
    </row>
    <row r="2995" spans="1:9" hidden="1" x14ac:dyDescent="0.25">
      <c r="A2995" s="103" t="s">
        <v>7294</v>
      </c>
      <c r="B2995" s="104" t="s">
        <v>7295</v>
      </c>
      <c r="C2995" s="105" t="s">
        <v>20</v>
      </c>
      <c r="D2995" s="105">
        <v>0</v>
      </c>
      <c r="E2995" s="124">
        <f ca="1">OFFSET(INDEX(Composições!A:J,MATCH(Orçamentária!A2995,Composições!A:A,0),8),2,0)</f>
        <v>39.605499999999999</v>
      </c>
      <c r="F2995" s="125">
        <f t="shared" ca="1" si="159"/>
        <v>0</v>
      </c>
      <c r="G2995" s="126" t="e">
        <f>IF(A2995&lt;&gt;"",IF(AND(#REF!="Padrão",$H$4=#REF!),BDI!$B$17,IF(AND(#REF!="Padrão",$H$4=#REF!),BDI!#REF!,IF(AND(#REF!="Diferenciado",$H$4=#REF!),BDI!$E$17,IF(AND(#REF!="Diferenciado",$H$4=#REF!),BDI!#REF!,IF(#REF!="ZERO",0))))),"")</f>
        <v>#REF!</v>
      </c>
      <c r="H2995" s="127" t="e">
        <f t="shared" ca="1" si="160"/>
        <v>#REF!</v>
      </c>
      <c r="I2995" s="125" t="e">
        <f t="shared" ca="1" si="161"/>
        <v>#REF!</v>
      </c>
    </row>
    <row r="2996" spans="1:9" hidden="1" x14ac:dyDescent="0.25">
      <c r="A2996" s="103" t="s">
        <v>7296</v>
      </c>
      <c r="B2996" s="104" t="s">
        <v>7297</v>
      </c>
      <c r="C2996" s="105" t="s">
        <v>20</v>
      </c>
      <c r="D2996" s="105">
        <v>0</v>
      </c>
      <c r="E2996" s="124">
        <f ca="1">OFFSET(INDEX(Composições!A:J,MATCH(Orçamentária!A2996,Composições!A:A,0),8),2,0)</f>
        <v>13.375999999999999</v>
      </c>
      <c r="F2996" s="125">
        <f t="shared" ca="1" si="159"/>
        <v>0</v>
      </c>
      <c r="G2996" s="126" t="e">
        <f>IF(A2996&lt;&gt;"",IF(AND(#REF!="Padrão",$H$4=#REF!),BDI!$B$17,IF(AND(#REF!="Padrão",$H$4=#REF!),BDI!#REF!,IF(AND(#REF!="Diferenciado",$H$4=#REF!),BDI!$E$17,IF(AND(#REF!="Diferenciado",$H$4=#REF!),BDI!#REF!,IF(#REF!="ZERO",0))))),"")</f>
        <v>#REF!</v>
      </c>
      <c r="H2996" s="127" t="e">
        <f t="shared" ca="1" si="160"/>
        <v>#REF!</v>
      </c>
      <c r="I2996" s="125" t="e">
        <f t="shared" ca="1" si="161"/>
        <v>#REF!</v>
      </c>
    </row>
    <row r="2997" spans="1:9" hidden="1" x14ac:dyDescent="0.25">
      <c r="A2997" s="103" t="s">
        <v>7298</v>
      </c>
      <c r="B2997" s="104" t="s">
        <v>7299</v>
      </c>
      <c r="C2997" s="105" t="s">
        <v>20</v>
      </c>
      <c r="D2997" s="105">
        <v>0</v>
      </c>
      <c r="E2997" s="124" t="s">
        <v>523</v>
      </c>
      <c r="F2997" s="125" t="str">
        <f t="shared" si="159"/>
        <v/>
      </c>
      <c r="G2997" s="126" t="e">
        <f>IF(A2997&lt;&gt;"",IF(AND(#REF!="Padrão",$H$4=#REF!),BDI!$B$17,IF(AND(#REF!="Padrão",$H$4=#REF!),BDI!#REF!,IF(AND(#REF!="Diferenciado",$H$4=#REF!),BDI!$E$17,IF(AND(#REF!="Diferenciado",$H$4=#REF!),BDI!#REF!,IF(#REF!="ZERO",0))))),"")</f>
        <v>#REF!</v>
      </c>
      <c r="H2997" s="127" t="str">
        <f t="shared" si="160"/>
        <v/>
      </c>
      <c r="I2997" s="125" t="str">
        <f t="shared" si="161"/>
        <v/>
      </c>
    </row>
    <row r="2998" spans="1:9" hidden="1" x14ac:dyDescent="0.25">
      <c r="A2998" s="103" t="s">
        <v>7300</v>
      </c>
      <c r="B2998" s="104" t="s">
        <v>7301</v>
      </c>
      <c r="C2998" s="105" t="s">
        <v>20</v>
      </c>
      <c r="D2998" s="105">
        <v>0</v>
      </c>
      <c r="E2998" s="124" t="s">
        <v>523</v>
      </c>
      <c r="F2998" s="125" t="str">
        <f t="shared" si="159"/>
        <v/>
      </c>
      <c r="G2998" s="126" t="e">
        <f>IF(A2998&lt;&gt;"",IF(AND(#REF!="Padrão",$H$4=#REF!),BDI!$B$17,IF(AND(#REF!="Padrão",$H$4=#REF!),BDI!#REF!,IF(AND(#REF!="Diferenciado",$H$4=#REF!),BDI!$E$17,IF(AND(#REF!="Diferenciado",$H$4=#REF!),BDI!#REF!,IF(#REF!="ZERO",0))))),"")</f>
        <v>#REF!</v>
      </c>
      <c r="H2998" s="127" t="str">
        <f t="shared" si="160"/>
        <v/>
      </c>
      <c r="I2998" s="125" t="str">
        <f t="shared" si="161"/>
        <v/>
      </c>
    </row>
    <row r="2999" spans="1:9" hidden="1" x14ac:dyDescent="0.25">
      <c r="A2999" s="103" t="s">
        <v>7302</v>
      </c>
      <c r="B2999" s="104" t="s">
        <v>7303</v>
      </c>
      <c r="C2999" s="105" t="s">
        <v>20</v>
      </c>
      <c r="D2999" s="105">
        <v>0</v>
      </c>
      <c r="E2999" s="124" t="s">
        <v>523</v>
      </c>
      <c r="F2999" s="125" t="str">
        <f t="shared" si="159"/>
        <v/>
      </c>
      <c r="G2999" s="126" t="e">
        <f>IF(A2999&lt;&gt;"",IF(AND(#REF!="Padrão",$H$4=#REF!),BDI!$B$17,IF(AND(#REF!="Padrão",$H$4=#REF!),BDI!#REF!,IF(AND(#REF!="Diferenciado",$H$4=#REF!),BDI!$E$17,IF(AND(#REF!="Diferenciado",$H$4=#REF!),BDI!#REF!,IF(#REF!="ZERO",0))))),"")</f>
        <v>#REF!</v>
      </c>
      <c r="H2999" s="127" t="str">
        <f t="shared" si="160"/>
        <v/>
      </c>
      <c r="I2999" s="125" t="str">
        <f t="shared" si="161"/>
        <v/>
      </c>
    </row>
    <row r="3000" spans="1:9" hidden="1" x14ac:dyDescent="0.25">
      <c r="A3000" s="103" t="s">
        <v>7304</v>
      </c>
      <c r="B3000" s="104" t="s">
        <v>7305</v>
      </c>
      <c r="C3000" s="105" t="s">
        <v>20</v>
      </c>
      <c r="D3000" s="105">
        <v>0</v>
      </c>
      <c r="E3000" s="124" t="s">
        <v>523</v>
      </c>
      <c r="F3000" s="125" t="str">
        <f t="shared" si="159"/>
        <v/>
      </c>
      <c r="G3000" s="126" t="e">
        <f>IF(A3000&lt;&gt;"",IF(AND(#REF!="Padrão",$H$4=#REF!),BDI!$B$17,IF(AND(#REF!="Padrão",$H$4=#REF!),BDI!#REF!,IF(AND(#REF!="Diferenciado",$H$4=#REF!),BDI!$E$17,IF(AND(#REF!="Diferenciado",$H$4=#REF!),BDI!#REF!,IF(#REF!="ZERO",0))))),"")</f>
        <v>#REF!</v>
      </c>
      <c r="H3000" s="127" t="str">
        <f t="shared" si="160"/>
        <v/>
      </c>
      <c r="I3000" s="125" t="str">
        <f t="shared" si="161"/>
        <v/>
      </c>
    </row>
    <row r="3001" spans="1:9" hidden="1" x14ac:dyDescent="0.25">
      <c r="A3001" s="103" t="s">
        <v>7306</v>
      </c>
      <c r="B3001" s="104" t="s">
        <v>7307</v>
      </c>
      <c r="C3001" s="105" t="s">
        <v>20</v>
      </c>
      <c r="D3001" s="105">
        <v>0</v>
      </c>
      <c r="E3001" s="124">
        <f ca="1">OFFSET(INDEX(Composições!A:J,MATCH(Orçamentária!A3001,Composições!A:A,0),8),2,0)</f>
        <v>8.4740000000000002</v>
      </c>
      <c r="F3001" s="125">
        <f t="shared" ca="1" si="159"/>
        <v>0</v>
      </c>
      <c r="G3001" s="126" t="e">
        <f>IF(A3001&lt;&gt;"",IF(AND(#REF!="Padrão",$H$4=#REF!),BDI!$B$17,IF(AND(#REF!="Padrão",$H$4=#REF!),BDI!#REF!,IF(AND(#REF!="Diferenciado",$H$4=#REF!),BDI!$E$17,IF(AND(#REF!="Diferenciado",$H$4=#REF!),BDI!#REF!,IF(#REF!="ZERO",0))))),"")</f>
        <v>#REF!</v>
      </c>
      <c r="H3001" s="127" t="e">
        <f t="shared" ca="1" si="160"/>
        <v>#REF!</v>
      </c>
      <c r="I3001" s="125" t="e">
        <f t="shared" ca="1" si="161"/>
        <v>#REF!</v>
      </c>
    </row>
    <row r="3002" spans="1:9" hidden="1" x14ac:dyDescent="0.25">
      <c r="A3002" s="103" t="s">
        <v>7308</v>
      </c>
      <c r="B3002" s="104" t="s">
        <v>7309</v>
      </c>
      <c r="C3002" s="105" t="s">
        <v>20</v>
      </c>
      <c r="D3002" s="105">
        <v>0</v>
      </c>
      <c r="E3002" s="124">
        <f ca="1">OFFSET(INDEX(Composições!A:J,MATCH(Orçamentária!A3002,Composições!A:A,0),8),2,0)</f>
        <v>34.295000000000002</v>
      </c>
      <c r="F3002" s="125">
        <f t="shared" ca="1" si="159"/>
        <v>0</v>
      </c>
      <c r="G3002" s="126" t="e">
        <f>IF(A3002&lt;&gt;"",IF(AND(#REF!="Padrão",$H$4=#REF!),BDI!$B$17,IF(AND(#REF!="Padrão",$H$4=#REF!),BDI!#REF!,IF(AND(#REF!="Diferenciado",$H$4=#REF!),BDI!$E$17,IF(AND(#REF!="Diferenciado",$H$4=#REF!),BDI!#REF!,IF(#REF!="ZERO",0))))),"")</f>
        <v>#REF!</v>
      </c>
      <c r="H3002" s="127" t="e">
        <f t="shared" ca="1" si="160"/>
        <v>#REF!</v>
      </c>
      <c r="I3002" s="125" t="e">
        <f t="shared" ca="1" si="161"/>
        <v>#REF!</v>
      </c>
    </row>
    <row r="3003" spans="1:9" hidden="1" x14ac:dyDescent="0.25">
      <c r="A3003" s="103" t="s">
        <v>7310</v>
      </c>
      <c r="B3003" s="104" t="s">
        <v>7311</v>
      </c>
      <c r="C3003" s="105" t="s">
        <v>20</v>
      </c>
      <c r="D3003" s="105">
        <v>0</v>
      </c>
      <c r="E3003" s="124">
        <f ca="1">OFFSET(INDEX(Composições!A:J,MATCH(Orçamentária!A3003,Composições!A:A,0),8),2,0)</f>
        <v>5.8425000000000002</v>
      </c>
      <c r="F3003" s="125">
        <f t="shared" ca="1" si="159"/>
        <v>0</v>
      </c>
      <c r="G3003" s="126" t="e">
        <f>IF(A3003&lt;&gt;"",IF(AND(#REF!="Padrão",$H$4=#REF!),BDI!$B$17,IF(AND(#REF!="Padrão",$H$4=#REF!),BDI!#REF!,IF(AND(#REF!="Diferenciado",$H$4=#REF!),BDI!$E$17,IF(AND(#REF!="Diferenciado",$H$4=#REF!),BDI!#REF!,IF(#REF!="ZERO",0))))),"")</f>
        <v>#REF!</v>
      </c>
      <c r="H3003" s="127" t="e">
        <f t="shared" ca="1" si="160"/>
        <v>#REF!</v>
      </c>
      <c r="I3003" s="125" t="e">
        <f t="shared" ca="1" si="161"/>
        <v>#REF!</v>
      </c>
    </row>
    <row r="3004" spans="1:9" hidden="1" x14ac:dyDescent="0.25">
      <c r="A3004" s="103" t="s">
        <v>7312</v>
      </c>
      <c r="B3004" s="104" t="s">
        <v>7313</v>
      </c>
      <c r="C3004" s="105" t="s">
        <v>20</v>
      </c>
      <c r="D3004" s="105">
        <v>0</v>
      </c>
      <c r="E3004" s="124">
        <f ca="1">OFFSET(INDEX(Composições!A:J,MATCH(Orçamentária!A3004,Composições!A:A,0),8),2,0)</f>
        <v>3.8569999999999993</v>
      </c>
      <c r="F3004" s="125">
        <f t="shared" ca="1" si="159"/>
        <v>0</v>
      </c>
      <c r="G3004" s="126" t="e">
        <f>IF(A3004&lt;&gt;"",IF(AND(#REF!="Padrão",$H$4=#REF!),BDI!$B$17,IF(AND(#REF!="Padrão",$H$4=#REF!),BDI!#REF!,IF(AND(#REF!="Diferenciado",$H$4=#REF!),BDI!$E$17,IF(AND(#REF!="Diferenciado",$H$4=#REF!),BDI!#REF!,IF(#REF!="ZERO",0))))),"")</f>
        <v>#REF!</v>
      </c>
      <c r="H3004" s="127" t="e">
        <f t="shared" ca="1" si="160"/>
        <v>#REF!</v>
      </c>
      <c r="I3004" s="125" t="e">
        <f t="shared" ca="1" si="161"/>
        <v>#REF!</v>
      </c>
    </row>
    <row r="3005" spans="1:9" hidden="1" x14ac:dyDescent="0.25">
      <c r="A3005" s="103" t="s">
        <v>7314</v>
      </c>
      <c r="B3005" s="104" t="s">
        <v>7315</v>
      </c>
      <c r="C3005" s="105" t="s">
        <v>20</v>
      </c>
      <c r="D3005" s="105">
        <v>0</v>
      </c>
      <c r="E3005" s="124" t="s">
        <v>523</v>
      </c>
      <c r="F3005" s="125" t="str">
        <f t="shared" si="159"/>
        <v/>
      </c>
      <c r="G3005" s="126" t="e">
        <f>IF(A3005&lt;&gt;"",IF(AND(#REF!="Padrão",$H$4=#REF!),BDI!$B$17,IF(AND(#REF!="Padrão",$H$4=#REF!),BDI!#REF!,IF(AND(#REF!="Diferenciado",$H$4=#REF!),BDI!$E$17,IF(AND(#REF!="Diferenciado",$H$4=#REF!),BDI!#REF!,IF(#REF!="ZERO",0))))),"")</f>
        <v>#REF!</v>
      </c>
      <c r="H3005" s="127" t="str">
        <f t="shared" si="160"/>
        <v/>
      </c>
      <c r="I3005" s="125" t="str">
        <f t="shared" si="161"/>
        <v/>
      </c>
    </row>
    <row r="3006" spans="1:9" hidden="1" x14ac:dyDescent="0.25">
      <c r="A3006" s="103" t="s">
        <v>7316</v>
      </c>
      <c r="B3006" s="104" t="s">
        <v>7317</v>
      </c>
      <c r="C3006" s="105" t="s">
        <v>20</v>
      </c>
      <c r="D3006" s="105">
        <v>0</v>
      </c>
      <c r="E3006" s="124" t="s">
        <v>523</v>
      </c>
      <c r="F3006" s="125" t="str">
        <f t="shared" si="159"/>
        <v/>
      </c>
      <c r="G3006" s="126" t="e">
        <f>IF(A3006&lt;&gt;"",IF(AND(#REF!="Padrão",$H$4=#REF!),BDI!$B$17,IF(AND(#REF!="Padrão",$H$4=#REF!),BDI!#REF!,IF(AND(#REF!="Diferenciado",$H$4=#REF!),BDI!$E$17,IF(AND(#REF!="Diferenciado",$H$4=#REF!),BDI!#REF!,IF(#REF!="ZERO",0))))),"")</f>
        <v>#REF!</v>
      </c>
      <c r="H3006" s="127" t="str">
        <f t="shared" si="160"/>
        <v/>
      </c>
      <c r="I3006" s="125" t="str">
        <f t="shared" si="161"/>
        <v/>
      </c>
    </row>
    <row r="3007" spans="1:9" hidden="1" x14ac:dyDescent="0.25">
      <c r="A3007" s="103" t="s">
        <v>7318</v>
      </c>
      <c r="B3007" s="104" t="s">
        <v>7319</v>
      </c>
      <c r="C3007" s="105" t="s">
        <v>20</v>
      </c>
      <c r="D3007" s="105">
        <v>0</v>
      </c>
      <c r="E3007" s="124" t="s">
        <v>523</v>
      </c>
      <c r="F3007" s="125" t="str">
        <f t="shared" si="159"/>
        <v/>
      </c>
      <c r="G3007" s="126" t="e">
        <f>IF(A3007&lt;&gt;"",IF(AND(#REF!="Padrão",$H$4=#REF!),BDI!$B$17,IF(AND(#REF!="Padrão",$H$4=#REF!),BDI!#REF!,IF(AND(#REF!="Diferenciado",$H$4=#REF!),BDI!$E$17,IF(AND(#REF!="Diferenciado",$H$4=#REF!),BDI!#REF!,IF(#REF!="ZERO",0))))),"")</f>
        <v>#REF!</v>
      </c>
      <c r="H3007" s="127" t="str">
        <f t="shared" si="160"/>
        <v/>
      </c>
      <c r="I3007" s="125" t="str">
        <f t="shared" si="161"/>
        <v/>
      </c>
    </row>
    <row r="3008" spans="1:9" hidden="1" x14ac:dyDescent="0.25">
      <c r="A3008" s="103" t="s">
        <v>7320</v>
      </c>
      <c r="B3008" s="104" t="s">
        <v>7321</v>
      </c>
      <c r="C3008" s="105" t="s">
        <v>20</v>
      </c>
      <c r="D3008" s="105">
        <v>0</v>
      </c>
      <c r="E3008" s="124" t="s">
        <v>523</v>
      </c>
      <c r="F3008" s="125" t="str">
        <f t="shared" si="159"/>
        <v/>
      </c>
      <c r="G3008" s="126" t="e">
        <f>IF(A3008&lt;&gt;"",IF(AND(#REF!="Padrão",$H$4=#REF!),BDI!$B$17,IF(AND(#REF!="Padrão",$H$4=#REF!),BDI!#REF!,IF(AND(#REF!="Diferenciado",$H$4=#REF!),BDI!$E$17,IF(AND(#REF!="Diferenciado",$H$4=#REF!),BDI!#REF!,IF(#REF!="ZERO",0))))),"")</f>
        <v>#REF!</v>
      </c>
      <c r="H3008" s="127" t="str">
        <f t="shared" si="160"/>
        <v/>
      </c>
      <c r="I3008" s="125" t="str">
        <f t="shared" si="161"/>
        <v/>
      </c>
    </row>
    <row r="3009" spans="1:9" hidden="1" x14ac:dyDescent="0.25">
      <c r="A3009" s="103" t="s">
        <v>7322</v>
      </c>
      <c r="B3009" s="104" t="s">
        <v>7323</v>
      </c>
      <c r="C3009" s="105" t="s">
        <v>20</v>
      </c>
      <c r="D3009" s="105">
        <v>0</v>
      </c>
      <c r="E3009" s="124" t="s">
        <v>523</v>
      </c>
      <c r="F3009" s="125" t="str">
        <f t="shared" si="159"/>
        <v/>
      </c>
      <c r="G3009" s="126" t="e">
        <f>IF(A3009&lt;&gt;"",IF(AND(#REF!="Padrão",$H$4=#REF!),BDI!$B$17,IF(AND(#REF!="Padrão",$H$4=#REF!),BDI!#REF!,IF(AND(#REF!="Diferenciado",$H$4=#REF!),BDI!$E$17,IF(AND(#REF!="Diferenciado",$H$4=#REF!),BDI!#REF!,IF(#REF!="ZERO",0))))),"")</f>
        <v>#REF!</v>
      </c>
      <c r="H3009" s="127" t="str">
        <f t="shared" si="160"/>
        <v/>
      </c>
      <c r="I3009" s="125" t="str">
        <f t="shared" si="161"/>
        <v/>
      </c>
    </row>
    <row r="3010" spans="1:9" hidden="1" x14ac:dyDescent="0.25">
      <c r="A3010" s="103" t="s">
        <v>7324</v>
      </c>
      <c r="B3010" s="104" t="s">
        <v>7325</v>
      </c>
      <c r="C3010" s="105" t="s">
        <v>20</v>
      </c>
      <c r="D3010" s="105">
        <v>0</v>
      </c>
      <c r="E3010" s="124" t="s">
        <v>523</v>
      </c>
      <c r="F3010" s="125" t="str">
        <f t="shared" si="159"/>
        <v/>
      </c>
      <c r="G3010" s="126" t="e">
        <f>IF(A3010&lt;&gt;"",IF(AND(#REF!="Padrão",$H$4=#REF!),BDI!$B$17,IF(AND(#REF!="Padrão",$H$4=#REF!),BDI!#REF!,IF(AND(#REF!="Diferenciado",$H$4=#REF!),BDI!$E$17,IF(AND(#REF!="Diferenciado",$H$4=#REF!),BDI!#REF!,IF(#REF!="ZERO",0))))),"")</f>
        <v>#REF!</v>
      </c>
      <c r="H3010" s="127" t="str">
        <f t="shared" si="160"/>
        <v/>
      </c>
      <c r="I3010" s="125" t="str">
        <f t="shared" si="161"/>
        <v/>
      </c>
    </row>
    <row r="3011" spans="1:9" hidden="1" x14ac:dyDescent="0.25">
      <c r="A3011" s="103" t="s">
        <v>7326</v>
      </c>
      <c r="B3011" s="104" t="s">
        <v>7327</v>
      </c>
      <c r="C3011" s="105" t="s">
        <v>20</v>
      </c>
      <c r="D3011" s="105">
        <v>0</v>
      </c>
      <c r="E3011" s="124">
        <f ca="1">OFFSET(INDEX(Composições!A:J,MATCH(Orçamentária!A3011,Composições!A:A,0),8),2,0)</f>
        <v>4.1989999999999998</v>
      </c>
      <c r="F3011" s="125">
        <f t="shared" ca="1" si="159"/>
        <v>0</v>
      </c>
      <c r="G3011" s="126" t="e">
        <f>IF(A3011&lt;&gt;"",IF(AND(#REF!="Padrão",$H$4=#REF!),BDI!$B$17,IF(AND(#REF!="Padrão",$H$4=#REF!),BDI!#REF!,IF(AND(#REF!="Diferenciado",$H$4=#REF!),BDI!$E$17,IF(AND(#REF!="Diferenciado",$H$4=#REF!),BDI!#REF!,IF(#REF!="ZERO",0))))),"")</f>
        <v>#REF!</v>
      </c>
      <c r="H3011" s="127" t="e">
        <f t="shared" ca="1" si="160"/>
        <v>#REF!</v>
      </c>
      <c r="I3011" s="125" t="e">
        <f t="shared" ca="1" si="161"/>
        <v>#REF!</v>
      </c>
    </row>
    <row r="3012" spans="1:9" hidden="1" x14ac:dyDescent="0.25">
      <c r="A3012" s="103" t="s">
        <v>7328</v>
      </c>
      <c r="B3012" s="104" t="s">
        <v>7329</v>
      </c>
      <c r="C3012" s="105" t="s">
        <v>20</v>
      </c>
      <c r="D3012" s="105">
        <v>0</v>
      </c>
      <c r="E3012" s="124">
        <f ca="1">OFFSET(INDEX(Composições!A:J,MATCH(Orçamentária!A3012,Composições!A:A,0),8),2,0)</f>
        <v>8.8539999999999992</v>
      </c>
      <c r="F3012" s="125">
        <f t="shared" ca="1" si="159"/>
        <v>0</v>
      </c>
      <c r="G3012" s="126" t="e">
        <f>IF(A3012&lt;&gt;"",IF(AND(#REF!="Padrão",$H$4=#REF!),BDI!$B$17,IF(AND(#REF!="Padrão",$H$4=#REF!),BDI!#REF!,IF(AND(#REF!="Diferenciado",$H$4=#REF!),BDI!$E$17,IF(AND(#REF!="Diferenciado",$H$4=#REF!),BDI!#REF!,IF(#REF!="ZERO",0))))),"")</f>
        <v>#REF!</v>
      </c>
      <c r="H3012" s="127" t="e">
        <f t="shared" ca="1" si="160"/>
        <v>#REF!</v>
      </c>
      <c r="I3012" s="125" t="e">
        <f t="shared" ca="1" si="161"/>
        <v>#REF!</v>
      </c>
    </row>
    <row r="3013" spans="1:9" hidden="1" x14ac:dyDescent="0.25">
      <c r="A3013" s="103" t="s">
        <v>7330</v>
      </c>
      <c r="B3013" s="104" t="s">
        <v>7331</v>
      </c>
      <c r="C3013" s="105" t="s">
        <v>20</v>
      </c>
      <c r="D3013" s="105">
        <v>0</v>
      </c>
      <c r="E3013" s="124">
        <f ca="1">OFFSET(INDEX(Composições!A:J,MATCH(Orçamentária!A3013,Composições!A:A,0),8),2,0)</f>
        <v>29.222000000000001</v>
      </c>
      <c r="F3013" s="125">
        <f t="shared" ca="1" si="159"/>
        <v>0</v>
      </c>
      <c r="G3013" s="126" t="e">
        <f>IF(A3013&lt;&gt;"",IF(AND(#REF!="Padrão",$H$4=#REF!),BDI!$B$17,IF(AND(#REF!="Padrão",$H$4=#REF!),BDI!#REF!,IF(AND(#REF!="Diferenciado",$H$4=#REF!),BDI!$E$17,IF(AND(#REF!="Diferenciado",$H$4=#REF!),BDI!#REF!,IF(#REF!="ZERO",0))))),"")</f>
        <v>#REF!</v>
      </c>
      <c r="H3013" s="127" t="e">
        <f t="shared" ca="1" si="160"/>
        <v>#REF!</v>
      </c>
      <c r="I3013" s="125" t="e">
        <f t="shared" ca="1" si="161"/>
        <v>#REF!</v>
      </c>
    </row>
    <row r="3014" spans="1:9" hidden="1" x14ac:dyDescent="0.25">
      <c r="A3014" s="103" t="s">
        <v>7332</v>
      </c>
      <c r="B3014" s="104" t="s">
        <v>7333</v>
      </c>
      <c r="C3014" s="105" t="s">
        <v>20</v>
      </c>
      <c r="D3014" s="105">
        <v>0</v>
      </c>
      <c r="E3014" s="124">
        <f ca="1">OFFSET(INDEX(Composições!A:J,MATCH(Orçamentária!A3014,Composições!A:A,0),8),2,0)</f>
        <v>36.128500000000003</v>
      </c>
      <c r="F3014" s="125">
        <f t="shared" ca="1" si="159"/>
        <v>0</v>
      </c>
      <c r="G3014" s="126" t="e">
        <f>IF(A3014&lt;&gt;"",IF(AND(#REF!="Padrão",$H$4=#REF!),BDI!$B$17,IF(AND(#REF!="Padrão",$H$4=#REF!),BDI!#REF!,IF(AND(#REF!="Diferenciado",$H$4=#REF!),BDI!$E$17,IF(AND(#REF!="Diferenciado",$H$4=#REF!),BDI!#REF!,IF(#REF!="ZERO",0))))),"")</f>
        <v>#REF!</v>
      </c>
      <c r="H3014" s="127" t="e">
        <f t="shared" ca="1" si="160"/>
        <v>#REF!</v>
      </c>
      <c r="I3014" s="125" t="e">
        <f t="shared" ca="1" si="161"/>
        <v>#REF!</v>
      </c>
    </row>
    <row r="3015" spans="1:9" hidden="1" x14ac:dyDescent="0.25">
      <c r="A3015" s="103" t="s">
        <v>7334</v>
      </c>
      <c r="B3015" s="104" t="s">
        <v>7335</v>
      </c>
      <c r="C3015" s="105" t="s">
        <v>20</v>
      </c>
      <c r="D3015" s="105">
        <v>0</v>
      </c>
      <c r="E3015" s="124" t="s">
        <v>523</v>
      </c>
      <c r="F3015" s="125" t="str">
        <f t="shared" si="159"/>
        <v/>
      </c>
      <c r="G3015" s="126" t="e">
        <f>IF(A3015&lt;&gt;"",IF(AND(#REF!="Padrão",$H$4=#REF!),BDI!$B$17,IF(AND(#REF!="Padrão",$H$4=#REF!),BDI!#REF!,IF(AND(#REF!="Diferenciado",$H$4=#REF!),BDI!$E$17,IF(AND(#REF!="Diferenciado",$H$4=#REF!),BDI!#REF!,IF(#REF!="ZERO",0))))),"")</f>
        <v>#REF!</v>
      </c>
      <c r="H3015" s="127" t="str">
        <f t="shared" si="160"/>
        <v/>
      </c>
      <c r="I3015" s="125" t="str">
        <f t="shared" si="161"/>
        <v/>
      </c>
    </row>
    <row r="3016" spans="1:9" hidden="1" x14ac:dyDescent="0.25">
      <c r="A3016" s="103" t="s">
        <v>7336</v>
      </c>
      <c r="B3016" s="104" t="s">
        <v>7337</v>
      </c>
      <c r="C3016" s="105" t="s">
        <v>20</v>
      </c>
      <c r="D3016" s="105">
        <v>0</v>
      </c>
      <c r="E3016" s="124" t="s">
        <v>523</v>
      </c>
      <c r="F3016" s="125" t="str">
        <f t="shared" si="159"/>
        <v/>
      </c>
      <c r="G3016" s="126" t="e">
        <f>IF(A3016&lt;&gt;"",IF(AND(#REF!="Padrão",$H$4=#REF!),BDI!$B$17,IF(AND(#REF!="Padrão",$H$4=#REF!),BDI!#REF!,IF(AND(#REF!="Diferenciado",$H$4=#REF!),BDI!$E$17,IF(AND(#REF!="Diferenciado",$H$4=#REF!),BDI!#REF!,IF(#REF!="ZERO",0))))),"")</f>
        <v>#REF!</v>
      </c>
      <c r="H3016" s="127" t="str">
        <f t="shared" si="160"/>
        <v/>
      </c>
      <c r="I3016" s="125" t="str">
        <f t="shared" si="161"/>
        <v/>
      </c>
    </row>
    <row r="3017" spans="1:9" hidden="1" x14ac:dyDescent="0.25">
      <c r="A3017" s="103" t="s">
        <v>7338</v>
      </c>
      <c r="B3017" s="104" t="s">
        <v>7339</v>
      </c>
      <c r="C3017" s="105" t="s">
        <v>20</v>
      </c>
      <c r="D3017" s="105">
        <v>0</v>
      </c>
      <c r="E3017" s="124" t="s">
        <v>523</v>
      </c>
      <c r="F3017" s="125" t="str">
        <f t="shared" si="159"/>
        <v/>
      </c>
      <c r="G3017" s="126" t="e">
        <f>IF(A3017&lt;&gt;"",IF(AND(#REF!="Padrão",$H$4=#REF!),BDI!$B$17,IF(AND(#REF!="Padrão",$H$4=#REF!),BDI!#REF!,IF(AND(#REF!="Diferenciado",$H$4=#REF!),BDI!$E$17,IF(AND(#REF!="Diferenciado",$H$4=#REF!),BDI!#REF!,IF(#REF!="ZERO",0))))),"")</f>
        <v>#REF!</v>
      </c>
      <c r="H3017" s="127" t="str">
        <f t="shared" si="160"/>
        <v/>
      </c>
      <c r="I3017" s="125" t="str">
        <f t="shared" si="161"/>
        <v/>
      </c>
    </row>
    <row r="3018" spans="1:9" hidden="1" x14ac:dyDescent="0.25">
      <c r="A3018" s="103" t="s">
        <v>7340</v>
      </c>
      <c r="B3018" s="104" t="s">
        <v>7341</v>
      </c>
      <c r="C3018" s="105" t="s">
        <v>93</v>
      </c>
      <c r="D3018" s="105">
        <v>0</v>
      </c>
      <c r="E3018" s="124">
        <f ca="1">OFFSET(INDEX(Composições!A:J,MATCH(Orçamentária!A3018,Composições!A:A,0),8),2,0)</f>
        <v>10.801499999999999</v>
      </c>
      <c r="F3018" s="125">
        <f t="shared" ca="1" si="159"/>
        <v>0</v>
      </c>
      <c r="G3018" s="126" t="e">
        <f>IF(A3018&lt;&gt;"",IF(AND(#REF!="Padrão",$H$4=#REF!),BDI!$B$17,IF(AND(#REF!="Padrão",$H$4=#REF!),BDI!#REF!,IF(AND(#REF!="Diferenciado",$H$4=#REF!),BDI!$E$17,IF(AND(#REF!="Diferenciado",$H$4=#REF!),BDI!#REF!,IF(#REF!="ZERO",0))))),"")</f>
        <v>#REF!</v>
      </c>
      <c r="H3018" s="127" t="e">
        <f t="shared" ca="1" si="160"/>
        <v>#REF!</v>
      </c>
      <c r="I3018" s="125" t="e">
        <f t="shared" ca="1" si="161"/>
        <v>#REF!</v>
      </c>
    </row>
    <row r="3019" spans="1:9" hidden="1" x14ac:dyDescent="0.25">
      <c r="A3019" s="103" t="s">
        <v>7342</v>
      </c>
      <c r="B3019" s="104" t="s">
        <v>7343</v>
      </c>
      <c r="C3019" s="105" t="s">
        <v>93</v>
      </c>
      <c r="D3019" s="105">
        <v>0</v>
      </c>
      <c r="E3019" s="124">
        <f ca="1">OFFSET(INDEX(Composições!A:J,MATCH(Orçamentária!A3019,Composições!A:A,0),8),2,0)</f>
        <v>13.470999999999998</v>
      </c>
      <c r="F3019" s="125">
        <f t="shared" ca="1" si="159"/>
        <v>0</v>
      </c>
      <c r="G3019" s="126" t="e">
        <f>IF(A3019&lt;&gt;"",IF(AND(#REF!="Padrão",$H$4=#REF!),BDI!$B$17,IF(AND(#REF!="Padrão",$H$4=#REF!),BDI!#REF!,IF(AND(#REF!="Diferenciado",$H$4=#REF!),BDI!$E$17,IF(AND(#REF!="Diferenciado",$H$4=#REF!),BDI!#REF!,IF(#REF!="ZERO",0))))),"")</f>
        <v>#REF!</v>
      </c>
      <c r="H3019" s="127" t="e">
        <f t="shared" ca="1" si="160"/>
        <v>#REF!</v>
      </c>
      <c r="I3019" s="125" t="e">
        <f t="shared" ca="1" si="161"/>
        <v>#REF!</v>
      </c>
    </row>
    <row r="3020" spans="1:9" hidden="1" x14ac:dyDescent="0.25">
      <c r="A3020" s="103" t="s">
        <v>7344</v>
      </c>
      <c r="B3020" s="104" t="s">
        <v>7345</v>
      </c>
      <c r="C3020" s="105" t="s">
        <v>20</v>
      </c>
      <c r="D3020" s="105">
        <v>0</v>
      </c>
      <c r="E3020" s="124">
        <f ca="1">OFFSET(INDEX(Composições!A:J,MATCH(Orçamentária!A3020,Composições!A:A,0),8),2,0)</f>
        <v>31.758499999999998</v>
      </c>
      <c r="F3020" s="125">
        <f t="shared" ca="1" si="159"/>
        <v>0</v>
      </c>
      <c r="G3020" s="126" t="e">
        <f>IF(A3020&lt;&gt;"",IF(AND(#REF!="Padrão",$H$4=#REF!),BDI!$B$17,IF(AND(#REF!="Padrão",$H$4=#REF!),BDI!#REF!,IF(AND(#REF!="Diferenciado",$H$4=#REF!),BDI!$E$17,IF(AND(#REF!="Diferenciado",$H$4=#REF!),BDI!#REF!,IF(#REF!="ZERO",0))))),"")</f>
        <v>#REF!</v>
      </c>
      <c r="H3020" s="127" t="e">
        <f t="shared" ca="1" si="160"/>
        <v>#REF!</v>
      </c>
      <c r="I3020" s="125" t="e">
        <f t="shared" ca="1" si="161"/>
        <v>#REF!</v>
      </c>
    </row>
    <row r="3021" spans="1:9" hidden="1" x14ac:dyDescent="0.25">
      <c r="A3021" s="103" t="s">
        <v>7346</v>
      </c>
      <c r="B3021" s="104" t="s">
        <v>7347</v>
      </c>
      <c r="C3021" s="105" t="s">
        <v>20</v>
      </c>
      <c r="D3021" s="105">
        <v>0</v>
      </c>
      <c r="E3021" s="124" t="s">
        <v>523</v>
      </c>
      <c r="F3021" s="125" t="str">
        <f t="shared" si="159"/>
        <v/>
      </c>
      <c r="G3021" s="126" t="e">
        <f>IF(A3021&lt;&gt;"",IF(AND(#REF!="Padrão",$H$4=#REF!),BDI!$B$17,IF(AND(#REF!="Padrão",$H$4=#REF!),BDI!#REF!,IF(AND(#REF!="Diferenciado",$H$4=#REF!),BDI!$E$17,IF(AND(#REF!="Diferenciado",$H$4=#REF!),BDI!#REF!,IF(#REF!="ZERO",0))))),"")</f>
        <v>#REF!</v>
      </c>
      <c r="H3021" s="127" t="str">
        <f t="shared" si="160"/>
        <v/>
      </c>
      <c r="I3021" s="125" t="str">
        <f t="shared" si="161"/>
        <v/>
      </c>
    </row>
    <row r="3022" spans="1:9" hidden="1" x14ac:dyDescent="0.25">
      <c r="A3022" s="103" t="s">
        <v>7348</v>
      </c>
      <c r="B3022" s="104" t="s">
        <v>7349</v>
      </c>
      <c r="C3022" s="105" t="s">
        <v>20</v>
      </c>
      <c r="D3022" s="105">
        <v>0</v>
      </c>
      <c r="E3022" s="124">
        <f ca="1">OFFSET(INDEX(Composições!A:J,MATCH(Orçamentária!A3022,Composições!A:A,0),8),2,0)</f>
        <v>9.1959999999999997</v>
      </c>
      <c r="F3022" s="125">
        <f t="shared" ca="1" si="159"/>
        <v>0</v>
      </c>
      <c r="G3022" s="126" t="e">
        <f>IF(A3022&lt;&gt;"",IF(AND(#REF!="Padrão",$H$4=#REF!),BDI!$B$17,IF(AND(#REF!="Padrão",$H$4=#REF!),BDI!#REF!,IF(AND(#REF!="Diferenciado",$H$4=#REF!),BDI!$E$17,IF(AND(#REF!="Diferenciado",$H$4=#REF!),BDI!#REF!,IF(#REF!="ZERO",0))))),"")</f>
        <v>#REF!</v>
      </c>
      <c r="H3022" s="127" t="e">
        <f t="shared" ca="1" si="160"/>
        <v>#REF!</v>
      </c>
      <c r="I3022" s="125" t="e">
        <f t="shared" ca="1" si="161"/>
        <v>#REF!</v>
      </c>
    </row>
    <row r="3023" spans="1:9" hidden="1" x14ac:dyDescent="0.25">
      <c r="A3023" s="103" t="s">
        <v>7350</v>
      </c>
      <c r="B3023" s="104" t="s">
        <v>7351</v>
      </c>
      <c r="C3023" s="105" t="s">
        <v>20</v>
      </c>
      <c r="D3023" s="105">
        <v>0</v>
      </c>
      <c r="E3023" s="124" t="s">
        <v>523</v>
      </c>
      <c r="F3023" s="125" t="str">
        <f t="shared" si="159"/>
        <v/>
      </c>
      <c r="G3023" s="126" t="e">
        <f>IF(A3023&lt;&gt;"",IF(AND(#REF!="Padrão",$H$4=#REF!),BDI!$B$17,IF(AND(#REF!="Padrão",$H$4=#REF!),BDI!#REF!,IF(AND(#REF!="Diferenciado",$H$4=#REF!),BDI!$E$17,IF(AND(#REF!="Diferenciado",$H$4=#REF!),BDI!#REF!,IF(#REF!="ZERO",0))))),"")</f>
        <v>#REF!</v>
      </c>
      <c r="H3023" s="127" t="str">
        <f t="shared" si="160"/>
        <v/>
      </c>
      <c r="I3023" s="125" t="str">
        <f t="shared" si="161"/>
        <v/>
      </c>
    </row>
    <row r="3024" spans="1:9" hidden="1" x14ac:dyDescent="0.25">
      <c r="A3024" s="103" t="s">
        <v>7352</v>
      </c>
      <c r="B3024" s="104" t="s">
        <v>7353</v>
      </c>
      <c r="C3024" s="105" t="s">
        <v>20</v>
      </c>
      <c r="D3024" s="105">
        <v>0</v>
      </c>
      <c r="E3024" s="124">
        <f ca="1">OFFSET(INDEX(Composições!A:J,MATCH(Orçamentária!A3024,Composições!A:A,0),8),2,0)</f>
        <v>14.772500000000001</v>
      </c>
      <c r="F3024" s="125">
        <f t="shared" ca="1" si="159"/>
        <v>0</v>
      </c>
      <c r="G3024" s="126" t="e">
        <f>IF(A3024&lt;&gt;"",IF(AND(#REF!="Padrão",$H$4=#REF!),BDI!$B$17,IF(AND(#REF!="Padrão",$H$4=#REF!),BDI!#REF!,IF(AND(#REF!="Diferenciado",$H$4=#REF!),BDI!$E$17,IF(AND(#REF!="Diferenciado",$H$4=#REF!),BDI!#REF!,IF(#REF!="ZERO",0))))),"")</f>
        <v>#REF!</v>
      </c>
      <c r="H3024" s="127" t="e">
        <f t="shared" ca="1" si="160"/>
        <v>#REF!</v>
      </c>
      <c r="I3024" s="125" t="e">
        <f t="shared" ca="1" si="161"/>
        <v>#REF!</v>
      </c>
    </row>
    <row r="3025" spans="1:9" hidden="1" x14ac:dyDescent="0.25">
      <c r="A3025" s="103" t="s">
        <v>7354</v>
      </c>
      <c r="B3025" s="104" t="s">
        <v>7355</v>
      </c>
      <c r="C3025" s="105" t="s">
        <v>20</v>
      </c>
      <c r="D3025" s="105">
        <v>0</v>
      </c>
      <c r="E3025" s="124">
        <f ca="1">OFFSET(INDEX(Composições!A:J,MATCH(Orçamentária!A3025,Composições!A:A,0),8),2,0)</f>
        <v>10.1175</v>
      </c>
      <c r="F3025" s="125">
        <f t="shared" ca="1" si="159"/>
        <v>0</v>
      </c>
      <c r="G3025" s="126" t="e">
        <f>IF(A3025&lt;&gt;"",IF(AND(#REF!="Padrão",$H$4=#REF!),BDI!$B$17,IF(AND(#REF!="Padrão",$H$4=#REF!),BDI!#REF!,IF(AND(#REF!="Diferenciado",$H$4=#REF!),BDI!$E$17,IF(AND(#REF!="Diferenciado",$H$4=#REF!),BDI!#REF!,IF(#REF!="ZERO",0))))),"")</f>
        <v>#REF!</v>
      </c>
      <c r="H3025" s="127" t="e">
        <f t="shared" ca="1" si="160"/>
        <v>#REF!</v>
      </c>
      <c r="I3025" s="125" t="e">
        <f t="shared" ca="1" si="161"/>
        <v>#REF!</v>
      </c>
    </row>
    <row r="3026" spans="1:9" hidden="1" x14ac:dyDescent="0.25">
      <c r="A3026" s="103" t="s">
        <v>7356</v>
      </c>
      <c r="B3026" s="104" t="s">
        <v>7357</v>
      </c>
      <c r="C3026" s="105" t="s">
        <v>20</v>
      </c>
      <c r="D3026" s="105">
        <v>0</v>
      </c>
      <c r="E3026" s="124">
        <f ca="1">OFFSET(INDEX(Composições!A:J,MATCH(Orçamentária!A3026,Composições!A:A,0),8),2,0)</f>
        <v>22.486499999999999</v>
      </c>
      <c r="F3026" s="125">
        <f t="shared" ca="1" si="159"/>
        <v>0</v>
      </c>
      <c r="G3026" s="126" t="e">
        <f>IF(A3026&lt;&gt;"",IF(AND(#REF!="Padrão",$H$4=#REF!),BDI!$B$17,IF(AND(#REF!="Padrão",$H$4=#REF!),BDI!#REF!,IF(AND(#REF!="Diferenciado",$H$4=#REF!),BDI!$E$17,IF(AND(#REF!="Diferenciado",$H$4=#REF!),BDI!#REF!,IF(#REF!="ZERO",0))))),"")</f>
        <v>#REF!</v>
      </c>
      <c r="H3026" s="127" t="e">
        <f t="shared" ca="1" si="160"/>
        <v>#REF!</v>
      </c>
      <c r="I3026" s="125" t="e">
        <f t="shared" ca="1" si="161"/>
        <v>#REF!</v>
      </c>
    </row>
    <row r="3027" spans="1:9" hidden="1" x14ac:dyDescent="0.25">
      <c r="A3027" s="103" t="s">
        <v>7358</v>
      </c>
      <c r="B3027" s="104" t="s">
        <v>7359</v>
      </c>
      <c r="C3027" s="105" t="s">
        <v>20</v>
      </c>
      <c r="D3027" s="105">
        <v>0</v>
      </c>
      <c r="E3027" s="124">
        <f ca="1">OFFSET(INDEX(Composições!A:J,MATCH(Orçamentária!A3027,Composições!A:A,0),8),2,0)</f>
        <v>257.04149999999998</v>
      </c>
      <c r="F3027" s="125">
        <f t="shared" ca="1" si="159"/>
        <v>0</v>
      </c>
      <c r="G3027" s="126" t="e">
        <f>IF(A3027&lt;&gt;"",IF(AND(#REF!="Padrão",$H$4=#REF!),BDI!$B$17,IF(AND(#REF!="Padrão",$H$4=#REF!),BDI!#REF!,IF(AND(#REF!="Diferenciado",$H$4=#REF!),BDI!$E$17,IF(AND(#REF!="Diferenciado",$H$4=#REF!),BDI!#REF!,IF(#REF!="ZERO",0))))),"")</f>
        <v>#REF!</v>
      </c>
      <c r="H3027" s="127" t="e">
        <f t="shared" ca="1" si="160"/>
        <v>#REF!</v>
      </c>
      <c r="I3027" s="125" t="e">
        <f t="shared" ca="1" si="161"/>
        <v>#REF!</v>
      </c>
    </row>
    <row r="3028" spans="1:9" hidden="1" x14ac:dyDescent="0.25">
      <c r="A3028" s="103" t="s">
        <v>7360</v>
      </c>
      <c r="B3028" s="104" t="s">
        <v>7361</v>
      </c>
      <c r="C3028" s="105" t="s">
        <v>20</v>
      </c>
      <c r="D3028" s="105">
        <v>0</v>
      </c>
      <c r="E3028" s="124">
        <f ca="1">OFFSET(INDEX(Composições!A:J,MATCH(Orçamentária!A3028,Composições!A:A,0),8),2,0)</f>
        <v>137.96849999999998</v>
      </c>
      <c r="F3028" s="125">
        <f t="shared" ca="1" si="159"/>
        <v>0</v>
      </c>
      <c r="G3028" s="126" t="e">
        <f>IF(A3028&lt;&gt;"",IF(AND(#REF!="Padrão",$H$4=#REF!),BDI!$B$17,IF(AND(#REF!="Padrão",$H$4=#REF!),BDI!#REF!,IF(AND(#REF!="Diferenciado",$H$4=#REF!),BDI!$E$17,IF(AND(#REF!="Diferenciado",$H$4=#REF!),BDI!#REF!,IF(#REF!="ZERO",0))))),"")</f>
        <v>#REF!</v>
      </c>
      <c r="H3028" s="127" t="e">
        <f t="shared" ca="1" si="160"/>
        <v>#REF!</v>
      </c>
      <c r="I3028" s="125" t="e">
        <f t="shared" ca="1" si="161"/>
        <v>#REF!</v>
      </c>
    </row>
    <row r="3029" spans="1:9" hidden="1" x14ac:dyDescent="0.25">
      <c r="A3029" s="103" t="s">
        <v>7362</v>
      </c>
      <c r="B3029" s="104" t="s">
        <v>7363</v>
      </c>
      <c r="C3029" s="105" t="s">
        <v>20</v>
      </c>
      <c r="D3029" s="105">
        <v>0</v>
      </c>
      <c r="E3029" s="124">
        <f ca="1">OFFSET(INDEX(Composições!A:J,MATCH(Orçamentária!A3029,Composições!A:A,0),8),2,0)</f>
        <v>406.30549999999999</v>
      </c>
      <c r="F3029" s="125">
        <f t="shared" ca="1" si="159"/>
        <v>0</v>
      </c>
      <c r="G3029" s="126" t="e">
        <f>IF(A3029&lt;&gt;"",IF(AND(#REF!="Padrão",$H$4=#REF!),BDI!$B$17,IF(AND(#REF!="Padrão",$H$4=#REF!),BDI!#REF!,IF(AND(#REF!="Diferenciado",$H$4=#REF!),BDI!$E$17,IF(AND(#REF!="Diferenciado",$H$4=#REF!),BDI!#REF!,IF(#REF!="ZERO",0))))),"")</f>
        <v>#REF!</v>
      </c>
      <c r="H3029" s="127" t="e">
        <f t="shared" ca="1" si="160"/>
        <v>#REF!</v>
      </c>
      <c r="I3029" s="125" t="e">
        <f t="shared" ca="1" si="161"/>
        <v>#REF!</v>
      </c>
    </row>
    <row r="3030" spans="1:9" hidden="1" x14ac:dyDescent="0.25">
      <c r="A3030" s="103" t="s">
        <v>7364</v>
      </c>
      <c r="B3030" s="104" t="s">
        <v>7365</v>
      </c>
      <c r="C3030" s="105" t="s">
        <v>20</v>
      </c>
      <c r="D3030" s="105">
        <v>0</v>
      </c>
      <c r="E3030" s="124">
        <f ca="1">OFFSET(INDEX(Composições!A:J,MATCH(Orçamentária!A3030,Composições!A:A,0),8),2,0)</f>
        <v>46.160499999999999</v>
      </c>
      <c r="F3030" s="125">
        <f t="shared" ca="1" si="159"/>
        <v>0</v>
      </c>
      <c r="G3030" s="126" t="e">
        <f>IF(A3030&lt;&gt;"",IF(AND(#REF!="Padrão",$H$4=#REF!),BDI!$B$17,IF(AND(#REF!="Padrão",$H$4=#REF!),BDI!#REF!,IF(AND(#REF!="Diferenciado",$H$4=#REF!),BDI!$E$17,IF(AND(#REF!="Diferenciado",$H$4=#REF!),BDI!#REF!,IF(#REF!="ZERO",0))))),"")</f>
        <v>#REF!</v>
      </c>
      <c r="H3030" s="127" t="e">
        <f t="shared" ca="1" si="160"/>
        <v>#REF!</v>
      </c>
      <c r="I3030" s="125" t="e">
        <f t="shared" ca="1" si="161"/>
        <v>#REF!</v>
      </c>
    </row>
    <row r="3031" spans="1:9" hidden="1" x14ac:dyDescent="0.25">
      <c r="A3031" s="103" t="s">
        <v>7366</v>
      </c>
      <c r="B3031" s="104" t="s">
        <v>7367</v>
      </c>
      <c r="C3031" s="105" t="s">
        <v>20</v>
      </c>
      <c r="D3031" s="105">
        <v>0</v>
      </c>
      <c r="E3031" s="124">
        <f ca="1">OFFSET(INDEX(Composições!A:J,MATCH(Orçamentária!A3031,Composições!A:A,0),8),2,0)</f>
        <v>12.5115</v>
      </c>
      <c r="F3031" s="125">
        <f t="shared" ref="F3031:F3094" ca="1" si="162">IF(ISNUMBER(E3031),D3031*E3031,"")</f>
        <v>0</v>
      </c>
      <c r="G3031" s="126" t="e">
        <f>IF(A3031&lt;&gt;"",IF(AND(#REF!="Padrão",$H$4=#REF!),BDI!$B$17,IF(AND(#REF!="Padrão",$H$4=#REF!),BDI!#REF!,IF(AND(#REF!="Diferenciado",$H$4=#REF!),BDI!$E$17,IF(AND(#REF!="Diferenciado",$H$4=#REF!),BDI!#REF!,IF(#REF!="ZERO",0))))),"")</f>
        <v>#REF!</v>
      </c>
      <c r="H3031" s="127" t="e">
        <f t="shared" ref="H3031:H3094" ca="1" si="163">IF(ISNUMBER(E3031),ROUND(E3031*(1+G3031),2),"")</f>
        <v>#REF!</v>
      </c>
      <c r="I3031" s="125" t="e">
        <f t="shared" ref="I3031:I3094" ca="1" si="164">IF(ISNUMBER(E3031),ROUND(H3031*D3031,2),"")</f>
        <v>#REF!</v>
      </c>
    </row>
    <row r="3032" spans="1:9" hidden="1" x14ac:dyDescent="0.25">
      <c r="A3032" s="103" t="s">
        <v>7368</v>
      </c>
      <c r="B3032" s="104" t="s">
        <v>7369</v>
      </c>
      <c r="C3032" s="105" t="s">
        <v>20</v>
      </c>
      <c r="D3032" s="105">
        <v>0</v>
      </c>
      <c r="E3032" s="124">
        <f ca="1">OFFSET(INDEX(Composições!A:J,MATCH(Orçamentária!A3032,Composições!A:A,0),8),2,0)</f>
        <v>19.788499999999999</v>
      </c>
      <c r="F3032" s="125">
        <f t="shared" ca="1" si="162"/>
        <v>0</v>
      </c>
      <c r="G3032" s="126" t="e">
        <f>IF(A3032&lt;&gt;"",IF(AND(#REF!="Padrão",$H$4=#REF!),BDI!$B$17,IF(AND(#REF!="Padrão",$H$4=#REF!),BDI!#REF!,IF(AND(#REF!="Diferenciado",$H$4=#REF!),BDI!$E$17,IF(AND(#REF!="Diferenciado",$H$4=#REF!),BDI!#REF!,IF(#REF!="ZERO",0))))),"")</f>
        <v>#REF!</v>
      </c>
      <c r="H3032" s="127" t="e">
        <f t="shared" ca="1" si="163"/>
        <v>#REF!</v>
      </c>
      <c r="I3032" s="125" t="e">
        <f t="shared" ca="1" si="164"/>
        <v>#REF!</v>
      </c>
    </row>
    <row r="3033" spans="1:9" ht="25.5" hidden="1" x14ac:dyDescent="0.25">
      <c r="A3033" s="103" t="s">
        <v>7370</v>
      </c>
      <c r="B3033" s="104" t="s">
        <v>7371</v>
      </c>
      <c r="C3033" s="105" t="s">
        <v>20</v>
      </c>
      <c r="D3033" s="105">
        <v>0</v>
      </c>
      <c r="E3033" s="124">
        <f ca="1">OFFSET(INDEX(Composições!A:J,MATCH(Orçamentária!A3033,Composições!A:A,0),8),2,0)</f>
        <v>68.989000000000004</v>
      </c>
      <c r="F3033" s="125">
        <f t="shared" ca="1" si="162"/>
        <v>0</v>
      </c>
      <c r="G3033" s="126" t="e">
        <f>IF(A3033&lt;&gt;"",IF(AND(#REF!="Padrão",$H$4=#REF!),BDI!$B$17,IF(AND(#REF!="Padrão",$H$4=#REF!),BDI!#REF!,IF(AND(#REF!="Diferenciado",$H$4=#REF!),BDI!$E$17,IF(AND(#REF!="Diferenciado",$H$4=#REF!),BDI!#REF!,IF(#REF!="ZERO",0))))),"")</f>
        <v>#REF!</v>
      </c>
      <c r="H3033" s="127" t="e">
        <f t="shared" ca="1" si="163"/>
        <v>#REF!</v>
      </c>
      <c r="I3033" s="125" t="e">
        <f t="shared" ca="1" si="164"/>
        <v>#REF!</v>
      </c>
    </row>
    <row r="3034" spans="1:9" ht="25.5" hidden="1" x14ac:dyDescent="0.25">
      <c r="A3034" s="103" t="s">
        <v>7372</v>
      </c>
      <c r="B3034" s="104" t="s">
        <v>7373</v>
      </c>
      <c r="C3034" s="105" t="s">
        <v>20</v>
      </c>
      <c r="D3034" s="105">
        <v>0</v>
      </c>
      <c r="E3034" s="124">
        <f ca="1">OFFSET(INDEX(Composições!A:J,MATCH(Orçamentária!A3034,Composições!A:A,0),8),2,0)</f>
        <v>92.482499999999987</v>
      </c>
      <c r="F3034" s="125">
        <f t="shared" ca="1" si="162"/>
        <v>0</v>
      </c>
      <c r="G3034" s="126" t="e">
        <f>IF(A3034&lt;&gt;"",IF(AND(#REF!="Padrão",$H$4=#REF!),BDI!$B$17,IF(AND(#REF!="Padrão",$H$4=#REF!),BDI!#REF!,IF(AND(#REF!="Diferenciado",$H$4=#REF!),BDI!$E$17,IF(AND(#REF!="Diferenciado",$H$4=#REF!),BDI!#REF!,IF(#REF!="ZERO",0))))),"")</f>
        <v>#REF!</v>
      </c>
      <c r="H3034" s="127" t="e">
        <f t="shared" ca="1" si="163"/>
        <v>#REF!</v>
      </c>
      <c r="I3034" s="125" t="e">
        <f t="shared" ca="1" si="164"/>
        <v>#REF!</v>
      </c>
    </row>
    <row r="3035" spans="1:9" hidden="1" x14ac:dyDescent="0.25">
      <c r="A3035" s="103" t="s">
        <v>7374</v>
      </c>
      <c r="B3035" s="104" t="s">
        <v>7375</v>
      </c>
      <c r="C3035" s="105" t="s">
        <v>20</v>
      </c>
      <c r="D3035" s="105">
        <v>0</v>
      </c>
      <c r="E3035" s="124">
        <f ca="1">OFFSET(INDEX(Composições!A:J,MATCH(Orçamentária!A3035,Composições!A:A,0),8),2,0)</f>
        <v>101.441</v>
      </c>
      <c r="F3035" s="125">
        <f t="shared" ca="1" si="162"/>
        <v>0</v>
      </c>
      <c r="G3035" s="126" t="e">
        <f>IF(A3035&lt;&gt;"",IF(AND(#REF!="Padrão",$H$4=#REF!),BDI!$B$17,IF(AND(#REF!="Padrão",$H$4=#REF!),BDI!#REF!,IF(AND(#REF!="Diferenciado",$H$4=#REF!),BDI!$E$17,IF(AND(#REF!="Diferenciado",$H$4=#REF!),BDI!#REF!,IF(#REF!="ZERO",0))))),"")</f>
        <v>#REF!</v>
      </c>
      <c r="H3035" s="127" t="e">
        <f t="shared" ca="1" si="163"/>
        <v>#REF!</v>
      </c>
      <c r="I3035" s="125" t="e">
        <f t="shared" ca="1" si="164"/>
        <v>#REF!</v>
      </c>
    </row>
    <row r="3036" spans="1:9" hidden="1" x14ac:dyDescent="0.25">
      <c r="A3036" s="103" t="s">
        <v>7376</v>
      </c>
      <c r="B3036" s="104" t="s">
        <v>7377</v>
      </c>
      <c r="C3036" s="105" t="s">
        <v>20</v>
      </c>
      <c r="D3036" s="105">
        <v>0</v>
      </c>
      <c r="E3036" s="124">
        <f ca="1">OFFSET(INDEX(Composições!A:J,MATCH(Orçamentária!A3036,Composições!A:A,0),8),2,0)</f>
        <v>260.01499999999999</v>
      </c>
      <c r="F3036" s="125">
        <f t="shared" ca="1" si="162"/>
        <v>0</v>
      </c>
      <c r="G3036" s="126" t="e">
        <f>IF(A3036&lt;&gt;"",IF(AND(#REF!="Padrão",$H$4=#REF!),BDI!$B$17,IF(AND(#REF!="Padrão",$H$4=#REF!),BDI!#REF!,IF(AND(#REF!="Diferenciado",$H$4=#REF!),BDI!$E$17,IF(AND(#REF!="Diferenciado",$H$4=#REF!),BDI!#REF!,IF(#REF!="ZERO",0))))),"")</f>
        <v>#REF!</v>
      </c>
      <c r="H3036" s="127" t="e">
        <f t="shared" ca="1" si="163"/>
        <v>#REF!</v>
      </c>
      <c r="I3036" s="125" t="e">
        <f t="shared" ca="1" si="164"/>
        <v>#REF!</v>
      </c>
    </row>
    <row r="3037" spans="1:9" hidden="1" x14ac:dyDescent="0.25">
      <c r="A3037" s="103" t="s">
        <v>7378</v>
      </c>
      <c r="B3037" s="104" t="s">
        <v>7379</v>
      </c>
      <c r="C3037" s="105" t="s">
        <v>20</v>
      </c>
      <c r="D3037" s="105">
        <v>0</v>
      </c>
      <c r="E3037" s="124">
        <f ca="1">OFFSET(INDEX(Composições!A:J,MATCH(Orçamentária!A3037,Composições!A:A,0),8),2,0)</f>
        <v>365.01850000000002</v>
      </c>
      <c r="F3037" s="125">
        <f t="shared" ca="1" si="162"/>
        <v>0</v>
      </c>
      <c r="G3037" s="126" t="e">
        <f>IF(A3037&lt;&gt;"",IF(AND(#REF!="Padrão",$H$4=#REF!),BDI!$B$17,IF(AND(#REF!="Padrão",$H$4=#REF!),BDI!#REF!,IF(AND(#REF!="Diferenciado",$H$4=#REF!),BDI!$E$17,IF(AND(#REF!="Diferenciado",$H$4=#REF!),BDI!#REF!,IF(#REF!="ZERO",0))))),"")</f>
        <v>#REF!</v>
      </c>
      <c r="H3037" s="127" t="e">
        <f t="shared" ca="1" si="163"/>
        <v>#REF!</v>
      </c>
      <c r="I3037" s="125" t="e">
        <f t="shared" ca="1" si="164"/>
        <v>#REF!</v>
      </c>
    </row>
    <row r="3038" spans="1:9" hidden="1" x14ac:dyDescent="0.25">
      <c r="A3038" s="103" t="s">
        <v>7380</v>
      </c>
      <c r="B3038" s="104" t="s">
        <v>7381</v>
      </c>
      <c r="C3038" s="105" t="s">
        <v>20</v>
      </c>
      <c r="D3038" s="105">
        <v>0</v>
      </c>
      <c r="E3038" s="124">
        <f ca="1">OFFSET(INDEX(Composições!A:J,MATCH(Orçamentária!A3038,Composições!A:A,0),8),2,0)</f>
        <v>33.126499999999993</v>
      </c>
      <c r="F3038" s="125">
        <f t="shared" ca="1" si="162"/>
        <v>0</v>
      </c>
      <c r="G3038" s="126" t="e">
        <f>IF(A3038&lt;&gt;"",IF(AND(#REF!="Padrão",$H$4=#REF!),BDI!$B$17,IF(AND(#REF!="Padrão",$H$4=#REF!),BDI!#REF!,IF(AND(#REF!="Diferenciado",$H$4=#REF!),BDI!$E$17,IF(AND(#REF!="Diferenciado",$H$4=#REF!),BDI!#REF!,IF(#REF!="ZERO",0))))),"")</f>
        <v>#REF!</v>
      </c>
      <c r="H3038" s="127" t="e">
        <f t="shared" ca="1" si="163"/>
        <v>#REF!</v>
      </c>
      <c r="I3038" s="125" t="e">
        <f t="shared" ca="1" si="164"/>
        <v>#REF!</v>
      </c>
    </row>
    <row r="3039" spans="1:9" ht="25.5" hidden="1" x14ac:dyDescent="0.25">
      <c r="A3039" s="103" t="s">
        <v>7382</v>
      </c>
      <c r="B3039" s="104" t="s">
        <v>7383</v>
      </c>
      <c r="C3039" s="105" t="s">
        <v>20</v>
      </c>
      <c r="D3039" s="105">
        <v>0</v>
      </c>
      <c r="E3039" s="124">
        <f ca="1">OFFSET(INDEX(Composições!A:J,MATCH(Orçamentária!A3039,Composições!A:A,0),8),2,0)</f>
        <v>167.83649999999997</v>
      </c>
      <c r="F3039" s="125">
        <f t="shared" ca="1" si="162"/>
        <v>0</v>
      </c>
      <c r="G3039" s="126" t="e">
        <f>IF(A3039&lt;&gt;"",IF(AND(#REF!="Padrão",$H$4=#REF!),BDI!$B$17,IF(AND(#REF!="Padrão",$H$4=#REF!),BDI!#REF!,IF(AND(#REF!="Diferenciado",$H$4=#REF!),BDI!$E$17,IF(AND(#REF!="Diferenciado",$H$4=#REF!),BDI!#REF!,IF(#REF!="ZERO",0))))),"")</f>
        <v>#REF!</v>
      </c>
      <c r="H3039" s="127" t="e">
        <f t="shared" ca="1" si="163"/>
        <v>#REF!</v>
      </c>
      <c r="I3039" s="125" t="e">
        <f t="shared" ca="1" si="164"/>
        <v>#REF!</v>
      </c>
    </row>
    <row r="3040" spans="1:9" hidden="1" x14ac:dyDescent="0.25">
      <c r="A3040" s="103" t="s">
        <v>7384</v>
      </c>
      <c r="B3040" s="104" t="s">
        <v>7385</v>
      </c>
      <c r="C3040" s="105" t="s">
        <v>20</v>
      </c>
      <c r="D3040" s="105">
        <v>0</v>
      </c>
      <c r="E3040" s="124">
        <f ca="1">OFFSET(INDEX(Composições!A:J,MATCH(Orçamentária!A3040,Composições!A:A,0),8),2,0)</f>
        <v>41.714499999999994</v>
      </c>
      <c r="F3040" s="125">
        <f t="shared" ca="1" si="162"/>
        <v>0</v>
      </c>
      <c r="G3040" s="126" t="e">
        <f>IF(A3040&lt;&gt;"",IF(AND(#REF!="Padrão",$H$4=#REF!),BDI!$B$17,IF(AND(#REF!="Padrão",$H$4=#REF!),BDI!#REF!,IF(AND(#REF!="Diferenciado",$H$4=#REF!),BDI!$E$17,IF(AND(#REF!="Diferenciado",$H$4=#REF!),BDI!#REF!,IF(#REF!="ZERO",0))))),"")</f>
        <v>#REF!</v>
      </c>
      <c r="H3040" s="127" t="e">
        <f t="shared" ca="1" si="163"/>
        <v>#REF!</v>
      </c>
      <c r="I3040" s="125" t="e">
        <f t="shared" ca="1" si="164"/>
        <v>#REF!</v>
      </c>
    </row>
    <row r="3041" spans="1:9" hidden="1" x14ac:dyDescent="0.25">
      <c r="A3041" s="103" t="s">
        <v>7386</v>
      </c>
      <c r="B3041" s="104" t="s">
        <v>7387</v>
      </c>
      <c r="C3041" s="105" t="s">
        <v>20</v>
      </c>
      <c r="D3041" s="105">
        <v>0</v>
      </c>
      <c r="E3041" s="124">
        <f ca="1">OFFSET(INDEX(Composições!A:J,MATCH(Orçamentária!A3041,Composições!A:A,0),8),2,0)</f>
        <v>9.386000000000001</v>
      </c>
      <c r="F3041" s="125">
        <f t="shared" ca="1" si="162"/>
        <v>0</v>
      </c>
      <c r="G3041" s="126" t="e">
        <f>IF(A3041&lt;&gt;"",IF(AND(#REF!="Padrão",$H$4=#REF!),BDI!$B$17,IF(AND(#REF!="Padrão",$H$4=#REF!),BDI!#REF!,IF(AND(#REF!="Diferenciado",$H$4=#REF!),BDI!$E$17,IF(AND(#REF!="Diferenciado",$H$4=#REF!),BDI!#REF!,IF(#REF!="ZERO",0))))),"")</f>
        <v>#REF!</v>
      </c>
      <c r="H3041" s="127" t="e">
        <f t="shared" ca="1" si="163"/>
        <v>#REF!</v>
      </c>
      <c r="I3041" s="125" t="e">
        <f t="shared" ca="1" si="164"/>
        <v>#REF!</v>
      </c>
    </row>
    <row r="3042" spans="1:9" hidden="1" x14ac:dyDescent="0.25">
      <c r="A3042" s="103" t="s">
        <v>7388</v>
      </c>
      <c r="B3042" s="104" t="s">
        <v>7389</v>
      </c>
      <c r="C3042" s="105" t="s">
        <v>20</v>
      </c>
      <c r="D3042" s="105">
        <v>0</v>
      </c>
      <c r="E3042" s="124">
        <f ca="1">OFFSET(INDEX(Composições!A:J,MATCH(Orçamentária!A3042,Composições!A:A,0),8),2,0)</f>
        <v>125.45699999999999</v>
      </c>
      <c r="F3042" s="125">
        <f t="shared" ca="1" si="162"/>
        <v>0</v>
      </c>
      <c r="G3042" s="126" t="e">
        <f>IF(A3042&lt;&gt;"",IF(AND(#REF!="Padrão",$H$4=#REF!),BDI!$B$17,IF(AND(#REF!="Padrão",$H$4=#REF!),BDI!#REF!,IF(AND(#REF!="Diferenciado",$H$4=#REF!),BDI!$E$17,IF(AND(#REF!="Diferenciado",$H$4=#REF!),BDI!#REF!,IF(#REF!="ZERO",0))))),"")</f>
        <v>#REF!</v>
      </c>
      <c r="H3042" s="127" t="e">
        <f t="shared" ca="1" si="163"/>
        <v>#REF!</v>
      </c>
      <c r="I3042" s="125" t="e">
        <f t="shared" ca="1" si="164"/>
        <v>#REF!</v>
      </c>
    </row>
    <row r="3043" spans="1:9" hidden="1" x14ac:dyDescent="0.25">
      <c r="A3043" s="103" t="s">
        <v>7390</v>
      </c>
      <c r="B3043" s="104" t="s">
        <v>7391</v>
      </c>
      <c r="C3043" s="105" t="s">
        <v>20</v>
      </c>
      <c r="D3043" s="105">
        <v>0</v>
      </c>
      <c r="E3043" s="124">
        <f ca="1">OFFSET(INDEX(Composições!A:J,MATCH(Orçamentária!A3043,Composições!A:A,0),8),2,0)</f>
        <v>66.072499999999991</v>
      </c>
      <c r="F3043" s="125">
        <f t="shared" ca="1" si="162"/>
        <v>0</v>
      </c>
      <c r="G3043" s="126" t="e">
        <f>IF(A3043&lt;&gt;"",IF(AND(#REF!="Padrão",$H$4=#REF!),BDI!$B$17,IF(AND(#REF!="Padrão",$H$4=#REF!),BDI!#REF!,IF(AND(#REF!="Diferenciado",$H$4=#REF!),BDI!$E$17,IF(AND(#REF!="Diferenciado",$H$4=#REF!),BDI!#REF!,IF(#REF!="ZERO",0))))),"")</f>
        <v>#REF!</v>
      </c>
      <c r="H3043" s="127" t="e">
        <f t="shared" ca="1" si="163"/>
        <v>#REF!</v>
      </c>
      <c r="I3043" s="125" t="e">
        <f t="shared" ca="1" si="164"/>
        <v>#REF!</v>
      </c>
    </row>
    <row r="3044" spans="1:9" hidden="1" x14ac:dyDescent="0.25">
      <c r="A3044" s="103" t="s">
        <v>7392</v>
      </c>
      <c r="B3044" s="104" t="s">
        <v>7393</v>
      </c>
      <c r="C3044" s="105" t="s">
        <v>20</v>
      </c>
      <c r="D3044" s="105">
        <v>0</v>
      </c>
      <c r="E3044" s="124">
        <f ca="1">OFFSET(INDEX(Composições!A:J,MATCH(Orçamentária!A3044,Composições!A:A,0),8),2,0)</f>
        <v>73.140499999999989</v>
      </c>
      <c r="F3044" s="125">
        <f t="shared" ca="1" si="162"/>
        <v>0</v>
      </c>
      <c r="G3044" s="126" t="e">
        <f>IF(A3044&lt;&gt;"",IF(AND(#REF!="Padrão",$H$4=#REF!),BDI!$B$17,IF(AND(#REF!="Padrão",$H$4=#REF!),BDI!#REF!,IF(AND(#REF!="Diferenciado",$H$4=#REF!),BDI!$E$17,IF(AND(#REF!="Diferenciado",$H$4=#REF!),BDI!#REF!,IF(#REF!="ZERO",0))))),"")</f>
        <v>#REF!</v>
      </c>
      <c r="H3044" s="127" t="e">
        <f t="shared" ca="1" si="163"/>
        <v>#REF!</v>
      </c>
      <c r="I3044" s="125" t="e">
        <f t="shared" ca="1" si="164"/>
        <v>#REF!</v>
      </c>
    </row>
    <row r="3045" spans="1:9" hidden="1" x14ac:dyDescent="0.25">
      <c r="A3045" s="103" t="s">
        <v>7394</v>
      </c>
      <c r="B3045" s="104" t="s">
        <v>7395</v>
      </c>
      <c r="C3045" s="105" t="s">
        <v>20</v>
      </c>
      <c r="D3045" s="105">
        <v>0</v>
      </c>
      <c r="E3045" s="124">
        <f ca="1">OFFSET(INDEX(Composições!A:J,MATCH(Orçamentária!A3045,Composições!A:A,0),8),2,0)</f>
        <v>4.9114999999999993</v>
      </c>
      <c r="F3045" s="125">
        <f t="shared" ca="1" si="162"/>
        <v>0</v>
      </c>
      <c r="G3045" s="126" t="e">
        <f>IF(A3045&lt;&gt;"",IF(AND(#REF!="Padrão",$H$4=#REF!),BDI!$B$17,IF(AND(#REF!="Padrão",$H$4=#REF!),BDI!#REF!,IF(AND(#REF!="Diferenciado",$H$4=#REF!),BDI!$E$17,IF(AND(#REF!="Diferenciado",$H$4=#REF!),BDI!#REF!,IF(#REF!="ZERO",0))))),"")</f>
        <v>#REF!</v>
      </c>
      <c r="H3045" s="127" t="e">
        <f t="shared" ca="1" si="163"/>
        <v>#REF!</v>
      </c>
      <c r="I3045" s="125" t="e">
        <f t="shared" ca="1" si="164"/>
        <v>#REF!</v>
      </c>
    </row>
    <row r="3046" spans="1:9" hidden="1" x14ac:dyDescent="0.25">
      <c r="A3046" s="103" t="s">
        <v>7396</v>
      </c>
      <c r="B3046" s="104" t="s">
        <v>7397</v>
      </c>
      <c r="C3046" s="105" t="s">
        <v>20</v>
      </c>
      <c r="D3046" s="105">
        <v>0</v>
      </c>
      <c r="E3046" s="124">
        <f ca="1">OFFSET(INDEX(Composições!A:J,MATCH(Orçamentária!A3046,Composições!A:A,0),8),2,0)</f>
        <v>9.0724999999999998</v>
      </c>
      <c r="F3046" s="125">
        <f t="shared" ca="1" si="162"/>
        <v>0</v>
      </c>
      <c r="G3046" s="126" t="e">
        <f>IF(A3046&lt;&gt;"",IF(AND(#REF!="Padrão",$H$4=#REF!),BDI!$B$17,IF(AND(#REF!="Padrão",$H$4=#REF!),BDI!#REF!,IF(AND(#REF!="Diferenciado",$H$4=#REF!),BDI!$E$17,IF(AND(#REF!="Diferenciado",$H$4=#REF!),BDI!#REF!,IF(#REF!="ZERO",0))))),"")</f>
        <v>#REF!</v>
      </c>
      <c r="H3046" s="127" t="e">
        <f t="shared" ca="1" si="163"/>
        <v>#REF!</v>
      </c>
      <c r="I3046" s="125" t="e">
        <f t="shared" ca="1" si="164"/>
        <v>#REF!</v>
      </c>
    </row>
    <row r="3047" spans="1:9" hidden="1" x14ac:dyDescent="0.25">
      <c r="A3047" s="103" t="s">
        <v>7398</v>
      </c>
      <c r="B3047" s="104" t="s">
        <v>7399</v>
      </c>
      <c r="C3047" s="105" t="s">
        <v>20</v>
      </c>
      <c r="D3047" s="105">
        <v>0</v>
      </c>
      <c r="E3047" s="124">
        <f ca="1">OFFSET(INDEX(Composições!A:J,MATCH(Orçamentária!A3047,Composições!A:A,0),8),2,0)</f>
        <v>2.3369999999999997</v>
      </c>
      <c r="F3047" s="125">
        <f t="shared" ca="1" si="162"/>
        <v>0</v>
      </c>
      <c r="G3047" s="126" t="e">
        <f>IF(A3047&lt;&gt;"",IF(AND(#REF!="Padrão",$H$4=#REF!),BDI!$B$17,IF(AND(#REF!="Padrão",$H$4=#REF!),BDI!#REF!,IF(AND(#REF!="Diferenciado",$H$4=#REF!),BDI!$E$17,IF(AND(#REF!="Diferenciado",$H$4=#REF!),BDI!#REF!,IF(#REF!="ZERO",0))))),"")</f>
        <v>#REF!</v>
      </c>
      <c r="H3047" s="127" t="e">
        <f t="shared" ca="1" si="163"/>
        <v>#REF!</v>
      </c>
      <c r="I3047" s="125" t="e">
        <f t="shared" ca="1" si="164"/>
        <v>#REF!</v>
      </c>
    </row>
    <row r="3048" spans="1:9" hidden="1" x14ac:dyDescent="0.25">
      <c r="A3048" s="103" t="s">
        <v>7400</v>
      </c>
      <c r="B3048" s="104" t="s">
        <v>7401</v>
      </c>
      <c r="C3048" s="105" t="s">
        <v>20</v>
      </c>
      <c r="D3048" s="105">
        <v>0</v>
      </c>
      <c r="E3048" s="124">
        <f ca="1">OFFSET(INDEX(Composições!A:J,MATCH(Orçamentária!A3048,Composições!A:A,0),8),2,0)</f>
        <v>4.75</v>
      </c>
      <c r="F3048" s="125">
        <f t="shared" ca="1" si="162"/>
        <v>0</v>
      </c>
      <c r="G3048" s="126" t="e">
        <f>IF(A3048&lt;&gt;"",IF(AND(#REF!="Padrão",$H$4=#REF!),BDI!$B$17,IF(AND(#REF!="Padrão",$H$4=#REF!),BDI!#REF!,IF(AND(#REF!="Diferenciado",$H$4=#REF!),BDI!$E$17,IF(AND(#REF!="Diferenciado",$H$4=#REF!),BDI!#REF!,IF(#REF!="ZERO",0))))),"")</f>
        <v>#REF!</v>
      </c>
      <c r="H3048" s="127" t="e">
        <f t="shared" ca="1" si="163"/>
        <v>#REF!</v>
      </c>
      <c r="I3048" s="125" t="e">
        <f t="shared" ca="1" si="164"/>
        <v>#REF!</v>
      </c>
    </row>
    <row r="3049" spans="1:9" hidden="1" x14ac:dyDescent="0.25">
      <c r="A3049" s="103" t="s">
        <v>7402</v>
      </c>
      <c r="B3049" s="104" t="s">
        <v>7403</v>
      </c>
      <c r="C3049" s="105" t="s">
        <v>20</v>
      </c>
      <c r="D3049" s="105">
        <v>0</v>
      </c>
      <c r="E3049" s="124">
        <f ca="1">OFFSET(INDEX(Composições!A:J,MATCH(Orçamentária!A3049,Composições!A:A,0),8),2,0)</f>
        <v>8.7874999999999996</v>
      </c>
      <c r="F3049" s="125">
        <f t="shared" ca="1" si="162"/>
        <v>0</v>
      </c>
      <c r="G3049" s="126" t="e">
        <f>IF(A3049&lt;&gt;"",IF(AND(#REF!="Padrão",$H$4=#REF!),BDI!$B$17,IF(AND(#REF!="Padrão",$H$4=#REF!),BDI!#REF!,IF(AND(#REF!="Diferenciado",$H$4=#REF!),BDI!$E$17,IF(AND(#REF!="Diferenciado",$H$4=#REF!),BDI!#REF!,IF(#REF!="ZERO",0))))),"")</f>
        <v>#REF!</v>
      </c>
      <c r="H3049" s="127" t="e">
        <f t="shared" ca="1" si="163"/>
        <v>#REF!</v>
      </c>
      <c r="I3049" s="125" t="e">
        <f t="shared" ca="1" si="164"/>
        <v>#REF!</v>
      </c>
    </row>
    <row r="3050" spans="1:9" hidden="1" x14ac:dyDescent="0.25">
      <c r="A3050" s="103" t="s">
        <v>7404</v>
      </c>
      <c r="B3050" s="104" t="s">
        <v>7405</v>
      </c>
      <c r="C3050" s="105" t="s">
        <v>20</v>
      </c>
      <c r="D3050" s="105">
        <v>0</v>
      </c>
      <c r="E3050" s="124">
        <f ca="1">OFFSET(INDEX(Composições!A:J,MATCH(Orçamentária!A3050,Composições!A:A,0),8),2,0)</f>
        <v>17.736499999999999</v>
      </c>
      <c r="F3050" s="125">
        <f t="shared" ca="1" si="162"/>
        <v>0</v>
      </c>
      <c r="G3050" s="126" t="e">
        <f>IF(A3050&lt;&gt;"",IF(AND(#REF!="Padrão",$H$4=#REF!),BDI!$B$17,IF(AND(#REF!="Padrão",$H$4=#REF!),BDI!#REF!,IF(AND(#REF!="Diferenciado",$H$4=#REF!),BDI!$E$17,IF(AND(#REF!="Diferenciado",$H$4=#REF!),BDI!#REF!,IF(#REF!="ZERO",0))))),"")</f>
        <v>#REF!</v>
      </c>
      <c r="H3050" s="127" t="e">
        <f t="shared" ca="1" si="163"/>
        <v>#REF!</v>
      </c>
      <c r="I3050" s="125" t="e">
        <f t="shared" ca="1" si="164"/>
        <v>#REF!</v>
      </c>
    </row>
    <row r="3051" spans="1:9" hidden="1" x14ac:dyDescent="0.25">
      <c r="A3051" s="103" t="s">
        <v>7406</v>
      </c>
      <c r="B3051" s="104" t="s">
        <v>7407</v>
      </c>
      <c r="C3051" s="105" t="s">
        <v>20</v>
      </c>
      <c r="D3051" s="105">
        <v>0</v>
      </c>
      <c r="E3051" s="124">
        <f ca="1">OFFSET(INDEX(Composições!A:J,MATCH(Orçamentária!A3051,Composições!A:A,0),8),2,0)</f>
        <v>14.3735</v>
      </c>
      <c r="F3051" s="125">
        <f t="shared" ca="1" si="162"/>
        <v>0</v>
      </c>
      <c r="G3051" s="126" t="e">
        <f>IF(A3051&lt;&gt;"",IF(AND(#REF!="Padrão",$H$4=#REF!),BDI!$B$17,IF(AND(#REF!="Padrão",$H$4=#REF!),BDI!#REF!,IF(AND(#REF!="Diferenciado",$H$4=#REF!),BDI!$E$17,IF(AND(#REF!="Diferenciado",$H$4=#REF!),BDI!#REF!,IF(#REF!="ZERO",0))))),"")</f>
        <v>#REF!</v>
      </c>
      <c r="H3051" s="127" t="e">
        <f t="shared" ca="1" si="163"/>
        <v>#REF!</v>
      </c>
      <c r="I3051" s="125" t="e">
        <f t="shared" ca="1" si="164"/>
        <v>#REF!</v>
      </c>
    </row>
    <row r="3052" spans="1:9" hidden="1" x14ac:dyDescent="0.25">
      <c r="A3052" s="103" t="s">
        <v>7408</v>
      </c>
      <c r="B3052" s="104" t="s">
        <v>7409</v>
      </c>
      <c r="C3052" s="105" t="s">
        <v>20</v>
      </c>
      <c r="D3052" s="105">
        <v>0</v>
      </c>
      <c r="E3052" s="124">
        <f ca="1">OFFSET(INDEX(Composições!A:J,MATCH(Orçamentária!A3052,Composições!A:A,0),8),2,0)</f>
        <v>93.090499999999992</v>
      </c>
      <c r="F3052" s="125">
        <f t="shared" ca="1" si="162"/>
        <v>0</v>
      </c>
      <c r="G3052" s="126" t="e">
        <f>IF(A3052&lt;&gt;"",IF(AND(#REF!="Padrão",$H$4=#REF!),BDI!$B$17,IF(AND(#REF!="Padrão",$H$4=#REF!),BDI!#REF!,IF(AND(#REF!="Diferenciado",$H$4=#REF!),BDI!$E$17,IF(AND(#REF!="Diferenciado",$H$4=#REF!),BDI!#REF!,IF(#REF!="ZERO",0))))),"")</f>
        <v>#REF!</v>
      </c>
      <c r="H3052" s="127" t="e">
        <f t="shared" ca="1" si="163"/>
        <v>#REF!</v>
      </c>
      <c r="I3052" s="125" t="e">
        <f t="shared" ca="1" si="164"/>
        <v>#REF!</v>
      </c>
    </row>
    <row r="3053" spans="1:9" hidden="1" x14ac:dyDescent="0.25">
      <c r="A3053" s="103" t="s">
        <v>7410</v>
      </c>
      <c r="B3053" s="104" t="s">
        <v>7411</v>
      </c>
      <c r="C3053" s="105" t="s">
        <v>20</v>
      </c>
      <c r="D3053" s="105">
        <v>0</v>
      </c>
      <c r="E3053" s="124">
        <f ca="1">OFFSET(INDEX(Composições!A:J,MATCH(Orçamentária!A3053,Composições!A:A,0),8),2,0)</f>
        <v>288.83800000000002</v>
      </c>
      <c r="F3053" s="125">
        <f t="shared" ca="1" si="162"/>
        <v>0</v>
      </c>
      <c r="G3053" s="126" t="e">
        <f>IF(A3053&lt;&gt;"",IF(AND(#REF!="Padrão",$H$4=#REF!),BDI!$B$17,IF(AND(#REF!="Padrão",$H$4=#REF!),BDI!#REF!,IF(AND(#REF!="Diferenciado",$H$4=#REF!),BDI!$E$17,IF(AND(#REF!="Diferenciado",$H$4=#REF!),BDI!#REF!,IF(#REF!="ZERO",0))))),"")</f>
        <v>#REF!</v>
      </c>
      <c r="H3053" s="127" t="e">
        <f t="shared" ca="1" si="163"/>
        <v>#REF!</v>
      </c>
      <c r="I3053" s="125" t="e">
        <f t="shared" ca="1" si="164"/>
        <v>#REF!</v>
      </c>
    </row>
    <row r="3054" spans="1:9" hidden="1" x14ac:dyDescent="0.25">
      <c r="A3054" s="103" t="s">
        <v>7412</v>
      </c>
      <c r="B3054" s="104" t="s">
        <v>7413</v>
      </c>
      <c r="C3054" s="105" t="s">
        <v>93</v>
      </c>
      <c r="D3054" s="105">
        <v>0</v>
      </c>
      <c r="E3054" s="124" t="s">
        <v>523</v>
      </c>
      <c r="F3054" s="125" t="str">
        <f t="shared" si="162"/>
        <v/>
      </c>
      <c r="G3054" s="126" t="e">
        <f>IF(A3054&lt;&gt;"",IF(AND(#REF!="Padrão",$H$4=#REF!),BDI!$B$17,IF(AND(#REF!="Padrão",$H$4=#REF!),BDI!#REF!,IF(AND(#REF!="Diferenciado",$H$4=#REF!),BDI!$E$17,IF(AND(#REF!="Diferenciado",$H$4=#REF!),BDI!#REF!,IF(#REF!="ZERO",0))))),"")</f>
        <v>#REF!</v>
      </c>
      <c r="H3054" s="127" t="str">
        <f t="shared" si="163"/>
        <v/>
      </c>
      <c r="I3054" s="125" t="str">
        <f t="shared" si="164"/>
        <v/>
      </c>
    </row>
    <row r="3055" spans="1:9" hidden="1" x14ac:dyDescent="0.25">
      <c r="A3055" s="103" t="s">
        <v>7414</v>
      </c>
      <c r="B3055" s="104" t="s">
        <v>7415</v>
      </c>
      <c r="C3055" s="105" t="s">
        <v>93</v>
      </c>
      <c r="D3055" s="105">
        <v>0</v>
      </c>
      <c r="E3055" s="124" t="s">
        <v>523</v>
      </c>
      <c r="F3055" s="125" t="str">
        <f t="shared" si="162"/>
        <v/>
      </c>
      <c r="G3055" s="126" t="e">
        <f>IF(A3055&lt;&gt;"",IF(AND(#REF!="Padrão",$H$4=#REF!),BDI!$B$17,IF(AND(#REF!="Padrão",$H$4=#REF!),BDI!#REF!,IF(AND(#REF!="Diferenciado",$H$4=#REF!),BDI!$E$17,IF(AND(#REF!="Diferenciado",$H$4=#REF!),BDI!#REF!,IF(#REF!="ZERO",0))))),"")</f>
        <v>#REF!</v>
      </c>
      <c r="H3055" s="127" t="str">
        <f t="shared" si="163"/>
        <v/>
      </c>
      <c r="I3055" s="125" t="str">
        <f t="shared" si="164"/>
        <v/>
      </c>
    </row>
    <row r="3056" spans="1:9" hidden="1" x14ac:dyDescent="0.25">
      <c r="A3056" s="103" t="s">
        <v>7416</v>
      </c>
      <c r="B3056" s="104" t="s">
        <v>7417</v>
      </c>
      <c r="C3056" s="105" t="s">
        <v>20</v>
      </c>
      <c r="D3056" s="105">
        <v>0</v>
      </c>
      <c r="E3056" s="124" t="s">
        <v>523</v>
      </c>
      <c r="F3056" s="125" t="str">
        <f t="shared" si="162"/>
        <v/>
      </c>
      <c r="G3056" s="126" t="e">
        <f>IF(A3056&lt;&gt;"",IF(AND(#REF!="Padrão",$H$4=#REF!),BDI!$B$17,IF(AND(#REF!="Padrão",$H$4=#REF!),BDI!#REF!,IF(AND(#REF!="Diferenciado",$H$4=#REF!),BDI!$E$17,IF(AND(#REF!="Diferenciado",$H$4=#REF!),BDI!#REF!,IF(#REF!="ZERO",0))))),"")</f>
        <v>#REF!</v>
      </c>
      <c r="H3056" s="127" t="str">
        <f t="shared" si="163"/>
        <v/>
      </c>
      <c r="I3056" s="125" t="str">
        <f t="shared" si="164"/>
        <v/>
      </c>
    </row>
    <row r="3057" spans="1:9" hidden="1" x14ac:dyDescent="0.25">
      <c r="A3057" s="103" t="s">
        <v>7418</v>
      </c>
      <c r="B3057" s="104" t="s">
        <v>7419</v>
      </c>
      <c r="C3057" s="105" t="s">
        <v>93</v>
      </c>
      <c r="D3057" s="105">
        <v>0</v>
      </c>
      <c r="E3057" s="124" t="s">
        <v>523</v>
      </c>
      <c r="F3057" s="125" t="str">
        <f t="shared" si="162"/>
        <v/>
      </c>
      <c r="G3057" s="126" t="e">
        <f>IF(A3057&lt;&gt;"",IF(AND(#REF!="Padrão",$H$4=#REF!),BDI!$B$17,IF(AND(#REF!="Padrão",$H$4=#REF!),BDI!#REF!,IF(AND(#REF!="Diferenciado",$H$4=#REF!),BDI!$E$17,IF(AND(#REF!="Diferenciado",$H$4=#REF!),BDI!#REF!,IF(#REF!="ZERO",0))))),"")</f>
        <v>#REF!</v>
      </c>
      <c r="H3057" s="127" t="str">
        <f t="shared" si="163"/>
        <v/>
      </c>
      <c r="I3057" s="125" t="str">
        <f t="shared" si="164"/>
        <v/>
      </c>
    </row>
    <row r="3058" spans="1:9" hidden="1" x14ac:dyDescent="0.25">
      <c r="A3058" s="103" t="s">
        <v>7420</v>
      </c>
      <c r="B3058" s="104" t="s">
        <v>7421</v>
      </c>
      <c r="C3058" s="105" t="s">
        <v>20</v>
      </c>
      <c r="D3058" s="105">
        <v>0</v>
      </c>
      <c r="E3058" s="124" t="s">
        <v>523</v>
      </c>
      <c r="F3058" s="125" t="str">
        <f t="shared" si="162"/>
        <v/>
      </c>
      <c r="G3058" s="126" t="e">
        <f>IF(A3058&lt;&gt;"",IF(AND(#REF!="Padrão",$H$4=#REF!),BDI!$B$17,IF(AND(#REF!="Padrão",$H$4=#REF!),BDI!#REF!,IF(AND(#REF!="Diferenciado",$H$4=#REF!),BDI!$E$17,IF(AND(#REF!="Diferenciado",$H$4=#REF!),BDI!#REF!,IF(#REF!="ZERO",0))))),"")</f>
        <v>#REF!</v>
      </c>
      <c r="H3058" s="127" t="str">
        <f t="shared" si="163"/>
        <v/>
      </c>
      <c r="I3058" s="125" t="str">
        <f t="shared" si="164"/>
        <v/>
      </c>
    </row>
    <row r="3059" spans="1:9" hidden="1" x14ac:dyDescent="0.25">
      <c r="A3059" s="103" t="s">
        <v>7422</v>
      </c>
      <c r="B3059" s="104" t="s">
        <v>7423</v>
      </c>
      <c r="C3059" s="105" t="s">
        <v>20</v>
      </c>
      <c r="D3059" s="105">
        <v>0</v>
      </c>
      <c r="E3059" s="124" t="s">
        <v>523</v>
      </c>
      <c r="F3059" s="125" t="str">
        <f t="shared" si="162"/>
        <v/>
      </c>
      <c r="G3059" s="126" t="e">
        <f>IF(A3059&lt;&gt;"",IF(AND(#REF!="Padrão",$H$4=#REF!),BDI!$B$17,IF(AND(#REF!="Padrão",$H$4=#REF!),BDI!#REF!,IF(AND(#REF!="Diferenciado",$H$4=#REF!),BDI!$E$17,IF(AND(#REF!="Diferenciado",$H$4=#REF!),BDI!#REF!,IF(#REF!="ZERO",0))))),"")</f>
        <v>#REF!</v>
      </c>
      <c r="H3059" s="127" t="str">
        <f t="shared" si="163"/>
        <v/>
      </c>
      <c r="I3059" s="125" t="str">
        <f t="shared" si="164"/>
        <v/>
      </c>
    </row>
    <row r="3060" spans="1:9" ht="25.5" hidden="1" x14ac:dyDescent="0.25">
      <c r="A3060" s="103" t="s">
        <v>7424</v>
      </c>
      <c r="B3060" s="104" t="s">
        <v>7425</v>
      </c>
      <c r="C3060" s="105" t="s">
        <v>20</v>
      </c>
      <c r="D3060" s="105">
        <v>0</v>
      </c>
      <c r="E3060" s="124" t="s">
        <v>523</v>
      </c>
      <c r="F3060" s="125" t="str">
        <f t="shared" si="162"/>
        <v/>
      </c>
      <c r="G3060" s="126" t="e">
        <f>IF(A3060&lt;&gt;"",IF(AND(#REF!="Padrão",$H$4=#REF!),BDI!$B$17,IF(AND(#REF!="Padrão",$H$4=#REF!),BDI!#REF!,IF(AND(#REF!="Diferenciado",$H$4=#REF!),BDI!$E$17,IF(AND(#REF!="Diferenciado",$H$4=#REF!),BDI!#REF!,IF(#REF!="ZERO",0))))),"")</f>
        <v>#REF!</v>
      </c>
      <c r="H3060" s="127" t="str">
        <f t="shared" si="163"/>
        <v/>
      </c>
      <c r="I3060" s="125" t="str">
        <f t="shared" si="164"/>
        <v/>
      </c>
    </row>
    <row r="3061" spans="1:9" hidden="1" x14ac:dyDescent="0.25">
      <c r="A3061" s="103" t="s">
        <v>7426</v>
      </c>
      <c r="B3061" s="104" t="s">
        <v>7427</v>
      </c>
      <c r="C3061" s="105" t="s">
        <v>20</v>
      </c>
      <c r="D3061" s="105">
        <v>0</v>
      </c>
      <c r="E3061" s="124" t="s">
        <v>523</v>
      </c>
      <c r="F3061" s="125" t="str">
        <f t="shared" si="162"/>
        <v/>
      </c>
      <c r="G3061" s="126" t="e">
        <f>IF(A3061&lt;&gt;"",IF(AND(#REF!="Padrão",$H$4=#REF!),BDI!$B$17,IF(AND(#REF!="Padrão",$H$4=#REF!),BDI!#REF!,IF(AND(#REF!="Diferenciado",$H$4=#REF!),BDI!$E$17,IF(AND(#REF!="Diferenciado",$H$4=#REF!),BDI!#REF!,IF(#REF!="ZERO",0))))),"")</f>
        <v>#REF!</v>
      </c>
      <c r="H3061" s="127" t="str">
        <f t="shared" si="163"/>
        <v/>
      </c>
      <c r="I3061" s="125" t="str">
        <f t="shared" si="164"/>
        <v/>
      </c>
    </row>
    <row r="3062" spans="1:9" hidden="1" x14ac:dyDescent="0.25">
      <c r="A3062" s="103" t="s">
        <v>7428</v>
      </c>
      <c r="B3062" s="104" t="s">
        <v>7429</v>
      </c>
      <c r="C3062" s="105" t="s">
        <v>20</v>
      </c>
      <c r="D3062" s="105">
        <v>0</v>
      </c>
      <c r="E3062" s="124" t="s">
        <v>523</v>
      </c>
      <c r="F3062" s="125" t="str">
        <f t="shared" si="162"/>
        <v/>
      </c>
      <c r="G3062" s="126" t="e">
        <f>IF(A3062&lt;&gt;"",IF(AND(#REF!="Padrão",$H$4=#REF!),BDI!$B$17,IF(AND(#REF!="Padrão",$H$4=#REF!),BDI!#REF!,IF(AND(#REF!="Diferenciado",$H$4=#REF!),BDI!$E$17,IF(AND(#REF!="Diferenciado",$H$4=#REF!),BDI!#REF!,IF(#REF!="ZERO",0))))),"")</f>
        <v>#REF!</v>
      </c>
      <c r="H3062" s="127" t="str">
        <f t="shared" si="163"/>
        <v/>
      </c>
      <c r="I3062" s="125" t="str">
        <f t="shared" si="164"/>
        <v/>
      </c>
    </row>
    <row r="3063" spans="1:9" hidden="1" x14ac:dyDescent="0.25">
      <c r="A3063" s="103" t="s">
        <v>7430</v>
      </c>
      <c r="B3063" s="104" t="s">
        <v>7431</v>
      </c>
      <c r="C3063" s="105" t="s">
        <v>20</v>
      </c>
      <c r="D3063" s="105">
        <v>0</v>
      </c>
      <c r="E3063" s="124" t="s">
        <v>523</v>
      </c>
      <c r="F3063" s="125" t="str">
        <f t="shared" si="162"/>
        <v/>
      </c>
      <c r="G3063" s="126" t="e">
        <f>IF(A3063&lt;&gt;"",IF(AND(#REF!="Padrão",$H$4=#REF!),BDI!$B$17,IF(AND(#REF!="Padrão",$H$4=#REF!),BDI!#REF!,IF(AND(#REF!="Diferenciado",$H$4=#REF!),BDI!$E$17,IF(AND(#REF!="Diferenciado",$H$4=#REF!),BDI!#REF!,IF(#REF!="ZERO",0))))),"")</f>
        <v>#REF!</v>
      </c>
      <c r="H3063" s="127" t="str">
        <f t="shared" si="163"/>
        <v/>
      </c>
      <c r="I3063" s="125" t="str">
        <f t="shared" si="164"/>
        <v/>
      </c>
    </row>
    <row r="3064" spans="1:9" hidden="1" x14ac:dyDescent="0.25">
      <c r="A3064" s="103" t="s">
        <v>7432</v>
      </c>
      <c r="B3064" s="104" t="s">
        <v>7433</v>
      </c>
      <c r="C3064" s="105" t="s">
        <v>20</v>
      </c>
      <c r="D3064" s="105">
        <v>0</v>
      </c>
      <c r="E3064" s="124" t="s">
        <v>523</v>
      </c>
      <c r="F3064" s="125" t="str">
        <f t="shared" si="162"/>
        <v/>
      </c>
      <c r="G3064" s="126" t="e">
        <f>IF(A3064&lt;&gt;"",IF(AND(#REF!="Padrão",$H$4=#REF!),BDI!$B$17,IF(AND(#REF!="Padrão",$H$4=#REF!),BDI!#REF!,IF(AND(#REF!="Diferenciado",$H$4=#REF!),BDI!$E$17,IF(AND(#REF!="Diferenciado",$H$4=#REF!),BDI!#REF!,IF(#REF!="ZERO",0))))),"")</f>
        <v>#REF!</v>
      </c>
      <c r="H3064" s="127" t="str">
        <f t="shared" si="163"/>
        <v/>
      </c>
      <c r="I3064" s="125" t="str">
        <f t="shared" si="164"/>
        <v/>
      </c>
    </row>
    <row r="3065" spans="1:9" hidden="1" x14ac:dyDescent="0.25">
      <c r="A3065" s="103" t="s">
        <v>7434</v>
      </c>
      <c r="B3065" s="104" t="s">
        <v>7435</v>
      </c>
      <c r="C3065" s="105" t="s">
        <v>20</v>
      </c>
      <c r="D3065" s="105">
        <v>0</v>
      </c>
      <c r="E3065" s="124" t="s">
        <v>523</v>
      </c>
      <c r="F3065" s="125" t="str">
        <f t="shared" si="162"/>
        <v/>
      </c>
      <c r="G3065" s="126" t="e">
        <f>IF(A3065&lt;&gt;"",IF(AND(#REF!="Padrão",$H$4=#REF!),BDI!$B$17,IF(AND(#REF!="Padrão",$H$4=#REF!),BDI!#REF!,IF(AND(#REF!="Diferenciado",$H$4=#REF!),BDI!$E$17,IF(AND(#REF!="Diferenciado",$H$4=#REF!),BDI!#REF!,IF(#REF!="ZERO",0))))),"")</f>
        <v>#REF!</v>
      </c>
      <c r="H3065" s="127" t="str">
        <f t="shared" si="163"/>
        <v/>
      </c>
      <c r="I3065" s="125" t="str">
        <f t="shared" si="164"/>
        <v/>
      </c>
    </row>
    <row r="3066" spans="1:9" hidden="1" x14ac:dyDescent="0.25">
      <c r="A3066" s="103" t="s">
        <v>7436</v>
      </c>
      <c r="B3066" s="104" t="s">
        <v>7437</v>
      </c>
      <c r="C3066" s="105" t="s">
        <v>20</v>
      </c>
      <c r="D3066" s="105">
        <v>0</v>
      </c>
      <c r="E3066" s="124" t="s">
        <v>523</v>
      </c>
      <c r="F3066" s="125" t="str">
        <f t="shared" si="162"/>
        <v/>
      </c>
      <c r="G3066" s="126" t="e">
        <f>IF(A3066&lt;&gt;"",IF(AND(#REF!="Padrão",$H$4=#REF!),BDI!$B$17,IF(AND(#REF!="Padrão",$H$4=#REF!),BDI!#REF!,IF(AND(#REF!="Diferenciado",$H$4=#REF!),BDI!$E$17,IF(AND(#REF!="Diferenciado",$H$4=#REF!),BDI!#REF!,IF(#REF!="ZERO",0))))),"")</f>
        <v>#REF!</v>
      </c>
      <c r="H3066" s="127" t="str">
        <f t="shared" si="163"/>
        <v/>
      </c>
      <c r="I3066" s="125" t="str">
        <f t="shared" si="164"/>
        <v/>
      </c>
    </row>
    <row r="3067" spans="1:9" hidden="1" x14ac:dyDescent="0.25">
      <c r="A3067" s="103" t="s">
        <v>7438</v>
      </c>
      <c r="B3067" s="104" t="s">
        <v>7439</v>
      </c>
      <c r="C3067" s="105" t="s">
        <v>20</v>
      </c>
      <c r="D3067" s="105">
        <v>0</v>
      </c>
      <c r="E3067" s="124" t="s">
        <v>523</v>
      </c>
      <c r="F3067" s="125" t="str">
        <f t="shared" si="162"/>
        <v/>
      </c>
      <c r="G3067" s="126" t="e">
        <f>IF(A3067&lt;&gt;"",IF(AND(#REF!="Padrão",$H$4=#REF!),BDI!$B$17,IF(AND(#REF!="Padrão",$H$4=#REF!),BDI!#REF!,IF(AND(#REF!="Diferenciado",$H$4=#REF!),BDI!$E$17,IF(AND(#REF!="Diferenciado",$H$4=#REF!),BDI!#REF!,IF(#REF!="ZERO",0))))),"")</f>
        <v>#REF!</v>
      </c>
      <c r="H3067" s="127" t="str">
        <f t="shared" si="163"/>
        <v/>
      </c>
      <c r="I3067" s="125" t="str">
        <f t="shared" si="164"/>
        <v/>
      </c>
    </row>
    <row r="3068" spans="1:9" hidden="1" x14ac:dyDescent="0.25">
      <c r="A3068" s="103" t="s">
        <v>7440</v>
      </c>
      <c r="B3068" s="104" t="s">
        <v>7441</v>
      </c>
      <c r="C3068" s="105" t="s">
        <v>20</v>
      </c>
      <c r="D3068" s="105">
        <v>0</v>
      </c>
      <c r="E3068" s="124" t="s">
        <v>523</v>
      </c>
      <c r="F3068" s="125" t="str">
        <f t="shared" si="162"/>
        <v/>
      </c>
      <c r="G3068" s="126" t="e">
        <f>IF(A3068&lt;&gt;"",IF(AND(#REF!="Padrão",$H$4=#REF!),BDI!$B$17,IF(AND(#REF!="Padrão",$H$4=#REF!),BDI!#REF!,IF(AND(#REF!="Diferenciado",$H$4=#REF!),BDI!$E$17,IF(AND(#REF!="Diferenciado",$H$4=#REF!),BDI!#REF!,IF(#REF!="ZERO",0))))),"")</f>
        <v>#REF!</v>
      </c>
      <c r="H3068" s="127" t="str">
        <f t="shared" si="163"/>
        <v/>
      </c>
      <c r="I3068" s="125" t="str">
        <f t="shared" si="164"/>
        <v/>
      </c>
    </row>
    <row r="3069" spans="1:9" hidden="1" x14ac:dyDescent="0.25">
      <c r="A3069" s="103" t="s">
        <v>7442</v>
      </c>
      <c r="B3069" s="104" t="s">
        <v>7443</v>
      </c>
      <c r="C3069" s="105" t="s">
        <v>20</v>
      </c>
      <c r="D3069" s="105">
        <v>0</v>
      </c>
      <c r="E3069" s="124" t="s">
        <v>523</v>
      </c>
      <c r="F3069" s="125" t="str">
        <f t="shared" si="162"/>
        <v/>
      </c>
      <c r="G3069" s="126" t="e">
        <f>IF(A3069&lt;&gt;"",IF(AND(#REF!="Padrão",$H$4=#REF!),BDI!$B$17,IF(AND(#REF!="Padrão",$H$4=#REF!),BDI!#REF!,IF(AND(#REF!="Diferenciado",$H$4=#REF!),BDI!$E$17,IF(AND(#REF!="Diferenciado",$H$4=#REF!),BDI!#REF!,IF(#REF!="ZERO",0))))),"")</f>
        <v>#REF!</v>
      </c>
      <c r="H3069" s="127" t="str">
        <f t="shared" si="163"/>
        <v/>
      </c>
      <c r="I3069" s="125" t="str">
        <f t="shared" si="164"/>
        <v/>
      </c>
    </row>
    <row r="3070" spans="1:9" hidden="1" x14ac:dyDescent="0.25">
      <c r="A3070" s="103" t="s">
        <v>7444</v>
      </c>
      <c r="B3070" s="104" t="s">
        <v>7445</v>
      </c>
      <c r="C3070" s="105" t="s">
        <v>20</v>
      </c>
      <c r="D3070" s="105">
        <v>0</v>
      </c>
      <c r="E3070" s="124" t="s">
        <v>523</v>
      </c>
      <c r="F3070" s="125" t="str">
        <f t="shared" si="162"/>
        <v/>
      </c>
      <c r="G3070" s="126" t="e">
        <f>IF(A3070&lt;&gt;"",IF(AND(#REF!="Padrão",$H$4=#REF!),BDI!$B$17,IF(AND(#REF!="Padrão",$H$4=#REF!),BDI!#REF!,IF(AND(#REF!="Diferenciado",$H$4=#REF!),BDI!$E$17,IF(AND(#REF!="Diferenciado",$H$4=#REF!),BDI!#REF!,IF(#REF!="ZERO",0))))),"")</f>
        <v>#REF!</v>
      </c>
      <c r="H3070" s="127" t="str">
        <f t="shared" si="163"/>
        <v/>
      </c>
      <c r="I3070" s="125" t="str">
        <f t="shared" si="164"/>
        <v/>
      </c>
    </row>
    <row r="3071" spans="1:9" hidden="1" x14ac:dyDescent="0.25">
      <c r="A3071" s="103" t="s">
        <v>7446</v>
      </c>
      <c r="B3071" s="104" t="s">
        <v>7447</v>
      </c>
      <c r="C3071" s="105" t="s">
        <v>20</v>
      </c>
      <c r="D3071" s="105">
        <v>0</v>
      </c>
      <c r="E3071" s="124" t="s">
        <v>523</v>
      </c>
      <c r="F3071" s="125" t="str">
        <f t="shared" si="162"/>
        <v/>
      </c>
      <c r="G3071" s="126" t="e">
        <f>IF(A3071&lt;&gt;"",IF(AND(#REF!="Padrão",$H$4=#REF!),BDI!$B$17,IF(AND(#REF!="Padrão",$H$4=#REF!),BDI!#REF!,IF(AND(#REF!="Diferenciado",$H$4=#REF!),BDI!$E$17,IF(AND(#REF!="Diferenciado",$H$4=#REF!),BDI!#REF!,IF(#REF!="ZERO",0))))),"")</f>
        <v>#REF!</v>
      </c>
      <c r="H3071" s="127" t="str">
        <f t="shared" si="163"/>
        <v/>
      </c>
      <c r="I3071" s="125" t="str">
        <f t="shared" si="164"/>
        <v/>
      </c>
    </row>
    <row r="3072" spans="1:9" hidden="1" x14ac:dyDescent="0.25">
      <c r="A3072" s="103" t="s">
        <v>7448</v>
      </c>
      <c r="B3072" s="104" t="s">
        <v>7449</v>
      </c>
      <c r="C3072" s="105" t="s">
        <v>20</v>
      </c>
      <c r="D3072" s="105">
        <v>0</v>
      </c>
      <c r="E3072" s="124" t="s">
        <v>523</v>
      </c>
      <c r="F3072" s="125" t="str">
        <f t="shared" si="162"/>
        <v/>
      </c>
      <c r="G3072" s="126" t="e">
        <f>IF(A3072&lt;&gt;"",IF(AND(#REF!="Padrão",$H$4=#REF!),BDI!$B$17,IF(AND(#REF!="Padrão",$H$4=#REF!),BDI!#REF!,IF(AND(#REF!="Diferenciado",$H$4=#REF!),BDI!$E$17,IF(AND(#REF!="Diferenciado",$H$4=#REF!),BDI!#REF!,IF(#REF!="ZERO",0))))),"")</f>
        <v>#REF!</v>
      </c>
      <c r="H3072" s="127" t="str">
        <f t="shared" si="163"/>
        <v/>
      </c>
      <c r="I3072" s="125" t="str">
        <f t="shared" si="164"/>
        <v/>
      </c>
    </row>
    <row r="3073" spans="1:9" hidden="1" x14ac:dyDescent="0.25">
      <c r="A3073" s="103" t="s">
        <v>7450</v>
      </c>
      <c r="B3073" s="104" t="s">
        <v>7451</v>
      </c>
      <c r="C3073" s="105" t="s">
        <v>20</v>
      </c>
      <c r="D3073" s="105">
        <v>0</v>
      </c>
      <c r="E3073" s="124" t="s">
        <v>523</v>
      </c>
      <c r="F3073" s="125" t="str">
        <f t="shared" si="162"/>
        <v/>
      </c>
      <c r="G3073" s="126" t="e">
        <f>IF(A3073&lt;&gt;"",IF(AND(#REF!="Padrão",$H$4=#REF!),BDI!$B$17,IF(AND(#REF!="Padrão",$H$4=#REF!),BDI!#REF!,IF(AND(#REF!="Diferenciado",$H$4=#REF!),BDI!$E$17,IF(AND(#REF!="Diferenciado",$H$4=#REF!),BDI!#REF!,IF(#REF!="ZERO",0))))),"")</f>
        <v>#REF!</v>
      </c>
      <c r="H3073" s="127" t="str">
        <f t="shared" si="163"/>
        <v/>
      </c>
      <c r="I3073" s="125" t="str">
        <f t="shared" si="164"/>
        <v/>
      </c>
    </row>
    <row r="3074" spans="1:9" hidden="1" x14ac:dyDescent="0.25">
      <c r="A3074" s="103" t="s">
        <v>7452</v>
      </c>
      <c r="B3074" s="104" t="s">
        <v>7453</v>
      </c>
      <c r="C3074" s="105" t="s">
        <v>20</v>
      </c>
      <c r="D3074" s="105">
        <v>0</v>
      </c>
      <c r="E3074" s="124" t="s">
        <v>523</v>
      </c>
      <c r="F3074" s="125" t="str">
        <f t="shared" si="162"/>
        <v/>
      </c>
      <c r="G3074" s="126" t="e">
        <f>IF(A3074&lt;&gt;"",IF(AND(#REF!="Padrão",$H$4=#REF!),BDI!$B$17,IF(AND(#REF!="Padrão",$H$4=#REF!),BDI!#REF!,IF(AND(#REF!="Diferenciado",$H$4=#REF!),BDI!$E$17,IF(AND(#REF!="Diferenciado",$H$4=#REF!),BDI!#REF!,IF(#REF!="ZERO",0))))),"")</f>
        <v>#REF!</v>
      </c>
      <c r="H3074" s="127" t="str">
        <f t="shared" si="163"/>
        <v/>
      </c>
      <c r="I3074" s="125" t="str">
        <f t="shared" si="164"/>
        <v/>
      </c>
    </row>
    <row r="3075" spans="1:9" hidden="1" x14ac:dyDescent="0.25">
      <c r="A3075" s="103" t="s">
        <v>7454</v>
      </c>
      <c r="B3075" s="104" t="s">
        <v>7455</v>
      </c>
      <c r="C3075" s="105" t="s">
        <v>20</v>
      </c>
      <c r="D3075" s="105">
        <v>0</v>
      </c>
      <c r="E3075" s="124" t="s">
        <v>523</v>
      </c>
      <c r="F3075" s="125" t="str">
        <f t="shared" si="162"/>
        <v/>
      </c>
      <c r="G3075" s="126" t="e">
        <f>IF(A3075&lt;&gt;"",IF(AND(#REF!="Padrão",$H$4=#REF!),BDI!$B$17,IF(AND(#REF!="Padrão",$H$4=#REF!),BDI!#REF!,IF(AND(#REF!="Diferenciado",$H$4=#REF!),BDI!$E$17,IF(AND(#REF!="Diferenciado",$H$4=#REF!),BDI!#REF!,IF(#REF!="ZERO",0))))),"")</f>
        <v>#REF!</v>
      </c>
      <c r="H3075" s="127" t="str">
        <f t="shared" si="163"/>
        <v/>
      </c>
      <c r="I3075" s="125" t="str">
        <f t="shared" si="164"/>
        <v/>
      </c>
    </row>
    <row r="3076" spans="1:9" hidden="1" x14ac:dyDescent="0.25">
      <c r="A3076" s="103" t="s">
        <v>7456</v>
      </c>
      <c r="B3076" s="104" t="s">
        <v>7457</v>
      </c>
      <c r="C3076" s="105" t="s">
        <v>20</v>
      </c>
      <c r="D3076" s="105">
        <v>0</v>
      </c>
      <c r="E3076" s="124" t="s">
        <v>523</v>
      </c>
      <c r="F3076" s="125" t="str">
        <f t="shared" si="162"/>
        <v/>
      </c>
      <c r="G3076" s="126" t="e">
        <f>IF(A3076&lt;&gt;"",IF(AND(#REF!="Padrão",$H$4=#REF!),BDI!$B$17,IF(AND(#REF!="Padrão",$H$4=#REF!),BDI!#REF!,IF(AND(#REF!="Diferenciado",$H$4=#REF!),BDI!$E$17,IF(AND(#REF!="Diferenciado",$H$4=#REF!),BDI!#REF!,IF(#REF!="ZERO",0))))),"")</f>
        <v>#REF!</v>
      </c>
      <c r="H3076" s="127" t="str">
        <f t="shared" si="163"/>
        <v/>
      </c>
      <c r="I3076" s="125" t="str">
        <f t="shared" si="164"/>
        <v/>
      </c>
    </row>
    <row r="3077" spans="1:9" hidden="1" x14ac:dyDescent="0.25">
      <c r="A3077" s="103" t="s">
        <v>7458</v>
      </c>
      <c r="B3077" s="104" t="s">
        <v>7459</v>
      </c>
      <c r="C3077" s="105" t="s">
        <v>20</v>
      </c>
      <c r="D3077" s="105">
        <v>0</v>
      </c>
      <c r="E3077" s="124" t="s">
        <v>523</v>
      </c>
      <c r="F3077" s="125" t="str">
        <f t="shared" si="162"/>
        <v/>
      </c>
      <c r="G3077" s="126" t="e">
        <f>IF(A3077&lt;&gt;"",IF(AND(#REF!="Padrão",$H$4=#REF!),BDI!$B$17,IF(AND(#REF!="Padrão",$H$4=#REF!),BDI!#REF!,IF(AND(#REF!="Diferenciado",$H$4=#REF!),BDI!$E$17,IF(AND(#REF!="Diferenciado",$H$4=#REF!),BDI!#REF!,IF(#REF!="ZERO",0))))),"")</f>
        <v>#REF!</v>
      </c>
      <c r="H3077" s="127" t="str">
        <f t="shared" si="163"/>
        <v/>
      </c>
      <c r="I3077" s="125" t="str">
        <f t="shared" si="164"/>
        <v/>
      </c>
    </row>
    <row r="3078" spans="1:9" hidden="1" x14ac:dyDescent="0.25">
      <c r="A3078" s="103" t="s">
        <v>7460</v>
      </c>
      <c r="B3078" s="104" t="s">
        <v>7461</v>
      </c>
      <c r="C3078" s="105" t="s">
        <v>20</v>
      </c>
      <c r="D3078" s="105">
        <v>0</v>
      </c>
      <c r="E3078" s="124" t="s">
        <v>523</v>
      </c>
      <c r="F3078" s="125" t="str">
        <f t="shared" si="162"/>
        <v/>
      </c>
      <c r="G3078" s="126" t="e">
        <f>IF(A3078&lt;&gt;"",IF(AND(#REF!="Padrão",$H$4=#REF!),BDI!$B$17,IF(AND(#REF!="Padrão",$H$4=#REF!),BDI!#REF!,IF(AND(#REF!="Diferenciado",$H$4=#REF!),BDI!$E$17,IF(AND(#REF!="Diferenciado",$H$4=#REF!),BDI!#REF!,IF(#REF!="ZERO",0))))),"")</f>
        <v>#REF!</v>
      </c>
      <c r="H3078" s="127" t="str">
        <f t="shared" si="163"/>
        <v/>
      </c>
      <c r="I3078" s="125" t="str">
        <f t="shared" si="164"/>
        <v/>
      </c>
    </row>
    <row r="3079" spans="1:9" hidden="1" x14ac:dyDescent="0.25">
      <c r="A3079" s="103" t="s">
        <v>7462</v>
      </c>
      <c r="B3079" s="104" t="s">
        <v>7463</v>
      </c>
      <c r="C3079" s="105" t="s">
        <v>20</v>
      </c>
      <c r="D3079" s="105">
        <v>0</v>
      </c>
      <c r="E3079" s="124" t="s">
        <v>523</v>
      </c>
      <c r="F3079" s="125" t="str">
        <f t="shared" si="162"/>
        <v/>
      </c>
      <c r="G3079" s="126" t="e">
        <f>IF(A3079&lt;&gt;"",IF(AND(#REF!="Padrão",$H$4=#REF!),BDI!$B$17,IF(AND(#REF!="Padrão",$H$4=#REF!),BDI!#REF!,IF(AND(#REF!="Diferenciado",$H$4=#REF!),BDI!$E$17,IF(AND(#REF!="Diferenciado",$H$4=#REF!),BDI!#REF!,IF(#REF!="ZERO",0))))),"")</f>
        <v>#REF!</v>
      </c>
      <c r="H3079" s="127" t="str">
        <f t="shared" si="163"/>
        <v/>
      </c>
      <c r="I3079" s="125" t="str">
        <f t="shared" si="164"/>
        <v/>
      </c>
    </row>
    <row r="3080" spans="1:9" hidden="1" x14ac:dyDescent="0.25">
      <c r="A3080" s="103" t="s">
        <v>7464</v>
      </c>
      <c r="B3080" s="104" t="s">
        <v>7465</v>
      </c>
      <c r="C3080" s="105" t="s">
        <v>1924</v>
      </c>
      <c r="D3080" s="105">
        <v>0</v>
      </c>
      <c r="E3080" s="124" t="s">
        <v>523</v>
      </c>
      <c r="F3080" s="125" t="str">
        <f t="shared" si="162"/>
        <v/>
      </c>
      <c r="G3080" s="126" t="e">
        <f>IF(A3080&lt;&gt;"",IF(AND(#REF!="Padrão",$H$4=#REF!),BDI!$B$17,IF(AND(#REF!="Padrão",$H$4=#REF!),BDI!#REF!,IF(AND(#REF!="Diferenciado",$H$4=#REF!),BDI!$E$17,IF(AND(#REF!="Diferenciado",$H$4=#REF!),BDI!#REF!,IF(#REF!="ZERO",0))))),"")</f>
        <v>#REF!</v>
      </c>
      <c r="H3080" s="127" t="str">
        <f t="shared" si="163"/>
        <v/>
      </c>
      <c r="I3080" s="125" t="str">
        <f t="shared" si="164"/>
        <v/>
      </c>
    </row>
    <row r="3081" spans="1:9" hidden="1" x14ac:dyDescent="0.25">
      <c r="A3081" s="103" t="s">
        <v>7466</v>
      </c>
      <c r="B3081" s="104" t="s">
        <v>7467</v>
      </c>
      <c r="C3081" s="105" t="s">
        <v>20</v>
      </c>
      <c r="D3081" s="105">
        <v>0</v>
      </c>
      <c r="E3081" s="124" t="s">
        <v>523</v>
      </c>
      <c r="F3081" s="125" t="str">
        <f t="shared" si="162"/>
        <v/>
      </c>
      <c r="G3081" s="126" t="e">
        <f>IF(A3081&lt;&gt;"",IF(AND(#REF!="Padrão",$H$4=#REF!),BDI!$B$17,IF(AND(#REF!="Padrão",$H$4=#REF!),BDI!#REF!,IF(AND(#REF!="Diferenciado",$H$4=#REF!),BDI!$E$17,IF(AND(#REF!="Diferenciado",$H$4=#REF!),BDI!#REF!,IF(#REF!="ZERO",0))))),"")</f>
        <v>#REF!</v>
      </c>
      <c r="H3081" s="127" t="str">
        <f t="shared" si="163"/>
        <v/>
      </c>
      <c r="I3081" s="125" t="str">
        <f t="shared" si="164"/>
        <v/>
      </c>
    </row>
    <row r="3082" spans="1:9" ht="25.5" hidden="1" x14ac:dyDescent="0.25">
      <c r="A3082" s="103" t="s">
        <v>7468</v>
      </c>
      <c r="B3082" s="104" t="s">
        <v>7469</v>
      </c>
      <c r="C3082" s="105" t="s">
        <v>2670</v>
      </c>
      <c r="D3082" s="105">
        <v>0</v>
      </c>
      <c r="E3082" s="124" t="s">
        <v>523</v>
      </c>
      <c r="F3082" s="125" t="str">
        <f t="shared" si="162"/>
        <v/>
      </c>
      <c r="G3082" s="126" t="e">
        <f>IF(A3082&lt;&gt;"",IF(AND(#REF!="Padrão",$H$4=#REF!),BDI!$B$17,IF(AND(#REF!="Padrão",$H$4=#REF!),BDI!#REF!,IF(AND(#REF!="Diferenciado",$H$4=#REF!),BDI!$E$17,IF(AND(#REF!="Diferenciado",$H$4=#REF!),BDI!#REF!,IF(#REF!="ZERO",0))))),"")</f>
        <v>#REF!</v>
      </c>
      <c r="H3082" s="127" t="str">
        <f t="shared" si="163"/>
        <v/>
      </c>
      <c r="I3082" s="125" t="str">
        <f t="shared" si="164"/>
        <v/>
      </c>
    </row>
    <row r="3083" spans="1:9" hidden="1" x14ac:dyDescent="0.25">
      <c r="A3083" s="103" t="s">
        <v>7470</v>
      </c>
      <c r="B3083" s="104" t="s">
        <v>7471</v>
      </c>
      <c r="C3083" s="105" t="s">
        <v>2670</v>
      </c>
      <c r="D3083" s="105">
        <v>0</v>
      </c>
      <c r="E3083" s="124" t="s">
        <v>523</v>
      </c>
      <c r="F3083" s="125" t="str">
        <f t="shared" si="162"/>
        <v/>
      </c>
      <c r="G3083" s="126" t="e">
        <f>IF(A3083&lt;&gt;"",IF(AND(#REF!="Padrão",$H$4=#REF!),BDI!$B$17,IF(AND(#REF!="Padrão",$H$4=#REF!),BDI!#REF!,IF(AND(#REF!="Diferenciado",$H$4=#REF!),BDI!$E$17,IF(AND(#REF!="Diferenciado",$H$4=#REF!),BDI!#REF!,IF(#REF!="ZERO",0))))),"")</f>
        <v>#REF!</v>
      </c>
      <c r="H3083" s="127" t="str">
        <f t="shared" si="163"/>
        <v/>
      </c>
      <c r="I3083" s="125" t="str">
        <f t="shared" si="164"/>
        <v/>
      </c>
    </row>
    <row r="3084" spans="1:9" hidden="1" x14ac:dyDescent="0.25">
      <c r="A3084" s="103" t="s">
        <v>7472</v>
      </c>
      <c r="B3084" s="104" t="s">
        <v>7473</v>
      </c>
      <c r="C3084" s="105" t="s">
        <v>20</v>
      </c>
      <c r="D3084" s="105">
        <v>0</v>
      </c>
      <c r="E3084" s="124" t="s">
        <v>523</v>
      </c>
      <c r="F3084" s="125" t="str">
        <f t="shared" si="162"/>
        <v/>
      </c>
      <c r="G3084" s="126" t="e">
        <f>IF(A3084&lt;&gt;"",IF(AND(#REF!="Padrão",$H$4=#REF!),BDI!$B$17,IF(AND(#REF!="Padrão",$H$4=#REF!),BDI!#REF!,IF(AND(#REF!="Diferenciado",$H$4=#REF!),BDI!$E$17,IF(AND(#REF!="Diferenciado",$H$4=#REF!),BDI!#REF!,IF(#REF!="ZERO",0))))),"")</f>
        <v>#REF!</v>
      </c>
      <c r="H3084" s="127" t="str">
        <f t="shared" si="163"/>
        <v/>
      </c>
      <c r="I3084" s="125" t="str">
        <f t="shared" si="164"/>
        <v/>
      </c>
    </row>
    <row r="3085" spans="1:9" hidden="1" x14ac:dyDescent="0.25">
      <c r="A3085" s="103" t="s">
        <v>7474</v>
      </c>
      <c r="B3085" s="104" t="s">
        <v>7475</v>
      </c>
      <c r="C3085" s="105" t="s">
        <v>2670</v>
      </c>
      <c r="D3085" s="105">
        <v>0</v>
      </c>
      <c r="E3085" s="124" t="s">
        <v>523</v>
      </c>
      <c r="F3085" s="125" t="str">
        <f t="shared" si="162"/>
        <v/>
      </c>
      <c r="G3085" s="126" t="e">
        <f>IF(A3085&lt;&gt;"",IF(AND(#REF!="Padrão",$H$4=#REF!),BDI!$B$17,IF(AND(#REF!="Padrão",$H$4=#REF!),BDI!#REF!,IF(AND(#REF!="Diferenciado",$H$4=#REF!),BDI!$E$17,IF(AND(#REF!="Diferenciado",$H$4=#REF!),BDI!#REF!,IF(#REF!="ZERO",0))))),"")</f>
        <v>#REF!</v>
      </c>
      <c r="H3085" s="127" t="str">
        <f t="shared" si="163"/>
        <v/>
      </c>
      <c r="I3085" s="125" t="str">
        <f t="shared" si="164"/>
        <v/>
      </c>
    </row>
    <row r="3086" spans="1:9" hidden="1" x14ac:dyDescent="0.25">
      <c r="A3086" s="103" t="s">
        <v>7476</v>
      </c>
      <c r="B3086" s="104" t="s">
        <v>7477</v>
      </c>
      <c r="C3086" s="105" t="s">
        <v>93</v>
      </c>
      <c r="D3086" s="105">
        <v>0</v>
      </c>
      <c r="E3086" s="124" t="s">
        <v>523</v>
      </c>
      <c r="F3086" s="125" t="str">
        <f t="shared" si="162"/>
        <v/>
      </c>
      <c r="G3086" s="126" t="e">
        <f>IF(A3086&lt;&gt;"",IF(AND(#REF!="Padrão",$H$4=#REF!),BDI!$B$17,IF(AND(#REF!="Padrão",$H$4=#REF!),BDI!#REF!,IF(AND(#REF!="Diferenciado",$H$4=#REF!),BDI!$E$17,IF(AND(#REF!="Diferenciado",$H$4=#REF!),BDI!#REF!,IF(#REF!="ZERO",0))))),"")</f>
        <v>#REF!</v>
      </c>
      <c r="H3086" s="127" t="str">
        <f t="shared" si="163"/>
        <v/>
      </c>
      <c r="I3086" s="125" t="str">
        <f t="shared" si="164"/>
        <v/>
      </c>
    </row>
    <row r="3087" spans="1:9" hidden="1" x14ac:dyDescent="0.25">
      <c r="A3087" s="103" t="s">
        <v>7478</v>
      </c>
      <c r="B3087" s="104" t="s">
        <v>7479</v>
      </c>
      <c r="C3087" s="105" t="s">
        <v>20</v>
      </c>
      <c r="D3087" s="105">
        <v>0</v>
      </c>
      <c r="E3087" s="124" t="s">
        <v>523</v>
      </c>
      <c r="F3087" s="125" t="str">
        <f t="shared" si="162"/>
        <v/>
      </c>
      <c r="G3087" s="126" t="e">
        <f>IF(A3087&lt;&gt;"",IF(AND(#REF!="Padrão",$H$4=#REF!),BDI!$B$17,IF(AND(#REF!="Padrão",$H$4=#REF!),BDI!#REF!,IF(AND(#REF!="Diferenciado",$H$4=#REF!),BDI!$E$17,IF(AND(#REF!="Diferenciado",$H$4=#REF!),BDI!#REF!,IF(#REF!="ZERO",0))))),"")</f>
        <v>#REF!</v>
      </c>
      <c r="H3087" s="127" t="str">
        <f t="shared" si="163"/>
        <v/>
      </c>
      <c r="I3087" s="125" t="str">
        <f t="shared" si="164"/>
        <v/>
      </c>
    </row>
    <row r="3088" spans="1:9" hidden="1" x14ac:dyDescent="0.25">
      <c r="A3088" s="103" t="s">
        <v>7480</v>
      </c>
      <c r="B3088" s="104" t="s">
        <v>7481</v>
      </c>
      <c r="C3088" s="105" t="s">
        <v>20</v>
      </c>
      <c r="D3088" s="105">
        <v>0</v>
      </c>
      <c r="E3088" s="124" t="s">
        <v>523</v>
      </c>
      <c r="F3088" s="125" t="str">
        <f t="shared" si="162"/>
        <v/>
      </c>
      <c r="G3088" s="126" t="e">
        <f>IF(A3088&lt;&gt;"",IF(AND(#REF!="Padrão",$H$4=#REF!),BDI!$B$17,IF(AND(#REF!="Padrão",$H$4=#REF!),BDI!#REF!,IF(AND(#REF!="Diferenciado",$H$4=#REF!),BDI!$E$17,IF(AND(#REF!="Diferenciado",$H$4=#REF!),BDI!#REF!,IF(#REF!="ZERO",0))))),"")</f>
        <v>#REF!</v>
      </c>
      <c r="H3088" s="127" t="str">
        <f t="shared" si="163"/>
        <v/>
      </c>
      <c r="I3088" s="125" t="str">
        <f t="shared" si="164"/>
        <v/>
      </c>
    </row>
    <row r="3089" spans="1:9" hidden="1" x14ac:dyDescent="0.25">
      <c r="A3089" s="103" t="s">
        <v>7482</v>
      </c>
      <c r="B3089" s="104" t="s">
        <v>7483</v>
      </c>
      <c r="C3089" s="105" t="s">
        <v>2463</v>
      </c>
      <c r="D3089" s="105">
        <v>0</v>
      </c>
      <c r="E3089" s="124">
        <f ca="1">OFFSET(INDEX(Composições!A:J,MATCH(Orçamentária!A3089,Composições!A:A,0),8),2,0)</f>
        <v>10382.367903049999</v>
      </c>
      <c r="F3089" s="125">
        <f t="shared" ca="1" si="162"/>
        <v>0</v>
      </c>
      <c r="G3089" s="126" t="e">
        <f>IF(A3089&lt;&gt;"",IF(AND(#REF!="Padrão",$H$4=#REF!),BDI!$B$17,IF(AND(#REF!="Padrão",$H$4=#REF!),BDI!#REF!,IF(AND(#REF!="Diferenciado",$H$4=#REF!),BDI!$E$17,IF(AND(#REF!="Diferenciado",$H$4=#REF!),BDI!#REF!,IF(#REF!="ZERO",0))))),"")</f>
        <v>#REF!</v>
      </c>
      <c r="H3089" s="127" t="e">
        <f t="shared" ca="1" si="163"/>
        <v>#REF!</v>
      </c>
      <c r="I3089" s="125" t="e">
        <f t="shared" ca="1" si="164"/>
        <v>#REF!</v>
      </c>
    </row>
    <row r="3090" spans="1:9" hidden="1" x14ac:dyDescent="0.25">
      <c r="A3090" s="103" t="s">
        <v>7484</v>
      </c>
      <c r="B3090" s="104" t="s">
        <v>7485</v>
      </c>
      <c r="C3090" s="105" t="s">
        <v>2463</v>
      </c>
      <c r="D3090" s="105">
        <v>0</v>
      </c>
      <c r="E3090" s="124">
        <f ca="1">OFFSET(INDEX(Composições!A:J,MATCH(Orçamentária!A3090,Composições!A:A,0),8),2,0)</f>
        <v>10382.367903049999</v>
      </c>
      <c r="F3090" s="125">
        <f t="shared" ca="1" si="162"/>
        <v>0</v>
      </c>
      <c r="G3090" s="126" t="e">
        <f>IF(A3090&lt;&gt;"",IF(AND(#REF!="Padrão",$H$4=#REF!),BDI!$B$17,IF(AND(#REF!="Padrão",$H$4=#REF!),BDI!#REF!,IF(AND(#REF!="Diferenciado",$H$4=#REF!),BDI!$E$17,IF(AND(#REF!="Diferenciado",$H$4=#REF!),BDI!#REF!,IF(#REF!="ZERO",0))))),"")</f>
        <v>#REF!</v>
      </c>
      <c r="H3090" s="127" t="e">
        <f t="shared" ca="1" si="163"/>
        <v>#REF!</v>
      </c>
      <c r="I3090" s="125" t="e">
        <f t="shared" ca="1" si="164"/>
        <v>#REF!</v>
      </c>
    </row>
    <row r="3091" spans="1:9" hidden="1" x14ac:dyDescent="0.25">
      <c r="A3091" s="103" t="s">
        <v>7486</v>
      </c>
      <c r="B3091" s="104" t="s">
        <v>7487</v>
      </c>
      <c r="C3091" s="105" t="s">
        <v>2463</v>
      </c>
      <c r="D3091" s="105">
        <v>0</v>
      </c>
      <c r="E3091" s="124">
        <f ca="1">OFFSET(INDEX(Composições!A:J,MATCH(Orçamentária!A3091,Composições!A:A,0),8),2,0)</f>
        <v>2122.4229433</v>
      </c>
      <c r="F3091" s="125">
        <f t="shared" ca="1" si="162"/>
        <v>0</v>
      </c>
      <c r="G3091" s="126" t="e">
        <f>IF(A3091&lt;&gt;"",IF(AND(#REF!="Padrão",$H$4=#REF!),BDI!$B$17,IF(AND(#REF!="Padrão",$H$4=#REF!),BDI!#REF!,IF(AND(#REF!="Diferenciado",$H$4=#REF!),BDI!$E$17,IF(AND(#REF!="Diferenciado",$H$4=#REF!),BDI!#REF!,IF(#REF!="ZERO",0))))),"")</f>
        <v>#REF!</v>
      </c>
      <c r="H3091" s="127" t="e">
        <f t="shared" ca="1" si="163"/>
        <v>#REF!</v>
      </c>
      <c r="I3091" s="125" t="e">
        <f t="shared" ca="1" si="164"/>
        <v>#REF!</v>
      </c>
    </row>
    <row r="3092" spans="1:9" hidden="1" x14ac:dyDescent="0.25">
      <c r="A3092" s="103" t="s">
        <v>7488</v>
      </c>
      <c r="B3092" s="104" t="s">
        <v>7489</v>
      </c>
      <c r="C3092" s="105" t="s">
        <v>2463</v>
      </c>
      <c r="D3092" s="105">
        <v>0</v>
      </c>
      <c r="E3092" s="124">
        <f ca="1">OFFSET(INDEX(Composições!A:J,MATCH(Orçamentária!A3092,Composições!A:A,0),8),2,0)</f>
        <v>2544.1227220999999</v>
      </c>
      <c r="F3092" s="125">
        <f t="shared" ca="1" si="162"/>
        <v>0</v>
      </c>
      <c r="G3092" s="126" t="e">
        <f>IF(A3092&lt;&gt;"",IF(AND(#REF!="Padrão",$H$4=#REF!),BDI!$B$17,IF(AND(#REF!="Padrão",$H$4=#REF!),BDI!#REF!,IF(AND(#REF!="Diferenciado",$H$4=#REF!),BDI!$E$17,IF(AND(#REF!="Diferenciado",$H$4=#REF!),BDI!#REF!,IF(#REF!="ZERO",0))))),"")</f>
        <v>#REF!</v>
      </c>
      <c r="H3092" s="127" t="e">
        <f t="shared" ca="1" si="163"/>
        <v>#REF!</v>
      </c>
      <c r="I3092" s="125" t="e">
        <f t="shared" ca="1" si="164"/>
        <v>#REF!</v>
      </c>
    </row>
    <row r="3093" spans="1:9" hidden="1" x14ac:dyDescent="0.25">
      <c r="A3093" s="103" t="s">
        <v>7490</v>
      </c>
      <c r="B3093" s="104" t="s">
        <v>7491</v>
      </c>
      <c r="C3093" s="105" t="s">
        <v>2463</v>
      </c>
      <c r="D3093" s="105">
        <v>0</v>
      </c>
      <c r="E3093" s="124">
        <f ca="1">OFFSET(INDEX(Composições!A:J,MATCH(Orçamentária!A3093,Composições!A:A,0),8),2,0)</f>
        <v>1452.0794269999999</v>
      </c>
      <c r="F3093" s="125">
        <f t="shared" ca="1" si="162"/>
        <v>0</v>
      </c>
      <c r="G3093" s="126" t="e">
        <f>IF(A3093&lt;&gt;"",IF(AND(#REF!="Padrão",$H$4=#REF!),BDI!$B$17,IF(AND(#REF!="Padrão",$H$4=#REF!),BDI!#REF!,IF(AND(#REF!="Diferenciado",$H$4=#REF!),BDI!$E$17,IF(AND(#REF!="Diferenciado",$H$4=#REF!),BDI!#REF!,IF(#REF!="ZERO",0))))),"")</f>
        <v>#REF!</v>
      </c>
      <c r="H3093" s="127" t="e">
        <f t="shared" ca="1" si="163"/>
        <v>#REF!</v>
      </c>
      <c r="I3093" s="125" t="e">
        <f t="shared" ca="1" si="164"/>
        <v>#REF!</v>
      </c>
    </row>
    <row r="3094" spans="1:9" hidden="1" x14ac:dyDescent="0.25">
      <c r="A3094" s="103" t="s">
        <v>7492</v>
      </c>
      <c r="B3094" s="104" t="s">
        <v>7493</v>
      </c>
      <c r="C3094" s="105" t="s">
        <v>2463</v>
      </c>
      <c r="D3094" s="105">
        <v>0</v>
      </c>
      <c r="E3094" s="124">
        <f ca="1">OFFSET(INDEX(Composições!A:J,MATCH(Orçamentária!A3094,Composições!A:A,0),8),2,0)</f>
        <v>2544.1227220999999</v>
      </c>
      <c r="F3094" s="125">
        <f t="shared" ca="1" si="162"/>
        <v>0</v>
      </c>
      <c r="G3094" s="126" t="e">
        <f>IF(A3094&lt;&gt;"",IF(AND(#REF!="Padrão",$H$4=#REF!),BDI!$B$17,IF(AND(#REF!="Padrão",$H$4=#REF!),BDI!#REF!,IF(AND(#REF!="Diferenciado",$H$4=#REF!),BDI!$E$17,IF(AND(#REF!="Diferenciado",$H$4=#REF!),BDI!#REF!,IF(#REF!="ZERO",0))))),"")</f>
        <v>#REF!</v>
      </c>
      <c r="H3094" s="127" t="e">
        <f t="shared" ca="1" si="163"/>
        <v>#REF!</v>
      </c>
      <c r="I3094" s="125" t="e">
        <f t="shared" ca="1" si="164"/>
        <v>#REF!</v>
      </c>
    </row>
    <row r="3095" spans="1:9" hidden="1" x14ac:dyDescent="0.25">
      <c r="A3095" s="103" t="s">
        <v>7494</v>
      </c>
      <c r="B3095" s="104" t="s">
        <v>7495</v>
      </c>
      <c r="C3095" s="105" t="s">
        <v>2463</v>
      </c>
      <c r="D3095" s="105">
        <v>0</v>
      </c>
      <c r="E3095" s="124">
        <f ca="1">OFFSET(INDEX(Composições!A:J,MATCH(Orçamentária!A3095,Composições!A:A,0),8),2,0)</f>
        <v>2544.1227220999999</v>
      </c>
      <c r="F3095" s="125">
        <f t="shared" ref="F3095:F3119" ca="1" si="165">IF(ISNUMBER(E3095),D3095*E3095,"")</f>
        <v>0</v>
      </c>
      <c r="G3095" s="126" t="e">
        <f>IF(A3095&lt;&gt;"",IF(AND(#REF!="Padrão",$H$4=#REF!),BDI!$B$17,IF(AND(#REF!="Padrão",$H$4=#REF!),BDI!#REF!,IF(AND(#REF!="Diferenciado",$H$4=#REF!),BDI!$E$17,IF(AND(#REF!="Diferenciado",$H$4=#REF!),BDI!#REF!,IF(#REF!="ZERO",0))))),"")</f>
        <v>#REF!</v>
      </c>
      <c r="H3095" s="127" t="e">
        <f t="shared" ref="H3095:H3119" ca="1" si="166">IF(ISNUMBER(E3095),ROUND(E3095*(1+G3095),2),"")</f>
        <v>#REF!</v>
      </c>
      <c r="I3095" s="125" t="e">
        <f t="shared" ref="I3095:I3119" ca="1" si="167">IF(ISNUMBER(E3095),ROUND(H3095*D3095,2),"")</f>
        <v>#REF!</v>
      </c>
    </row>
    <row r="3096" spans="1:9" hidden="1" x14ac:dyDescent="0.25">
      <c r="A3096" s="103" t="s">
        <v>7496</v>
      </c>
      <c r="B3096" s="104" t="s">
        <v>7497</v>
      </c>
      <c r="C3096" s="105" t="s">
        <v>2463</v>
      </c>
      <c r="D3096" s="105">
        <v>0</v>
      </c>
      <c r="E3096" s="124">
        <f ca="1">OFFSET(INDEX(Composições!A:J,MATCH(Orçamentária!A3096,Composições!A:A,0),8),2,0)</f>
        <v>1999.0956494999998</v>
      </c>
      <c r="F3096" s="125">
        <f t="shared" ca="1" si="165"/>
        <v>0</v>
      </c>
      <c r="G3096" s="126" t="e">
        <f>IF(A3096&lt;&gt;"",IF(AND(#REF!="Padrão",$H$4=#REF!),BDI!$B$17,IF(AND(#REF!="Padrão",$H$4=#REF!),BDI!#REF!,IF(AND(#REF!="Diferenciado",$H$4=#REF!),BDI!$E$17,IF(AND(#REF!="Diferenciado",$H$4=#REF!),BDI!#REF!,IF(#REF!="ZERO",0))))),"")</f>
        <v>#REF!</v>
      </c>
      <c r="H3096" s="127" t="e">
        <f t="shared" ca="1" si="166"/>
        <v>#REF!</v>
      </c>
      <c r="I3096" s="125" t="e">
        <f t="shared" ca="1" si="167"/>
        <v>#REF!</v>
      </c>
    </row>
    <row r="3097" spans="1:9" hidden="1" x14ac:dyDescent="0.25">
      <c r="A3097" s="103" t="s">
        <v>7498</v>
      </c>
      <c r="B3097" s="104" t="s">
        <v>7499</v>
      </c>
      <c r="C3097" s="105" t="s">
        <v>2463</v>
      </c>
      <c r="D3097" s="105">
        <v>0</v>
      </c>
      <c r="E3097" s="124">
        <f ca="1">OFFSET(INDEX(Composições!A:J,MATCH(Orçamentária!A3097,Composições!A:A,0),8),2,0)</f>
        <v>1999.0956494999998</v>
      </c>
      <c r="F3097" s="125">
        <f t="shared" ca="1" si="165"/>
        <v>0</v>
      </c>
      <c r="G3097" s="126" t="e">
        <f>IF(A3097&lt;&gt;"",IF(AND(#REF!="Padrão",$H$4=#REF!),BDI!$B$17,IF(AND(#REF!="Padrão",$H$4=#REF!),BDI!#REF!,IF(AND(#REF!="Diferenciado",$H$4=#REF!),BDI!$E$17,IF(AND(#REF!="Diferenciado",$H$4=#REF!),BDI!#REF!,IF(#REF!="ZERO",0))))),"")</f>
        <v>#REF!</v>
      </c>
      <c r="H3097" s="127" t="e">
        <f t="shared" ca="1" si="166"/>
        <v>#REF!</v>
      </c>
      <c r="I3097" s="125" t="e">
        <f t="shared" ca="1" si="167"/>
        <v>#REF!</v>
      </c>
    </row>
    <row r="3098" spans="1:9" hidden="1" x14ac:dyDescent="0.25">
      <c r="A3098" s="103" t="s">
        <v>7500</v>
      </c>
      <c r="B3098" s="104" t="s">
        <v>7501</v>
      </c>
      <c r="C3098" s="105" t="s">
        <v>2463</v>
      </c>
      <c r="D3098" s="105">
        <v>0</v>
      </c>
      <c r="E3098" s="124">
        <f ca="1">OFFSET(INDEX(Composições!A:J,MATCH(Orçamentária!A3098,Composições!A:A,0),8),2,0)</f>
        <v>1999.0956494999998</v>
      </c>
      <c r="F3098" s="125">
        <f t="shared" ca="1" si="165"/>
        <v>0</v>
      </c>
      <c r="G3098" s="126" t="e">
        <f>IF(A3098&lt;&gt;"",IF(AND(#REF!="Padrão",$H$4=#REF!),BDI!$B$17,IF(AND(#REF!="Padrão",$H$4=#REF!),BDI!#REF!,IF(AND(#REF!="Diferenciado",$H$4=#REF!),BDI!$E$17,IF(AND(#REF!="Diferenciado",$H$4=#REF!),BDI!#REF!,IF(#REF!="ZERO",0))))),"")</f>
        <v>#REF!</v>
      </c>
      <c r="H3098" s="127" t="e">
        <f t="shared" ca="1" si="166"/>
        <v>#REF!</v>
      </c>
      <c r="I3098" s="125" t="e">
        <f t="shared" ca="1" si="167"/>
        <v>#REF!</v>
      </c>
    </row>
    <row r="3099" spans="1:9" hidden="1" x14ac:dyDescent="0.25">
      <c r="A3099" s="103" t="s">
        <v>7502</v>
      </c>
      <c r="B3099" s="104" t="s">
        <v>7503</v>
      </c>
      <c r="C3099" s="105" t="s">
        <v>20</v>
      </c>
      <c r="D3099" s="105">
        <v>0</v>
      </c>
      <c r="E3099" s="124" t="s">
        <v>523</v>
      </c>
      <c r="F3099" s="125" t="str">
        <f t="shared" si="165"/>
        <v/>
      </c>
      <c r="G3099" s="126" t="e">
        <f>IF(A3099&lt;&gt;"",IF(AND(#REF!="Padrão",$H$4=#REF!),BDI!$B$17,IF(AND(#REF!="Padrão",$H$4=#REF!),BDI!#REF!,IF(AND(#REF!="Diferenciado",$H$4=#REF!),BDI!$E$17,IF(AND(#REF!="Diferenciado",$H$4=#REF!),BDI!#REF!,IF(#REF!="ZERO",0))))),"")</f>
        <v>#REF!</v>
      </c>
      <c r="H3099" s="127" t="str">
        <f t="shared" si="166"/>
        <v/>
      </c>
      <c r="I3099" s="125" t="str">
        <f t="shared" si="167"/>
        <v/>
      </c>
    </row>
    <row r="3100" spans="1:9" hidden="1" x14ac:dyDescent="0.25">
      <c r="A3100" s="103" t="s">
        <v>7504</v>
      </c>
      <c r="B3100" s="104" t="s">
        <v>7505</v>
      </c>
      <c r="C3100" s="105" t="s">
        <v>20</v>
      </c>
      <c r="D3100" s="105">
        <v>0</v>
      </c>
      <c r="E3100" s="124">
        <f ca="1">OFFSET(INDEX(Composições!A:J,MATCH(Orçamentária!A3100,Composições!A:A,0),8),2,0)</f>
        <v>603.47799999999995</v>
      </c>
      <c r="F3100" s="125">
        <f t="shared" ca="1" si="165"/>
        <v>0</v>
      </c>
      <c r="G3100" s="126" t="e">
        <f>IF(A3100&lt;&gt;"",IF(AND(#REF!="Padrão",$H$4=#REF!),BDI!$B$17,IF(AND(#REF!="Padrão",$H$4=#REF!),BDI!#REF!,IF(AND(#REF!="Diferenciado",$H$4=#REF!),BDI!$E$17,IF(AND(#REF!="Diferenciado",$H$4=#REF!),BDI!#REF!,IF(#REF!="ZERO",0))))),"")</f>
        <v>#REF!</v>
      </c>
      <c r="H3100" s="127" t="e">
        <f t="shared" ca="1" si="166"/>
        <v>#REF!</v>
      </c>
      <c r="I3100" s="125" t="e">
        <f t="shared" ca="1" si="167"/>
        <v>#REF!</v>
      </c>
    </row>
    <row r="3101" spans="1:9" hidden="1" x14ac:dyDescent="0.25">
      <c r="A3101" s="103" t="s">
        <v>7506</v>
      </c>
      <c r="B3101" s="104" t="s">
        <v>7507</v>
      </c>
      <c r="C3101" s="105" t="s">
        <v>20</v>
      </c>
      <c r="D3101" s="105">
        <v>0</v>
      </c>
      <c r="E3101" s="124">
        <f ca="1">OFFSET(INDEX(Composições!A:J,MATCH(Orçamentária!A3101,Composições!A:A,0),8),2,0)</f>
        <v>161.44299999999998</v>
      </c>
      <c r="F3101" s="125">
        <f t="shared" ca="1" si="165"/>
        <v>0</v>
      </c>
      <c r="G3101" s="126" t="e">
        <f>IF(A3101&lt;&gt;"",IF(AND(#REF!="Padrão",$H$4=#REF!),BDI!$B$17,IF(AND(#REF!="Padrão",$H$4=#REF!),BDI!#REF!,IF(AND(#REF!="Diferenciado",$H$4=#REF!),BDI!$E$17,IF(AND(#REF!="Diferenciado",$H$4=#REF!),BDI!#REF!,IF(#REF!="ZERO",0))))),"")</f>
        <v>#REF!</v>
      </c>
      <c r="H3101" s="127" t="e">
        <f t="shared" ca="1" si="166"/>
        <v>#REF!</v>
      </c>
      <c r="I3101" s="125" t="e">
        <f t="shared" ca="1" si="167"/>
        <v>#REF!</v>
      </c>
    </row>
    <row r="3102" spans="1:9" hidden="1" x14ac:dyDescent="0.25">
      <c r="A3102" s="103" t="s">
        <v>7508</v>
      </c>
      <c r="B3102" s="104" t="s">
        <v>7509</v>
      </c>
      <c r="C3102" s="105" t="s">
        <v>20</v>
      </c>
      <c r="D3102" s="105">
        <v>0</v>
      </c>
      <c r="E3102" s="124" t="s">
        <v>523</v>
      </c>
      <c r="F3102" s="125" t="str">
        <f t="shared" si="165"/>
        <v/>
      </c>
      <c r="G3102" s="126" t="e">
        <f>IF(A3102&lt;&gt;"",IF(AND(#REF!="Padrão",$H$4=#REF!),BDI!$B$17,IF(AND(#REF!="Padrão",$H$4=#REF!),BDI!#REF!,IF(AND(#REF!="Diferenciado",$H$4=#REF!),BDI!$E$17,IF(AND(#REF!="Diferenciado",$H$4=#REF!),BDI!#REF!,IF(#REF!="ZERO",0))))),"")</f>
        <v>#REF!</v>
      </c>
      <c r="H3102" s="127" t="str">
        <f t="shared" si="166"/>
        <v/>
      </c>
      <c r="I3102" s="125" t="str">
        <f t="shared" si="167"/>
        <v/>
      </c>
    </row>
    <row r="3103" spans="1:9" hidden="1" x14ac:dyDescent="0.25">
      <c r="A3103" s="103" t="s">
        <v>7510</v>
      </c>
      <c r="B3103" s="104" t="s">
        <v>7511</v>
      </c>
      <c r="C3103" s="105" t="s">
        <v>20</v>
      </c>
      <c r="D3103" s="105">
        <v>0</v>
      </c>
      <c r="E3103" s="124" t="s">
        <v>523</v>
      </c>
      <c r="F3103" s="125" t="str">
        <f t="shared" si="165"/>
        <v/>
      </c>
      <c r="G3103" s="126" t="e">
        <f>IF(A3103&lt;&gt;"",IF(AND(#REF!="Padrão",$H$4=#REF!),BDI!$B$17,IF(AND(#REF!="Padrão",$H$4=#REF!),BDI!#REF!,IF(AND(#REF!="Diferenciado",$H$4=#REF!),BDI!$E$17,IF(AND(#REF!="Diferenciado",$H$4=#REF!),BDI!#REF!,IF(#REF!="ZERO",0))))),"")</f>
        <v>#REF!</v>
      </c>
      <c r="H3103" s="127" t="str">
        <f t="shared" si="166"/>
        <v/>
      </c>
      <c r="I3103" s="125" t="str">
        <f t="shared" si="167"/>
        <v/>
      </c>
    </row>
    <row r="3104" spans="1:9" hidden="1" x14ac:dyDescent="0.25">
      <c r="A3104" s="103" t="s">
        <v>7512</v>
      </c>
      <c r="B3104" s="104" t="s">
        <v>7513</v>
      </c>
      <c r="C3104" s="105" t="s">
        <v>20</v>
      </c>
      <c r="D3104" s="105">
        <v>0</v>
      </c>
      <c r="E3104" s="124" t="s">
        <v>523</v>
      </c>
      <c r="F3104" s="125" t="str">
        <f t="shared" si="165"/>
        <v/>
      </c>
      <c r="G3104" s="126" t="e">
        <f>IF(A3104&lt;&gt;"",IF(AND(#REF!="Padrão",$H$4=#REF!),BDI!$B$17,IF(AND(#REF!="Padrão",$H$4=#REF!),BDI!#REF!,IF(AND(#REF!="Diferenciado",$H$4=#REF!),BDI!$E$17,IF(AND(#REF!="Diferenciado",$H$4=#REF!),BDI!#REF!,IF(#REF!="ZERO",0))))),"")</f>
        <v>#REF!</v>
      </c>
      <c r="H3104" s="127" t="str">
        <f t="shared" si="166"/>
        <v/>
      </c>
      <c r="I3104" s="125" t="str">
        <f t="shared" si="167"/>
        <v/>
      </c>
    </row>
    <row r="3105" spans="1:9" hidden="1" x14ac:dyDescent="0.25">
      <c r="A3105" s="103" t="s">
        <v>7514</v>
      </c>
      <c r="B3105" s="104" t="s">
        <v>7515</v>
      </c>
      <c r="C3105" s="105" t="s">
        <v>20</v>
      </c>
      <c r="D3105" s="105">
        <v>0</v>
      </c>
      <c r="E3105" s="124" t="s">
        <v>523</v>
      </c>
      <c r="F3105" s="125" t="str">
        <f t="shared" si="165"/>
        <v/>
      </c>
      <c r="G3105" s="126" t="e">
        <f>IF(A3105&lt;&gt;"",IF(AND(#REF!="Padrão",$H$4=#REF!),BDI!$B$17,IF(AND(#REF!="Padrão",$H$4=#REF!),BDI!#REF!,IF(AND(#REF!="Diferenciado",$H$4=#REF!),BDI!$E$17,IF(AND(#REF!="Diferenciado",$H$4=#REF!),BDI!#REF!,IF(#REF!="ZERO",0))))),"")</f>
        <v>#REF!</v>
      </c>
      <c r="H3105" s="127" t="str">
        <f t="shared" si="166"/>
        <v/>
      </c>
      <c r="I3105" s="125" t="str">
        <f t="shared" si="167"/>
        <v/>
      </c>
    </row>
    <row r="3106" spans="1:9" hidden="1" x14ac:dyDescent="0.25">
      <c r="A3106" s="103" t="s">
        <v>7516</v>
      </c>
      <c r="B3106" s="104" t="s">
        <v>7517</v>
      </c>
      <c r="C3106" s="105" t="s">
        <v>20</v>
      </c>
      <c r="D3106" s="105">
        <v>0</v>
      </c>
      <c r="E3106" s="124" t="s">
        <v>523</v>
      </c>
      <c r="F3106" s="125" t="str">
        <f t="shared" si="165"/>
        <v/>
      </c>
      <c r="G3106" s="126" t="e">
        <f>IF(A3106&lt;&gt;"",IF(AND(#REF!="Padrão",$H$4=#REF!),BDI!$B$17,IF(AND(#REF!="Padrão",$H$4=#REF!),BDI!#REF!,IF(AND(#REF!="Diferenciado",$H$4=#REF!),BDI!$E$17,IF(AND(#REF!="Diferenciado",$H$4=#REF!),BDI!#REF!,IF(#REF!="ZERO",0))))),"")</f>
        <v>#REF!</v>
      </c>
      <c r="H3106" s="127" t="str">
        <f t="shared" si="166"/>
        <v/>
      </c>
      <c r="I3106" s="125" t="str">
        <f t="shared" si="167"/>
        <v/>
      </c>
    </row>
    <row r="3107" spans="1:9" hidden="1" x14ac:dyDescent="0.25">
      <c r="A3107" s="103" t="s">
        <v>7518</v>
      </c>
      <c r="B3107" s="104" t="s">
        <v>7519</v>
      </c>
      <c r="C3107" s="105" t="s">
        <v>20</v>
      </c>
      <c r="D3107" s="105">
        <v>0</v>
      </c>
      <c r="E3107" s="124" t="s">
        <v>523</v>
      </c>
      <c r="F3107" s="125" t="str">
        <f t="shared" si="165"/>
        <v/>
      </c>
      <c r="G3107" s="126" t="e">
        <f>IF(A3107&lt;&gt;"",IF(AND(#REF!="Padrão",$H$4=#REF!),BDI!$B$17,IF(AND(#REF!="Padrão",$H$4=#REF!),BDI!#REF!,IF(AND(#REF!="Diferenciado",$H$4=#REF!),BDI!$E$17,IF(AND(#REF!="Diferenciado",$H$4=#REF!),BDI!#REF!,IF(#REF!="ZERO",0))))),"")</f>
        <v>#REF!</v>
      </c>
      <c r="H3107" s="127" t="str">
        <f t="shared" si="166"/>
        <v/>
      </c>
      <c r="I3107" s="125" t="str">
        <f t="shared" si="167"/>
        <v/>
      </c>
    </row>
    <row r="3108" spans="1:9" hidden="1" x14ac:dyDescent="0.25">
      <c r="A3108" s="103" t="s">
        <v>7520</v>
      </c>
      <c r="B3108" s="104" t="s">
        <v>7521</v>
      </c>
      <c r="C3108" s="105" t="s">
        <v>20</v>
      </c>
      <c r="D3108" s="105">
        <v>0</v>
      </c>
      <c r="E3108" s="124" t="s">
        <v>523</v>
      </c>
      <c r="F3108" s="125" t="str">
        <f t="shared" si="165"/>
        <v/>
      </c>
      <c r="G3108" s="126" t="e">
        <f>IF(A3108&lt;&gt;"",IF(AND(#REF!="Padrão",$H$4=#REF!),BDI!$B$17,IF(AND(#REF!="Padrão",$H$4=#REF!),BDI!#REF!,IF(AND(#REF!="Diferenciado",$H$4=#REF!),BDI!$E$17,IF(AND(#REF!="Diferenciado",$H$4=#REF!),BDI!#REF!,IF(#REF!="ZERO",0))))),"")</f>
        <v>#REF!</v>
      </c>
      <c r="H3108" s="127" t="str">
        <f t="shared" si="166"/>
        <v/>
      </c>
      <c r="I3108" s="125" t="str">
        <f t="shared" si="167"/>
        <v/>
      </c>
    </row>
    <row r="3109" spans="1:9" hidden="1" x14ac:dyDescent="0.25">
      <c r="A3109" s="103" t="s">
        <v>7522</v>
      </c>
      <c r="B3109" s="104" t="s">
        <v>7523</v>
      </c>
      <c r="C3109" s="105" t="s">
        <v>20</v>
      </c>
      <c r="D3109" s="105">
        <v>0</v>
      </c>
      <c r="E3109" s="124" t="s">
        <v>523</v>
      </c>
      <c r="F3109" s="125" t="str">
        <f t="shared" si="165"/>
        <v/>
      </c>
      <c r="G3109" s="126" t="e">
        <f>IF(A3109&lt;&gt;"",IF(AND(#REF!="Padrão",$H$4=#REF!),BDI!$B$17,IF(AND(#REF!="Padrão",$H$4=#REF!),BDI!#REF!,IF(AND(#REF!="Diferenciado",$H$4=#REF!),BDI!$E$17,IF(AND(#REF!="Diferenciado",$H$4=#REF!),BDI!#REF!,IF(#REF!="ZERO",0))))),"")</f>
        <v>#REF!</v>
      </c>
      <c r="H3109" s="127" t="str">
        <f t="shared" si="166"/>
        <v/>
      </c>
      <c r="I3109" s="125" t="str">
        <f t="shared" si="167"/>
        <v/>
      </c>
    </row>
    <row r="3110" spans="1:9" hidden="1" x14ac:dyDescent="0.25">
      <c r="A3110" s="103" t="s">
        <v>7524</v>
      </c>
      <c r="B3110" s="104" t="s">
        <v>7525</v>
      </c>
      <c r="C3110" s="105" t="s">
        <v>20</v>
      </c>
      <c r="D3110" s="105">
        <v>0</v>
      </c>
      <c r="E3110" s="124" t="s">
        <v>523</v>
      </c>
      <c r="F3110" s="125" t="str">
        <f t="shared" si="165"/>
        <v/>
      </c>
      <c r="G3110" s="126" t="e">
        <f>IF(A3110&lt;&gt;"",IF(AND(#REF!="Padrão",$H$4=#REF!),BDI!$B$17,IF(AND(#REF!="Padrão",$H$4=#REF!),BDI!#REF!,IF(AND(#REF!="Diferenciado",$H$4=#REF!),BDI!$E$17,IF(AND(#REF!="Diferenciado",$H$4=#REF!),BDI!#REF!,IF(#REF!="ZERO",0))))),"")</f>
        <v>#REF!</v>
      </c>
      <c r="H3110" s="127" t="str">
        <f t="shared" si="166"/>
        <v/>
      </c>
      <c r="I3110" s="125" t="str">
        <f t="shared" si="167"/>
        <v/>
      </c>
    </row>
    <row r="3111" spans="1:9" hidden="1" x14ac:dyDescent="0.25">
      <c r="A3111" s="103" t="s">
        <v>7526</v>
      </c>
      <c r="B3111" s="104" t="s">
        <v>7527</v>
      </c>
      <c r="C3111" s="105" t="s">
        <v>20</v>
      </c>
      <c r="D3111" s="105">
        <v>0</v>
      </c>
      <c r="E3111" s="124" t="s">
        <v>523</v>
      </c>
      <c r="F3111" s="125" t="str">
        <f t="shared" si="165"/>
        <v/>
      </c>
      <c r="G3111" s="126" t="e">
        <f>IF(A3111&lt;&gt;"",IF(AND(#REF!="Padrão",$H$4=#REF!),BDI!$B$17,IF(AND(#REF!="Padrão",$H$4=#REF!),BDI!#REF!,IF(AND(#REF!="Diferenciado",$H$4=#REF!),BDI!$E$17,IF(AND(#REF!="Diferenciado",$H$4=#REF!),BDI!#REF!,IF(#REF!="ZERO",0))))),"")</f>
        <v>#REF!</v>
      </c>
      <c r="H3111" s="127" t="str">
        <f t="shared" si="166"/>
        <v/>
      </c>
      <c r="I3111" s="125" t="str">
        <f t="shared" si="167"/>
        <v/>
      </c>
    </row>
    <row r="3112" spans="1:9" hidden="1" x14ac:dyDescent="0.25">
      <c r="A3112" s="103" t="s">
        <v>7528</v>
      </c>
      <c r="B3112" s="104" t="s">
        <v>7529</v>
      </c>
      <c r="C3112" s="105" t="s">
        <v>20</v>
      </c>
      <c r="D3112" s="105">
        <v>0</v>
      </c>
      <c r="E3112" s="124" t="s">
        <v>523</v>
      </c>
      <c r="F3112" s="125" t="str">
        <f t="shared" si="165"/>
        <v/>
      </c>
      <c r="G3112" s="126" t="e">
        <f>IF(A3112&lt;&gt;"",IF(AND(#REF!="Padrão",$H$4=#REF!),BDI!$B$17,IF(AND(#REF!="Padrão",$H$4=#REF!),BDI!#REF!,IF(AND(#REF!="Diferenciado",$H$4=#REF!),BDI!$E$17,IF(AND(#REF!="Diferenciado",$H$4=#REF!),BDI!#REF!,IF(#REF!="ZERO",0))))),"")</f>
        <v>#REF!</v>
      </c>
      <c r="H3112" s="127" t="str">
        <f t="shared" si="166"/>
        <v/>
      </c>
      <c r="I3112" s="125" t="str">
        <f t="shared" si="167"/>
        <v/>
      </c>
    </row>
    <row r="3113" spans="1:9" hidden="1" x14ac:dyDescent="0.25">
      <c r="A3113" s="103" t="s">
        <v>7530</v>
      </c>
      <c r="B3113" s="104" t="s">
        <v>7531</v>
      </c>
      <c r="C3113" s="105" t="s">
        <v>20</v>
      </c>
      <c r="D3113" s="105">
        <v>0</v>
      </c>
      <c r="E3113" s="124" t="s">
        <v>523</v>
      </c>
      <c r="F3113" s="125" t="str">
        <f t="shared" si="165"/>
        <v/>
      </c>
      <c r="G3113" s="126" t="e">
        <f>IF(A3113&lt;&gt;"",IF(AND(#REF!="Padrão",$H$4=#REF!),BDI!$B$17,IF(AND(#REF!="Padrão",$H$4=#REF!),BDI!#REF!,IF(AND(#REF!="Diferenciado",$H$4=#REF!),BDI!$E$17,IF(AND(#REF!="Diferenciado",$H$4=#REF!),BDI!#REF!,IF(#REF!="ZERO",0))))),"")</f>
        <v>#REF!</v>
      </c>
      <c r="H3113" s="127" t="str">
        <f t="shared" si="166"/>
        <v/>
      </c>
      <c r="I3113" s="125" t="str">
        <f t="shared" si="167"/>
        <v/>
      </c>
    </row>
    <row r="3114" spans="1:9" hidden="1" x14ac:dyDescent="0.25">
      <c r="A3114" s="103" t="s">
        <v>7532</v>
      </c>
      <c r="B3114" s="104" t="s">
        <v>7533</v>
      </c>
      <c r="C3114" s="105" t="s">
        <v>20</v>
      </c>
      <c r="D3114" s="105">
        <v>0</v>
      </c>
      <c r="E3114" s="124" t="s">
        <v>523</v>
      </c>
      <c r="F3114" s="125" t="str">
        <f t="shared" si="165"/>
        <v/>
      </c>
      <c r="G3114" s="126" t="e">
        <f>IF(A3114&lt;&gt;"",IF(AND(#REF!="Padrão",$H$4=#REF!),BDI!$B$17,IF(AND(#REF!="Padrão",$H$4=#REF!),BDI!#REF!,IF(AND(#REF!="Diferenciado",$H$4=#REF!),BDI!$E$17,IF(AND(#REF!="Diferenciado",$H$4=#REF!),BDI!#REF!,IF(#REF!="ZERO",0))))),"")</f>
        <v>#REF!</v>
      </c>
      <c r="H3114" s="127" t="str">
        <f t="shared" si="166"/>
        <v/>
      </c>
      <c r="I3114" s="125" t="str">
        <f t="shared" si="167"/>
        <v/>
      </c>
    </row>
    <row r="3115" spans="1:9" hidden="1" x14ac:dyDescent="0.25">
      <c r="A3115" s="103" t="s">
        <v>7534</v>
      </c>
      <c r="B3115" s="104" t="s">
        <v>7535</v>
      </c>
      <c r="C3115" s="105" t="s">
        <v>20</v>
      </c>
      <c r="D3115" s="105">
        <v>0</v>
      </c>
      <c r="E3115" s="124" t="s">
        <v>523</v>
      </c>
      <c r="F3115" s="125" t="str">
        <f t="shared" si="165"/>
        <v/>
      </c>
      <c r="G3115" s="126" t="e">
        <f>IF(A3115&lt;&gt;"",IF(AND(#REF!="Padrão",$H$4=#REF!),BDI!$B$17,IF(AND(#REF!="Padrão",$H$4=#REF!),BDI!#REF!,IF(AND(#REF!="Diferenciado",$H$4=#REF!),BDI!$E$17,IF(AND(#REF!="Diferenciado",$H$4=#REF!),BDI!#REF!,IF(#REF!="ZERO",0))))),"")</f>
        <v>#REF!</v>
      </c>
      <c r="H3115" s="127" t="str">
        <f t="shared" si="166"/>
        <v/>
      </c>
      <c r="I3115" s="125" t="str">
        <f t="shared" si="167"/>
        <v/>
      </c>
    </row>
    <row r="3116" spans="1:9" hidden="1" x14ac:dyDescent="0.25">
      <c r="A3116" s="103" t="s">
        <v>7536</v>
      </c>
      <c r="B3116" s="104" t="s">
        <v>7537</v>
      </c>
      <c r="C3116" s="105" t="s">
        <v>20</v>
      </c>
      <c r="D3116" s="105">
        <v>0</v>
      </c>
      <c r="E3116" s="124">
        <f ca="1">OFFSET(INDEX(Composições!A:J,MATCH(Orçamentária!A3116,Composições!A:A,0),8),2,0)</f>
        <v>64.115499999999997</v>
      </c>
      <c r="F3116" s="125">
        <f t="shared" ca="1" si="165"/>
        <v>0</v>
      </c>
      <c r="G3116" s="126" t="e">
        <f>IF(A3116&lt;&gt;"",IF(AND(#REF!="Padrão",$H$4=#REF!),BDI!$B$17,IF(AND(#REF!="Padrão",$H$4=#REF!),BDI!#REF!,IF(AND(#REF!="Diferenciado",$H$4=#REF!),BDI!$E$17,IF(AND(#REF!="Diferenciado",$H$4=#REF!),BDI!#REF!,IF(#REF!="ZERO",0))))),"")</f>
        <v>#REF!</v>
      </c>
      <c r="H3116" s="127" t="e">
        <f t="shared" ca="1" si="166"/>
        <v>#REF!</v>
      </c>
      <c r="I3116" s="125" t="e">
        <f t="shared" ca="1" si="167"/>
        <v>#REF!</v>
      </c>
    </row>
    <row r="3117" spans="1:9" hidden="1" x14ac:dyDescent="0.25">
      <c r="A3117" s="103" t="s">
        <v>7538</v>
      </c>
      <c r="B3117" s="104" t="s">
        <v>7539</v>
      </c>
      <c r="C3117" s="105" t="s">
        <v>93</v>
      </c>
      <c r="D3117" s="105">
        <v>0</v>
      </c>
      <c r="E3117" s="124">
        <f ca="1">OFFSET(INDEX(Composições!A:J,MATCH(Orçamentária!A3117,Composições!A:A,0),8),2,0)</f>
        <v>64.219999999999985</v>
      </c>
      <c r="F3117" s="125">
        <f t="shared" ca="1" si="165"/>
        <v>0</v>
      </c>
      <c r="G3117" s="126" t="e">
        <f>IF(A3117&lt;&gt;"",IF(AND(#REF!="Padrão",$H$4=#REF!),BDI!$B$17,IF(AND(#REF!="Padrão",$H$4=#REF!),BDI!#REF!,IF(AND(#REF!="Diferenciado",$H$4=#REF!),BDI!$E$17,IF(AND(#REF!="Diferenciado",$H$4=#REF!),BDI!#REF!,IF(#REF!="ZERO",0))))),"")</f>
        <v>#REF!</v>
      </c>
      <c r="H3117" s="127" t="e">
        <f t="shared" ca="1" si="166"/>
        <v>#REF!</v>
      </c>
      <c r="I3117" s="125" t="e">
        <f t="shared" ca="1" si="167"/>
        <v>#REF!</v>
      </c>
    </row>
    <row r="3118" spans="1:9" hidden="1" x14ac:dyDescent="0.25">
      <c r="A3118" s="103" t="s">
        <v>7540</v>
      </c>
      <c r="B3118" s="104" t="s">
        <v>7541</v>
      </c>
      <c r="C3118" s="105" t="s">
        <v>20</v>
      </c>
      <c r="D3118" s="105">
        <v>0</v>
      </c>
      <c r="E3118" s="124" t="s">
        <v>523</v>
      </c>
      <c r="F3118" s="125" t="str">
        <f t="shared" si="165"/>
        <v/>
      </c>
      <c r="G3118" s="126" t="e">
        <f>IF(A3118&lt;&gt;"",IF(AND(#REF!="Padrão",$H$4=#REF!),BDI!$B$17,IF(AND(#REF!="Padrão",$H$4=#REF!),BDI!#REF!,IF(AND(#REF!="Diferenciado",$H$4=#REF!),BDI!$E$17,IF(AND(#REF!="Diferenciado",$H$4=#REF!),BDI!#REF!,IF(#REF!="ZERO",0))))),"")</f>
        <v>#REF!</v>
      </c>
      <c r="H3118" s="127" t="str">
        <f t="shared" si="166"/>
        <v/>
      </c>
      <c r="I3118" s="125" t="str">
        <f t="shared" si="167"/>
        <v/>
      </c>
    </row>
    <row r="3119" spans="1:9" hidden="1" x14ac:dyDescent="0.25">
      <c r="A3119" s="103" t="s">
        <v>7542</v>
      </c>
      <c r="B3119" s="104" t="s">
        <v>7543</v>
      </c>
      <c r="C3119" s="105" t="s">
        <v>20</v>
      </c>
      <c r="D3119" s="105">
        <v>0</v>
      </c>
      <c r="E3119" s="124" t="s">
        <v>523</v>
      </c>
      <c r="F3119" s="125" t="str">
        <f t="shared" si="165"/>
        <v/>
      </c>
      <c r="G3119" s="126" t="e">
        <f>IF(A3119&lt;&gt;"",IF(AND(#REF!="Padrão",$H$4=#REF!),BDI!$B$17,IF(AND(#REF!="Padrão",$H$4=#REF!),BDI!#REF!,IF(AND(#REF!="Diferenciado",$H$4=#REF!),BDI!$E$17,IF(AND(#REF!="Diferenciado",$H$4=#REF!),BDI!#REF!,IF(#REF!="ZERO",0))))),"")</f>
        <v>#REF!</v>
      </c>
      <c r="H3119" s="127" t="str">
        <f t="shared" si="166"/>
        <v/>
      </c>
      <c r="I3119" s="125" t="str">
        <f t="shared" si="167"/>
        <v/>
      </c>
    </row>
    <row r="3120" spans="1:9" hidden="1" x14ac:dyDescent="0.25">
      <c r="A3120" s="103" t="s">
        <v>7544</v>
      </c>
      <c r="B3120" s="104" t="s">
        <v>7748</v>
      </c>
      <c r="C3120" s="105" t="s">
        <v>1924</v>
      </c>
      <c r="D3120" s="105">
        <v>0</v>
      </c>
      <c r="E3120" s="124" t="s">
        <v>523</v>
      </c>
      <c r="F3120" s="125" t="str">
        <f t="shared" ref="F3120:F3128" si="168">IF(ISNUMBER(E3120),D3120*E3120,"")</f>
        <v/>
      </c>
      <c r="G3120" s="126" t="e">
        <f>IF(A3120&lt;&gt;"",IF(AND(#REF!="Padrão",$H$4=#REF!),BDI!$B$17,IF(AND(#REF!="Padrão",$H$4=#REF!),BDI!#REF!,IF(AND(#REF!="Diferenciado",$H$4=#REF!),BDI!$E$17,IF(AND(#REF!="Diferenciado",$H$4=#REF!),BDI!#REF!,IF(#REF!="ZERO",0))))),"")</f>
        <v>#REF!</v>
      </c>
      <c r="H3120" s="127" t="str">
        <f t="shared" ref="H3120:H3128" si="169">IF(ISNUMBER(E3120),ROUND(E3120*(1+G3120),2),"")</f>
        <v/>
      </c>
      <c r="I3120" s="125" t="str">
        <f t="shared" ref="I3120:I3128" si="170">IF(ISNUMBER(E3120),ROUND(H3120*D3120,2),"")</f>
        <v/>
      </c>
    </row>
    <row r="3121" spans="1:9" hidden="1" x14ac:dyDescent="0.25">
      <c r="A3121" s="103" t="s">
        <v>7545</v>
      </c>
      <c r="B3121" s="104" t="s">
        <v>7749</v>
      </c>
      <c r="C3121" s="105" t="s">
        <v>20</v>
      </c>
      <c r="D3121" s="105">
        <v>0</v>
      </c>
      <c r="E3121" s="124" t="s">
        <v>523</v>
      </c>
      <c r="F3121" s="125" t="str">
        <f t="shared" si="168"/>
        <v/>
      </c>
      <c r="G3121" s="126" t="e">
        <f>IF(A3121&lt;&gt;"",IF(AND(#REF!="Padrão",$H$4=#REF!),BDI!$B$17,IF(AND(#REF!="Padrão",$H$4=#REF!),BDI!#REF!,IF(AND(#REF!="Diferenciado",$H$4=#REF!),BDI!$E$17,IF(AND(#REF!="Diferenciado",$H$4=#REF!),BDI!#REF!,IF(#REF!="ZERO",0))))),"")</f>
        <v>#REF!</v>
      </c>
      <c r="H3121" s="127" t="str">
        <f t="shared" si="169"/>
        <v/>
      </c>
      <c r="I3121" s="125" t="str">
        <f t="shared" si="170"/>
        <v/>
      </c>
    </row>
    <row r="3122" spans="1:9" hidden="1" x14ac:dyDescent="0.25">
      <c r="A3122" s="103" t="s">
        <v>7546</v>
      </c>
      <c r="B3122" s="104" t="s">
        <v>7750</v>
      </c>
      <c r="C3122" s="105" t="s">
        <v>20</v>
      </c>
      <c r="D3122" s="105">
        <v>0</v>
      </c>
      <c r="E3122" s="124" t="s">
        <v>523</v>
      </c>
      <c r="F3122" s="125" t="str">
        <f t="shared" si="168"/>
        <v/>
      </c>
      <c r="G3122" s="126" t="e">
        <f>IF(A3122&lt;&gt;"",IF(AND(#REF!="Padrão",$H$4=#REF!),BDI!$B$17,IF(AND(#REF!="Padrão",$H$4=#REF!),BDI!#REF!,IF(AND(#REF!="Diferenciado",$H$4=#REF!),BDI!$E$17,IF(AND(#REF!="Diferenciado",$H$4=#REF!),BDI!#REF!,IF(#REF!="ZERO",0))))),"")</f>
        <v>#REF!</v>
      </c>
      <c r="H3122" s="127" t="str">
        <f t="shared" si="169"/>
        <v/>
      </c>
      <c r="I3122" s="125" t="str">
        <f t="shared" si="170"/>
        <v/>
      </c>
    </row>
    <row r="3123" spans="1:9" hidden="1" x14ac:dyDescent="0.25">
      <c r="A3123" s="103" t="s">
        <v>7547</v>
      </c>
      <c r="B3123" s="104" t="s">
        <v>7751</v>
      </c>
      <c r="C3123" s="105" t="s">
        <v>20</v>
      </c>
      <c r="D3123" s="105">
        <v>0</v>
      </c>
      <c r="E3123" s="124" t="s">
        <v>523</v>
      </c>
      <c r="F3123" s="125" t="str">
        <f t="shared" si="168"/>
        <v/>
      </c>
      <c r="G3123" s="126" t="e">
        <f>IF(A3123&lt;&gt;"",IF(AND(#REF!="Padrão",$H$4=#REF!),BDI!$B$17,IF(AND(#REF!="Padrão",$H$4=#REF!),BDI!#REF!,IF(AND(#REF!="Diferenciado",$H$4=#REF!),BDI!$E$17,IF(AND(#REF!="Diferenciado",$H$4=#REF!),BDI!#REF!,IF(#REF!="ZERO",0))))),"")</f>
        <v>#REF!</v>
      </c>
      <c r="H3123" s="127" t="str">
        <f t="shared" si="169"/>
        <v/>
      </c>
      <c r="I3123" s="125" t="str">
        <f t="shared" si="170"/>
        <v/>
      </c>
    </row>
    <row r="3124" spans="1:9" hidden="1" x14ac:dyDescent="0.25">
      <c r="A3124" s="103" t="s">
        <v>7548</v>
      </c>
      <c r="B3124" s="104" t="s">
        <v>7752</v>
      </c>
      <c r="C3124" s="105" t="s">
        <v>20</v>
      </c>
      <c r="D3124" s="105">
        <v>0</v>
      </c>
      <c r="E3124" s="124" t="s">
        <v>523</v>
      </c>
      <c r="F3124" s="125" t="str">
        <f t="shared" si="168"/>
        <v/>
      </c>
      <c r="G3124" s="126" t="e">
        <f>IF(A3124&lt;&gt;"",IF(AND(#REF!="Padrão",$H$4=#REF!),BDI!$B$17,IF(AND(#REF!="Padrão",$H$4=#REF!),BDI!#REF!,IF(AND(#REF!="Diferenciado",$H$4=#REF!),BDI!$E$17,IF(AND(#REF!="Diferenciado",$H$4=#REF!),BDI!#REF!,IF(#REF!="ZERO",0))))),"")</f>
        <v>#REF!</v>
      </c>
      <c r="H3124" s="127" t="str">
        <f t="shared" si="169"/>
        <v/>
      </c>
      <c r="I3124" s="125" t="str">
        <f t="shared" si="170"/>
        <v/>
      </c>
    </row>
    <row r="3125" spans="1:9" hidden="1" x14ac:dyDescent="0.25">
      <c r="A3125" s="103" t="s">
        <v>7549</v>
      </c>
      <c r="B3125" s="104" t="s">
        <v>7753</v>
      </c>
      <c r="C3125" s="105" t="s">
        <v>20</v>
      </c>
      <c r="D3125" s="105">
        <v>0</v>
      </c>
      <c r="E3125" s="124" t="s">
        <v>523</v>
      </c>
      <c r="F3125" s="125" t="str">
        <f t="shared" si="168"/>
        <v/>
      </c>
      <c r="G3125" s="126" t="e">
        <f>IF(A3125&lt;&gt;"",IF(AND(#REF!="Padrão",$H$4=#REF!),BDI!$B$17,IF(AND(#REF!="Padrão",$H$4=#REF!),BDI!#REF!,IF(AND(#REF!="Diferenciado",$H$4=#REF!),BDI!$E$17,IF(AND(#REF!="Diferenciado",$H$4=#REF!),BDI!#REF!,IF(#REF!="ZERO",0))))),"")</f>
        <v>#REF!</v>
      </c>
      <c r="H3125" s="127" t="str">
        <f t="shared" si="169"/>
        <v/>
      </c>
      <c r="I3125" s="125" t="str">
        <f t="shared" si="170"/>
        <v/>
      </c>
    </row>
    <row r="3126" spans="1:9" hidden="1" x14ac:dyDescent="0.25">
      <c r="A3126" s="103" t="s">
        <v>7550</v>
      </c>
      <c r="B3126" s="104" t="s">
        <v>7754</v>
      </c>
      <c r="C3126" s="105" t="s">
        <v>20</v>
      </c>
      <c r="D3126" s="105">
        <v>0</v>
      </c>
      <c r="E3126" s="124" t="s">
        <v>523</v>
      </c>
      <c r="F3126" s="125" t="str">
        <f t="shared" si="168"/>
        <v/>
      </c>
      <c r="G3126" s="126" t="e">
        <f>IF(A3126&lt;&gt;"",IF(AND(#REF!="Padrão",$H$4=#REF!),BDI!$B$17,IF(AND(#REF!="Padrão",$H$4=#REF!),BDI!#REF!,IF(AND(#REF!="Diferenciado",$H$4=#REF!),BDI!$E$17,IF(AND(#REF!="Diferenciado",$H$4=#REF!),BDI!#REF!,IF(#REF!="ZERO",0))))),"")</f>
        <v>#REF!</v>
      </c>
      <c r="H3126" s="127" t="str">
        <f t="shared" si="169"/>
        <v/>
      </c>
      <c r="I3126" s="125" t="str">
        <f t="shared" si="170"/>
        <v/>
      </c>
    </row>
    <row r="3127" spans="1:9" hidden="1" x14ac:dyDescent="0.25">
      <c r="A3127" s="103" t="s">
        <v>7551</v>
      </c>
      <c r="B3127" s="104" t="s">
        <v>7755</v>
      </c>
      <c r="C3127" s="105" t="s">
        <v>1924</v>
      </c>
      <c r="D3127" s="105">
        <v>0</v>
      </c>
      <c r="E3127" s="124" t="s">
        <v>523</v>
      </c>
      <c r="F3127" s="125" t="str">
        <f t="shared" si="168"/>
        <v/>
      </c>
      <c r="G3127" s="126" t="e">
        <f>IF(A3127&lt;&gt;"",IF(AND(#REF!="Padrão",$H$4=#REF!),BDI!$B$17,IF(AND(#REF!="Padrão",$H$4=#REF!),BDI!#REF!,IF(AND(#REF!="Diferenciado",$H$4=#REF!),BDI!$E$17,IF(AND(#REF!="Diferenciado",$H$4=#REF!),BDI!#REF!,IF(#REF!="ZERO",0))))),"")</f>
        <v>#REF!</v>
      </c>
      <c r="H3127" s="127" t="str">
        <f t="shared" si="169"/>
        <v/>
      </c>
      <c r="I3127" s="125" t="str">
        <f t="shared" si="170"/>
        <v/>
      </c>
    </row>
    <row r="3128" spans="1:9" hidden="1" x14ac:dyDescent="0.25">
      <c r="A3128" s="103" t="s">
        <v>7552</v>
      </c>
      <c r="B3128" s="104" t="s">
        <v>7756</v>
      </c>
      <c r="C3128" s="105" t="s">
        <v>20</v>
      </c>
      <c r="D3128" s="105">
        <v>0</v>
      </c>
      <c r="E3128" s="124" t="s">
        <v>523</v>
      </c>
      <c r="F3128" s="125" t="str">
        <f t="shared" si="168"/>
        <v/>
      </c>
      <c r="G3128" s="126" t="e">
        <f>IF(A3128&lt;&gt;"",IF(AND(#REF!="Padrão",$H$4=#REF!),BDI!$B$17,IF(AND(#REF!="Padrão",$H$4=#REF!),BDI!#REF!,IF(AND(#REF!="Diferenciado",$H$4=#REF!),BDI!$E$17,IF(AND(#REF!="Diferenciado",$H$4=#REF!),BDI!#REF!,IF(#REF!="ZERO",0))))),"")</f>
        <v>#REF!</v>
      </c>
      <c r="H3128" s="127" t="str">
        <f t="shared" si="169"/>
        <v/>
      </c>
      <c r="I3128" s="125" t="str">
        <f t="shared" si="170"/>
        <v/>
      </c>
    </row>
    <row r="3129" spans="1:9" hidden="1" x14ac:dyDescent="0.25">
      <c r="A3129" s="103" t="s">
        <v>7553</v>
      </c>
      <c r="B3129" s="104" t="s">
        <v>7766</v>
      </c>
      <c r="C3129" s="105" t="s">
        <v>20</v>
      </c>
      <c r="D3129" s="105">
        <v>0</v>
      </c>
      <c r="E3129" s="124" t="s">
        <v>523</v>
      </c>
      <c r="F3129" s="125" t="str">
        <f t="shared" ref="F3129:F3136" si="171">IF(ISNUMBER(E3129),D3129*E3129,"")</f>
        <v/>
      </c>
      <c r="G3129" s="126" t="e">
        <f>IF(A3129&lt;&gt;"",IF(AND(#REF!="Padrão",$H$4=#REF!),BDI!$B$17,IF(AND(#REF!="Padrão",$H$4=#REF!),BDI!#REF!,IF(AND(#REF!="Diferenciado",$H$4=#REF!),BDI!$E$17,IF(AND(#REF!="Diferenciado",$H$4=#REF!),BDI!#REF!,IF(#REF!="ZERO",0))))),"")</f>
        <v>#REF!</v>
      </c>
      <c r="H3129" s="127" t="str">
        <f t="shared" ref="H3129:H3136" si="172">IF(ISNUMBER(E3129),ROUND(E3129*(1+G3129),2),"")</f>
        <v/>
      </c>
      <c r="I3129" s="125" t="str">
        <f t="shared" ref="I3129:I3136" si="173">IF(ISNUMBER(E3129),ROUND(H3129*D3129,2),"")</f>
        <v/>
      </c>
    </row>
    <row r="3130" spans="1:9" hidden="1" x14ac:dyDescent="0.25">
      <c r="A3130" s="103" t="s">
        <v>7554</v>
      </c>
      <c r="B3130" s="104" t="s">
        <v>7765</v>
      </c>
      <c r="C3130" s="105" t="s">
        <v>20</v>
      </c>
      <c r="D3130" s="105">
        <v>0</v>
      </c>
      <c r="E3130" s="124" t="s">
        <v>523</v>
      </c>
      <c r="F3130" s="125" t="str">
        <f t="shared" si="171"/>
        <v/>
      </c>
      <c r="G3130" s="126" t="e">
        <f>IF(A3130&lt;&gt;"",IF(AND(#REF!="Padrão",$H$4=#REF!),BDI!$B$17,IF(AND(#REF!="Padrão",$H$4=#REF!),BDI!#REF!,IF(AND(#REF!="Diferenciado",$H$4=#REF!),BDI!$E$17,IF(AND(#REF!="Diferenciado",$H$4=#REF!),BDI!#REF!,IF(#REF!="ZERO",0))))),"")</f>
        <v>#REF!</v>
      </c>
      <c r="H3130" s="127" t="str">
        <f t="shared" si="172"/>
        <v/>
      </c>
      <c r="I3130" s="125" t="str">
        <f t="shared" si="173"/>
        <v/>
      </c>
    </row>
    <row r="3131" spans="1:9" s="184" customFormat="1" x14ac:dyDescent="0.25">
      <c r="A3131" s="185" t="s">
        <v>7555</v>
      </c>
      <c r="B3131" s="186" t="s">
        <v>7764</v>
      </c>
      <c r="C3131" s="187" t="s">
        <v>20</v>
      </c>
      <c r="D3131" s="187">
        <v>53</v>
      </c>
      <c r="E3131" s="202">
        <v>2768.77</v>
      </c>
      <c r="F3131" s="125">
        <f t="shared" si="171"/>
        <v>146744.81</v>
      </c>
      <c r="G3131" s="126">
        <f>BDI!$E$17</f>
        <v>0.11260000000000001</v>
      </c>
      <c r="H3131" s="127">
        <f t="shared" si="172"/>
        <v>3080.53</v>
      </c>
      <c r="I3131" s="204">
        <f t="shared" si="173"/>
        <v>163268.09</v>
      </c>
    </row>
    <row r="3132" spans="1:9" s="184" customFormat="1" x14ac:dyDescent="0.25">
      <c r="A3132" s="185" t="s">
        <v>7556</v>
      </c>
      <c r="B3132" s="186" t="s">
        <v>7763</v>
      </c>
      <c r="C3132" s="187" t="s">
        <v>20</v>
      </c>
      <c r="D3132" s="187">
        <v>27</v>
      </c>
      <c r="E3132" s="124">
        <f ca="1">OFFSET(INDEX(Composições!A:J,MATCH(Orçamentária!A3132,Composições!A:A,0),8),2,0)</f>
        <v>335.71574999999996</v>
      </c>
      <c r="F3132" s="125">
        <f t="shared" ca="1" si="171"/>
        <v>9064.3252499999981</v>
      </c>
      <c r="G3132" s="126">
        <f>BDI!$B$17</f>
        <v>0.191</v>
      </c>
      <c r="H3132" s="127">
        <f t="shared" ca="1" si="172"/>
        <v>399.84</v>
      </c>
      <c r="I3132" s="204">
        <f t="shared" ca="1" si="173"/>
        <v>10795.68</v>
      </c>
    </row>
    <row r="3133" spans="1:9" s="184" customFormat="1" x14ac:dyDescent="0.25">
      <c r="A3133" s="185" t="s">
        <v>7557</v>
      </c>
      <c r="B3133" s="186" t="s">
        <v>7762</v>
      </c>
      <c r="C3133" s="187" t="s">
        <v>20</v>
      </c>
      <c r="D3133" s="187">
        <v>1</v>
      </c>
      <c r="E3133" s="202">
        <v>2811.05</v>
      </c>
      <c r="F3133" s="125">
        <f t="shared" si="171"/>
        <v>2811.05</v>
      </c>
      <c r="G3133" s="126">
        <f>BDI!$E$17</f>
        <v>0.11260000000000001</v>
      </c>
      <c r="H3133" s="127">
        <f t="shared" si="172"/>
        <v>3127.57</v>
      </c>
      <c r="I3133" s="204">
        <f t="shared" si="173"/>
        <v>3127.57</v>
      </c>
    </row>
    <row r="3134" spans="1:9" ht="25.5" hidden="1" x14ac:dyDescent="0.25">
      <c r="A3134" s="103" t="s">
        <v>7558</v>
      </c>
      <c r="B3134" s="104" t="s">
        <v>7761</v>
      </c>
      <c r="C3134" s="105" t="s">
        <v>20</v>
      </c>
      <c r="D3134" s="105">
        <v>0</v>
      </c>
      <c r="E3134" s="124" t="s">
        <v>523</v>
      </c>
      <c r="F3134" s="125" t="str">
        <f t="shared" si="171"/>
        <v/>
      </c>
      <c r="G3134" s="126" t="e">
        <f>IF(A3134&lt;&gt;"",IF(AND(#REF!="Padrão",$H$4=#REF!),BDI!$B$17,IF(AND(#REF!="Padrão",$H$4=#REF!),BDI!#REF!,IF(AND(#REF!="Diferenciado",$H$4=#REF!),BDI!$E$17,IF(AND(#REF!="Diferenciado",$H$4=#REF!),BDI!#REF!,IF(#REF!="ZERO",0))))),"")</f>
        <v>#REF!</v>
      </c>
      <c r="H3134" s="127" t="str">
        <f t="shared" si="172"/>
        <v/>
      </c>
      <c r="I3134" s="125" t="str">
        <f t="shared" si="173"/>
        <v/>
      </c>
    </row>
    <row r="3135" spans="1:9" hidden="1" x14ac:dyDescent="0.25">
      <c r="A3135" s="103" t="s">
        <v>7559</v>
      </c>
      <c r="B3135" s="104" t="s">
        <v>7760</v>
      </c>
      <c r="C3135" s="105" t="s">
        <v>20</v>
      </c>
      <c r="D3135" s="105">
        <v>0</v>
      </c>
      <c r="E3135" s="124" t="s">
        <v>523</v>
      </c>
      <c r="F3135" s="125" t="str">
        <f t="shared" si="171"/>
        <v/>
      </c>
      <c r="G3135" s="126" t="e">
        <f>IF(A3135&lt;&gt;"",IF(AND(#REF!="Padrão",$H$4=#REF!),BDI!$B$17,IF(AND(#REF!="Padrão",$H$4=#REF!),BDI!#REF!,IF(AND(#REF!="Diferenciado",$H$4=#REF!),BDI!$E$17,IF(AND(#REF!="Diferenciado",$H$4=#REF!),BDI!#REF!,IF(#REF!="ZERO",0))))),"")</f>
        <v>#REF!</v>
      </c>
      <c r="H3135" s="127" t="str">
        <f t="shared" si="172"/>
        <v/>
      </c>
      <c r="I3135" s="125" t="str">
        <f t="shared" si="173"/>
        <v/>
      </c>
    </row>
    <row r="3136" spans="1:9" hidden="1" x14ac:dyDescent="0.25">
      <c r="A3136" s="103" t="s">
        <v>7560</v>
      </c>
      <c r="B3136" s="104" t="s">
        <v>7767</v>
      </c>
      <c r="C3136" s="105" t="s">
        <v>20</v>
      </c>
      <c r="D3136" s="105">
        <v>0</v>
      </c>
      <c r="E3136" s="124">
        <f ca="1">OFFSET(INDEX(Composições!A:J,MATCH(Orçamentária!A3136,Composições!A:A,0),8),2,0)</f>
        <v>42.706477200991998</v>
      </c>
      <c r="F3136" s="125">
        <f t="shared" ca="1" si="171"/>
        <v>0</v>
      </c>
      <c r="G3136" s="126" t="e">
        <f>IF(A3136&lt;&gt;"",IF(AND(#REF!="Padrão",$H$4=#REF!),BDI!$B$17,IF(AND(#REF!="Padrão",$H$4=#REF!),BDI!#REF!,IF(AND(#REF!="Diferenciado",$H$4=#REF!),BDI!$E$17,IF(AND(#REF!="Diferenciado",$H$4=#REF!),BDI!#REF!,IF(#REF!="ZERO",0))))),"")</f>
        <v>#REF!</v>
      </c>
      <c r="H3136" s="127" t="e">
        <f t="shared" ca="1" si="172"/>
        <v>#REF!</v>
      </c>
      <c r="I3136" s="125" t="e">
        <f t="shared" ca="1" si="173"/>
        <v>#REF!</v>
      </c>
    </row>
    <row r="3137" spans="1:9" hidden="1" x14ac:dyDescent="0.25">
      <c r="A3137" s="103" t="s">
        <v>7561</v>
      </c>
      <c r="B3137" s="104" t="s">
        <v>7759</v>
      </c>
      <c r="C3137" s="105" t="s">
        <v>20</v>
      </c>
      <c r="D3137" s="105">
        <v>0</v>
      </c>
      <c r="E3137" s="124">
        <f ca="1">OFFSET(INDEX(Composições!A:J,MATCH(Orçamentária!A3137,Composições!A:A,0),8),2,0)</f>
        <v>142.85861550000001</v>
      </c>
      <c r="F3137" s="125">
        <f t="shared" ref="F3137:F3139" ca="1" si="174">IF(ISNUMBER(E3137),D3137*E3137,"")</f>
        <v>0</v>
      </c>
      <c r="G3137" s="126" t="e">
        <f>IF(A3137&lt;&gt;"",IF(AND(#REF!="Padrão",$H$4=#REF!),BDI!$B$17,IF(AND(#REF!="Padrão",$H$4=#REF!),BDI!#REF!,IF(AND(#REF!="Diferenciado",$H$4=#REF!),BDI!$E$17,IF(AND(#REF!="Diferenciado",$H$4=#REF!),BDI!#REF!,IF(#REF!="ZERO",0))))),"")</f>
        <v>#REF!</v>
      </c>
      <c r="H3137" s="127" t="e">
        <f t="shared" ref="H3137:H3139" ca="1" si="175">IF(ISNUMBER(E3137),ROUND(E3137*(1+G3137),2),"")</f>
        <v>#REF!</v>
      </c>
      <c r="I3137" s="125" t="e">
        <f t="shared" ref="I3137:I3139" ca="1" si="176">IF(ISNUMBER(E3137),ROUND(H3137*D3137,2),"")</f>
        <v>#REF!</v>
      </c>
    </row>
    <row r="3138" spans="1:9" ht="25.5" hidden="1" x14ac:dyDescent="0.25">
      <c r="A3138" s="103" t="s">
        <v>7562</v>
      </c>
      <c r="B3138" s="104" t="s">
        <v>7758</v>
      </c>
      <c r="C3138" s="105" t="s">
        <v>5021</v>
      </c>
      <c r="D3138" s="105">
        <v>0</v>
      </c>
      <c r="E3138" s="124" t="s">
        <v>523</v>
      </c>
      <c r="F3138" s="125" t="str">
        <f t="shared" si="174"/>
        <v/>
      </c>
      <c r="G3138" s="126" t="e">
        <f>IF(A3138&lt;&gt;"",IF(AND(#REF!="Padrão",$H$4=#REF!),BDI!$B$17,IF(AND(#REF!="Padrão",$H$4=#REF!),BDI!#REF!,IF(AND(#REF!="Diferenciado",$H$4=#REF!),BDI!$E$17,IF(AND(#REF!="Diferenciado",$H$4=#REF!),BDI!#REF!,IF(#REF!="ZERO",0))))),"")</f>
        <v>#REF!</v>
      </c>
      <c r="H3138" s="127" t="str">
        <f t="shared" si="175"/>
        <v/>
      </c>
      <c r="I3138" s="125" t="str">
        <f t="shared" si="176"/>
        <v/>
      </c>
    </row>
    <row r="3139" spans="1:9" hidden="1" x14ac:dyDescent="0.25">
      <c r="A3139" s="103" t="s">
        <v>7563</v>
      </c>
      <c r="B3139" s="104" t="s">
        <v>7757</v>
      </c>
      <c r="C3139" s="105" t="s">
        <v>95</v>
      </c>
      <c r="D3139" s="105">
        <v>0</v>
      </c>
      <c r="E3139" s="124" t="s">
        <v>523</v>
      </c>
      <c r="F3139" s="125" t="str">
        <f t="shared" si="174"/>
        <v/>
      </c>
      <c r="G3139" s="126" t="e">
        <f>IF(A3139&lt;&gt;"",IF(AND(#REF!="Padrão",$H$4=#REF!),BDI!$B$17,IF(AND(#REF!="Padrão",$H$4=#REF!),BDI!#REF!,IF(AND(#REF!="Diferenciado",$H$4=#REF!),BDI!$E$17,IF(AND(#REF!="Diferenciado",$H$4=#REF!),BDI!#REF!,IF(#REF!="ZERO",0))))),"")</f>
        <v>#REF!</v>
      </c>
      <c r="H3139" s="127" t="str">
        <f t="shared" si="175"/>
        <v/>
      </c>
      <c r="I3139" s="125" t="str">
        <f t="shared" si="176"/>
        <v/>
      </c>
    </row>
    <row r="3140" spans="1:9" s="184" customFormat="1" x14ac:dyDescent="0.25">
      <c r="A3140" s="188" t="s">
        <v>7564</v>
      </c>
      <c r="B3140" s="189" t="s">
        <v>7770</v>
      </c>
      <c r="C3140" s="187" t="s">
        <v>20</v>
      </c>
      <c r="D3140" s="187">
        <v>1</v>
      </c>
      <c r="E3140" s="202">
        <v>11563</v>
      </c>
      <c r="F3140" s="125">
        <f t="shared" ref="F3140" si="177">IF(ISNUMBER(E3140),D3140*E3140,"")</f>
        <v>11563</v>
      </c>
      <c r="G3140" s="126">
        <v>0</v>
      </c>
      <c r="H3140" s="127">
        <f t="shared" ref="H3140" si="178">IF(ISNUMBER(E3140),ROUND(E3140*(1+G3140),2),"")</f>
        <v>11563</v>
      </c>
      <c r="I3140" s="204">
        <f t="shared" ref="I3140" si="179">IF(ISNUMBER(E3140),ROUND(H3140*D3140,2),"")</f>
        <v>11563</v>
      </c>
    </row>
    <row r="3141" spans="1:9" s="184" customFormat="1" ht="5.0999999999999996" customHeight="1" thickBot="1" x14ac:dyDescent="0.3">
      <c r="A3141" s="190"/>
      <c r="B3141" s="191"/>
      <c r="C3141" s="192"/>
      <c r="D3141" s="192"/>
      <c r="E3141" s="193"/>
      <c r="F3141" s="193"/>
      <c r="G3141" s="194"/>
      <c r="H3141" s="195"/>
      <c r="I3141" s="205"/>
    </row>
    <row r="3142" spans="1:9" s="184" customFormat="1" ht="15.75" thickBot="1" x14ac:dyDescent="0.3">
      <c r="A3142" s="131"/>
      <c r="B3142" s="196"/>
      <c r="C3142" s="130"/>
      <c r="D3142" s="197"/>
      <c r="E3142" s="197"/>
      <c r="F3142" s="128"/>
      <c r="G3142" s="197"/>
      <c r="H3142" s="197" t="s">
        <v>1458</v>
      </c>
      <c r="I3142" s="206">
        <f ca="1">SUBTOTAL(109,F6:F3141)</f>
        <v>2228541.3867049329</v>
      </c>
    </row>
    <row r="3143" spans="1:9" s="184" customFormat="1" ht="15.75" thickBot="1" x14ac:dyDescent="0.3">
      <c r="A3143" s="198"/>
      <c r="B3143" s="199"/>
      <c r="C3143" s="130"/>
      <c r="D3143" s="200"/>
      <c r="E3143" s="200"/>
      <c r="F3143" s="129"/>
      <c r="G3143" s="201"/>
      <c r="H3143" s="201" t="s">
        <v>7</v>
      </c>
      <c r="I3143" s="207">
        <f ca="1">SUBTOTAL(109,I6:I3141)</f>
        <v>2466185.7699999996</v>
      </c>
    </row>
    <row r="3144" spans="1:9" x14ac:dyDescent="0.25">
      <c r="A3144" s="3"/>
      <c r="B3144" s="107"/>
      <c r="C3144" s="3"/>
      <c r="D3144" s="108"/>
      <c r="E3144" s="109"/>
      <c r="F3144" s="110"/>
      <c r="G3144" s="109"/>
      <c r="H3144" s="109"/>
      <c r="I3144" s="110"/>
    </row>
    <row r="3145" spans="1:9" x14ac:dyDescent="0.25">
      <c r="A3145" s="3"/>
      <c r="B3145" s="107"/>
      <c r="C3145" s="3"/>
      <c r="D3145" s="111"/>
      <c r="E3145" s="112"/>
      <c r="F3145" s="112"/>
      <c r="G3145" s="112"/>
      <c r="H3145" s="112"/>
      <c r="I3145" s="112"/>
    </row>
    <row r="3146" spans="1:9" x14ac:dyDescent="0.25">
      <c r="I3146" s="86"/>
    </row>
    <row r="3147" spans="1:9" x14ac:dyDescent="0.25">
      <c r="I3147" s="166"/>
    </row>
  </sheetData>
  <sheetProtection algorithmName="SHA-512" hashValue="rAh8+VLzYAlgo9oZ9xesG0saDbjzAcNP3c2uWNNsymY8Hld0IwzqrUgskL48epfp2G/GZEmpS6OVTSKoUWZLog==" saltValue="QahTRUOxhPjWyVLAWipRAw==" spinCount="100000" sheet="1" objects="1" scenarios="1"/>
  <autoFilter ref="A5:I3142">
    <filterColumn colId="3">
      <filters blank="1">
        <filter val="0,10"/>
        <filter val="0,25"/>
        <filter val="1,00"/>
        <filter val="1,10"/>
        <filter val="1.040,20"/>
        <filter val="1.054,20"/>
        <filter val="1.244,70"/>
        <filter val="1.769,30"/>
        <filter val="100,50"/>
        <filter val="104,00"/>
        <filter val="108,00"/>
        <filter val="110,00"/>
        <filter val="115,00"/>
        <filter val="122,30"/>
        <filter val="125,00"/>
        <filter val="13,50"/>
        <filter val="14,00"/>
        <filter val="14,10"/>
        <filter val="16,00"/>
        <filter val="179,00"/>
        <filter val="2,00"/>
        <filter val="20,00"/>
        <filter val="200,00"/>
        <filter val="230,00"/>
        <filter val="25,00"/>
        <filter val="27,00"/>
        <filter val="30,00"/>
        <filter val="31,00"/>
        <filter val="32,00"/>
        <filter val="324,00"/>
        <filter val="326,00"/>
        <filter val="360,00"/>
        <filter val="4.354,00"/>
        <filter val="404,00"/>
        <filter val="42,00"/>
        <filter val="44,90"/>
        <filter val="46,00"/>
        <filter val="5,00"/>
        <filter val="53,00"/>
        <filter val="54,00"/>
        <filter val="59,00"/>
        <filter val="6,00"/>
        <filter val="64,00"/>
        <filter val="650,00"/>
        <filter val="67,00"/>
        <filter val="70,40"/>
        <filter val="79,00"/>
        <filter val="8,00"/>
        <filter val="8.998,50"/>
        <filter val="800,00"/>
        <filter val="83,00"/>
        <filter val="831,00"/>
        <filter val="90,00"/>
      </filters>
    </filterColumn>
  </autoFilter>
  <conditionalFormatting sqref="C6">
    <cfRule type="containsBlanks" dxfId="30" priority="45">
      <formula>LEN(TRIM(C6))=0</formula>
    </cfRule>
    <cfRule type="containsBlanks" priority="46">
      <formula>LEN(TRIM(C6))=0</formula>
    </cfRule>
  </conditionalFormatting>
  <conditionalFormatting sqref="C341:C354">
    <cfRule type="containsBlanks" dxfId="29" priority="43">
      <formula>LEN(TRIM(C341))=0</formula>
    </cfRule>
    <cfRule type="containsBlanks" priority="44">
      <formula>LEN(TRIM(C341))=0</formula>
    </cfRule>
  </conditionalFormatting>
  <conditionalFormatting sqref="C355:C356">
    <cfRule type="containsBlanks" dxfId="28" priority="41">
      <formula>LEN(TRIM(C355))=0</formula>
    </cfRule>
    <cfRule type="containsBlanks" priority="42">
      <formula>LEN(TRIM(C355))=0</formula>
    </cfRule>
  </conditionalFormatting>
  <conditionalFormatting sqref="C340">
    <cfRule type="containsBlanks" dxfId="27" priority="39">
      <formula>LEN(TRIM(C340))=0</formula>
    </cfRule>
    <cfRule type="containsBlanks" priority="40">
      <formula>LEN(TRIM(C340))=0</formula>
    </cfRule>
  </conditionalFormatting>
  <conditionalFormatting sqref="C942:C943">
    <cfRule type="containsBlanks" dxfId="26" priority="37">
      <formula>LEN(TRIM(C942))=0</formula>
    </cfRule>
    <cfRule type="containsBlanks" priority="38">
      <formula>LEN(TRIM(C942))=0</formula>
    </cfRule>
  </conditionalFormatting>
  <conditionalFormatting sqref="C59">
    <cfRule type="containsBlanks" dxfId="25" priority="35">
      <formula>LEN(TRIM(C59))=0</formula>
    </cfRule>
    <cfRule type="containsBlanks" priority="36">
      <formula>LEN(TRIM(C59))=0</formula>
    </cfRule>
  </conditionalFormatting>
  <conditionalFormatting sqref="C61">
    <cfRule type="containsBlanks" dxfId="24" priority="33">
      <formula>LEN(TRIM(C61))=0</formula>
    </cfRule>
    <cfRule type="containsBlanks" priority="34">
      <formula>LEN(TRIM(C61))=0</formula>
    </cfRule>
  </conditionalFormatting>
  <conditionalFormatting sqref="C1091">
    <cfRule type="containsBlanks" dxfId="23" priority="31">
      <formula>LEN(TRIM(C1091))=0</formula>
    </cfRule>
    <cfRule type="containsBlanks" priority="32">
      <formula>LEN(TRIM(C1091))=0</formula>
    </cfRule>
  </conditionalFormatting>
  <conditionalFormatting sqref="C1092">
    <cfRule type="containsBlanks" dxfId="22" priority="29">
      <formula>LEN(TRIM(C1092))=0</formula>
    </cfRule>
    <cfRule type="containsBlanks" priority="30">
      <formula>LEN(TRIM(C1092))=0</formula>
    </cfRule>
  </conditionalFormatting>
  <conditionalFormatting sqref="C1093:C1101">
    <cfRule type="containsBlanks" dxfId="21" priority="27">
      <formula>LEN(TRIM(C1093))=0</formula>
    </cfRule>
    <cfRule type="containsBlanks" priority="28">
      <formula>LEN(TRIM(C1093))=0</formula>
    </cfRule>
  </conditionalFormatting>
  <conditionalFormatting sqref="C1104:C1105">
    <cfRule type="containsBlanks" dxfId="20" priority="25">
      <formula>LEN(TRIM(C1104))=0</formula>
    </cfRule>
    <cfRule type="containsBlanks" priority="26">
      <formula>LEN(TRIM(C1104))=0</formula>
    </cfRule>
  </conditionalFormatting>
  <conditionalFormatting sqref="B3141 B371:B1299 B365 B6:B363">
    <cfRule type="duplicateValues" dxfId="19" priority="20"/>
  </conditionalFormatting>
  <conditionalFormatting sqref="B366:B370">
    <cfRule type="duplicateValues" dxfId="18" priority="19"/>
  </conditionalFormatting>
  <conditionalFormatting sqref="B364">
    <cfRule type="duplicateValues" dxfId="17" priority="18"/>
  </conditionalFormatting>
  <conditionalFormatting sqref="B1300:B1344">
    <cfRule type="duplicateValues" dxfId="16" priority="1975"/>
  </conditionalFormatting>
  <conditionalFormatting sqref="B1345:B1348">
    <cfRule type="duplicateValues" dxfId="15" priority="16"/>
  </conditionalFormatting>
  <conditionalFormatting sqref="B1349">
    <cfRule type="duplicateValues" dxfId="14" priority="15"/>
  </conditionalFormatting>
  <conditionalFormatting sqref="B1350">
    <cfRule type="duplicateValues" dxfId="13" priority="14"/>
  </conditionalFormatting>
  <conditionalFormatting sqref="B1351:B1383">
    <cfRule type="duplicateValues" dxfId="12" priority="13"/>
  </conditionalFormatting>
  <conditionalFormatting sqref="B1385">
    <cfRule type="duplicateValues" dxfId="11" priority="12"/>
  </conditionalFormatting>
  <conditionalFormatting sqref="B1384">
    <cfRule type="duplicateValues" dxfId="10" priority="11"/>
  </conditionalFormatting>
  <conditionalFormatting sqref="B1386:B1388">
    <cfRule type="duplicateValues" dxfId="9" priority="10"/>
  </conditionalFormatting>
  <conditionalFormatting sqref="B3141:B3517 B6:B2623">
    <cfRule type="duplicateValues" dxfId="8" priority="2626"/>
  </conditionalFormatting>
  <conditionalFormatting sqref="B2624:B2681">
    <cfRule type="duplicateValues" dxfId="7" priority="8"/>
  </conditionalFormatting>
  <conditionalFormatting sqref="B2682:B2695 B2697:B2707">
    <cfRule type="duplicateValues" dxfId="6" priority="4495"/>
  </conditionalFormatting>
  <conditionalFormatting sqref="B2708:B2710">
    <cfRule type="duplicateValues" dxfId="5" priority="6"/>
  </conditionalFormatting>
  <conditionalFormatting sqref="B2711:B3119">
    <cfRule type="duplicateValues" dxfId="4" priority="4596"/>
  </conditionalFormatting>
  <conditionalFormatting sqref="B3120:B3128">
    <cfRule type="duplicateValues" dxfId="3" priority="5916"/>
  </conditionalFormatting>
  <conditionalFormatting sqref="B3129:B3136">
    <cfRule type="duplicateValues" dxfId="2" priority="3"/>
  </conditionalFormatting>
  <conditionalFormatting sqref="B3137:B3140">
    <cfRule type="duplicateValues" dxfId="1" priority="2"/>
  </conditionalFormatting>
  <conditionalFormatting sqref="B2696">
    <cfRule type="duplicateValues" dxfId="0" priority="1"/>
  </conditionalFormatting>
  <dataValidations count="1">
    <dataValidation type="list" allowBlank="1" showInputMessage="1" showErrorMessage="1" sqref="H4">
      <formula1>#REF!</formula1>
    </dataValidation>
  </dataValidations>
  <printOptions horizontalCentered="1"/>
  <pageMargins left="0.19685039370078741" right="0.19685039370078741" top="1.1811023622047245" bottom="0.59055118110236227" header="0.19685039370078741" footer="0.19685039370078741"/>
  <pageSetup paperSize="9" scale="63"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view="pageBreakPreview" zoomScale="80" zoomScaleNormal="80" zoomScaleSheetLayoutView="80" workbookViewId="0">
      <selection activeCell="D4" sqref="D4:E1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23" t="str">
        <f>Orçamentária!A1</f>
        <v>Adequação da infraestrutura dos closets de rede</v>
      </c>
      <c r="B1" s="113"/>
      <c r="C1" s="113"/>
      <c r="D1" s="113"/>
      <c r="E1" s="113"/>
    </row>
    <row r="2" spans="1:5" ht="24.95" customHeight="1" x14ac:dyDescent="0.25">
      <c r="A2" s="97" t="s">
        <v>3180</v>
      </c>
      <c r="B2" s="97"/>
      <c r="C2" s="97"/>
      <c r="D2" s="97"/>
      <c r="E2" s="97"/>
    </row>
    <row r="3" spans="1:5" ht="18" customHeight="1" thickBot="1" x14ac:dyDescent="0.3">
      <c r="A3" s="115"/>
      <c r="B3" s="115"/>
      <c r="C3" s="116"/>
      <c r="D3" s="115"/>
      <c r="E3" s="115"/>
    </row>
    <row r="4" spans="1:5" s="184" customFormat="1" ht="24.95" customHeight="1" thickBot="1" x14ac:dyDescent="0.3">
      <c r="A4" s="208" t="s">
        <v>3181</v>
      </c>
      <c r="B4" s="209"/>
      <c r="C4" s="215"/>
      <c r="D4" s="208" t="s">
        <v>3182</v>
      </c>
      <c r="E4" s="209"/>
    </row>
    <row r="5" spans="1:5" s="184" customFormat="1" ht="20.100000000000001" customHeight="1" x14ac:dyDescent="0.25">
      <c r="A5" s="257" t="s">
        <v>3183</v>
      </c>
      <c r="B5" s="210" t="s">
        <v>3184</v>
      </c>
      <c r="C5" s="211"/>
      <c r="D5" s="257" t="s">
        <v>3183</v>
      </c>
      <c r="E5" s="210" t="s">
        <v>3184</v>
      </c>
    </row>
    <row r="6" spans="1:5" s="184" customFormat="1" ht="20.100000000000001" customHeight="1" x14ac:dyDescent="0.25">
      <c r="A6" s="258"/>
      <c r="B6" s="212" t="s">
        <v>3185</v>
      </c>
      <c r="C6" s="211"/>
      <c r="D6" s="258"/>
      <c r="E6" s="212" t="s">
        <v>3185</v>
      </c>
    </row>
    <row r="7" spans="1:5" s="184" customFormat="1" ht="20.100000000000001" customHeight="1" x14ac:dyDescent="0.25">
      <c r="A7" s="259"/>
      <c r="B7" s="213" t="s">
        <v>3186</v>
      </c>
      <c r="C7" s="211"/>
      <c r="D7" s="259"/>
      <c r="E7" s="213" t="s">
        <v>3186</v>
      </c>
    </row>
    <row r="8" spans="1:5" s="184" customFormat="1" ht="20.100000000000001" customHeight="1" x14ac:dyDescent="0.25">
      <c r="A8" s="214" t="s">
        <v>3187</v>
      </c>
      <c r="B8" s="117">
        <v>3.5000000000000003E-2</v>
      </c>
      <c r="C8" s="216"/>
      <c r="D8" s="214" t="s">
        <v>3187</v>
      </c>
      <c r="E8" s="117">
        <v>1.7500000000000002E-2</v>
      </c>
    </row>
    <row r="9" spans="1:5" s="184" customFormat="1" ht="20.100000000000001" customHeight="1" x14ac:dyDescent="0.25">
      <c r="A9" s="214" t="s">
        <v>3188</v>
      </c>
      <c r="B9" s="117">
        <v>8.0000000000000002E-3</v>
      </c>
      <c r="C9" s="216"/>
      <c r="D9" s="214" t="s">
        <v>3188</v>
      </c>
      <c r="E9" s="117">
        <v>3.8999999999999998E-3</v>
      </c>
    </row>
    <row r="10" spans="1:5" s="184" customFormat="1" ht="20.100000000000001" customHeight="1" x14ac:dyDescent="0.25">
      <c r="A10" s="214" t="s">
        <v>3189</v>
      </c>
      <c r="B10" s="117">
        <v>1.2500000000000001E-2</v>
      </c>
      <c r="C10" s="216"/>
      <c r="D10" s="214" t="s">
        <v>3189</v>
      </c>
      <c r="E10" s="117">
        <v>5.5999999999999999E-3</v>
      </c>
    </row>
    <row r="11" spans="1:5" s="184" customFormat="1" ht="20.100000000000001" customHeight="1" x14ac:dyDescent="0.25">
      <c r="A11" s="214" t="s">
        <v>3190</v>
      </c>
      <c r="B11" s="117">
        <v>7.6E-3</v>
      </c>
      <c r="C11" s="216"/>
      <c r="D11" s="214" t="s">
        <v>3190</v>
      </c>
      <c r="E11" s="117">
        <v>8.5000000000000006E-3</v>
      </c>
    </row>
    <row r="12" spans="1:5" s="184" customFormat="1" ht="20.100000000000001" customHeight="1" x14ac:dyDescent="0.25">
      <c r="A12" s="214" t="s">
        <v>102</v>
      </c>
      <c r="B12" s="117">
        <v>6.7799999999999999E-2</v>
      </c>
      <c r="C12" s="216"/>
      <c r="D12" s="214" t="s">
        <v>102</v>
      </c>
      <c r="E12" s="117">
        <v>3.5000000000000003E-2</v>
      </c>
    </row>
    <row r="13" spans="1:5" s="184" customFormat="1" ht="20.100000000000001" customHeight="1" x14ac:dyDescent="0.25">
      <c r="A13" s="214" t="s">
        <v>3191</v>
      </c>
      <c r="B13" s="117">
        <v>6.4999999999999997E-3</v>
      </c>
      <c r="C13" s="216"/>
      <c r="D13" s="214" t="s">
        <v>3191</v>
      </c>
      <c r="E13" s="117">
        <v>6.4999999999999997E-3</v>
      </c>
    </row>
    <row r="14" spans="1:5" s="184" customFormat="1" ht="20.100000000000001" customHeight="1" x14ac:dyDescent="0.25">
      <c r="A14" s="214" t="s">
        <v>3192</v>
      </c>
      <c r="B14" s="117">
        <v>0.03</v>
      </c>
      <c r="C14" s="216"/>
      <c r="D14" s="214" t="s">
        <v>3192</v>
      </c>
      <c r="E14" s="117">
        <v>0.03</v>
      </c>
    </row>
    <row r="15" spans="1:5" s="184" customFormat="1" ht="20.100000000000001" customHeight="1" x14ac:dyDescent="0.25">
      <c r="A15" s="214" t="s">
        <v>3193</v>
      </c>
      <c r="B15" s="117">
        <v>0</v>
      </c>
      <c r="C15" s="216"/>
      <c r="D15" s="214" t="s">
        <v>3193</v>
      </c>
      <c r="E15" s="117">
        <v>0</v>
      </c>
    </row>
    <row r="16" spans="1:5" s="184" customFormat="1" ht="20.100000000000001" customHeight="1" x14ac:dyDescent="0.25">
      <c r="A16" s="214" t="s">
        <v>3194</v>
      </c>
      <c r="B16" s="117">
        <v>0.01</v>
      </c>
      <c r="C16" s="216"/>
      <c r="D16" s="214" t="s">
        <v>3194</v>
      </c>
      <c r="E16" s="117">
        <v>0</v>
      </c>
    </row>
    <row r="17" spans="1:5" s="184" customFormat="1" ht="24.95" customHeight="1" thickBot="1" x14ac:dyDescent="0.3">
      <c r="A17" s="217" t="s">
        <v>3181</v>
      </c>
      <c r="B17" s="218">
        <f>ROUND(((1+B8+B9+B10)*(1+B11)*(1+B12))/(1-(B13+B14+B15+B16))-1,4)</f>
        <v>0.191</v>
      </c>
      <c r="C17" s="216"/>
      <c r="D17" s="219" t="s">
        <v>3182</v>
      </c>
      <c r="E17" s="218">
        <f>ROUND(((1+E8+E9+E10)*(1+E11)*(1+E12))/(1-(E13+E14+E15+E16))-1,4)</f>
        <v>0.11260000000000001</v>
      </c>
    </row>
    <row r="18" spans="1:5" s="184" customFormat="1" x14ac:dyDescent="0.25">
      <c r="A18" s="220"/>
      <c r="B18" s="216"/>
      <c r="C18" s="224"/>
      <c r="D18" s="224"/>
      <c r="E18" s="216"/>
    </row>
    <row r="19" spans="1:5" s="184" customFormat="1" x14ac:dyDescent="0.25">
      <c r="A19" s="221"/>
      <c r="B19" s="222"/>
      <c r="C19" s="216"/>
      <c r="D19" s="221"/>
      <c r="E19" s="222"/>
    </row>
    <row r="20" spans="1:5" s="184" customFormat="1" x14ac:dyDescent="0.25">
      <c r="D20" s="223"/>
    </row>
    <row r="21" spans="1:5" s="184" customFormat="1" x14ac:dyDescent="0.25"/>
    <row r="22" spans="1:5" s="184" customFormat="1" x14ac:dyDescent="0.25"/>
    <row r="23" spans="1:5" s="184" customFormat="1" x14ac:dyDescent="0.25"/>
    <row r="24" spans="1:5" s="184" customFormat="1" x14ac:dyDescent="0.25"/>
    <row r="25" spans="1:5" s="184" customFormat="1" x14ac:dyDescent="0.25"/>
    <row r="26" spans="1:5" s="184" customFormat="1" x14ac:dyDescent="0.25"/>
    <row r="27" spans="1:5" s="184" customFormat="1" x14ac:dyDescent="0.25"/>
    <row r="28" spans="1:5" s="184" customFormat="1" x14ac:dyDescent="0.25"/>
    <row r="29" spans="1:5" s="184" customFormat="1" x14ac:dyDescent="0.25"/>
    <row r="30" spans="1:5" s="184" customFormat="1" x14ac:dyDescent="0.25"/>
    <row r="31" spans="1:5" s="184" customFormat="1" x14ac:dyDescent="0.25"/>
    <row r="32" spans="1:5" s="184" customFormat="1" x14ac:dyDescent="0.25"/>
    <row r="33" spans="1:5" s="184" customFormat="1" x14ac:dyDescent="0.25">
      <c r="E33" s="184" t="s">
        <v>3724</v>
      </c>
    </row>
    <row r="34" spans="1:5" s="184" customFormat="1" x14ac:dyDescent="0.25"/>
    <row r="35" spans="1:5" s="184" customFormat="1" x14ac:dyDescent="0.25"/>
    <row r="36" spans="1:5" s="184" customFormat="1" x14ac:dyDescent="0.25"/>
    <row r="37" spans="1:5" s="184" customFormat="1" x14ac:dyDescent="0.25"/>
    <row r="38" spans="1:5" s="184" customFormat="1" x14ac:dyDescent="0.25"/>
    <row r="39" spans="1:5" s="184" customFormat="1" ht="15.75" x14ac:dyDescent="0.25">
      <c r="A39" s="260" t="s">
        <v>3195</v>
      </c>
      <c r="B39" s="260"/>
      <c r="C39" s="260"/>
      <c r="D39" s="260"/>
      <c r="E39" s="260"/>
    </row>
    <row r="40" spans="1:5" x14ac:dyDescent="0.25">
      <c r="A40" s="106"/>
      <c r="B40" s="106"/>
      <c r="C40" s="106"/>
      <c r="D40" s="106"/>
      <c r="E40" s="106"/>
    </row>
    <row r="41" spans="1:5" x14ac:dyDescent="0.25">
      <c r="A41" s="106"/>
      <c r="B41" s="106"/>
      <c r="C41" s="106"/>
      <c r="D41" s="106"/>
      <c r="E41" s="106"/>
    </row>
  </sheetData>
  <sheetProtection algorithmName="SHA-512" hashValue="sYlsjnb5pMEBLWMN9nh5CwvvYUM+nbaiqJAzrzW3PYQ+GQ0VIuEQRRYWSYEKFzQXxbDpwXu4LPJhwgKHcd0Tlg==" saltValue="fEF6lDszjnM4KW1BChsPiw=="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Alexandre Bolzan Gutierrez Martins</cp:lastModifiedBy>
  <cp:lastPrinted>2022-07-22T18:33:25Z</cp:lastPrinted>
  <dcterms:created xsi:type="dcterms:W3CDTF">2020-07-07T13:57:42Z</dcterms:created>
  <dcterms:modified xsi:type="dcterms:W3CDTF">2022-07-28T12:44:12Z</dcterms:modified>
</cp:coreProperties>
</file>